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workbookProtection workbookPassword="DDA6" lockStructure="1"/>
  <bookViews>
    <workbookView xWindow="-15" yWindow="180" windowWidth="20730" windowHeight="5460" tabRatio="887" firstSheet="53" activeTab="58"/>
  </bookViews>
  <sheets>
    <sheet name="Cover Sheet" sheetId="1" r:id="rId1"/>
    <sheet name="Contents" sheetId="2" r:id="rId2"/>
    <sheet name="Schedule 1 Stmt of Fin Pos." sheetId="91" state="hidden" r:id="rId3"/>
    <sheet name="Schedule 1.1 Cons Stmt of Ops." sheetId="72" r:id="rId4"/>
    <sheet name="Sch 1.2 Cons Stmt of Cash Flow" sheetId="92" state="hidden" r:id="rId5"/>
    <sheet name="Sch 1.3 Cons Stmt Net Debt" sheetId="93" state="hidden" r:id="rId6"/>
    <sheet name="Sch 3 Capital Exp." sheetId="73" r:id="rId7"/>
    <sheet name="Sch 3C Tang Cap Asset Con" sheetId="74" r:id="rId8"/>
    <sheet name="Schedule 5" sheetId="75" r:id="rId9"/>
    <sheet name="Schedule 5.1" sheetId="82" r:id="rId10"/>
    <sheet name="Sch 7 Stmt of Fin. Pos." sheetId="94" state="hidden" r:id="rId11"/>
    <sheet name="Schedule 9" sheetId="79" r:id="rId12"/>
    <sheet name="Sch. 10 Operating Fund - Exp" sheetId="12" r:id="rId13"/>
    <sheet name="Sch 10ADJ  Oper. Fund- Adj." sheetId="13" r:id="rId14"/>
    <sheet name="Sch. 10.3 Texts,Classroom Supp." sheetId="96" state="hidden" r:id="rId15"/>
    <sheet name="Sch. 10.4 Supplementary Info." sheetId="95" state="hidden" r:id="rId16"/>
    <sheet name="Sch. 10A Spec Ed Expense - Elem" sheetId="15" r:id="rId17"/>
    <sheet name="Sch. 10B Spec Ed Expense - Sec" sheetId="16" r:id="rId18"/>
    <sheet name="Sch. 10C Oper. &amp; Maintenance" sheetId="60" r:id="rId19"/>
    <sheet name="Sch. 10F Employee Benefits" sheetId="65" r:id="rId20"/>
    <sheet name="Sch. 10G Supp Ben Info." sheetId="97" state="hidden" r:id="rId21"/>
    <sheet name="Sch. 10G Amort of Liab" sheetId="85" r:id="rId22"/>
    <sheet name="Sch 11A Tax Revenue" sheetId="17" r:id="rId23"/>
    <sheet name="Sch 11A Tax Revenue Adj " sheetId="90" r:id="rId24"/>
    <sheet name="Sch 11B Tax Revenue" sheetId="98" state="hidden" r:id="rId25"/>
    <sheet name="Sch 12 ConEd Summer" sheetId="18" r:id="rId26"/>
    <sheet name="Sch 13 Enrolment" sheetId="19" r:id="rId27"/>
    <sheet name="Sch 14 School Generated Funds" sheetId="80" r:id="rId28"/>
    <sheet name="1 Summary" sheetId="20" r:id="rId29"/>
    <sheet name="1.1 Pupil Foundation" sheetId="58" r:id="rId30"/>
    <sheet name="1.3 School Foundation" sheetId="59" r:id="rId31"/>
    <sheet name="2 Special Ed" sheetId="22" r:id="rId32"/>
    <sheet name="3 Language" sheetId="23" r:id="rId33"/>
    <sheet name="4 Outlying Schools" sheetId="89" r:id="rId34"/>
    <sheet name="5 Remote and Rural" sheetId="25" r:id="rId35"/>
    <sheet name="6 Continuing Education" sheetId="26" r:id="rId36"/>
    <sheet name="7 Teacher Compensation" sheetId="27" r:id="rId37"/>
    <sheet name="7A ECE" sheetId="87" r:id="rId38"/>
    <sheet name="7B NTIP" sheetId="81" r:id="rId39"/>
    <sheet name="9 Transportation" sheetId="28" r:id="rId40"/>
    <sheet name="10 Admin and Governance" sheetId="29" r:id="rId41"/>
    <sheet name="11 Accommodations" sheetId="30" r:id="rId42"/>
    <sheet name="11A Community Use" sheetId="69" r:id="rId43"/>
    <sheet name="12 Teacherage" sheetId="31" r:id="rId44"/>
    <sheet name="13 Learning Opportunities" sheetId="32" r:id="rId45"/>
    <sheet name="15 Special Approvals" sheetId="34" r:id="rId46"/>
    <sheet name="16 Declining Enrolment" sheetId="35" r:id="rId47"/>
    <sheet name="18 Indigenous Education" sheetId="63" r:id="rId48"/>
    <sheet name="19 Safe Schools" sheetId="70" r:id="rId49"/>
    <sheet name="App B Calculation of Fees" sheetId="41" r:id="rId50"/>
    <sheet name="App B1 Tuition Fees" sheetId="42" r:id="rId51"/>
    <sheet name="App F1 Transportation" sheetId="43" r:id="rId52"/>
    <sheet name="App F1.1 Board-Owned" sheetId="44" r:id="rId53"/>
    <sheet name="App F2 Board Lodging" sheetId="45" r:id="rId54"/>
    <sheet name="App G - Salary Grid" sheetId="48" r:id="rId55"/>
    <sheet name="App H - Staffing Oct 31" sheetId="51" r:id="rId56"/>
    <sheet name="App L - ECE Grid" sheetId="86" state="hidden" r:id="rId57"/>
    <sheet name="App H - Staffing Mar 31" sheetId="99" r:id="rId58"/>
    <sheet name="Error Messages" sheetId="52" r:id="rId59"/>
    <sheet name="Warning Messages" sheetId="53" r:id="rId60"/>
    <sheet name="Data Analysis" sheetId="54" r:id="rId61"/>
    <sheet name="ECE Grid" sheetId="88" state="hidden" r:id="rId62"/>
    <sheet name="Tables" sheetId="57" state="hidden" r:id="rId63"/>
    <sheet name="GSN Benchmarks" sheetId="67" state="hidden" r:id="rId64"/>
  </sheets>
  <externalReferences>
    <externalReference r:id="rId65"/>
    <externalReference r:id="rId66"/>
    <externalReference r:id="rId67"/>
    <externalReference r:id="rId68"/>
  </externalReferences>
  <definedNames>
    <definedName name="_2016_17_Day_School_ADE">'7 Teacher Compensation'!$B$176</definedName>
    <definedName name="_7.30___ECE_FTE___No_movement">'7A ECE'!#REF!</definedName>
    <definedName name="_7.31___ECE_FTE___With_movement">'7A ECE'!$A$11</definedName>
    <definedName name="_7.32.1_ECE_FTE___No_Movement">'7A ECE'!#REF!</definedName>
    <definedName name="_7.33.1_ECE_FTE___With_Movement">'7A ECE'!$A$21</definedName>
    <definedName name="_7.35_ECE_Q_E_per_Pupil_Allocation___________________________________________________________________________________________________________________________________________________________________________________________________0.00">'7A ECE'!$A$28</definedName>
    <definedName name="_7.36_ECE_Q_E_Allocation">'7A ECE'!$A$31</definedName>
    <definedName name="_7321NoMovement2">'7A ECE'!#REF!</definedName>
    <definedName name="_xlnm._FilterDatabase" localSheetId="40" hidden="1">'10 Admin and Governance'!#REF!</definedName>
    <definedName name="_GoBack" localSheetId="23">'Sch 11A Tax Revenue Adj '!$J$51</definedName>
    <definedName name="Aboriginal_Amount">'18 Indigenous Education'!$B$31</definedName>
    <definedName name="Accumulated_Amortization">'Sch 3C Tang Cap Asset Con'!#REF!</definedName>
    <definedName name="ADMINISTRATION">'Sch. 10 Operating Fund - Exp'!$A$27</definedName>
    <definedName name="Administration_and_Governance">'App B Calculation of Fees'!$B$44</definedName>
    <definedName name="Administration_Subtotal">'Sch. 10 Operating Fund - Exp'!$A$33</definedName>
    <definedName name="Administration2">'Sch 10ADJ  Oper. Fund- Adj.'!$B$28</definedName>
    <definedName name="AdministrationAndGovernanceAppendixH">'App H - Staffing Oct 31'!$B$53</definedName>
    <definedName name="AdministrationSubtotal2">'Sch 10ADJ  Oper. Fund- Adj.'!$B$34</definedName>
    <definedName name="Allocation_for_board_trustees__honoraria_and_expenses_and_for_pupil_representation">'10 Admin and Governance'!#REF!</definedName>
    <definedName name="ALLOCATION_FOR_SCHOOL_RENEWAL">'11 Accommodations'!$B$34</definedName>
    <definedName name="Allocation_for_Supervisory_Officers">'10 Admin and Governance'!$B$21</definedName>
    <definedName name="AllocationForSupervisoryOfficers2">'10 Admin and Governance'!$B$28</definedName>
    <definedName name="Assets_In_Service">'Sch 3C Tang Cap Asset Con'!#REF!</definedName>
    <definedName name="Assets_Permanently_Removed_From_Service">'Sch 3C Tang Cap Asset Con'!#REF!</definedName>
    <definedName name="Available_for_Compliance___Internally_Appropriated">'Schedule 5'!$B$11</definedName>
    <definedName name="Available_for_Compliance___Unappropriated">'Schedule 5'!$B$7</definedName>
    <definedName name="Average_experience_factor___total__4_dec.__for_both_grids">'7 Teacher Compensation'!$B$165</definedName>
    <definedName name="Benchmarks">'GSN Benchmarks'!$B:$B</definedName>
    <definedName name="Board__Lodging_and_WEEKLY_TRANSPORTATION">'9 Transportation'!$B$23</definedName>
    <definedName name="Capital_Leased_Assets">'Sch 3C Tang Cap Asset Con'!#REF!</definedName>
    <definedName name="CLASSROOM">'Sch. 10A Spec Ed Expense - Elem'!$B$9</definedName>
    <definedName name="Classroom2">'Sch. 10A Spec Ed Expense - Elem'!$B$32</definedName>
    <definedName name="Classroom3">'Sch. 10B Spec Ed Expense - Sec'!$B$9</definedName>
    <definedName name="Classroom4">'Sch. 10B Spec Ed Expense - Sec'!$B$31</definedName>
    <definedName name="ClassroomAppendixH">'App H - Staffing Oct 31'!$B$10</definedName>
    <definedName name="ClassroomSub_total">'Sch. 10A Spec Ed Expense - Elem'!$B$20</definedName>
    <definedName name="ClassroomSub_total2">'Sch. 10A Spec Ed Expense - Elem'!$B$43</definedName>
    <definedName name="ClassroomSubTotal3">'Sch. 10B Spec Ed Expense - Sec'!$B$19</definedName>
    <definedName name="ClassroomsubTotal4">'Sch. 10B Spec Ed Expense - Sec'!$B$41</definedName>
    <definedName name="Construction_In_Progress_Assets">'Sch 3C Tang Cap Asset Con'!#REF!</definedName>
    <definedName name="ConstructionInProgressAssets2">'Sch 3C Tang Cap Asset Con'!#REF!</definedName>
    <definedName name="Continuing_Education">'App H - Staffing Oct 31'!$B$49</definedName>
    <definedName name="Continuing_Education___Literacy___Numeracy___Summer_School">'App B1 Tuition Fees'!$B$36</definedName>
    <definedName name="Contract_Leases">'11 Accommodations'!$B$59</definedName>
    <definedName name="Custodial_Operations">'Sch. 10C Oper. &amp; Maintenance'!$B$10</definedName>
    <definedName name="Day_School_ADE">'App B Calculation of Fees'!$B$7</definedName>
    <definedName name="Declining_enrolment_adjustment">'App B Calculation of Fees'!$B$56</definedName>
    <definedName name="Detailed_description_by_project">'Sch. 10C Oper. &amp; Maintenance'!$B$36</definedName>
    <definedName name="Early_Childhood_Educator_Q_ualifications___Experience_Allocation">'App B Calculation of Fees'!$B$37</definedName>
    <definedName name="Elementary">'11 Accommodations'!$B$8</definedName>
    <definedName name="Elementary___English_Language_Instructional_Unit">'7 Teacher Compensation'!#REF!</definedName>
    <definedName name="Elementary_calculated_factor__Item_7.1_X_7.3___four_decimals____English_Language_Instructional_Unit">'7 Teacher Compensation'!#REF!</definedName>
    <definedName name="Elementary_calculated_factor__Item_7.7_X_7.9___four_decimals____English_Language_Instructional_Unit">'7 Teacher Compensation'!$B$105</definedName>
    <definedName name="ElementaryAboriginal">'18 Indigenous Education'!$B$9</definedName>
    <definedName name="ElementaryAppendixG">'App G - Salary Grid'!$B$19</definedName>
    <definedName name="ElementaryEnglishLanguageInstructionalUnit2">'7 Teacher Compensation'!$B$31</definedName>
    <definedName name="ETFO">'GSN Benchmarks'!$E:$E</definedName>
    <definedName name="EXPENSES">'Schedule 1.1 Cons Stmt of Ops.'!$B$18</definedName>
    <definedName name="First_Nation__Métis_and_Inuit_Education_Supplemental_Allocation">'App B Calculation of Fees'!$B$64</definedName>
    <definedName name="Governance_allocation">'10 Admin and Governance'!$B$18</definedName>
    <definedName name="GRAND_TOTAL">'Sch 3C Tang Cap Asset Con'!#REF!</definedName>
    <definedName name="GRID_1___GRID_WITH_NO_Q___E_MOVEMENT_FROM_PRIOR_YEAR">'7 Teacher Compensation'!#REF!</definedName>
    <definedName name="GRID_2___GRID_WITH_Q___E_MOVEMENT_AT_START_OF_SCHOOL_YEAR">'7 Teacher Compensation'!#REF!</definedName>
    <definedName name="Home_to_School__includes_School_to_School">'9 Transportation'!$B$7</definedName>
    <definedName name="INSTRUCTION">'Sch. 10 Operating Fund - Exp'!$A$9</definedName>
    <definedName name="Instruction_Subtotal">'Sch. 10 Operating Fund - Exp'!$A$26</definedName>
    <definedName name="Instructions2">'Sch 10ADJ  Oper. Fund- Adj.'!$B$10</definedName>
    <definedName name="InstructionSubtotal2">'Sch 10ADJ  Oper. Fund- Adj.'!$B$27</definedName>
    <definedName name="ISAData">#REF!</definedName>
    <definedName name="Language_allocation">'App B Calculation of Fees'!$B$17</definedName>
    <definedName name="Learning_Opportunities">'App B Calculation of Fees'!$B$29</definedName>
    <definedName name="Leasehold_Improvements">'Sch 3C Tang Cap Asset Con'!#REF!</definedName>
    <definedName name="Leases">'Sch. 10C Oper. &amp; Maintenance'!$B$31</definedName>
    <definedName name="Legislative_Grants">'Schedule 5.1'!$C$9</definedName>
    <definedName name="LegislativeGrants2">'Schedule 5.1'!$C$53</definedName>
    <definedName name="Library_and_Guidance">'App H - Staffing Oct 31'!$B$33</definedName>
    <definedName name="listofboards" localSheetId="0">'[1]Tables-GrantReg'!$A$5:$A$76</definedName>
    <definedName name="listofboards">[2]Sheet1!$A$5:$A$76</definedName>
    <definedName name="Literacy_and_numeracy_component_of_school_operations">'11 Accommodations'!$B$22</definedName>
    <definedName name="Maintenance_Operations">'Sch. 10C Oper. &amp; Maintenance'!$B$15</definedName>
    <definedName name="Method_of_Qualification_Categories_System">'7 Teacher Compensation'!$A$7</definedName>
    <definedName name="Native_Language_Allocation">'18 Indigenous Education'!$B$24</definedName>
    <definedName name="Native_Studies_Amount">'18 Indigenous Education'!$B$28</definedName>
    <definedName name="New_Teacher_Induction_Program">'App B Calculation of Fees'!$B$40</definedName>
    <definedName name="NON_CLASSROOM">'Sch. 10A Spec Ed Expense - Elem'!$B$21</definedName>
    <definedName name="Non_teaching_staff___Cost_Adjustment_Amount">'App B Calculation of Fees'!$B$52</definedName>
    <definedName name="Non_Teaching_Staff___Cost_Adjustment_amount__Table__5__2016_17_Instructions">'7 Teacher Compensation'!$B$189</definedName>
    <definedName name="NonClassroom2">'Sch. 10A Spec Ed Expense - Elem'!$B$44</definedName>
    <definedName name="NonClassroom3">'Sch. 10B Spec Ed Expense - Sec'!$B$20</definedName>
    <definedName name="NonClassroom4">'Sch. 10B Spec Ed Expense - Sec'!$B$42</definedName>
    <definedName name="NonClassroomAppendixH">'App H - Staffing Oct 31'!$B$38</definedName>
    <definedName name="NonETFO">'GSN Benchmarks'!$D:$D</definedName>
    <definedName name="Note">'Schedule 5.1'!$C$97</definedName>
    <definedName name="Note___Conversion_Factor___1_Sq_Ft___0.092903_Sq_M">'11 Accommodations'!$A$65</definedName>
    <definedName name="Note__Please_report_the__1_000_Trustees_Association_Fee_as_an_expense.">'Sch. 10 Operating Fund - Exp'!$A$57</definedName>
    <definedName name="Note_1___In_cases_where_school_authorities_negotiate_specific_special_education_services_or_programs_over_and_above_the_regular_programs_provided_by_the_school__these_expenses_are_recovered_by_separate_billing_from_the_Agency_requesting_the_services._The">'Sch. 10A Spec Ed Expense - Elem'!$B$50</definedName>
    <definedName name="NoteAppendixH">'App H - Staffing Oct 31'!$B$9</definedName>
    <definedName name="NoteReport">'App G - Salary Grid'!$A$6</definedName>
    <definedName name="NoteSecondary">'Sch. 10B Spec Ed Expense - Sec'!$B$48</definedName>
    <definedName name="OPERATING_DEFERRED_REVENUE">'Schedule 5.1'!$C$7</definedName>
    <definedName name="OTHER">'Sch. 10 Operating Fund - Exp'!$A$49</definedName>
    <definedName name="Other_Ministry_of_Education_Grants">'Schedule 5.1'!$C$18</definedName>
    <definedName name="Other_Non_Operating">'App H - Staffing Oct 31'!$B$71</definedName>
    <definedName name="Other_Provincial_Grants">'Schedule 5.1'!$C$27</definedName>
    <definedName name="Other2">'Sch 10ADJ  Oper. Fund- Adj.'!$B$50</definedName>
    <definedName name="OtherMinEdGrants2">'Schedule 5.1'!$C$57</definedName>
    <definedName name="OtherProvGrnats2">'Schedule 5.1'!$C$65</definedName>
    <definedName name="Parent_engagement_amount">'10 Admin and Governance'!$B$41</definedName>
    <definedName name="_xlnm.Print_Area" localSheetId="28">'1 Summary'!$A$1:$M$81</definedName>
    <definedName name="_xlnm.Print_Area" localSheetId="29">'1.1 Pupil Foundation'!$A$1:$I$35</definedName>
    <definedName name="_xlnm.Print_Area" localSheetId="30">'1.3 School Foundation'!$A$1:$J$51</definedName>
    <definedName name="_xlnm.Print_Area" localSheetId="44">'13 Learning Opportunities'!$A$1:$K$124</definedName>
    <definedName name="_xlnm.Print_Area" localSheetId="46">'16 Declining Enrolment'!$A:$L</definedName>
    <definedName name="_xlnm.Print_Area" localSheetId="32">'3 Language'!$A$1:$O$92</definedName>
    <definedName name="_xlnm.Print_Area" localSheetId="33">'4 Outlying Schools'!$A$2:$I$42</definedName>
    <definedName name="_xlnm.Print_Area" localSheetId="38">'7B NTIP'!$A$1:$I$26</definedName>
    <definedName name="_xlnm.Print_Area" localSheetId="49">'App B Calculation of Fees'!$A$2:$N$80</definedName>
    <definedName name="_xlnm.Print_Area" localSheetId="1">Contents!$A$1:$E$65</definedName>
    <definedName name="_xlnm.Print_Area" localSheetId="0">'Cover Sheet'!$A$1:$L$53</definedName>
    <definedName name="_xlnm.Print_Area" localSheetId="60">'Data Analysis'!$A$39:$R$72</definedName>
    <definedName name="_xlnm.Print_Area" localSheetId="58">'Error Messages'!$A:$L</definedName>
    <definedName name="_xlnm.Print_Area" localSheetId="63">'GSN Benchmarks'!$A$4:$H$336</definedName>
    <definedName name="_xlnm.Print_Area" localSheetId="13">'Sch 10ADJ  Oper. Fund- Adj.'!$A$1:$N$61</definedName>
    <definedName name="_xlnm.Print_Area" localSheetId="25">'Sch 12 ConEd Summer'!$A$1:$F$47</definedName>
    <definedName name="_xlnm.Print_Area" localSheetId="7">'Sch 3C Tang Cap Asset Con'!$A$1:$A$12828</definedName>
    <definedName name="_xlnm.Print_Area" localSheetId="12">'Sch. 10 Operating Fund - Exp'!$A$1:$O$59</definedName>
    <definedName name="_xlnm.Print_Area" localSheetId="18">'Sch. 10C Oper. &amp; Maintenance'!$A$1:$G$43</definedName>
    <definedName name="_xlnm.Print_Area" localSheetId="19">'Sch. 10F Employee Benefits'!$A$1:$U$37</definedName>
    <definedName name="_xlnm.Print_Area" localSheetId="21">'Sch. 10G Amort of Liab'!$A$1:$E$93</definedName>
    <definedName name="_xlnm.Print_Area" localSheetId="3">'Schedule 1.1 Cons Stmt of Ops.'!$A$1:$F$32</definedName>
    <definedName name="_xlnm.Print_Area" localSheetId="8">'Schedule 5'!$A$1:$E$33</definedName>
    <definedName name="_xlnm.Print_Area" localSheetId="9">'Schedule 5.1'!$A$7:$K$99</definedName>
    <definedName name="_xlnm.Print_Area" localSheetId="11">'Schedule 9'!$A$1:$E$117</definedName>
    <definedName name="_xlnm.Print_Area" localSheetId="62">Tables!$C$1:$AO$33</definedName>
    <definedName name="_xlnm.Print_Titles" localSheetId="41">'11 Accommodations'!$2:$3</definedName>
    <definedName name="_xlnm.Print_Titles" localSheetId="32">'3 Language'!$2:$6</definedName>
    <definedName name="_xlnm.Print_Titles" localSheetId="36">'7 Teacher Compensation'!$2:$3</definedName>
    <definedName name="_xlnm.Print_Titles" localSheetId="54">'App G - Salary Grid'!$1:$3</definedName>
    <definedName name="_xlnm.Print_Titles" localSheetId="1">Contents!$1:$2</definedName>
    <definedName name="_xlnm.Print_Titles" localSheetId="60">'Data Analysis'!$1:$10</definedName>
    <definedName name="_xlnm.Print_Titles" localSheetId="58">'Error Messages'!$1:$11</definedName>
    <definedName name="_xlnm.Print_Titles" localSheetId="63">'GSN Benchmarks'!$1:$3</definedName>
    <definedName name="_xlnm.Print_Titles" localSheetId="26">'Sch 13 Enrolment'!$2:$3</definedName>
    <definedName name="_xlnm.Print_Titles" localSheetId="9">'Schedule 5.1'!$1:$6</definedName>
    <definedName name="_xlnm.Print_Titles" localSheetId="62">Tables!$A:$B,Tables!$1:$4</definedName>
    <definedName name="_xlnm.Print_Titles" localSheetId="59">'Warning Messages'!$1:$11</definedName>
    <definedName name="PUPIL_ACCOMMODATION">'Sch. 10 Operating Fund - Exp'!$A$40</definedName>
    <definedName name="Pupil_Accomodation_and_Teacherage_Subtotal">'Sch. 10 Operating Fund - Exp'!$A$48</definedName>
    <definedName name="Pupil_Foundation_allocation">'App B Calculation of Fees'!$B$9</definedName>
    <definedName name="Pupil_Transportation">'App H - Staffing Oct 31'!$B$60</definedName>
    <definedName name="PupilAccommodation2">'Sch 10ADJ  Oper. Fund- Adj.'!$B$41</definedName>
    <definedName name="PupilAccommodationAndTeacherages2">'Sch 10ADJ  Oper. Fund- Adj.'!$B$49</definedName>
    <definedName name="Qualification_and_experience_allocation__Line_7.14">'7 Teacher Compensation'!$B$184</definedName>
    <definedName name="Qualification_Factors___Table_13_Ontario_2016_17_Grant_Regulation">'7 Teacher Compensation'!#REF!</definedName>
    <definedName name="QualificationFactors_Table13Ontario2016_17Grant2">'7 Teacher Compensation'!$B$91</definedName>
    <definedName name="Remote_and_Rural">'App B Calculation of Fees'!$B$25</definedName>
    <definedName name="REVENUES">'Schedule 1.1 Cons Stmt of Ops.'!$B$7</definedName>
    <definedName name="Rural_and_Small_Community_Allocation">'App B Calculation of Fees'!#REF!</definedName>
    <definedName name="Safe_Schools_Allocation">'App B Calculation of Fees'!$B$72</definedName>
    <definedName name="Schedule_3C___Tangible_Capital_Asset_Continuity_Schedule___2016_17">'Sch 3C Tang Cap Asset Con'!#REF!</definedName>
    <definedName name="School_Administration">'App H - Staffing Oct 31'!$B$43</definedName>
    <definedName name="School_Foundation_allocation">'App B Calculation of Fees'!$B$60</definedName>
    <definedName name="School_operations">'App B Calculation of Fees'!$B$48</definedName>
    <definedName name="School_Operations___Maintenance">'App H - Staffing Oct 31'!$B$66</definedName>
    <definedName name="School_Operations_and_Maintenance_Administration">'Sch. 10C Oper. &amp; Maintenance'!$B$25</definedName>
    <definedName name="Secondary">'11 Accommodations'!$B$14</definedName>
    <definedName name="Secondary___English_Language_Instructional_Units">'7 Teacher Compensation'!#REF!</definedName>
    <definedName name="Secondary__excludes_pupils_21_and_over">'18 Indigenous Education'!$B$17</definedName>
    <definedName name="Secondary_calculated_factor__Item_7.2_X_Item_7.3___four_decimals____English_Language_Intructional_Unit">'7 Teacher Compensation'!#REF!</definedName>
    <definedName name="Secondary_calculated_factor__Item_7.8_X_Item_7.9___four_decimals____English_Language_Intructional_Unit">'7 Teacher Compensation'!$B$122</definedName>
    <definedName name="SecondaryAppendixG">'App G - Salary Grid'!$B$36</definedName>
    <definedName name="SecondaryEnglishLanguageInstructionalUnits2">'7 Teacher Compensation'!$B$72</definedName>
    <definedName name="Special_approvals___Operating">'App B Calculation of Fees'!$B$68</definedName>
    <definedName name="Special_education_allocation">'App B Calculation of Fees'!$B$13</definedName>
    <definedName name="Student_Support___Professionals__Paraprofessionals_and_Technicians">'App H - Staffing Oct 31'!$B$24</definedName>
    <definedName name="SUBTOTAL___OPERATING_DEFERRED_REVENUE">'Schedule 5.1'!$C$49</definedName>
    <definedName name="Subtotal___Other">'Sch. 10 Operating Fund - Exp'!$A$54</definedName>
    <definedName name="SubtotalOther2">'Sch 10ADJ  Oper. Fund- Adj.'!$B$55</definedName>
    <definedName name="Supported_Schools_allocation">'App B Calculation of Fees'!$B$21</definedName>
    <definedName name="Teacher_Assistants">'App H - Staffing Oct 31'!$B$19</definedName>
    <definedName name="Teacher_Qualifications_and_Experience">'App B Calculation of Fees'!$B$33</definedName>
    <definedName name="Teacher_Support_Services">'App H - Staffing Oct 31'!$B$40</definedName>
    <definedName name="Third_Party">'Schedule 5.1'!$C$37</definedName>
    <definedName name="ThirdParty2">'Schedule 5.1'!$C$73</definedName>
    <definedName name="Total__Sum_of_lines_1.1_to_1.18">'App B Calculation of Fees'!$B$76</definedName>
    <definedName name="Total_Accumulated_Surplus____Deficit__Available_for_Compliance__Sum_of_lines_1.3_and_2.5">'Schedule 5'!$B$19</definedName>
    <definedName name="Total_Accumulated_Surplus__Deficit">'Schedule 5'!$B$32</definedName>
    <definedName name="Total_allocation_for_administration_and_governance">'10 Admin and Governance'!$B$51</definedName>
    <definedName name="Total_Cost_Adjustment_and_Teacher_Qualification_and_Experience_Allocation">'7 Teacher Compensation'!$B$197</definedName>
    <definedName name="TOTAL_ELEMENTARY">'Sch. 10A Spec Ed Expense - Elem'!$B$25</definedName>
    <definedName name="TOTAL_EXPENDITURE">'Sch. 10 Operating Fund - Exp'!$A$55</definedName>
    <definedName name="TOTAL_Expenditure__Col_3_must_equal_CP_7012">'Sch. 10C Oper. &amp; Maintenance'!$B$32</definedName>
    <definedName name="Total_ExpensesByProject">'Sch. 10C Oper. &amp; Maintenance'!$B$41</definedName>
    <definedName name="Total_First_Nation__Métis_and_Inuit_Supplemental_Allocation">'18 Indigenous Education'!$B$53</definedName>
    <definedName name="Total_NBV">'Sch 3C Tang Cap Asset Con'!#REF!</definedName>
    <definedName name="TOTAL_SECONDARY">'Sch. 10B Spec Ed Expense - Sec'!$B$24</definedName>
    <definedName name="Total_Transportation_Allocation">'9 Transportation'!$B$47</definedName>
    <definedName name="TotalApendixH">'App H - Staffing Oct 31'!$B$74</definedName>
    <definedName name="TotalElementary2">'Sch. 10A Spec Ed Expense - Elem'!$B$48</definedName>
    <definedName name="TotalExpenditure2">'Sch 10ADJ  Oper. Fund- Adj.'!$B$56</definedName>
    <definedName name="TotalSecondary2">'Sch. 10B Spec Ed Expense - Sec'!$B$46</definedName>
    <definedName name="TRANSPORTATION">'Sch. 10 Operating Fund - Exp'!$A$34</definedName>
    <definedName name="Transportation_Safety_Program">'9 Transportation'!$B$36</definedName>
    <definedName name="Transportation_Subtotal">'Sch. 10 Operating Fund - Exp'!$A$39</definedName>
    <definedName name="Transportation2">'Sch 10ADJ  Oper. Fund- Adj.'!$B$35</definedName>
    <definedName name="TransportationSubtotal2">'Sch 10ADJ  Oper. Fund- Adj.'!$B$40</definedName>
    <definedName name="Trustees__Association_Fee">'10 Admin and Governance'!$B$54</definedName>
    <definedName name="Tuition_fees_per_pupil__Line_1.19___Line_1.0">'App B Calculation of Fees'!$B$78</definedName>
    <definedName name="Tuition_Revenue_for_Continuing_Education__Literacy___Numeracy__Summer_School">'App B1 Tuition Fees'!$B$46</definedName>
    <definedName name="Tuition_Revenue_for_Negotiated_Services__Note_1">'App B1 Tuition Fees'!$B$24</definedName>
    <definedName name="Tuition_Revenue_for_Regular_Day_School__21_and_over">'App B1 Tuition Fees'!$B$22</definedName>
    <definedName name="Tuition_Revenue_for_Regular_Day_School__under_21">'App B1 Tuition Fees'!$B$9</definedName>
    <definedName name="Unavailable_for_Compliance">'Schedule 5'!$B$21</definedName>
    <definedName name="Use_the_Full_Time_Equivalent_Number_of_Teachers_as_of_October_31__2016__one_decimal__as_described_in_section_40_4__of_Ont._2016_17_Grants_for_Student_Needs_Reg.">'7 Teacher Compensation'!$A$15</definedName>
    <definedName name="Utilities">'Sch. 10C Oper. &amp; Maintenance'!$B$20</definedName>
    <definedName name="Years_of_experience">'7 Teacher Compensation'!$A$26</definedName>
  </definedNames>
  <calcPr calcId="145621"/>
</workbook>
</file>

<file path=xl/calcChain.xml><?xml version="1.0" encoding="utf-8"?>
<calcChain xmlns="http://schemas.openxmlformats.org/spreadsheetml/2006/main">
  <c r="I26" i="52" l="1"/>
  <c r="A26" i="52" l="1"/>
  <c r="A24" i="52"/>
  <c r="L24" i="52"/>
  <c r="I382" i="67" l="1"/>
  <c r="I383" i="67"/>
  <c r="I384" i="67"/>
  <c r="I385" i="67"/>
  <c r="H383" i="67"/>
  <c r="H384" i="67"/>
  <c r="H385" i="67"/>
  <c r="G383" i="67"/>
  <c r="G384" i="67"/>
  <c r="G385" i="67"/>
  <c r="G382" i="67"/>
  <c r="H382" i="67" s="1"/>
  <c r="J53" i="30" l="1"/>
  <c r="J51" i="30"/>
  <c r="K27" i="25" l="1"/>
  <c r="BE7" i="57" l="1"/>
  <c r="BE8" i="57"/>
  <c r="BE6" i="57"/>
  <c r="F28" i="87" l="1"/>
  <c r="AY72" i="99" l="1"/>
  <c r="AW72" i="99"/>
  <c r="AU72" i="99"/>
  <c r="AS72" i="99"/>
  <c r="AQ72" i="99"/>
  <c r="AO72" i="99"/>
  <c r="AM72" i="99"/>
  <c r="AK72" i="99"/>
  <c r="AI72" i="99"/>
  <c r="AG72" i="99"/>
  <c r="AF72" i="99"/>
  <c r="AE72" i="99"/>
  <c r="J72" i="99"/>
  <c r="AY69" i="99"/>
  <c r="AW69" i="99"/>
  <c r="AU69" i="99"/>
  <c r="AS69" i="99"/>
  <c r="AQ69" i="99"/>
  <c r="AO69" i="99"/>
  <c r="AM69" i="99"/>
  <c r="AK69" i="99"/>
  <c r="AI69" i="99"/>
  <c r="AG69" i="99"/>
  <c r="AF69" i="99"/>
  <c r="AE69" i="99"/>
  <c r="J69" i="99"/>
  <c r="AY68" i="99"/>
  <c r="AW68" i="99"/>
  <c r="AU68" i="99"/>
  <c r="AS68" i="99"/>
  <c r="AQ68" i="99"/>
  <c r="AO68" i="99"/>
  <c r="AM68" i="99"/>
  <c r="AK68" i="99"/>
  <c r="AI68" i="99"/>
  <c r="AG68" i="99"/>
  <c r="J68" i="99"/>
  <c r="AF68" i="99" s="1"/>
  <c r="AY67" i="99"/>
  <c r="AW67" i="99"/>
  <c r="AU67" i="99"/>
  <c r="AS67" i="99"/>
  <c r="AQ67" i="99"/>
  <c r="AO67" i="99"/>
  <c r="AM67" i="99"/>
  <c r="AK67" i="99"/>
  <c r="AI67" i="99"/>
  <c r="AG67" i="99"/>
  <c r="J67" i="99"/>
  <c r="AF67" i="99" s="1"/>
  <c r="AY64" i="99"/>
  <c r="AW64" i="99"/>
  <c r="AU64" i="99"/>
  <c r="AS64" i="99"/>
  <c r="AQ64" i="99"/>
  <c r="AO64" i="99"/>
  <c r="AM64" i="99"/>
  <c r="AK64" i="99"/>
  <c r="AI64" i="99"/>
  <c r="AG64" i="99"/>
  <c r="AF64" i="99"/>
  <c r="AE64" i="99"/>
  <c r="J64" i="99"/>
  <c r="AY63" i="99"/>
  <c r="AW63" i="99"/>
  <c r="AU63" i="99"/>
  <c r="AS63" i="99"/>
  <c r="AQ63" i="99"/>
  <c r="AO63" i="99"/>
  <c r="AM63" i="99"/>
  <c r="AK63" i="99"/>
  <c r="AI63" i="99"/>
  <c r="AG63" i="99"/>
  <c r="AF63" i="99"/>
  <c r="AE63" i="99"/>
  <c r="J63" i="99"/>
  <c r="AY62" i="99"/>
  <c r="AW62" i="99"/>
  <c r="AU62" i="99"/>
  <c r="AS62" i="99"/>
  <c r="AQ62" i="99"/>
  <c r="AO62" i="99"/>
  <c r="AM62" i="99"/>
  <c r="AK62" i="99"/>
  <c r="AI62" i="99"/>
  <c r="AG62" i="99"/>
  <c r="J62" i="99"/>
  <c r="AF62" i="99" s="1"/>
  <c r="AY61" i="99"/>
  <c r="AW61" i="99"/>
  <c r="AU61" i="99"/>
  <c r="AS61" i="99"/>
  <c r="AQ61" i="99"/>
  <c r="AO61" i="99"/>
  <c r="AM61" i="99"/>
  <c r="AK61" i="99"/>
  <c r="AI61" i="99"/>
  <c r="AG61" i="99"/>
  <c r="J61" i="99"/>
  <c r="AE61" i="99" s="1"/>
  <c r="AY58" i="99"/>
  <c r="AW58" i="99"/>
  <c r="AU58" i="99"/>
  <c r="AS58" i="99"/>
  <c r="AQ58" i="99"/>
  <c r="AO58" i="99"/>
  <c r="AM58" i="99"/>
  <c r="AK58" i="99"/>
  <c r="AI58" i="99"/>
  <c r="AG58" i="99"/>
  <c r="AF58" i="99"/>
  <c r="AE58" i="99"/>
  <c r="J58" i="99"/>
  <c r="AY57" i="99"/>
  <c r="AW57" i="99"/>
  <c r="AU57" i="99"/>
  <c r="AS57" i="99"/>
  <c r="AQ57" i="99"/>
  <c r="AO57" i="99"/>
  <c r="AM57" i="99"/>
  <c r="AK57" i="99"/>
  <c r="AI57" i="99"/>
  <c r="AG57" i="99"/>
  <c r="AF57" i="99"/>
  <c r="AE57" i="99"/>
  <c r="J57" i="99"/>
  <c r="AY56" i="99"/>
  <c r="AW56" i="99"/>
  <c r="AU56" i="99"/>
  <c r="AS56" i="99"/>
  <c r="AQ56" i="99"/>
  <c r="AO56" i="99"/>
  <c r="AM56" i="99"/>
  <c r="AK56" i="99"/>
  <c r="AI56" i="99"/>
  <c r="AG56" i="99"/>
  <c r="J56" i="99"/>
  <c r="AF56" i="99" s="1"/>
  <c r="AY55" i="99"/>
  <c r="AW55" i="99"/>
  <c r="AU55" i="99"/>
  <c r="AS55" i="99"/>
  <c r="AQ55" i="99"/>
  <c r="AO55" i="99"/>
  <c r="AM55" i="99"/>
  <c r="AK55" i="99"/>
  <c r="AI55" i="99"/>
  <c r="AG55" i="99"/>
  <c r="J55" i="99"/>
  <c r="AF55" i="99" s="1"/>
  <c r="J54" i="99"/>
  <c r="AF54" i="99" s="1"/>
  <c r="AY51" i="99"/>
  <c r="AW51" i="99"/>
  <c r="AU51" i="99"/>
  <c r="AS51" i="99"/>
  <c r="AQ51" i="99"/>
  <c r="AO51" i="99"/>
  <c r="AM51" i="99"/>
  <c r="AK51" i="99"/>
  <c r="AI51" i="99"/>
  <c r="AG51" i="99"/>
  <c r="J51" i="99"/>
  <c r="AF51" i="99" s="1"/>
  <c r="AY50" i="99"/>
  <c r="AW50" i="99"/>
  <c r="AU50" i="99"/>
  <c r="AS50" i="99"/>
  <c r="AQ50" i="99"/>
  <c r="AO50" i="99"/>
  <c r="AM50" i="99"/>
  <c r="AK50" i="99"/>
  <c r="AI50" i="99"/>
  <c r="AG50" i="99"/>
  <c r="AF50" i="99"/>
  <c r="AE50" i="99"/>
  <c r="J50" i="99"/>
  <c r="AY47" i="99"/>
  <c r="AW47" i="99"/>
  <c r="AU47" i="99"/>
  <c r="AS47" i="99"/>
  <c r="AQ47" i="99"/>
  <c r="AO47" i="99"/>
  <c r="AM47" i="99"/>
  <c r="AK47" i="99"/>
  <c r="AI47" i="99"/>
  <c r="AG47" i="99"/>
  <c r="AF47" i="99"/>
  <c r="J47" i="99"/>
  <c r="D47" i="99"/>
  <c r="AE47" i="99" s="1"/>
  <c r="AY46" i="99"/>
  <c r="AW46" i="99"/>
  <c r="AU46" i="99"/>
  <c r="AS46" i="99"/>
  <c r="AQ46" i="99"/>
  <c r="AO46" i="99"/>
  <c r="AM46" i="99"/>
  <c r="AK46" i="99"/>
  <c r="AI46" i="99"/>
  <c r="AG46" i="99"/>
  <c r="J46" i="99"/>
  <c r="AE46" i="99" s="1"/>
  <c r="D46" i="99"/>
  <c r="AF46" i="99" s="1"/>
  <c r="AY45" i="99"/>
  <c r="AW45" i="99"/>
  <c r="AU45" i="99"/>
  <c r="AS45" i="99"/>
  <c r="AQ45" i="99"/>
  <c r="AO45" i="99"/>
  <c r="AM45" i="99"/>
  <c r="AK45" i="99"/>
  <c r="AI45" i="99"/>
  <c r="AG45" i="99"/>
  <c r="AF45" i="99"/>
  <c r="J45" i="99"/>
  <c r="D45" i="99"/>
  <c r="AE45" i="99" s="1"/>
  <c r="AY44" i="99"/>
  <c r="AW44" i="99"/>
  <c r="AU44" i="99"/>
  <c r="AS44" i="99"/>
  <c r="AQ44" i="99"/>
  <c r="AO44" i="99"/>
  <c r="AM44" i="99"/>
  <c r="AK44" i="99"/>
  <c r="AI44" i="99"/>
  <c r="AG44" i="99"/>
  <c r="J44" i="99"/>
  <c r="AE44" i="99" s="1"/>
  <c r="D44" i="99"/>
  <c r="AF44" i="99" s="1"/>
  <c r="AY41" i="99"/>
  <c r="AW41" i="99"/>
  <c r="AU41" i="99"/>
  <c r="AS41" i="99"/>
  <c r="AQ41" i="99"/>
  <c r="AO41" i="99"/>
  <c r="AM41" i="99"/>
  <c r="AK41" i="99"/>
  <c r="AI41" i="99"/>
  <c r="AG41" i="99"/>
  <c r="AF41" i="99"/>
  <c r="J41" i="99"/>
  <c r="D41" i="99"/>
  <c r="AE41" i="99" s="1"/>
  <c r="AY36" i="99"/>
  <c r="AW36" i="99"/>
  <c r="AU36" i="99"/>
  <c r="AS36" i="99"/>
  <c r="AQ36" i="99"/>
  <c r="AO36" i="99"/>
  <c r="AM36" i="99"/>
  <c r="AK36" i="99"/>
  <c r="AI36" i="99"/>
  <c r="AG36" i="99"/>
  <c r="J36" i="99"/>
  <c r="AE36" i="99" s="1"/>
  <c r="D36" i="99"/>
  <c r="AF36" i="99" s="1"/>
  <c r="AY35" i="99"/>
  <c r="AW35" i="99"/>
  <c r="AU35" i="99"/>
  <c r="AS35" i="99"/>
  <c r="AQ35" i="99"/>
  <c r="AO35" i="99"/>
  <c r="AM35" i="99"/>
  <c r="AK35" i="99"/>
  <c r="AI35" i="99"/>
  <c r="AG35" i="99"/>
  <c r="AF35" i="99"/>
  <c r="J35" i="99"/>
  <c r="D35" i="99"/>
  <c r="AE35" i="99" s="1"/>
  <c r="AY34" i="99"/>
  <c r="AW34" i="99"/>
  <c r="AU34" i="99"/>
  <c r="AS34" i="99"/>
  <c r="AQ34" i="99"/>
  <c r="AO34" i="99"/>
  <c r="AM34" i="99"/>
  <c r="AK34" i="99"/>
  <c r="AI34" i="99"/>
  <c r="AG34" i="99"/>
  <c r="J34" i="99"/>
  <c r="AE34" i="99" s="1"/>
  <c r="D34" i="99"/>
  <c r="AF34" i="99" s="1"/>
  <c r="AY31" i="99"/>
  <c r="AW31" i="99"/>
  <c r="AU31" i="99"/>
  <c r="AS31" i="99"/>
  <c r="AQ31" i="99"/>
  <c r="AO31" i="99"/>
  <c r="AM31" i="99"/>
  <c r="AK31" i="99"/>
  <c r="AI31" i="99"/>
  <c r="AG31" i="99"/>
  <c r="AF31" i="99"/>
  <c r="J31" i="99"/>
  <c r="D31" i="99"/>
  <c r="AE31" i="99" s="1"/>
  <c r="AY30" i="99"/>
  <c r="AW30" i="99"/>
  <c r="AU30" i="99"/>
  <c r="AS30" i="99"/>
  <c r="AQ30" i="99"/>
  <c r="AO30" i="99"/>
  <c r="AM30" i="99"/>
  <c r="AK30" i="99"/>
  <c r="AI30" i="99"/>
  <c r="AG30" i="99"/>
  <c r="J30" i="99"/>
  <c r="AE30" i="99" s="1"/>
  <c r="D30" i="99"/>
  <c r="AF30" i="99" s="1"/>
  <c r="AY29" i="99"/>
  <c r="AW29" i="99"/>
  <c r="AU29" i="99"/>
  <c r="AS29" i="99"/>
  <c r="AQ29" i="99"/>
  <c r="AO29" i="99"/>
  <c r="AM29" i="99"/>
  <c r="AK29" i="99"/>
  <c r="AI29" i="99"/>
  <c r="AG29" i="99"/>
  <c r="AF29" i="99"/>
  <c r="J29" i="99"/>
  <c r="D29" i="99"/>
  <c r="AE29" i="99" s="1"/>
  <c r="AY28" i="99"/>
  <c r="AW28" i="99"/>
  <c r="AU28" i="99"/>
  <c r="AS28" i="99"/>
  <c r="AQ28" i="99"/>
  <c r="AO28" i="99"/>
  <c r="AM28" i="99"/>
  <c r="AK28" i="99"/>
  <c r="AI28" i="99"/>
  <c r="AG28" i="99"/>
  <c r="J28" i="99"/>
  <c r="AE28" i="99" s="1"/>
  <c r="D28" i="99"/>
  <c r="AF28" i="99" s="1"/>
  <c r="AY27" i="99"/>
  <c r="AW27" i="99"/>
  <c r="AU27" i="99"/>
  <c r="AS27" i="99"/>
  <c r="AQ27" i="99"/>
  <c r="AO27" i="99"/>
  <c r="AM27" i="99"/>
  <c r="AK27" i="99"/>
  <c r="AI27" i="99"/>
  <c r="AG27" i="99"/>
  <c r="AF27" i="99"/>
  <c r="J27" i="99"/>
  <c r="D27" i="99"/>
  <c r="AE27" i="99" s="1"/>
  <c r="AY26" i="99"/>
  <c r="AW26" i="99"/>
  <c r="AU26" i="99"/>
  <c r="AS26" i="99"/>
  <c r="AQ26" i="99"/>
  <c r="AO26" i="99"/>
  <c r="AM26" i="99"/>
  <c r="AK26" i="99"/>
  <c r="AI26" i="99"/>
  <c r="AG26" i="99"/>
  <c r="J26" i="99"/>
  <c r="AE26" i="99" s="1"/>
  <c r="D26" i="99"/>
  <c r="AF26" i="99" s="1"/>
  <c r="AY25" i="99"/>
  <c r="AW25" i="99"/>
  <c r="AU25" i="99"/>
  <c r="AS25" i="99"/>
  <c r="AQ25" i="99"/>
  <c r="AO25" i="99"/>
  <c r="AM25" i="99"/>
  <c r="AK25" i="99"/>
  <c r="AI25" i="99"/>
  <c r="AG25" i="99"/>
  <c r="AF25" i="99"/>
  <c r="J25" i="99"/>
  <c r="D25" i="99"/>
  <c r="AE25" i="99" s="1"/>
  <c r="AY22" i="99"/>
  <c r="AW22" i="99"/>
  <c r="AU22" i="99"/>
  <c r="AS22" i="99"/>
  <c r="AQ22" i="99"/>
  <c r="AO22" i="99"/>
  <c r="AM22" i="99"/>
  <c r="AK22" i="99"/>
  <c r="AI22" i="99"/>
  <c r="AG22" i="99"/>
  <c r="J22" i="99"/>
  <c r="AE22" i="99" s="1"/>
  <c r="D22" i="99"/>
  <c r="AF22" i="99" s="1"/>
  <c r="AY21" i="99"/>
  <c r="AW21" i="99"/>
  <c r="AU21" i="99"/>
  <c r="AS21" i="99"/>
  <c r="AQ21" i="99"/>
  <c r="AO21" i="99"/>
  <c r="AM21" i="99"/>
  <c r="AK21" i="99"/>
  <c r="AI21" i="99"/>
  <c r="AG21" i="99"/>
  <c r="AF21" i="99"/>
  <c r="J21" i="99"/>
  <c r="D21" i="99"/>
  <c r="AE21" i="99" s="1"/>
  <c r="AY20" i="99"/>
  <c r="AW20" i="99"/>
  <c r="AU20" i="99"/>
  <c r="AS20" i="99"/>
  <c r="AQ20" i="99"/>
  <c r="AO20" i="99"/>
  <c r="AM20" i="99"/>
  <c r="AK20" i="99"/>
  <c r="AI20" i="99"/>
  <c r="AG20" i="99"/>
  <c r="J20" i="99"/>
  <c r="AE20" i="99" s="1"/>
  <c r="D20" i="99"/>
  <c r="AF20" i="99" s="1"/>
  <c r="AY17" i="99"/>
  <c r="AW17" i="99"/>
  <c r="AU17" i="99"/>
  <c r="AS17" i="99"/>
  <c r="AQ17" i="99"/>
  <c r="AO17" i="99"/>
  <c r="AM17" i="99"/>
  <c r="AK17" i="99"/>
  <c r="AI17" i="99"/>
  <c r="AG17" i="99"/>
  <c r="AF17" i="99"/>
  <c r="J17" i="99"/>
  <c r="D17" i="99"/>
  <c r="AE17" i="99" s="1"/>
  <c r="AY16" i="99"/>
  <c r="AW16" i="99"/>
  <c r="AU16" i="99"/>
  <c r="AS16" i="99"/>
  <c r="AQ16" i="99"/>
  <c r="AO16" i="99"/>
  <c r="AM16" i="99"/>
  <c r="AK16" i="99"/>
  <c r="AI16" i="99"/>
  <c r="AG16" i="99"/>
  <c r="J16" i="99"/>
  <c r="AE16" i="99" s="1"/>
  <c r="D16" i="99"/>
  <c r="AF16" i="99" s="1"/>
  <c r="AY15" i="99"/>
  <c r="AW15" i="99"/>
  <c r="AU15" i="99"/>
  <c r="AS15" i="99"/>
  <c r="AQ15" i="99"/>
  <c r="AO15" i="99"/>
  <c r="AM15" i="99"/>
  <c r="AK15" i="99"/>
  <c r="AI15" i="99"/>
  <c r="AG15" i="99"/>
  <c r="J15" i="99"/>
  <c r="AF15" i="99" s="1"/>
  <c r="D15" i="99"/>
  <c r="AE15" i="99" s="1"/>
  <c r="AY14" i="99"/>
  <c r="AW14" i="99"/>
  <c r="AU14" i="99"/>
  <c r="AS14" i="99"/>
  <c r="AQ14" i="99"/>
  <c r="AO14" i="99"/>
  <c r="AM14" i="99"/>
  <c r="AK14" i="99"/>
  <c r="AI14" i="99"/>
  <c r="AG14" i="99"/>
  <c r="J14" i="99"/>
  <c r="AE14" i="99" s="1"/>
  <c r="D14" i="99"/>
  <c r="AF14" i="99" s="1"/>
  <c r="AY13" i="99"/>
  <c r="AW13" i="99"/>
  <c r="AU13" i="99"/>
  <c r="AS13" i="99"/>
  <c r="AQ13" i="99"/>
  <c r="AO13" i="99"/>
  <c r="AM13" i="99"/>
  <c r="AZ72" i="99" s="1"/>
  <c r="AK13" i="99"/>
  <c r="AI13" i="99"/>
  <c r="AG13" i="99"/>
  <c r="J13" i="99"/>
  <c r="J74" i="99" s="1"/>
  <c r="D13" i="99"/>
  <c r="G3" i="99"/>
  <c r="AF13" i="99" l="1"/>
  <c r="AE13" i="99"/>
  <c r="AE51" i="99"/>
  <c r="AE55" i="99"/>
  <c r="AE67" i="99"/>
  <c r="D74" i="99"/>
  <c r="AE54" i="99"/>
  <c r="AE56" i="99"/>
  <c r="AF61" i="99"/>
  <c r="AF74" i="99" s="1"/>
  <c r="K50" i="52" s="1"/>
  <c r="AE62" i="99"/>
  <c r="AE68" i="99"/>
  <c r="AY72" i="51"/>
  <c r="AW72" i="51"/>
  <c r="AU72" i="51"/>
  <c r="AS72" i="51"/>
  <c r="AQ72" i="51"/>
  <c r="AO72" i="51"/>
  <c r="AM72" i="51"/>
  <c r="AK72" i="51"/>
  <c r="AY69" i="51"/>
  <c r="AW69" i="51"/>
  <c r="AU69" i="51"/>
  <c r="AS69" i="51"/>
  <c r="AQ69" i="51"/>
  <c r="AO69" i="51"/>
  <c r="AM69" i="51"/>
  <c r="AK69" i="51"/>
  <c r="AY68" i="51"/>
  <c r="AW68" i="51"/>
  <c r="AU68" i="51"/>
  <c r="AS68" i="51"/>
  <c r="AQ68" i="51"/>
  <c r="AO68" i="51"/>
  <c r="AM68" i="51"/>
  <c r="AK68" i="51"/>
  <c r="AY67" i="51"/>
  <c r="AW67" i="51"/>
  <c r="AU67" i="51"/>
  <c r="AS67" i="51"/>
  <c r="AQ67" i="51"/>
  <c r="AO67" i="51"/>
  <c r="AM67" i="51"/>
  <c r="AK67" i="51"/>
  <c r="AY64" i="51"/>
  <c r="AW64" i="51"/>
  <c r="AU64" i="51"/>
  <c r="AS64" i="51"/>
  <c r="AQ64" i="51"/>
  <c r="AO64" i="51"/>
  <c r="AM64" i="51"/>
  <c r="AK64" i="51"/>
  <c r="AY63" i="51"/>
  <c r="AW63" i="51"/>
  <c r="AU63" i="51"/>
  <c r="AS63" i="51"/>
  <c r="AQ63" i="51"/>
  <c r="AO63" i="51"/>
  <c r="AM63" i="51"/>
  <c r="AK63" i="51"/>
  <c r="AY62" i="51"/>
  <c r="AW62" i="51"/>
  <c r="AU62" i="51"/>
  <c r="AS62" i="51"/>
  <c r="AQ62" i="51"/>
  <c r="AO62" i="51"/>
  <c r="AM62" i="51"/>
  <c r="AK62" i="51"/>
  <c r="AY61" i="51"/>
  <c r="AW61" i="51"/>
  <c r="AU61" i="51"/>
  <c r="AS61" i="51"/>
  <c r="AQ61" i="51"/>
  <c r="AO61" i="51"/>
  <c r="AM61" i="51"/>
  <c r="AK61" i="51"/>
  <c r="AY58" i="51"/>
  <c r="AW58" i="51"/>
  <c r="AU58" i="51"/>
  <c r="AS58" i="51"/>
  <c r="AQ58" i="51"/>
  <c r="AO58" i="51"/>
  <c r="AM58" i="51"/>
  <c r="AK58" i="51"/>
  <c r="AY57" i="51"/>
  <c r="AW57" i="51"/>
  <c r="AU57" i="51"/>
  <c r="AS57" i="51"/>
  <c r="AQ57" i="51"/>
  <c r="AO57" i="51"/>
  <c r="AM57" i="51"/>
  <c r="AK57" i="51"/>
  <c r="AY56" i="51"/>
  <c r="AW56" i="51"/>
  <c r="AU56" i="51"/>
  <c r="AS56" i="51"/>
  <c r="AQ56" i="51"/>
  <c r="AO56" i="51"/>
  <c r="AM56" i="51"/>
  <c r="AK56" i="51"/>
  <c r="AY55" i="51"/>
  <c r="AW55" i="51"/>
  <c r="AU55" i="51"/>
  <c r="AS55" i="51"/>
  <c r="AQ55" i="51"/>
  <c r="AO55" i="51"/>
  <c r="AM55" i="51"/>
  <c r="AK55" i="51"/>
  <c r="AY51" i="51"/>
  <c r="AW51" i="51"/>
  <c r="AU51" i="51"/>
  <c r="AS51" i="51"/>
  <c r="AQ51" i="51"/>
  <c r="AO51" i="51"/>
  <c r="AM51" i="51"/>
  <c r="AK51" i="51"/>
  <c r="AY50" i="51"/>
  <c r="AW50" i="51"/>
  <c r="AU50" i="51"/>
  <c r="AS50" i="51"/>
  <c r="AQ50" i="51"/>
  <c r="AO50" i="51"/>
  <c r="AM50" i="51"/>
  <c r="AK50" i="51"/>
  <c r="AY47" i="51"/>
  <c r="AW47" i="51"/>
  <c r="AU47" i="51"/>
  <c r="AS47" i="51"/>
  <c r="AQ47" i="51"/>
  <c r="AO47" i="51"/>
  <c r="AM47" i="51"/>
  <c r="AK47" i="51"/>
  <c r="AY46" i="51"/>
  <c r="AW46" i="51"/>
  <c r="AU46" i="51"/>
  <c r="AS46" i="51"/>
  <c r="AQ46" i="51"/>
  <c r="AO46" i="51"/>
  <c r="AM46" i="51"/>
  <c r="AK46" i="51"/>
  <c r="AY45" i="51"/>
  <c r="AW45" i="51"/>
  <c r="AU45" i="51"/>
  <c r="AS45" i="51"/>
  <c r="AQ45" i="51"/>
  <c r="AO45" i="51"/>
  <c r="AM45" i="51"/>
  <c r="AK45" i="51"/>
  <c r="AY44" i="51"/>
  <c r="AW44" i="51"/>
  <c r="AU44" i="51"/>
  <c r="AS44" i="51"/>
  <c r="AQ44" i="51"/>
  <c r="AO44" i="51"/>
  <c r="AM44" i="51"/>
  <c r="AK44" i="51"/>
  <c r="AY41" i="51"/>
  <c r="AW41" i="51"/>
  <c r="AU41" i="51"/>
  <c r="AS41" i="51"/>
  <c r="AQ41" i="51"/>
  <c r="AO41" i="51"/>
  <c r="AM41" i="51"/>
  <c r="AK41" i="51"/>
  <c r="AY36" i="51"/>
  <c r="AW36" i="51"/>
  <c r="AU36" i="51"/>
  <c r="AS36" i="51"/>
  <c r="AQ36" i="51"/>
  <c r="AO36" i="51"/>
  <c r="AM36" i="51"/>
  <c r="AK36" i="51"/>
  <c r="AY35" i="51"/>
  <c r="AW35" i="51"/>
  <c r="AU35" i="51"/>
  <c r="AS35" i="51"/>
  <c r="AQ35" i="51"/>
  <c r="AO35" i="51"/>
  <c r="AM35" i="51"/>
  <c r="AK35" i="51"/>
  <c r="AY34" i="51"/>
  <c r="AW34" i="51"/>
  <c r="AU34" i="51"/>
  <c r="AS34" i="51"/>
  <c r="AQ34" i="51"/>
  <c r="AO34" i="51"/>
  <c r="AM34" i="51"/>
  <c r="AK34" i="51"/>
  <c r="AY31" i="51"/>
  <c r="AW31" i="51"/>
  <c r="AU31" i="51"/>
  <c r="AS31" i="51"/>
  <c r="AQ31" i="51"/>
  <c r="AO31" i="51"/>
  <c r="AM31" i="51"/>
  <c r="AK31" i="51"/>
  <c r="AY30" i="51"/>
  <c r="AW30" i="51"/>
  <c r="AU30" i="51"/>
  <c r="AS30" i="51"/>
  <c r="AQ30" i="51"/>
  <c r="AO30" i="51"/>
  <c r="AM30" i="51"/>
  <c r="AK30" i="51"/>
  <c r="AY29" i="51"/>
  <c r="AW29" i="51"/>
  <c r="AU29" i="51"/>
  <c r="AS29" i="51"/>
  <c r="AQ29" i="51"/>
  <c r="AO29" i="51"/>
  <c r="AM29" i="51"/>
  <c r="AK29" i="51"/>
  <c r="AY28" i="51"/>
  <c r="AW28" i="51"/>
  <c r="AU28" i="51"/>
  <c r="AS28" i="51"/>
  <c r="AQ28" i="51"/>
  <c r="AO28" i="51"/>
  <c r="AM28" i="51"/>
  <c r="AK28" i="51"/>
  <c r="AY27" i="51"/>
  <c r="AW27" i="51"/>
  <c r="AU27" i="51"/>
  <c r="AS27" i="51"/>
  <c r="AQ27" i="51"/>
  <c r="AO27" i="51"/>
  <c r="AM27" i="51"/>
  <c r="AK27" i="51"/>
  <c r="AY26" i="51"/>
  <c r="AW26" i="51"/>
  <c r="AU26" i="51"/>
  <c r="AS26" i="51"/>
  <c r="AQ26" i="51"/>
  <c r="AO26" i="51"/>
  <c r="AM26" i="51"/>
  <c r="AK26" i="51"/>
  <c r="AY25" i="51"/>
  <c r="AW25" i="51"/>
  <c r="AU25" i="51"/>
  <c r="AS25" i="51"/>
  <c r="AQ25" i="51"/>
  <c r="AO25" i="51"/>
  <c r="AM25" i="51"/>
  <c r="AK25" i="51"/>
  <c r="AY22" i="51"/>
  <c r="AW22" i="51"/>
  <c r="AU22" i="51"/>
  <c r="AS22" i="51"/>
  <c r="AQ22" i="51"/>
  <c r="AO22" i="51"/>
  <c r="AM22" i="51"/>
  <c r="AK22" i="51"/>
  <c r="AY21" i="51"/>
  <c r="AW21" i="51"/>
  <c r="AU21" i="51"/>
  <c r="AS21" i="51"/>
  <c r="AQ21" i="51"/>
  <c r="AO21" i="51"/>
  <c r="AM21" i="51"/>
  <c r="AK21" i="51"/>
  <c r="AY20" i="51"/>
  <c r="AW20" i="51"/>
  <c r="AU20" i="51"/>
  <c r="AS20" i="51"/>
  <c r="AQ20" i="51"/>
  <c r="AO20" i="51"/>
  <c r="AM20" i="51"/>
  <c r="AK20" i="51"/>
  <c r="AY17" i="51"/>
  <c r="AW17" i="51"/>
  <c r="AU17" i="51"/>
  <c r="AS17" i="51"/>
  <c r="AQ17" i="51"/>
  <c r="AO17" i="51"/>
  <c r="AM17" i="51"/>
  <c r="AK17" i="51"/>
  <c r="AY16" i="51"/>
  <c r="AW16" i="51"/>
  <c r="AU16" i="51"/>
  <c r="AS16" i="51"/>
  <c r="AQ16" i="51"/>
  <c r="AO16" i="51"/>
  <c r="AM16" i="51"/>
  <c r="AK16" i="51"/>
  <c r="AY15" i="51"/>
  <c r="AW15" i="51"/>
  <c r="AU15" i="51"/>
  <c r="AS15" i="51"/>
  <c r="AQ15" i="51"/>
  <c r="AO15" i="51"/>
  <c r="AM15" i="51"/>
  <c r="AK15" i="51"/>
  <c r="AY14" i="51"/>
  <c r="AW14" i="51"/>
  <c r="AU14" i="51"/>
  <c r="AS14" i="51"/>
  <c r="AQ14" i="51"/>
  <c r="AO14" i="51"/>
  <c r="AM14" i="51"/>
  <c r="AK14" i="51"/>
  <c r="AY13" i="51"/>
  <c r="AW13" i="51"/>
  <c r="AU13" i="51"/>
  <c r="AS13" i="51"/>
  <c r="AQ13" i="51"/>
  <c r="AO13" i="51"/>
  <c r="AM13" i="51"/>
  <c r="AK13" i="51"/>
  <c r="AI72" i="51"/>
  <c r="AI69" i="51"/>
  <c r="AI68" i="51"/>
  <c r="AI67" i="51"/>
  <c r="AI64" i="51"/>
  <c r="AI63" i="51"/>
  <c r="AI62" i="51"/>
  <c r="AI61" i="51"/>
  <c r="AI58" i="51"/>
  <c r="AI57" i="51"/>
  <c r="AI56" i="51"/>
  <c r="AI55" i="51"/>
  <c r="AI51" i="51"/>
  <c r="AI50" i="51"/>
  <c r="AI47" i="51"/>
  <c r="AI46" i="51"/>
  <c r="AI45" i="51"/>
  <c r="AI44" i="51"/>
  <c r="AI41" i="51"/>
  <c r="AI36" i="51"/>
  <c r="AI35" i="51"/>
  <c r="AI34" i="51"/>
  <c r="AI31" i="51"/>
  <c r="AI30" i="51"/>
  <c r="AI29" i="51"/>
  <c r="AI28" i="51"/>
  <c r="AI27" i="51"/>
  <c r="AI26" i="51"/>
  <c r="AI25" i="51"/>
  <c r="AI22" i="51"/>
  <c r="AI21" i="51"/>
  <c r="AI20" i="51"/>
  <c r="AI17" i="51"/>
  <c r="AI16" i="51"/>
  <c r="AI15" i="51"/>
  <c r="AI14" i="51"/>
  <c r="AI13" i="51"/>
  <c r="AG72" i="51"/>
  <c r="AG69" i="51"/>
  <c r="AG68" i="51"/>
  <c r="AG67" i="51"/>
  <c r="AG64" i="51"/>
  <c r="AG63" i="51"/>
  <c r="AG62" i="51"/>
  <c r="AG61" i="51"/>
  <c r="AG58" i="51"/>
  <c r="AG57" i="51"/>
  <c r="AG56" i="51"/>
  <c r="AG55" i="51"/>
  <c r="AG51" i="51"/>
  <c r="AG50" i="51"/>
  <c r="AG47" i="51"/>
  <c r="AG46" i="51"/>
  <c r="AG45" i="51"/>
  <c r="AG44" i="51"/>
  <c r="AG41" i="51"/>
  <c r="AG36" i="51"/>
  <c r="AG35" i="51"/>
  <c r="AG34" i="51"/>
  <c r="AG31" i="51"/>
  <c r="AG30" i="51"/>
  <c r="AG29" i="51"/>
  <c r="AG28" i="51"/>
  <c r="AG27" i="51"/>
  <c r="AG26" i="51"/>
  <c r="AG25" i="51"/>
  <c r="AG22" i="51"/>
  <c r="AG21" i="51"/>
  <c r="AG20" i="51"/>
  <c r="AG17" i="51"/>
  <c r="AG16" i="51"/>
  <c r="AG15" i="51"/>
  <c r="AG14" i="51"/>
  <c r="AG13" i="51"/>
  <c r="AZ72" i="51" l="1"/>
  <c r="H15" i="81"/>
  <c r="J42" i="59" l="1"/>
  <c r="BM6" i="57" l="1"/>
  <c r="BM8" i="57" l="1"/>
  <c r="BM5" i="57" l="1"/>
  <c r="BM7" i="57" l="1"/>
  <c r="J72" i="51" l="1"/>
  <c r="J69" i="51"/>
  <c r="J68" i="51"/>
  <c r="J67" i="51"/>
  <c r="J64" i="51"/>
  <c r="J63" i="51"/>
  <c r="J62" i="51"/>
  <c r="J61" i="51"/>
  <c r="J58" i="51"/>
  <c r="J57" i="51"/>
  <c r="J56" i="51"/>
  <c r="J55" i="51"/>
  <c r="J54" i="51"/>
  <c r="J51" i="51"/>
  <c r="J50" i="51"/>
  <c r="J47" i="51"/>
  <c r="J46" i="51"/>
  <c r="J45" i="51"/>
  <c r="J44" i="51"/>
  <c r="J41" i="51"/>
  <c r="J36" i="51"/>
  <c r="J35" i="51"/>
  <c r="J34" i="51"/>
  <c r="J31" i="51"/>
  <c r="J30" i="51"/>
  <c r="J29" i="51"/>
  <c r="J28" i="51"/>
  <c r="J27" i="51"/>
  <c r="J26" i="51"/>
  <c r="J25" i="51"/>
  <c r="J22" i="51"/>
  <c r="J21" i="51"/>
  <c r="J20" i="51"/>
  <c r="J14" i="51"/>
  <c r="J15" i="51"/>
  <c r="J16" i="51"/>
  <c r="J17" i="51"/>
  <c r="J13" i="51"/>
  <c r="C22" i="59" l="1"/>
  <c r="S193" i="27" l="1"/>
  <c r="T8" i="57" l="1"/>
  <c r="T7" i="57"/>
  <c r="T6" i="57"/>
  <c r="T5" i="57"/>
  <c r="K49" i="29" l="1"/>
  <c r="J68" i="32"/>
  <c r="I56" i="13" l="1"/>
  <c r="I57" i="13"/>
  <c r="I55" i="13"/>
  <c r="H55" i="13"/>
  <c r="H56" i="13" s="1"/>
  <c r="G55" i="13"/>
  <c r="G28" i="52"/>
  <c r="I30" i="52"/>
  <c r="G30" i="52"/>
  <c r="K30" i="52" l="1"/>
  <c r="C105" i="74"/>
  <c r="D105" i="74"/>
  <c r="E105" i="74"/>
  <c r="F105" i="74"/>
  <c r="B105" i="74"/>
  <c r="C64" i="74"/>
  <c r="D64" i="74"/>
  <c r="E64" i="74"/>
  <c r="F64" i="74"/>
  <c r="G64" i="74"/>
  <c r="B64" i="74"/>
  <c r="H24" i="74"/>
  <c r="C24" i="74"/>
  <c r="D24" i="74"/>
  <c r="E24" i="74"/>
  <c r="F24" i="74"/>
  <c r="G24" i="74"/>
  <c r="B24" i="74"/>
  <c r="G58" i="74" l="1"/>
  <c r="G57" i="74"/>
  <c r="G56" i="74"/>
  <c r="G55" i="74"/>
  <c r="G54" i="74"/>
  <c r="H18" i="74"/>
  <c r="H17" i="74"/>
  <c r="H16" i="74"/>
  <c r="H15" i="74"/>
  <c r="H14" i="74"/>
  <c r="G79" i="74"/>
  <c r="G78" i="74"/>
  <c r="G66" i="74"/>
  <c r="G63" i="74"/>
  <c r="G62" i="74"/>
  <c r="G61" i="74"/>
  <c r="G60" i="74"/>
  <c r="G52" i="74"/>
  <c r="G51" i="74"/>
  <c r="G50" i="74"/>
  <c r="G49" i="74"/>
  <c r="G48" i="74"/>
  <c r="H39" i="74"/>
  <c r="H38" i="74"/>
  <c r="H37" i="74"/>
  <c r="H32" i="74" l="1"/>
  <c r="H31" i="74"/>
  <c r="H30" i="74"/>
  <c r="H29" i="74"/>
  <c r="H27" i="74"/>
  <c r="H26" i="74"/>
  <c r="H23" i="74"/>
  <c r="H22" i="74"/>
  <c r="H21" i="74"/>
  <c r="H20" i="74"/>
  <c r="H12" i="74"/>
  <c r="H11" i="74"/>
  <c r="H10" i="74"/>
  <c r="H9" i="74"/>
  <c r="H8" i="74"/>
  <c r="H7" i="74"/>
  <c r="S195" i="27" l="1"/>
  <c r="J70" i="90" l="1"/>
  <c r="J72" i="90" s="1"/>
  <c r="J46" i="90" s="1"/>
  <c r="M65" i="54" l="1"/>
  <c r="M63" i="54"/>
  <c r="M51" i="54"/>
  <c r="M49" i="54"/>
  <c r="A41" i="53"/>
  <c r="A43" i="53" s="1"/>
  <c r="A45" i="53" s="1"/>
  <c r="A47" i="53" s="1"/>
  <c r="A49" i="53" s="1"/>
  <c r="J39" i="53"/>
  <c r="J37" i="53"/>
  <c r="H37" i="53"/>
  <c r="A37" i="53"/>
  <c r="A39" i="53" s="1"/>
  <c r="M39" i="53" s="1"/>
  <c r="J35" i="53"/>
  <c r="J33" i="53"/>
  <c r="H33" i="53"/>
  <c r="D47" i="51"/>
  <c r="D46" i="51"/>
  <c r="D45" i="51"/>
  <c r="D44" i="51"/>
  <c r="D41" i="51"/>
  <c r="D36" i="51"/>
  <c r="D35" i="51"/>
  <c r="D34" i="51"/>
  <c r="D31" i="51"/>
  <c r="D30" i="51"/>
  <c r="D29" i="51"/>
  <c r="D28" i="51"/>
  <c r="D27" i="51"/>
  <c r="D26" i="51"/>
  <c r="D25" i="51"/>
  <c r="D22" i="51"/>
  <c r="D21" i="51"/>
  <c r="D20" i="51"/>
  <c r="D17" i="51"/>
  <c r="D16" i="51"/>
  <c r="D15" i="51"/>
  <c r="D14" i="51"/>
  <c r="D13" i="51"/>
  <c r="L37" i="53" l="1"/>
  <c r="M37" i="53"/>
  <c r="R28" i="65" l="1"/>
  <c r="H28" i="65" l="1"/>
  <c r="F43" i="45" l="1"/>
  <c r="AF72" i="51" l="1"/>
  <c r="AF67" i="51"/>
  <c r="AF64" i="51"/>
  <c r="AF58" i="51"/>
  <c r="AF55" i="51"/>
  <c r="AF54" i="51"/>
  <c r="AF47" i="51"/>
  <c r="AF46" i="51"/>
  <c r="AF41" i="51"/>
  <c r="AF36" i="51"/>
  <c r="AF31" i="51"/>
  <c r="AF30" i="51"/>
  <c r="AF27" i="51"/>
  <c r="AF26" i="51"/>
  <c r="AF21" i="51"/>
  <c r="AF20" i="51"/>
  <c r="BD22" i="57"/>
  <c r="AE17" i="51" l="1"/>
  <c r="AE63" i="51"/>
  <c r="AE57" i="51"/>
  <c r="AF22" i="51"/>
  <c r="AF28" i="51"/>
  <c r="AF44" i="51"/>
  <c r="AF68" i="51"/>
  <c r="AE54" i="51"/>
  <c r="AE61" i="51"/>
  <c r="AF61" i="51"/>
  <c r="AE64" i="51"/>
  <c r="AE58" i="51"/>
  <c r="AE68" i="51"/>
  <c r="AF17" i="51"/>
  <c r="AF25" i="51"/>
  <c r="AF29" i="51"/>
  <c r="AF35" i="51"/>
  <c r="AF45" i="51"/>
  <c r="AF51" i="51"/>
  <c r="AF57" i="51"/>
  <c r="AF63" i="51"/>
  <c r="AF69" i="51"/>
  <c r="AE22" i="51"/>
  <c r="AF34" i="51"/>
  <c r="AF62" i="51"/>
  <c r="AE51" i="51"/>
  <c r="AE50" i="51"/>
  <c r="AF50" i="51"/>
  <c r="AE56" i="51"/>
  <c r="AF56" i="51"/>
  <c r="AE62" i="51"/>
  <c r="AE72" i="51"/>
  <c r="AE67" i="51"/>
  <c r="AE55" i="51"/>
  <c r="J74" i="51"/>
  <c r="AE69" i="51"/>
  <c r="AE21" i="51"/>
  <c r="C93" i="74" l="1"/>
  <c r="C95" i="74"/>
  <c r="G95" i="74"/>
  <c r="C96" i="74"/>
  <c r="G96" i="74"/>
  <c r="C97" i="74"/>
  <c r="G97" i="74"/>
  <c r="C98" i="74"/>
  <c r="G98" i="74"/>
  <c r="C99" i="74"/>
  <c r="G99" i="74"/>
  <c r="D100" i="74"/>
  <c r="E100" i="74"/>
  <c r="F100" i="74"/>
  <c r="C100" i="74" l="1"/>
  <c r="B93" i="74"/>
  <c r="G400" i="67"/>
  <c r="H400" i="67" s="1"/>
  <c r="G399" i="67"/>
  <c r="G398" i="67"/>
  <c r="H398" i="67" s="1"/>
  <c r="H399" i="67"/>
  <c r="D389" i="67" l="1"/>
  <c r="I389" i="67" s="1"/>
  <c r="G371" i="67"/>
  <c r="H371" i="67" s="1"/>
  <c r="I371" i="67"/>
  <c r="G372" i="67"/>
  <c r="H372" i="67"/>
  <c r="I372" i="67"/>
  <c r="G373" i="67"/>
  <c r="H373" i="67"/>
  <c r="I373" i="67"/>
  <c r="G374" i="67"/>
  <c r="H374" i="67"/>
  <c r="I374" i="67"/>
  <c r="G375" i="67"/>
  <c r="H375" i="67" s="1"/>
  <c r="I375" i="67"/>
  <c r="G376" i="67"/>
  <c r="H376" i="67"/>
  <c r="I376" i="67"/>
  <c r="G377" i="67"/>
  <c r="H377" i="67"/>
  <c r="I377" i="67"/>
  <c r="G378" i="67"/>
  <c r="H378" i="67"/>
  <c r="I378" i="67"/>
  <c r="G379" i="67"/>
  <c r="H379" i="67" s="1"/>
  <c r="I379" i="67"/>
  <c r="G380" i="67"/>
  <c r="H380" i="67"/>
  <c r="I380" i="67"/>
  <c r="G381" i="67"/>
  <c r="H381" i="67"/>
  <c r="I381" i="67"/>
  <c r="G386" i="67"/>
  <c r="H386" i="67"/>
  <c r="I386" i="67"/>
  <c r="G387" i="67"/>
  <c r="H387" i="67" s="1"/>
  <c r="I387" i="67"/>
  <c r="G388" i="67"/>
  <c r="H388" i="67"/>
  <c r="I388" i="67"/>
  <c r="G390" i="67"/>
  <c r="H390" i="67" s="1"/>
  <c r="I390" i="67"/>
  <c r="G391" i="67"/>
  <c r="H391" i="67" s="1"/>
  <c r="I391" i="67"/>
  <c r="G392" i="67"/>
  <c r="H392" i="67"/>
  <c r="I392" i="67"/>
  <c r="G393" i="67"/>
  <c r="H393" i="67"/>
  <c r="I393" i="67"/>
  <c r="G394" i="67"/>
  <c r="H394" i="67"/>
  <c r="I394" i="67"/>
  <c r="G395" i="67"/>
  <c r="H395" i="67" s="1"/>
  <c r="I395" i="67"/>
  <c r="G396" i="67"/>
  <c r="H396" i="67"/>
  <c r="I396" i="67"/>
  <c r="G397" i="67"/>
  <c r="H397" i="67"/>
  <c r="I397" i="67"/>
  <c r="I398" i="67"/>
  <c r="I399" i="67"/>
  <c r="I400" i="67"/>
  <c r="G356" i="67"/>
  <c r="H356" i="67" s="1"/>
  <c r="I356" i="67"/>
  <c r="G357" i="67"/>
  <c r="H357" i="67" s="1"/>
  <c r="I357" i="67"/>
  <c r="G358" i="67"/>
  <c r="H358" i="67"/>
  <c r="I358" i="67"/>
  <c r="G359" i="67"/>
  <c r="H359" i="67" s="1"/>
  <c r="I359" i="67"/>
  <c r="G360" i="67"/>
  <c r="H360" i="67"/>
  <c r="I360" i="67"/>
  <c r="G361" i="67"/>
  <c r="H361" i="67" s="1"/>
  <c r="I361" i="67"/>
  <c r="G362" i="67"/>
  <c r="H362" i="67"/>
  <c r="I362" i="67"/>
  <c r="G363" i="67"/>
  <c r="H363" i="67" s="1"/>
  <c r="I363" i="67"/>
  <c r="G364" i="67"/>
  <c r="H364" i="67"/>
  <c r="I364" i="67"/>
  <c r="G365" i="67"/>
  <c r="H365" i="67"/>
  <c r="I365" i="67"/>
  <c r="G366" i="67"/>
  <c r="H366" i="67" s="1"/>
  <c r="I366" i="67"/>
  <c r="G367" i="67"/>
  <c r="H367" i="67" s="1"/>
  <c r="I367" i="67"/>
  <c r="G368" i="67"/>
  <c r="H368" i="67"/>
  <c r="I368" i="67"/>
  <c r="G369" i="67"/>
  <c r="H369" i="67"/>
  <c r="I369" i="67"/>
  <c r="G370" i="67"/>
  <c r="H370" i="67"/>
  <c r="I370" i="67"/>
  <c r="G389" i="67" l="1"/>
  <c r="H389" i="67" s="1"/>
  <c r="I339" i="67"/>
  <c r="I340" i="67"/>
  <c r="I341" i="67"/>
  <c r="I342" i="67"/>
  <c r="I343" i="67"/>
  <c r="I344" i="67"/>
  <c r="I345" i="67"/>
  <c r="I346" i="67"/>
  <c r="I347" i="67"/>
  <c r="I348" i="67"/>
  <c r="I349" i="67"/>
  <c r="I350" i="67"/>
  <c r="I351" i="67"/>
  <c r="I352" i="67"/>
  <c r="I353" i="67"/>
  <c r="I354" i="67"/>
  <c r="I355" i="67"/>
  <c r="I338" i="67"/>
  <c r="G347" i="67"/>
  <c r="H347" i="67" s="1"/>
  <c r="G348" i="67"/>
  <c r="H348" i="67" s="1"/>
  <c r="G349" i="67"/>
  <c r="H349" i="67" s="1"/>
  <c r="G350" i="67"/>
  <c r="H350" i="67" s="1"/>
  <c r="G351" i="67"/>
  <c r="H351" i="67" s="1"/>
  <c r="G352" i="67"/>
  <c r="H352" i="67" s="1"/>
  <c r="G353" i="67"/>
  <c r="H353" i="67" s="1"/>
  <c r="G354" i="67"/>
  <c r="H354" i="67" s="1"/>
  <c r="G355" i="67"/>
  <c r="H355" i="67" s="1"/>
  <c r="G340" i="67"/>
  <c r="H340" i="67" s="1"/>
  <c r="G341" i="67"/>
  <c r="H341" i="67" s="1"/>
  <c r="G342" i="67"/>
  <c r="H342" i="67" s="1"/>
  <c r="G343" i="67"/>
  <c r="H343" i="67" s="1"/>
  <c r="G344" i="67"/>
  <c r="H344" i="67" s="1"/>
  <c r="G345" i="67"/>
  <c r="H345" i="67" s="1"/>
  <c r="G346" i="67"/>
  <c r="H346" i="67" s="1"/>
  <c r="G339" i="67"/>
  <c r="H339" i="67" s="1"/>
  <c r="G338" i="67"/>
  <c r="H338" i="67" s="1"/>
  <c r="G153" i="67"/>
  <c r="H153" i="67" s="1"/>
  <c r="G152" i="67"/>
  <c r="H152" i="67" s="1"/>
  <c r="F121" i="74" l="1"/>
  <c r="E121" i="74"/>
  <c r="D121" i="74"/>
  <c r="G120" i="74"/>
  <c r="C120" i="74"/>
  <c r="G119" i="74"/>
  <c r="C119" i="74"/>
  <c r="G118" i="74"/>
  <c r="C118" i="74"/>
  <c r="C113" i="74"/>
  <c r="C112" i="74"/>
  <c r="C111" i="74"/>
  <c r="C110" i="74"/>
  <c r="F108" i="74"/>
  <c r="E108" i="74"/>
  <c r="D108" i="74"/>
  <c r="G107" i="74"/>
  <c r="C107" i="74"/>
  <c r="C108" i="74" s="1"/>
  <c r="G104" i="74"/>
  <c r="C104" i="74"/>
  <c r="G103" i="74"/>
  <c r="C103" i="74"/>
  <c r="G102" i="74"/>
  <c r="C102" i="74"/>
  <c r="G101" i="74"/>
  <c r="C101" i="74"/>
  <c r="G92" i="74"/>
  <c r="C92" i="74"/>
  <c r="G91" i="74"/>
  <c r="C91" i="74"/>
  <c r="G90" i="74"/>
  <c r="C90" i="74"/>
  <c r="G89" i="74"/>
  <c r="C89" i="74"/>
  <c r="G88" i="74"/>
  <c r="C88" i="74"/>
  <c r="F80" i="74"/>
  <c r="E80" i="74"/>
  <c r="D80" i="74"/>
  <c r="C80" i="74"/>
  <c r="B80" i="74"/>
  <c r="F67" i="74"/>
  <c r="E67" i="74"/>
  <c r="D67" i="74"/>
  <c r="C67" i="74"/>
  <c r="B67" i="74"/>
  <c r="G67" i="74"/>
  <c r="F59" i="74"/>
  <c r="E59" i="74"/>
  <c r="D59" i="74"/>
  <c r="C59" i="74"/>
  <c r="B59" i="74"/>
  <c r="B98" i="74"/>
  <c r="G40" i="74"/>
  <c r="F40" i="74"/>
  <c r="E40" i="74"/>
  <c r="D40" i="74"/>
  <c r="C40" i="74"/>
  <c r="B40" i="74"/>
  <c r="B120" i="74"/>
  <c r="G33" i="74"/>
  <c r="F33" i="74"/>
  <c r="E33" i="74"/>
  <c r="C33" i="74"/>
  <c r="B33" i="74"/>
  <c r="B113" i="74"/>
  <c r="B112" i="74"/>
  <c r="B110" i="74"/>
  <c r="G27" i="74"/>
  <c r="F27" i="74"/>
  <c r="E27" i="74"/>
  <c r="D27" i="74"/>
  <c r="C27" i="74"/>
  <c r="B27" i="74"/>
  <c r="G19" i="74"/>
  <c r="F19" i="74"/>
  <c r="D19" i="74"/>
  <c r="C19" i="74"/>
  <c r="B19" i="74"/>
  <c r="B96" i="74"/>
  <c r="H2" i="74"/>
  <c r="H1" i="74"/>
  <c r="F43" i="73"/>
  <c r="F23" i="73" s="1"/>
  <c r="E43" i="73"/>
  <c r="E23" i="73" s="1"/>
  <c r="D43" i="73"/>
  <c r="D23" i="73" s="1"/>
  <c r="G42" i="73"/>
  <c r="G41" i="73"/>
  <c r="G40" i="73"/>
  <c r="G39" i="73"/>
  <c r="G38" i="73"/>
  <c r="G26" i="73"/>
  <c r="F22" i="73"/>
  <c r="E22" i="73"/>
  <c r="D22" i="73"/>
  <c r="G21" i="73"/>
  <c r="G20" i="73"/>
  <c r="F18" i="73"/>
  <c r="E18" i="73"/>
  <c r="D18" i="73"/>
  <c r="G17" i="73"/>
  <c r="G16" i="73"/>
  <c r="G15" i="73"/>
  <c r="F13" i="73"/>
  <c r="E13" i="73"/>
  <c r="D13" i="73"/>
  <c r="G12" i="73"/>
  <c r="G11" i="73"/>
  <c r="G10" i="73"/>
  <c r="G8" i="73"/>
  <c r="G7" i="73"/>
  <c r="F2" i="73"/>
  <c r="F1" i="73"/>
  <c r="B97" i="74" l="1"/>
  <c r="B95" i="74"/>
  <c r="B99" i="74"/>
  <c r="E74" i="74"/>
  <c r="E82" i="74" s="1"/>
  <c r="B107" i="74"/>
  <c r="B108" i="74" s="1"/>
  <c r="B92" i="74"/>
  <c r="B102" i="74"/>
  <c r="B74" i="74"/>
  <c r="B82" i="74" s="1"/>
  <c r="F74" i="74"/>
  <c r="F82" i="74" s="1"/>
  <c r="F34" i="74"/>
  <c r="F42" i="74" s="1"/>
  <c r="B34" i="74"/>
  <c r="B42" i="74" s="1"/>
  <c r="G34" i="74"/>
  <c r="G42" i="74" s="1"/>
  <c r="C74" i="74"/>
  <c r="C82" i="74" s="1"/>
  <c r="G16" i="93" s="1"/>
  <c r="B89" i="74"/>
  <c r="B103" i="74"/>
  <c r="E34" i="74"/>
  <c r="E42" i="74" s="1"/>
  <c r="B90" i="74"/>
  <c r="B104" i="74"/>
  <c r="E115" i="74"/>
  <c r="E123" i="74" s="1"/>
  <c r="G43" i="73"/>
  <c r="B91" i="74"/>
  <c r="C34" i="74"/>
  <c r="C42" i="74" s="1"/>
  <c r="B101" i="74"/>
  <c r="C121" i="74"/>
  <c r="B119" i="74"/>
  <c r="G59" i="74"/>
  <c r="H33" i="74"/>
  <c r="F115" i="74"/>
  <c r="F123" i="74" s="1"/>
  <c r="G22" i="73"/>
  <c r="D34" i="74"/>
  <c r="D42" i="74" s="1"/>
  <c r="H40" i="74"/>
  <c r="D74" i="74"/>
  <c r="D82" i="74" s="1"/>
  <c r="D115" i="74"/>
  <c r="D123" i="74" s="1"/>
  <c r="D24" i="73"/>
  <c r="D28" i="73" s="1"/>
  <c r="F24" i="73"/>
  <c r="F28" i="73" s="1"/>
  <c r="G80" i="74"/>
  <c r="C114" i="74"/>
  <c r="B111" i="74"/>
  <c r="B114" i="74" s="1"/>
  <c r="B118" i="74"/>
  <c r="H19" i="74"/>
  <c r="B88" i="74"/>
  <c r="G18" i="73"/>
  <c r="G23" i="73"/>
  <c r="E24" i="73"/>
  <c r="E28" i="73" s="1"/>
  <c r="G13" i="73"/>
  <c r="B100" i="74" l="1"/>
  <c r="B115" i="74" s="1"/>
  <c r="G74" i="74"/>
  <c r="G82" i="74" s="1"/>
  <c r="G19" i="93"/>
  <c r="B121" i="74"/>
  <c r="G17" i="93"/>
  <c r="H34" i="74"/>
  <c r="H42" i="74" s="1"/>
  <c r="C115" i="74"/>
  <c r="C123" i="74" s="1"/>
  <c r="G15" i="93"/>
  <c r="E28" i="92"/>
  <c r="G18" i="93"/>
  <c r="E27" i="92"/>
  <c r="G24" i="73"/>
  <c r="G28" i="73"/>
  <c r="B123" i="74" l="1"/>
  <c r="H41" i="97"/>
  <c r="G41" i="97"/>
  <c r="F41" i="97"/>
  <c r="E41" i="97"/>
  <c r="D41" i="97"/>
  <c r="C41" i="97"/>
  <c r="H39" i="97"/>
  <c r="G39" i="97"/>
  <c r="F39" i="97"/>
  <c r="E39" i="97"/>
  <c r="D39" i="97"/>
  <c r="C39" i="97"/>
  <c r="G22" i="97"/>
  <c r="E22" i="97"/>
  <c r="D22" i="97"/>
  <c r="G20" i="97"/>
  <c r="E20" i="97"/>
  <c r="D20" i="97"/>
  <c r="G4" i="97"/>
  <c r="C17" i="97" s="1"/>
  <c r="F17" i="97" s="1"/>
  <c r="H17" i="97" s="1"/>
  <c r="G3" i="97"/>
  <c r="C10" i="97" l="1"/>
  <c r="F10" i="97" s="1"/>
  <c r="H10" i="97" s="1"/>
  <c r="C16" i="97"/>
  <c r="F16" i="97" s="1"/>
  <c r="H16" i="97" s="1"/>
  <c r="C19" i="97"/>
  <c r="F19" i="97" s="1"/>
  <c r="H19" i="97" s="1"/>
  <c r="C18" i="97"/>
  <c r="F18" i="97" s="1"/>
  <c r="H18" i="97" s="1"/>
  <c r="C9" i="97"/>
  <c r="F9" i="97" s="1"/>
  <c r="H9" i="97" s="1"/>
  <c r="C15" i="97"/>
  <c r="F15" i="97" s="1"/>
  <c r="H15" i="97" s="1"/>
  <c r="C8" i="97"/>
  <c r="C14" i="97"/>
  <c r="C11" i="97"/>
  <c r="F11" i="97" s="1"/>
  <c r="H11" i="97" s="1"/>
  <c r="F8" i="97" l="1"/>
  <c r="C22" i="97"/>
  <c r="F14" i="97"/>
  <c r="C20" i="97"/>
  <c r="F20" i="97" l="1"/>
  <c r="H14" i="97"/>
  <c r="H20" i="97" s="1"/>
  <c r="F22" i="97"/>
  <c r="H8" i="97"/>
  <c r="H22" i="97" l="1"/>
  <c r="G28" i="44" l="1"/>
  <c r="G27" i="44"/>
  <c r="G26" i="44"/>
  <c r="G20" i="44"/>
  <c r="G21" i="44"/>
  <c r="G22" i="44"/>
  <c r="G23" i="44"/>
  <c r="G24" i="44"/>
  <c r="G19" i="44"/>
  <c r="H36" i="31"/>
  <c r="E36" i="31"/>
  <c r="J7" i="31"/>
  <c r="G33" i="28"/>
  <c r="Q28" i="43"/>
  <c r="Q26" i="43" s="1"/>
  <c r="O28" i="43"/>
  <c r="O26" i="43" s="1"/>
  <c r="P12" i="43"/>
  <c r="P13" i="43"/>
  <c r="P14" i="43"/>
  <c r="P15" i="43"/>
  <c r="P16" i="43"/>
  <c r="P17" i="43"/>
  <c r="P18" i="43"/>
  <c r="P19" i="43"/>
  <c r="P20" i="43"/>
  <c r="P21" i="43"/>
  <c r="P22" i="43"/>
  <c r="P23" i="43"/>
  <c r="P24" i="43"/>
  <c r="P25" i="43"/>
  <c r="P11" i="43"/>
  <c r="T45" i="22"/>
  <c r="T43" i="22"/>
  <c r="T38" i="22"/>
  <c r="T20" i="22"/>
  <c r="G30" i="44" l="1"/>
  <c r="K11" i="29"/>
  <c r="K13" i="29"/>
  <c r="K12" i="29"/>
  <c r="K9" i="29"/>
  <c r="S191" i="27" l="1"/>
  <c r="J71" i="32" l="1"/>
  <c r="K47" i="29" l="1"/>
  <c r="K38" i="29" l="1"/>
  <c r="K37" i="29"/>
  <c r="K26" i="29"/>
  <c r="K27" i="29"/>
  <c r="K25" i="29"/>
  <c r="A29" i="87" l="1"/>
  <c r="B66" i="32" l="1"/>
  <c r="J65" i="32"/>
  <c r="J74" i="32"/>
  <c r="K45" i="29" l="1"/>
  <c r="K43" i="29"/>
  <c r="J45" i="63" l="1"/>
  <c r="M47" i="63"/>
  <c r="M45" i="63"/>
  <c r="AF6" i="57" l="1"/>
  <c r="E313" i="67" l="1"/>
  <c r="F313" i="67" s="1"/>
  <c r="E314" i="67"/>
  <c r="F314" i="67" s="1"/>
  <c r="E153" i="67"/>
  <c r="I153" i="67" s="1"/>
  <c r="E152" i="67"/>
  <c r="I152" i="67" s="1"/>
  <c r="K46" i="90" l="1"/>
  <c r="K43" i="90" l="1"/>
  <c r="K41" i="90"/>
  <c r="K39" i="90"/>
  <c r="K37" i="90"/>
  <c r="K33" i="90"/>
  <c r="K31" i="90"/>
  <c r="K29" i="90"/>
  <c r="K25" i="90"/>
  <c r="K26" i="90"/>
  <c r="K24" i="90"/>
  <c r="K20" i="90"/>
  <c r="H172" i="35" l="1"/>
  <c r="G48" i="30"/>
  <c r="G44" i="30"/>
  <c r="F44" i="30"/>
  <c r="F48" i="30" s="1"/>
  <c r="G42" i="30"/>
  <c r="F42" i="30"/>
  <c r="G18" i="30"/>
  <c r="B18" i="30" s="1"/>
  <c r="G12" i="30"/>
  <c r="G27" i="30" s="1"/>
  <c r="B27" i="30" s="1"/>
  <c r="B12" i="30" l="1"/>
  <c r="D7" i="57"/>
  <c r="I12" i="93"/>
  <c r="G12" i="93"/>
  <c r="F2" i="93"/>
  <c r="E37" i="92"/>
  <c r="E39" i="92" s="1"/>
  <c r="E32" i="92"/>
  <c r="E33" i="92" s="1"/>
  <c r="E23" i="92"/>
  <c r="E22" i="92"/>
  <c r="E21" i="92"/>
  <c r="E19" i="92"/>
  <c r="E18" i="92"/>
  <c r="E17" i="92"/>
  <c r="E16" i="92"/>
  <c r="F33" i="91"/>
  <c r="E33" i="91"/>
  <c r="F32" i="91"/>
  <c r="E32" i="91"/>
  <c r="F26" i="91"/>
  <c r="E26" i="91"/>
  <c r="F23" i="91"/>
  <c r="E23" i="91"/>
  <c r="F22" i="91"/>
  <c r="E22" i="91"/>
  <c r="F21" i="91"/>
  <c r="E21" i="91"/>
  <c r="F17" i="91"/>
  <c r="E17" i="91"/>
  <c r="F16" i="91"/>
  <c r="E16" i="91"/>
  <c r="F15" i="91"/>
  <c r="E15" i="91"/>
  <c r="F14" i="91"/>
  <c r="E14" i="91"/>
  <c r="F13" i="91"/>
  <c r="E13" i="91"/>
  <c r="D2" i="91"/>
  <c r="I71" i="98"/>
  <c r="I70" i="98"/>
  <c r="I69" i="98"/>
  <c r="I68" i="98"/>
  <c r="I67" i="98"/>
  <c r="I66" i="98"/>
  <c r="I65" i="98"/>
  <c r="I64" i="98"/>
  <c r="I63" i="98"/>
  <c r="I62" i="98"/>
  <c r="I61" i="98"/>
  <c r="I60" i="98"/>
  <c r="I59" i="98"/>
  <c r="I58" i="98"/>
  <c r="I57" i="98"/>
  <c r="I56" i="98"/>
  <c r="I55" i="98"/>
  <c r="I54" i="98"/>
  <c r="I53" i="98"/>
  <c r="I52" i="98"/>
  <c r="I51" i="98"/>
  <c r="I50" i="98"/>
  <c r="I49" i="98"/>
  <c r="I48" i="98"/>
  <c r="I47" i="98"/>
  <c r="I46" i="98"/>
  <c r="I45" i="98"/>
  <c r="I44" i="98"/>
  <c r="I43" i="98"/>
  <c r="I42" i="98"/>
  <c r="I41" i="98"/>
  <c r="I40" i="98"/>
  <c r="I39" i="98"/>
  <c r="I38" i="98"/>
  <c r="I37" i="98"/>
  <c r="I36" i="98"/>
  <c r="I35" i="98"/>
  <c r="I34" i="98"/>
  <c r="I33" i="98"/>
  <c r="I32" i="98"/>
  <c r="I31" i="98"/>
  <c r="I30" i="98"/>
  <c r="I29" i="98"/>
  <c r="I28" i="98"/>
  <c r="I27" i="98"/>
  <c r="I26" i="98"/>
  <c r="I25" i="98"/>
  <c r="I24" i="98"/>
  <c r="I23" i="98"/>
  <c r="I22" i="98"/>
  <c r="I21" i="98"/>
  <c r="I20" i="98"/>
  <c r="I19" i="98"/>
  <c r="H13" i="98"/>
  <c r="G13" i="98"/>
  <c r="F13" i="98"/>
  <c r="E13" i="98"/>
  <c r="H3" i="98"/>
  <c r="H2" i="98"/>
  <c r="F11" i="92"/>
  <c r="F24" i="92" s="1"/>
  <c r="E11" i="92"/>
  <c r="D2" i="92"/>
  <c r="E15" i="92"/>
  <c r="D2" i="94"/>
  <c r="E4" i="96"/>
  <c r="E4" i="95"/>
  <c r="D75" i="95"/>
  <c r="C75" i="95"/>
  <c r="D74" i="95"/>
  <c r="C74" i="95"/>
  <c r="D73" i="95"/>
  <c r="C73" i="95"/>
  <c r="E65" i="95"/>
  <c r="D65" i="95"/>
  <c r="C65" i="95"/>
  <c r="E64" i="95"/>
  <c r="D64" i="95"/>
  <c r="C64" i="95"/>
  <c r="E61" i="95"/>
  <c r="D61" i="95"/>
  <c r="C61" i="95"/>
  <c r="E60" i="95"/>
  <c r="D60" i="95"/>
  <c r="C60" i="95"/>
  <c r="D51" i="95"/>
  <c r="C51" i="95"/>
  <c r="E49" i="95"/>
  <c r="E48" i="95"/>
  <c r="E47" i="95"/>
  <c r="E40" i="95"/>
  <c r="D40" i="95"/>
  <c r="C40" i="95"/>
  <c r="F39" i="95"/>
  <c r="F38" i="95"/>
  <c r="E36" i="95"/>
  <c r="D36" i="95"/>
  <c r="C36" i="95"/>
  <c r="F35" i="95"/>
  <c r="F34" i="95"/>
  <c r="D28" i="95"/>
  <c r="C28" i="95"/>
  <c r="E26" i="95"/>
  <c r="E25" i="95"/>
  <c r="E24" i="95"/>
  <c r="E17" i="95"/>
  <c r="D17" i="95"/>
  <c r="C17" i="95"/>
  <c r="F16" i="95"/>
  <c r="F15" i="95"/>
  <c r="E13" i="95"/>
  <c r="D13" i="95"/>
  <c r="C13" i="95"/>
  <c r="F12" i="95"/>
  <c r="F11" i="95"/>
  <c r="E11" i="96"/>
  <c r="E17" i="96" s="1"/>
  <c r="E55" i="94"/>
  <c r="D55" i="94"/>
  <c r="E51" i="94"/>
  <c r="E52" i="94" s="1"/>
  <c r="D51" i="94"/>
  <c r="E34" i="91" s="1"/>
  <c r="E38" i="94"/>
  <c r="E41" i="94" s="1"/>
  <c r="D38" i="94"/>
  <c r="D41" i="94" s="1"/>
  <c r="E23" i="94"/>
  <c r="D23" i="94"/>
  <c r="I29" i="93"/>
  <c r="G29" i="93"/>
  <c r="I20" i="93"/>
  <c r="F39" i="92"/>
  <c r="F33" i="92"/>
  <c r="F29" i="92"/>
  <c r="T62" i="19"/>
  <c r="T61" i="19"/>
  <c r="R62" i="19"/>
  <c r="R61" i="19"/>
  <c r="D12" i="58"/>
  <c r="H13" i="89" s="1"/>
  <c r="J40" i="30"/>
  <c r="J38" i="30"/>
  <c r="J18" i="30"/>
  <c r="J12" i="30"/>
  <c r="L23" i="20"/>
  <c r="K54" i="29"/>
  <c r="J48" i="30"/>
  <c r="I36" i="30"/>
  <c r="I46" i="30" s="1"/>
  <c r="J44" i="30"/>
  <c r="J42" i="30"/>
  <c r="G324" i="67"/>
  <c r="H324" i="67" s="1"/>
  <c r="E324" i="67"/>
  <c r="I324" i="67" s="1"/>
  <c r="G322" i="67"/>
  <c r="H322" i="67" s="1"/>
  <c r="E322" i="67"/>
  <c r="I322" i="67" s="1"/>
  <c r="J43" i="53"/>
  <c r="L43" i="53" s="1"/>
  <c r="G26" i="52"/>
  <c r="D24" i="80"/>
  <c r="D22" i="80"/>
  <c r="D14" i="80"/>
  <c r="D12" i="80"/>
  <c r="D57" i="79" s="1"/>
  <c r="C9" i="75"/>
  <c r="G36" i="59"/>
  <c r="J15" i="59"/>
  <c r="J14" i="59"/>
  <c r="J13" i="59"/>
  <c r="E25" i="75"/>
  <c r="J54" i="13"/>
  <c r="J53" i="13"/>
  <c r="J52" i="13"/>
  <c r="J51" i="13"/>
  <c r="J48" i="13"/>
  <c r="J47" i="13"/>
  <c r="J46" i="13"/>
  <c r="J45" i="13"/>
  <c r="J44" i="13"/>
  <c r="J43" i="13"/>
  <c r="J42" i="13"/>
  <c r="J39" i="13"/>
  <c r="J38" i="13"/>
  <c r="J37" i="13"/>
  <c r="J36" i="13"/>
  <c r="J33" i="13"/>
  <c r="J32" i="13"/>
  <c r="J31" i="13"/>
  <c r="J30" i="13"/>
  <c r="J29" i="13"/>
  <c r="J26" i="13"/>
  <c r="J25" i="13"/>
  <c r="J24" i="13"/>
  <c r="J23" i="13"/>
  <c r="J22" i="13"/>
  <c r="J21" i="13"/>
  <c r="J20" i="13"/>
  <c r="J19" i="13"/>
  <c r="J18" i="13"/>
  <c r="J17" i="13"/>
  <c r="J16" i="13"/>
  <c r="J15" i="13"/>
  <c r="J14" i="13"/>
  <c r="J13" i="13"/>
  <c r="J12" i="13"/>
  <c r="J11" i="13"/>
  <c r="I4" i="13"/>
  <c r="J4" i="12"/>
  <c r="J44" i="34"/>
  <c r="K36" i="52"/>
  <c r="K34" i="52"/>
  <c r="K32" i="52"/>
  <c r="K23" i="90"/>
  <c r="K21" i="90"/>
  <c r="K19" i="90"/>
  <c r="K17" i="90"/>
  <c r="K15" i="90"/>
  <c r="K13" i="90"/>
  <c r="K11" i="90"/>
  <c r="K9" i="90"/>
  <c r="K7" i="90"/>
  <c r="K50" i="90"/>
  <c r="K35" i="90"/>
  <c r="K48" i="90"/>
  <c r="H3" i="90"/>
  <c r="G16" i="82"/>
  <c r="F16" i="82"/>
  <c r="D16" i="82"/>
  <c r="J177" i="27"/>
  <c r="J63" i="32"/>
  <c r="I28" i="89"/>
  <c r="I25" i="89"/>
  <c r="I22" i="89"/>
  <c r="I20" i="89"/>
  <c r="I18" i="89"/>
  <c r="I15" i="89"/>
  <c r="I13" i="89"/>
  <c r="I11" i="89"/>
  <c r="I9" i="89"/>
  <c r="F3" i="89"/>
  <c r="H25" i="89" s="1"/>
  <c r="H47" i="19"/>
  <c r="P47" i="19" s="1"/>
  <c r="H48" i="19"/>
  <c r="P48" i="19" s="1"/>
  <c r="J178" i="27"/>
  <c r="N37" i="41"/>
  <c r="H171" i="27"/>
  <c r="B171" i="27" s="1"/>
  <c r="H170" i="27"/>
  <c r="B170" i="27" s="1"/>
  <c r="L19" i="20"/>
  <c r="F22" i="87"/>
  <c r="F18" i="87"/>
  <c r="E3" i="87"/>
  <c r="J51" i="19"/>
  <c r="R51" i="19" s="1"/>
  <c r="H51" i="19"/>
  <c r="P51" i="19" s="1"/>
  <c r="J48" i="19"/>
  <c r="J50" i="19"/>
  <c r="R50" i="19" s="1"/>
  <c r="H50" i="19"/>
  <c r="J47" i="19"/>
  <c r="R47" i="19" s="1"/>
  <c r="D14" i="58"/>
  <c r="D38" i="35"/>
  <c r="E38" i="35"/>
  <c r="T12" i="65"/>
  <c r="H36" i="15"/>
  <c r="M13" i="12"/>
  <c r="D14" i="13" s="1"/>
  <c r="H52" i="19"/>
  <c r="P52" i="19" s="1"/>
  <c r="F12" i="58"/>
  <c r="F14" i="58"/>
  <c r="I14" i="58"/>
  <c r="G30" i="19"/>
  <c r="O30" i="19"/>
  <c r="I41" i="16"/>
  <c r="I46" i="16" s="1"/>
  <c r="F41" i="16"/>
  <c r="F46" i="16" s="1"/>
  <c r="E41" i="16"/>
  <c r="E46" i="16" s="1"/>
  <c r="K41" i="54" s="1"/>
  <c r="D41" i="16"/>
  <c r="D46" i="16" s="1"/>
  <c r="G49" i="13"/>
  <c r="G40" i="13"/>
  <c r="G34" i="13"/>
  <c r="G27" i="13"/>
  <c r="C24" i="75"/>
  <c r="C23" i="75"/>
  <c r="D61" i="85"/>
  <c r="D23" i="75" s="1"/>
  <c r="C22" i="75"/>
  <c r="C61" i="85"/>
  <c r="C70" i="85"/>
  <c r="I28" i="52" s="1"/>
  <c r="K28" i="52" s="1"/>
  <c r="H40" i="16"/>
  <c r="J40" i="16" s="1"/>
  <c r="AF20" i="57"/>
  <c r="U62" i="22"/>
  <c r="U50" i="22"/>
  <c r="U43" i="22"/>
  <c r="R134" i="27"/>
  <c r="P134" i="27"/>
  <c r="N134" i="27"/>
  <c r="L134" i="27"/>
  <c r="F134" i="27"/>
  <c r="R133" i="27"/>
  <c r="R132" i="27"/>
  <c r="R131" i="27"/>
  <c r="R130" i="27"/>
  <c r="R129" i="27"/>
  <c r="R128" i="27"/>
  <c r="R127" i="27"/>
  <c r="R126" i="27"/>
  <c r="R125" i="27"/>
  <c r="R124" i="27"/>
  <c r="P133" i="27"/>
  <c r="N133" i="27"/>
  <c r="L133" i="27"/>
  <c r="P132" i="27"/>
  <c r="N132" i="27"/>
  <c r="L132" i="27"/>
  <c r="P131" i="27"/>
  <c r="N131" i="27"/>
  <c r="L131" i="27"/>
  <c r="P130" i="27"/>
  <c r="N130" i="27"/>
  <c r="L130" i="27"/>
  <c r="P129" i="27"/>
  <c r="N129" i="27"/>
  <c r="L129" i="27"/>
  <c r="P128" i="27"/>
  <c r="N128" i="27"/>
  <c r="L128" i="27"/>
  <c r="P127" i="27"/>
  <c r="N127" i="27"/>
  <c r="L127" i="27"/>
  <c r="P126" i="27"/>
  <c r="N126" i="27"/>
  <c r="L126" i="27"/>
  <c r="P125" i="27"/>
  <c r="N125" i="27"/>
  <c r="L125" i="27"/>
  <c r="P124" i="27"/>
  <c r="N124" i="27"/>
  <c r="L124" i="27"/>
  <c r="F125" i="27"/>
  <c r="F126" i="27"/>
  <c r="F127" i="27"/>
  <c r="F128" i="27"/>
  <c r="F129" i="27"/>
  <c r="F130" i="27"/>
  <c r="F131" i="27"/>
  <c r="F132" i="27"/>
  <c r="F133" i="27"/>
  <c r="F124" i="27"/>
  <c r="R116" i="27"/>
  <c r="R115" i="27"/>
  <c r="R114" i="27"/>
  <c r="R113" i="27"/>
  <c r="R112" i="27"/>
  <c r="R111" i="27"/>
  <c r="R110" i="27"/>
  <c r="R109" i="27"/>
  <c r="R108" i="27"/>
  <c r="R107" i="27"/>
  <c r="P116" i="27"/>
  <c r="N116" i="27"/>
  <c r="L116" i="27"/>
  <c r="P115" i="27"/>
  <c r="N115" i="27"/>
  <c r="L115" i="27"/>
  <c r="P114" i="27"/>
  <c r="N114" i="27"/>
  <c r="L114" i="27"/>
  <c r="P113" i="27"/>
  <c r="N113" i="27"/>
  <c r="L113" i="27"/>
  <c r="P112" i="27"/>
  <c r="N112" i="27"/>
  <c r="L112" i="27"/>
  <c r="P111" i="27"/>
  <c r="N111" i="27"/>
  <c r="L111" i="27"/>
  <c r="P110" i="27"/>
  <c r="N110" i="27"/>
  <c r="L110" i="27"/>
  <c r="P109" i="27"/>
  <c r="N109" i="27"/>
  <c r="L109" i="27"/>
  <c r="P108" i="27"/>
  <c r="N108" i="27"/>
  <c r="L108" i="27"/>
  <c r="P107" i="27"/>
  <c r="N107" i="27"/>
  <c r="L107" i="27"/>
  <c r="F108" i="27"/>
  <c r="F109" i="27"/>
  <c r="F110" i="27"/>
  <c r="F111" i="27"/>
  <c r="F112" i="27"/>
  <c r="F113" i="27"/>
  <c r="F114" i="27"/>
  <c r="F115" i="27"/>
  <c r="F116" i="27"/>
  <c r="F107" i="27"/>
  <c r="R117" i="27"/>
  <c r="P117" i="27"/>
  <c r="N117" i="27"/>
  <c r="L117" i="27"/>
  <c r="F117" i="27"/>
  <c r="R48" i="27"/>
  <c r="H35" i="53" s="1"/>
  <c r="L143" i="27"/>
  <c r="R89" i="27"/>
  <c r="H39" i="53" s="1"/>
  <c r="L39" i="53" s="1"/>
  <c r="R69" i="27"/>
  <c r="R68" i="27"/>
  <c r="P68" i="27"/>
  <c r="N68" i="27"/>
  <c r="L68" i="27"/>
  <c r="J68" i="27"/>
  <c r="H68" i="27"/>
  <c r="F68" i="27"/>
  <c r="R67" i="27"/>
  <c r="P67" i="27"/>
  <c r="N67" i="27"/>
  <c r="L67" i="27"/>
  <c r="J67" i="27"/>
  <c r="H67" i="27"/>
  <c r="F67" i="27"/>
  <c r="R66" i="27"/>
  <c r="P66" i="27"/>
  <c r="N66" i="27"/>
  <c r="L66" i="27"/>
  <c r="J66" i="27"/>
  <c r="H66" i="27"/>
  <c r="F66" i="27"/>
  <c r="R65" i="27"/>
  <c r="P65" i="27"/>
  <c r="N65" i="27"/>
  <c r="L65" i="27"/>
  <c r="J65" i="27"/>
  <c r="H65" i="27"/>
  <c r="F65" i="27"/>
  <c r="R64" i="27"/>
  <c r="P64" i="27"/>
  <c r="N64" i="27"/>
  <c r="L64" i="27"/>
  <c r="J64" i="27"/>
  <c r="H64" i="27"/>
  <c r="F64" i="27"/>
  <c r="R63" i="27"/>
  <c r="P63" i="27"/>
  <c r="N63" i="27"/>
  <c r="L63" i="27"/>
  <c r="J63" i="27"/>
  <c r="H63" i="27"/>
  <c r="F63" i="27"/>
  <c r="R62" i="27"/>
  <c r="P62" i="27"/>
  <c r="N62" i="27"/>
  <c r="L62" i="27"/>
  <c r="J62" i="27"/>
  <c r="H62" i="27"/>
  <c r="F62" i="27"/>
  <c r="R61" i="27"/>
  <c r="P61" i="27"/>
  <c r="N61" i="27"/>
  <c r="L61" i="27"/>
  <c r="J61" i="27"/>
  <c r="H61" i="27"/>
  <c r="F61" i="27"/>
  <c r="R60" i="27"/>
  <c r="P60" i="27"/>
  <c r="N60" i="27"/>
  <c r="L60" i="27"/>
  <c r="J60" i="27"/>
  <c r="H60" i="27"/>
  <c r="F60" i="27"/>
  <c r="R59" i="27"/>
  <c r="P59" i="27"/>
  <c r="N59" i="27"/>
  <c r="L59" i="27"/>
  <c r="J59" i="27"/>
  <c r="H59" i="27"/>
  <c r="F59" i="27"/>
  <c r="R58" i="27"/>
  <c r="P58" i="27"/>
  <c r="N58" i="27"/>
  <c r="L58" i="27"/>
  <c r="J58" i="27"/>
  <c r="H58" i="27"/>
  <c r="F58" i="27"/>
  <c r="R57" i="27"/>
  <c r="P57" i="27"/>
  <c r="N57" i="27"/>
  <c r="L57" i="27"/>
  <c r="J57" i="27"/>
  <c r="H57" i="27"/>
  <c r="F57" i="27"/>
  <c r="R56" i="27"/>
  <c r="P56" i="27"/>
  <c r="N56" i="27"/>
  <c r="L56" i="27"/>
  <c r="J56" i="27"/>
  <c r="H56" i="27"/>
  <c r="F56" i="27"/>
  <c r="R55" i="27"/>
  <c r="P55" i="27"/>
  <c r="N55" i="27"/>
  <c r="L55" i="27"/>
  <c r="J55" i="27"/>
  <c r="H55" i="27"/>
  <c r="F55" i="27"/>
  <c r="D3" i="86"/>
  <c r="N11" i="26"/>
  <c r="O11" i="26"/>
  <c r="N62" i="19"/>
  <c r="N61" i="19"/>
  <c r="E219" i="67"/>
  <c r="I219" i="67" s="1"/>
  <c r="E217" i="67"/>
  <c r="I217" i="67" s="1"/>
  <c r="E218" i="67"/>
  <c r="I218" i="67" s="1"/>
  <c r="E215" i="67"/>
  <c r="I215" i="67" s="1"/>
  <c r="E203" i="67"/>
  <c r="I203" i="67" s="1"/>
  <c r="E201" i="67"/>
  <c r="I201" i="67" s="1"/>
  <c r="E200" i="67"/>
  <c r="I200" i="67" s="1"/>
  <c r="E326" i="67"/>
  <c r="I326" i="67" s="1"/>
  <c r="E312" i="67"/>
  <c r="E311" i="67"/>
  <c r="E310" i="67"/>
  <c r="I310" i="67" s="1"/>
  <c r="E309" i="67"/>
  <c r="I309" i="67" s="1"/>
  <c r="E308" i="67"/>
  <c r="I308" i="67" s="1"/>
  <c r="E289" i="67"/>
  <c r="I289" i="67" s="1"/>
  <c r="E244" i="67"/>
  <c r="I244" i="67" s="1"/>
  <c r="E238" i="67"/>
  <c r="I238" i="67" s="1"/>
  <c r="E235" i="67"/>
  <c r="I235" i="67" s="1"/>
  <c r="E224" i="67"/>
  <c r="I224" i="67" s="1"/>
  <c r="E223" i="67"/>
  <c r="I223" i="67" s="1"/>
  <c r="E216" i="67"/>
  <c r="I216" i="67" s="1"/>
  <c r="E177" i="67"/>
  <c r="I177" i="67" s="1"/>
  <c r="E176" i="67"/>
  <c r="I176" i="67" s="1"/>
  <c r="E175" i="67"/>
  <c r="I175" i="67" s="1"/>
  <c r="E160" i="67"/>
  <c r="E157" i="67"/>
  <c r="I157" i="67" s="1"/>
  <c r="E155" i="67"/>
  <c r="I155" i="67" s="1"/>
  <c r="E154" i="67"/>
  <c r="I154" i="67" s="1"/>
  <c r="E148" i="67"/>
  <c r="I148" i="67" s="1"/>
  <c r="E147" i="67"/>
  <c r="I147" i="67" s="1"/>
  <c r="E146" i="67"/>
  <c r="I146" i="67" s="1"/>
  <c r="E144" i="67"/>
  <c r="I144" i="67" s="1"/>
  <c r="E143" i="67"/>
  <c r="I143" i="67" s="1"/>
  <c r="E142" i="67"/>
  <c r="I142" i="67" s="1"/>
  <c r="E140" i="67"/>
  <c r="I140" i="67" s="1"/>
  <c r="E139" i="67"/>
  <c r="I139" i="67" s="1"/>
  <c r="E138" i="67"/>
  <c r="I138" i="67" s="1"/>
  <c r="E132" i="67"/>
  <c r="I132" i="67" s="1"/>
  <c r="E128" i="67"/>
  <c r="I128" i="67" s="1"/>
  <c r="E127" i="67"/>
  <c r="I127" i="67" s="1"/>
  <c r="E126" i="67"/>
  <c r="I126" i="67" s="1"/>
  <c r="E125" i="67"/>
  <c r="I125" i="67" s="1"/>
  <c r="E119" i="67"/>
  <c r="I119" i="67" s="1"/>
  <c r="E116" i="67"/>
  <c r="I116" i="67" s="1"/>
  <c r="E109" i="67"/>
  <c r="I109" i="67" s="1"/>
  <c r="E108" i="67"/>
  <c r="I108" i="67" s="1"/>
  <c r="E107" i="67"/>
  <c r="I107" i="67" s="1"/>
  <c r="E106" i="67"/>
  <c r="I106" i="67" s="1"/>
  <c r="E105" i="67"/>
  <c r="I105" i="67" s="1"/>
  <c r="E104" i="67"/>
  <c r="I104" i="67" s="1"/>
  <c r="E103" i="67"/>
  <c r="I103" i="67" s="1"/>
  <c r="E100" i="67"/>
  <c r="I100" i="67" s="1"/>
  <c r="E99" i="67"/>
  <c r="I99" i="67" s="1"/>
  <c r="E98" i="67"/>
  <c r="I98" i="67" s="1"/>
  <c r="E97" i="67"/>
  <c r="I97" i="67" s="1"/>
  <c r="E96" i="67"/>
  <c r="I96" i="67" s="1"/>
  <c r="E89" i="67"/>
  <c r="I89" i="67" s="1"/>
  <c r="E86" i="67"/>
  <c r="I86" i="67" s="1"/>
  <c r="E83" i="67"/>
  <c r="I83" i="67" s="1"/>
  <c r="E82" i="67"/>
  <c r="I82" i="67" s="1"/>
  <c r="E79" i="67"/>
  <c r="I79" i="67" s="1"/>
  <c r="E78" i="67"/>
  <c r="I78" i="67" s="1"/>
  <c r="E74" i="67"/>
  <c r="E73" i="67"/>
  <c r="E64" i="67"/>
  <c r="E63" i="67"/>
  <c r="E62" i="67"/>
  <c r="E59" i="67"/>
  <c r="E58" i="67"/>
  <c r="E56" i="67"/>
  <c r="I56" i="67" s="1"/>
  <c r="E55" i="67"/>
  <c r="I55" i="67" s="1"/>
  <c r="E53" i="67"/>
  <c r="I53" i="67" s="1"/>
  <c r="E52" i="67"/>
  <c r="I52" i="67" s="1"/>
  <c r="E51" i="67"/>
  <c r="I51" i="67" s="1"/>
  <c r="E50" i="67"/>
  <c r="I50" i="67" s="1"/>
  <c r="E48" i="67"/>
  <c r="I48" i="67" s="1"/>
  <c r="E47" i="67"/>
  <c r="I47" i="67" s="1"/>
  <c r="E46" i="67"/>
  <c r="I46" i="67" s="1"/>
  <c r="E45" i="67"/>
  <c r="I45" i="67" s="1"/>
  <c r="E41" i="67"/>
  <c r="I41" i="67" s="1"/>
  <c r="E40" i="67"/>
  <c r="I40" i="67" s="1"/>
  <c r="E39" i="67"/>
  <c r="I39" i="67" s="1"/>
  <c r="E27" i="67"/>
  <c r="I27" i="67" s="1"/>
  <c r="E26" i="67"/>
  <c r="I26" i="67" s="1"/>
  <c r="E25" i="67"/>
  <c r="I25" i="67" s="1"/>
  <c r="E24" i="67"/>
  <c r="I24" i="67" s="1"/>
  <c r="E23" i="67"/>
  <c r="I23" i="67" s="1"/>
  <c r="E22" i="67"/>
  <c r="I22" i="67" s="1"/>
  <c r="E21" i="67"/>
  <c r="I21" i="67" s="1"/>
  <c r="E20" i="67"/>
  <c r="I20" i="67" s="1"/>
  <c r="E19" i="67"/>
  <c r="I19" i="67" s="1"/>
  <c r="E18" i="67"/>
  <c r="I18" i="67" s="1"/>
  <c r="E16" i="67"/>
  <c r="I16" i="67" s="1"/>
  <c r="E15" i="67"/>
  <c r="E14" i="67"/>
  <c r="I14" i="67" s="1"/>
  <c r="E13" i="67"/>
  <c r="I13" i="67" s="1"/>
  <c r="E202" i="67"/>
  <c r="I202" i="67" s="1"/>
  <c r="F18" i="58"/>
  <c r="F25" i="58"/>
  <c r="G19" i="59"/>
  <c r="H3" i="59"/>
  <c r="G20" i="59"/>
  <c r="G21" i="59"/>
  <c r="G22" i="59"/>
  <c r="G37" i="59"/>
  <c r="G38" i="59"/>
  <c r="G39" i="59"/>
  <c r="L13" i="22"/>
  <c r="N13" i="22"/>
  <c r="R13" i="22"/>
  <c r="P3" i="22"/>
  <c r="R56" i="22" s="1"/>
  <c r="H11" i="23"/>
  <c r="J11" i="23" s="1"/>
  <c r="H12" i="23"/>
  <c r="J12" i="23" s="1"/>
  <c r="H13" i="23"/>
  <c r="J13" i="23" s="1"/>
  <c r="H19" i="23"/>
  <c r="J19" i="23" s="1"/>
  <c r="H20" i="23"/>
  <c r="J20" i="23" s="1"/>
  <c r="H21" i="23"/>
  <c r="J21" i="23" s="1"/>
  <c r="H22" i="23"/>
  <c r="J22" i="23" s="1"/>
  <c r="H34" i="23"/>
  <c r="J34" i="23" s="1"/>
  <c r="H36" i="23"/>
  <c r="J3" i="23"/>
  <c r="F54" i="23" s="1"/>
  <c r="G3" i="25"/>
  <c r="J27" i="25" s="1"/>
  <c r="G3" i="32"/>
  <c r="H71" i="32" s="1"/>
  <c r="H11" i="32"/>
  <c r="H13" i="32"/>
  <c r="H15" i="32"/>
  <c r="F20" i="32"/>
  <c r="H33" i="32"/>
  <c r="L21" i="26"/>
  <c r="B21" i="26" s="1"/>
  <c r="L22" i="26"/>
  <c r="L45" i="26"/>
  <c r="L46" i="26"/>
  <c r="B46" i="26" s="1"/>
  <c r="L33" i="26"/>
  <c r="N33" i="26" s="1"/>
  <c r="L37" i="26"/>
  <c r="J37" i="26"/>
  <c r="K3" i="27"/>
  <c r="H172" i="27"/>
  <c r="B172" i="27" s="1"/>
  <c r="H173" i="27"/>
  <c r="B173" i="27" s="1"/>
  <c r="D13" i="81"/>
  <c r="H3" i="29"/>
  <c r="J49" i="29" s="1"/>
  <c r="H3" i="30"/>
  <c r="I24" i="30"/>
  <c r="I27" i="30" s="1"/>
  <c r="G3" i="69"/>
  <c r="H11" i="69" s="1"/>
  <c r="H16" i="69" s="1"/>
  <c r="K25" i="20" s="1"/>
  <c r="F3" i="35"/>
  <c r="F38" i="35"/>
  <c r="G38" i="35"/>
  <c r="E49" i="35"/>
  <c r="F49" i="35"/>
  <c r="G49" i="35"/>
  <c r="G161" i="35"/>
  <c r="G159" i="35"/>
  <c r="H11" i="63"/>
  <c r="J11" i="63" s="1"/>
  <c r="H12" i="63"/>
  <c r="J12" i="63" s="1"/>
  <c r="H20" i="63"/>
  <c r="J20" i="63" s="1"/>
  <c r="H19" i="63"/>
  <c r="J19" i="63" s="1"/>
  <c r="H28" i="63"/>
  <c r="J28" i="63" s="1"/>
  <c r="H42" i="63"/>
  <c r="B43" i="63" s="1"/>
  <c r="H3" i="70"/>
  <c r="H3" i="31"/>
  <c r="J12" i="31" s="1"/>
  <c r="J64" i="34"/>
  <c r="D31" i="79"/>
  <c r="D65" i="79"/>
  <c r="D100" i="79"/>
  <c r="H4" i="34"/>
  <c r="H64" i="34" s="1"/>
  <c r="D86" i="82"/>
  <c r="F86" i="82"/>
  <c r="G86" i="82"/>
  <c r="H74" i="82"/>
  <c r="I74" i="82" s="1"/>
  <c r="H75" i="82"/>
  <c r="I75" i="82" s="1"/>
  <c r="H76" i="82"/>
  <c r="I76" i="82" s="1"/>
  <c r="H77" i="82"/>
  <c r="I77" i="82" s="1"/>
  <c r="H80" i="82"/>
  <c r="I80" i="82" s="1"/>
  <c r="H82" i="82"/>
  <c r="I82" i="82" s="1"/>
  <c r="H84" i="82"/>
  <c r="I84" i="82" s="1"/>
  <c r="H85" i="82"/>
  <c r="I85" i="82" s="1"/>
  <c r="D55" i="82"/>
  <c r="D63" i="82"/>
  <c r="D71" i="82"/>
  <c r="J49" i="19"/>
  <c r="R49" i="19" s="1"/>
  <c r="J52" i="19"/>
  <c r="R52" i="19" s="1"/>
  <c r="V66" i="19"/>
  <c r="E63" i="82"/>
  <c r="E71" i="82"/>
  <c r="F55" i="82"/>
  <c r="F63" i="82"/>
  <c r="F71" i="82"/>
  <c r="G55" i="82"/>
  <c r="G63" i="82"/>
  <c r="G71" i="82"/>
  <c r="H59" i="82"/>
  <c r="I59" i="82" s="1"/>
  <c r="H60" i="82"/>
  <c r="I60" i="82" s="1"/>
  <c r="H61" i="82"/>
  <c r="I61" i="82" s="1"/>
  <c r="H62" i="82"/>
  <c r="I62" i="82" s="1"/>
  <c r="H66" i="82"/>
  <c r="I66" i="82" s="1"/>
  <c r="H67" i="82"/>
  <c r="I67" i="82" s="1"/>
  <c r="H68" i="82"/>
  <c r="I68" i="82" s="1"/>
  <c r="H69" i="82"/>
  <c r="I69" i="82" s="1"/>
  <c r="H70" i="82"/>
  <c r="I70" i="82" s="1"/>
  <c r="D25" i="82"/>
  <c r="D35" i="82"/>
  <c r="D47" i="82"/>
  <c r="E25" i="82"/>
  <c r="E35" i="82"/>
  <c r="E47" i="82"/>
  <c r="F25" i="82"/>
  <c r="F35" i="82"/>
  <c r="F47" i="82"/>
  <c r="G25" i="82"/>
  <c r="D11" i="79" s="1"/>
  <c r="D19" i="79" s="1"/>
  <c r="G35" i="82"/>
  <c r="G47" i="82"/>
  <c r="H12" i="82"/>
  <c r="I12" i="82" s="1"/>
  <c r="H13" i="82"/>
  <c r="I13" i="82" s="1"/>
  <c r="H14" i="82"/>
  <c r="I14" i="82" s="1"/>
  <c r="H19" i="82"/>
  <c r="I19" i="82" s="1"/>
  <c r="H20" i="82"/>
  <c r="I20" i="82" s="1"/>
  <c r="H21" i="82"/>
  <c r="I21" i="82" s="1"/>
  <c r="H22" i="82"/>
  <c r="I22" i="82" s="1"/>
  <c r="H23" i="82"/>
  <c r="I23" i="82" s="1"/>
  <c r="H24" i="82"/>
  <c r="I24" i="82" s="1"/>
  <c r="H28" i="82"/>
  <c r="I28" i="82" s="1"/>
  <c r="H30" i="82"/>
  <c r="I30" i="82" s="1"/>
  <c r="H31" i="82"/>
  <c r="I31" i="82" s="1"/>
  <c r="H32" i="82"/>
  <c r="I32" i="82" s="1"/>
  <c r="H33" i="82"/>
  <c r="I33" i="82" s="1"/>
  <c r="H34" i="82"/>
  <c r="I34" i="82" s="1"/>
  <c r="H38" i="82"/>
  <c r="I38" i="82" s="1"/>
  <c r="H39" i="82"/>
  <c r="I39" i="82" s="1"/>
  <c r="H40" i="82"/>
  <c r="I40" i="82" s="1"/>
  <c r="H41" i="82"/>
  <c r="I41" i="82" s="1"/>
  <c r="H43" i="82"/>
  <c r="I43" i="82" s="1"/>
  <c r="H44" i="82"/>
  <c r="I44" i="82" s="1"/>
  <c r="H45" i="82"/>
  <c r="I45" i="82" s="1"/>
  <c r="H46" i="82"/>
  <c r="I46" i="82" s="1"/>
  <c r="Z33" i="57"/>
  <c r="AC31" i="57"/>
  <c r="AC29" i="57"/>
  <c r="AC27" i="57"/>
  <c r="AC25" i="57"/>
  <c r="AB33" i="57"/>
  <c r="AA19" i="57" s="1"/>
  <c r="AC19" i="57" s="1"/>
  <c r="AA33" i="57"/>
  <c r="AA18" i="57" s="1"/>
  <c r="AC18" i="57" s="1"/>
  <c r="T77" i="19"/>
  <c r="T82" i="19"/>
  <c r="J37" i="32"/>
  <c r="C22" i="80"/>
  <c r="B121" i="35"/>
  <c r="D18" i="85"/>
  <c r="D20" i="85" s="1"/>
  <c r="E18" i="85"/>
  <c r="E20" i="85" s="1"/>
  <c r="C18" i="85"/>
  <c r="C20" i="85" s="1"/>
  <c r="I49" i="13"/>
  <c r="H49" i="13"/>
  <c r="F49" i="13"/>
  <c r="F40" i="13"/>
  <c r="I40" i="13"/>
  <c r="H40" i="13"/>
  <c r="H27" i="13"/>
  <c r="I27" i="13"/>
  <c r="F27" i="13"/>
  <c r="F55" i="13"/>
  <c r="I34" i="13"/>
  <c r="F34" i="13"/>
  <c r="H34" i="13"/>
  <c r="E36" i="85"/>
  <c r="E38" i="85" s="1"/>
  <c r="D36" i="85"/>
  <c r="D38" i="85" s="1"/>
  <c r="C36" i="85"/>
  <c r="C38" i="85" s="1"/>
  <c r="E4" i="85"/>
  <c r="G2" i="20"/>
  <c r="M50" i="12"/>
  <c r="D51" i="13" s="1"/>
  <c r="M52" i="12"/>
  <c r="D53" i="13" s="1"/>
  <c r="M53" i="12"/>
  <c r="D54" i="13" s="1"/>
  <c r="M41" i="12"/>
  <c r="J29" i="53" s="1"/>
  <c r="M42" i="12"/>
  <c r="D43" i="13" s="1"/>
  <c r="M43" i="12"/>
  <c r="D44" i="13" s="1"/>
  <c r="M44" i="12"/>
  <c r="D45" i="13" s="1"/>
  <c r="M45" i="12"/>
  <c r="D46" i="13" s="1"/>
  <c r="M46" i="12"/>
  <c r="D47" i="13" s="1"/>
  <c r="M47" i="12"/>
  <c r="D48" i="13" s="1"/>
  <c r="M36" i="12"/>
  <c r="D37" i="13" s="1"/>
  <c r="M37" i="12"/>
  <c r="D38" i="13" s="1"/>
  <c r="M38" i="12"/>
  <c r="D39" i="13" s="1"/>
  <c r="M28" i="12"/>
  <c r="D29" i="13" s="1"/>
  <c r="M29" i="12"/>
  <c r="D30" i="13" s="1"/>
  <c r="M30" i="12"/>
  <c r="D31" i="13" s="1"/>
  <c r="M31" i="12"/>
  <c r="D32" i="13" s="1"/>
  <c r="M32" i="12"/>
  <c r="D33" i="13" s="1"/>
  <c r="M10" i="12"/>
  <c r="D11" i="13" s="1"/>
  <c r="M11" i="12"/>
  <c r="D12" i="13" s="1"/>
  <c r="M12" i="12"/>
  <c r="D13" i="13" s="1"/>
  <c r="M14" i="12"/>
  <c r="D15" i="13" s="1"/>
  <c r="M15" i="12"/>
  <c r="D16" i="13" s="1"/>
  <c r="M16" i="12"/>
  <c r="D17" i="13" s="1"/>
  <c r="M17" i="12"/>
  <c r="D18" i="13" s="1"/>
  <c r="M18" i="12"/>
  <c r="D19" i="13" s="1"/>
  <c r="M19" i="12"/>
  <c r="D20" i="13" s="1"/>
  <c r="M20" i="12"/>
  <c r="D21" i="13" s="1"/>
  <c r="M21" i="12"/>
  <c r="D22" i="13" s="1"/>
  <c r="M22" i="12"/>
  <c r="D23" i="13" s="1"/>
  <c r="M23" i="12"/>
  <c r="D24" i="13" s="1"/>
  <c r="M24" i="12"/>
  <c r="D25" i="13" s="1"/>
  <c r="M25" i="12"/>
  <c r="D26" i="13" s="1"/>
  <c r="M35" i="12"/>
  <c r="L54" i="12"/>
  <c r="L48" i="12"/>
  <c r="L39" i="12"/>
  <c r="L33" i="12"/>
  <c r="L26" i="12"/>
  <c r="K54" i="12"/>
  <c r="K48" i="12"/>
  <c r="K39" i="12"/>
  <c r="K33" i="12"/>
  <c r="K26" i="12"/>
  <c r="J54" i="12"/>
  <c r="J48" i="12"/>
  <c r="J39" i="12"/>
  <c r="J33" i="12"/>
  <c r="J26" i="12"/>
  <c r="I54" i="12"/>
  <c r="I48" i="12"/>
  <c r="I39" i="12"/>
  <c r="I33" i="12"/>
  <c r="I26" i="12"/>
  <c r="H54" i="12"/>
  <c r="H48" i="12"/>
  <c r="H39" i="12"/>
  <c r="H33" i="12"/>
  <c r="H26" i="12"/>
  <c r="G54" i="12"/>
  <c r="G48" i="12"/>
  <c r="G39" i="12"/>
  <c r="G33" i="12"/>
  <c r="G26" i="12"/>
  <c r="F48" i="12"/>
  <c r="F39" i="12"/>
  <c r="F33" i="12"/>
  <c r="F26" i="12"/>
  <c r="E54" i="12"/>
  <c r="E48" i="12"/>
  <c r="E39" i="12"/>
  <c r="E33" i="12"/>
  <c r="E26" i="12"/>
  <c r="D54" i="12"/>
  <c r="D48" i="12"/>
  <c r="D39" i="12"/>
  <c r="D33" i="12"/>
  <c r="D26" i="12"/>
  <c r="C54" i="12"/>
  <c r="C48" i="12"/>
  <c r="C39" i="12"/>
  <c r="C33" i="12"/>
  <c r="C26" i="12"/>
  <c r="E29" i="75"/>
  <c r="E28" i="75"/>
  <c r="E27" i="75"/>
  <c r="C17" i="75"/>
  <c r="E16" i="75"/>
  <c r="E15" i="75"/>
  <c r="E13" i="75"/>
  <c r="E12" i="75"/>
  <c r="M16" i="42"/>
  <c r="M17" i="42"/>
  <c r="M26" i="42"/>
  <c r="M27" i="42"/>
  <c r="M15" i="42"/>
  <c r="M25" i="42"/>
  <c r="D42" i="79"/>
  <c r="D37" i="79"/>
  <c r="L3" i="41"/>
  <c r="T78" i="19"/>
  <c r="T83" i="19"/>
  <c r="G36" i="23" s="1"/>
  <c r="H45" i="23"/>
  <c r="H46" i="23"/>
  <c r="H47" i="23"/>
  <c r="H48" i="23"/>
  <c r="J45" i="23"/>
  <c r="J46" i="23"/>
  <c r="J47" i="23"/>
  <c r="J48" i="23"/>
  <c r="P95" i="19"/>
  <c r="P94" i="19"/>
  <c r="E31" i="18"/>
  <c r="N15" i="26" s="1"/>
  <c r="E18" i="18"/>
  <c r="N13" i="26" s="1"/>
  <c r="N28" i="26"/>
  <c r="G9" i="28"/>
  <c r="G12" i="28"/>
  <c r="G17" i="28" s="1"/>
  <c r="G41" i="28"/>
  <c r="G45" i="28" s="1"/>
  <c r="J18" i="34"/>
  <c r="J19" i="34"/>
  <c r="J20" i="34"/>
  <c r="J21" i="34"/>
  <c r="J22" i="34"/>
  <c r="J23" i="34"/>
  <c r="J24" i="34"/>
  <c r="J25" i="34"/>
  <c r="J26" i="34"/>
  <c r="J27" i="34"/>
  <c r="J28" i="34"/>
  <c r="I62" i="30"/>
  <c r="K35" i="20" s="1"/>
  <c r="J9" i="31"/>
  <c r="J45" i="34"/>
  <c r="J46" i="34"/>
  <c r="J47" i="34"/>
  <c r="J48" i="34"/>
  <c r="J49" i="34"/>
  <c r="J50" i="34"/>
  <c r="J65" i="34"/>
  <c r="C45" i="17"/>
  <c r="D45" i="17"/>
  <c r="E45" i="17"/>
  <c r="F45" i="17"/>
  <c r="G45" i="17"/>
  <c r="J37" i="90" s="1"/>
  <c r="H45" i="17"/>
  <c r="J39" i="90" s="1"/>
  <c r="I45" i="17"/>
  <c r="J41" i="90" s="1"/>
  <c r="M18" i="42"/>
  <c r="M19" i="42"/>
  <c r="M28" i="42"/>
  <c r="M29" i="42"/>
  <c r="K53" i="20"/>
  <c r="D17" i="75"/>
  <c r="D2" i="75"/>
  <c r="T27" i="65"/>
  <c r="T26" i="65"/>
  <c r="T25" i="65"/>
  <c r="T24" i="65"/>
  <c r="T23" i="65"/>
  <c r="T22" i="65"/>
  <c r="T21" i="65"/>
  <c r="T20" i="65"/>
  <c r="T19" i="65"/>
  <c r="T18" i="65"/>
  <c r="T17" i="65"/>
  <c r="T16" i="65"/>
  <c r="T15" i="65"/>
  <c r="T14" i="65"/>
  <c r="T13" i="65"/>
  <c r="T11" i="65"/>
  <c r="T10" i="65"/>
  <c r="T9" i="65"/>
  <c r="S28" i="65"/>
  <c r="Q28" i="65"/>
  <c r="P28" i="65"/>
  <c r="O28" i="65"/>
  <c r="N28" i="65"/>
  <c r="M28" i="65"/>
  <c r="L28" i="65"/>
  <c r="D30" i="15"/>
  <c r="B31" i="15"/>
  <c r="C12" i="80"/>
  <c r="D56" i="79" s="1"/>
  <c r="M22" i="42"/>
  <c r="H49" i="53" s="1"/>
  <c r="M52" i="42"/>
  <c r="M53" i="42"/>
  <c r="M54" i="42"/>
  <c r="E74" i="79"/>
  <c r="D13" i="72" s="1"/>
  <c r="E83" i="79"/>
  <c r="D14" i="72" s="1"/>
  <c r="F2" i="82"/>
  <c r="G3" i="81"/>
  <c r="I18" i="81"/>
  <c r="F152" i="35"/>
  <c r="H152" i="35" s="1"/>
  <c r="G219" i="67"/>
  <c r="H219" i="67" s="1"/>
  <c r="B156" i="35"/>
  <c r="I85" i="67"/>
  <c r="I84" i="67"/>
  <c r="G326" i="67"/>
  <c r="H326" i="67" s="1"/>
  <c r="G312" i="67"/>
  <c r="H312" i="67" s="1"/>
  <c r="G311" i="67"/>
  <c r="H311" i="67" s="1"/>
  <c r="G310" i="67"/>
  <c r="H310" i="67" s="1"/>
  <c r="G309" i="67"/>
  <c r="H309" i="67" s="1"/>
  <c r="G308" i="67"/>
  <c r="H308" i="67" s="1"/>
  <c r="G289" i="67"/>
  <c r="H289" i="67" s="1"/>
  <c r="G244" i="67"/>
  <c r="H244" i="67" s="1"/>
  <c r="G238" i="67"/>
  <c r="H238" i="67" s="1"/>
  <c r="G235" i="67"/>
  <c r="H235" i="67" s="1"/>
  <c r="G224" i="67"/>
  <c r="H224" i="67" s="1"/>
  <c r="G223" i="67"/>
  <c r="H223" i="67" s="1"/>
  <c r="G218" i="67"/>
  <c r="H218" i="67" s="1"/>
  <c r="G216" i="67"/>
  <c r="H216" i="67" s="1"/>
  <c r="G215" i="67"/>
  <c r="H215" i="67" s="1"/>
  <c r="G203" i="67"/>
  <c r="H203" i="67" s="1"/>
  <c r="G201" i="67"/>
  <c r="H201" i="67" s="1"/>
  <c r="G177" i="67"/>
  <c r="H177" i="67" s="1"/>
  <c r="G176" i="67"/>
  <c r="H176" i="67" s="1"/>
  <c r="G175" i="67"/>
  <c r="H175" i="67" s="1"/>
  <c r="G160" i="67"/>
  <c r="H160" i="67" s="1"/>
  <c r="G157" i="67"/>
  <c r="H157" i="67" s="1"/>
  <c r="G155" i="67"/>
  <c r="H155" i="67" s="1"/>
  <c r="G154" i="67"/>
  <c r="H154" i="67" s="1"/>
  <c r="G148" i="67"/>
  <c r="H148" i="67" s="1"/>
  <c r="G147" i="67"/>
  <c r="H147" i="67" s="1"/>
  <c r="G146" i="67"/>
  <c r="H146" i="67" s="1"/>
  <c r="G144" i="67"/>
  <c r="H144" i="67" s="1"/>
  <c r="G143" i="67"/>
  <c r="H143" i="67" s="1"/>
  <c r="G142" i="67"/>
  <c r="H142" i="67" s="1"/>
  <c r="G140" i="67"/>
  <c r="H140" i="67" s="1"/>
  <c r="G139" i="67"/>
  <c r="H139" i="67" s="1"/>
  <c r="G138" i="67"/>
  <c r="H138" i="67" s="1"/>
  <c r="G132" i="67"/>
  <c r="H132" i="67" s="1"/>
  <c r="G128" i="67"/>
  <c r="H128" i="67" s="1"/>
  <c r="G127" i="67"/>
  <c r="H127" i="67" s="1"/>
  <c r="G126" i="67"/>
  <c r="H126" i="67" s="1"/>
  <c r="G125" i="67"/>
  <c r="H125" i="67" s="1"/>
  <c r="G119" i="67"/>
  <c r="H119" i="67" s="1"/>
  <c r="G116" i="67"/>
  <c r="H116" i="67" s="1"/>
  <c r="G109" i="67"/>
  <c r="H109" i="67" s="1"/>
  <c r="G108" i="67"/>
  <c r="H108" i="67" s="1"/>
  <c r="G107" i="67"/>
  <c r="H107" i="67" s="1"/>
  <c r="G106" i="67"/>
  <c r="H106" i="67" s="1"/>
  <c r="G105" i="67"/>
  <c r="H105" i="67" s="1"/>
  <c r="G104" i="67"/>
  <c r="H104" i="67" s="1"/>
  <c r="G103" i="67"/>
  <c r="H103" i="67" s="1"/>
  <c r="G100" i="67"/>
  <c r="H100" i="67" s="1"/>
  <c r="G99" i="67"/>
  <c r="H99" i="67" s="1"/>
  <c r="G98" i="67"/>
  <c r="H98" i="67" s="1"/>
  <c r="G97" i="67"/>
  <c r="H97" i="67" s="1"/>
  <c r="G96" i="67"/>
  <c r="H96" i="67" s="1"/>
  <c r="G89" i="67"/>
  <c r="H89" i="67" s="1"/>
  <c r="G86" i="67"/>
  <c r="H86" i="67" s="1"/>
  <c r="G85" i="67"/>
  <c r="H85" i="67" s="1"/>
  <c r="G84" i="67"/>
  <c r="H84" i="67" s="1"/>
  <c r="G83" i="67"/>
  <c r="H83" i="67" s="1"/>
  <c r="G82" i="67"/>
  <c r="H82" i="67" s="1"/>
  <c r="G79" i="67"/>
  <c r="H79" i="67" s="1"/>
  <c r="G78" i="67"/>
  <c r="H78" i="67" s="1"/>
  <c r="G56" i="67"/>
  <c r="H56" i="67" s="1"/>
  <c r="G55" i="67"/>
  <c r="H55" i="67" s="1"/>
  <c r="G53" i="67"/>
  <c r="H53" i="67" s="1"/>
  <c r="G52" i="67"/>
  <c r="H52" i="67" s="1"/>
  <c r="G51" i="67"/>
  <c r="H51" i="67" s="1"/>
  <c r="G50" i="67"/>
  <c r="H50" i="67" s="1"/>
  <c r="G48" i="67"/>
  <c r="H48" i="67" s="1"/>
  <c r="G47" i="67"/>
  <c r="H47" i="67" s="1"/>
  <c r="G46" i="67"/>
  <c r="H46" i="67" s="1"/>
  <c r="G45" i="67"/>
  <c r="H45" i="67" s="1"/>
  <c r="G41" i="67"/>
  <c r="H41" i="67" s="1"/>
  <c r="G40" i="67"/>
  <c r="H40" i="67" s="1"/>
  <c r="G39" i="67"/>
  <c r="H39" i="67" s="1"/>
  <c r="G27" i="67"/>
  <c r="H27" i="67" s="1"/>
  <c r="G26" i="67"/>
  <c r="H26" i="67" s="1"/>
  <c r="G25" i="67"/>
  <c r="H25" i="67" s="1"/>
  <c r="G24" i="67"/>
  <c r="H24" i="67" s="1"/>
  <c r="G23" i="67"/>
  <c r="H23" i="67" s="1"/>
  <c r="G22" i="67"/>
  <c r="H22" i="67" s="1"/>
  <c r="G21" i="67"/>
  <c r="H21" i="67" s="1"/>
  <c r="G20" i="67"/>
  <c r="H20" i="67" s="1"/>
  <c r="G19" i="67"/>
  <c r="H19" i="67" s="1"/>
  <c r="G18" i="67"/>
  <c r="H18" i="67" s="1"/>
  <c r="G16" i="67"/>
  <c r="H16" i="67" s="1"/>
  <c r="G14" i="67"/>
  <c r="H14" i="67" s="1"/>
  <c r="G13" i="67"/>
  <c r="H13" i="67" s="1"/>
  <c r="H49" i="19"/>
  <c r="P49" i="19" s="1"/>
  <c r="H93" i="27"/>
  <c r="H107" i="27" s="1"/>
  <c r="H94" i="27"/>
  <c r="J94" i="27" s="1"/>
  <c r="H95" i="27"/>
  <c r="H126" i="27" s="1"/>
  <c r="H96" i="27"/>
  <c r="J96" i="27" s="1"/>
  <c r="J127" i="27" s="1"/>
  <c r="H97" i="27"/>
  <c r="J97" i="27" s="1"/>
  <c r="J111" i="27" s="1"/>
  <c r="H98" i="27"/>
  <c r="H129" i="27" s="1"/>
  <c r="H99" i="27"/>
  <c r="H113" i="27" s="1"/>
  <c r="H100" i="27"/>
  <c r="H147" i="27" s="1"/>
  <c r="H101" i="27"/>
  <c r="H132" i="27" s="1"/>
  <c r="H102" i="27"/>
  <c r="H133" i="27" s="1"/>
  <c r="H103" i="27"/>
  <c r="J103" i="27" s="1"/>
  <c r="B135" i="35"/>
  <c r="H33" i="15"/>
  <c r="J33" i="15" s="1"/>
  <c r="H35" i="15"/>
  <c r="J35" i="15" s="1"/>
  <c r="H37" i="15"/>
  <c r="J37" i="15" s="1"/>
  <c r="H41" i="15"/>
  <c r="J41" i="15" s="1"/>
  <c r="H39" i="15"/>
  <c r="J39" i="15" s="1"/>
  <c r="H34" i="15"/>
  <c r="J34" i="15" s="1"/>
  <c r="H40" i="15"/>
  <c r="J40" i="15" s="1"/>
  <c r="H42" i="15"/>
  <c r="J42" i="15" s="1"/>
  <c r="H38" i="15"/>
  <c r="J38" i="15" s="1"/>
  <c r="H45" i="15"/>
  <c r="J45" i="15" s="1"/>
  <c r="H46" i="15"/>
  <c r="J46" i="15" s="1"/>
  <c r="H47" i="15"/>
  <c r="J47" i="15" s="1"/>
  <c r="H32" i="16"/>
  <c r="J32" i="16" s="1"/>
  <c r="H33" i="16"/>
  <c r="J33" i="16" s="1"/>
  <c r="H34" i="16"/>
  <c r="J34" i="16" s="1"/>
  <c r="H35" i="16"/>
  <c r="J35" i="16" s="1"/>
  <c r="H36" i="16"/>
  <c r="J36" i="16" s="1"/>
  <c r="H37" i="16"/>
  <c r="J37" i="16" s="1"/>
  <c r="H38" i="16"/>
  <c r="J38" i="16" s="1"/>
  <c r="H39" i="16"/>
  <c r="J39" i="16" s="1"/>
  <c r="H43" i="16"/>
  <c r="J43" i="16" s="1"/>
  <c r="H44" i="16"/>
  <c r="J44" i="16" s="1"/>
  <c r="H45" i="16"/>
  <c r="J45" i="16" s="1"/>
  <c r="H43" i="53"/>
  <c r="R60" i="22"/>
  <c r="F69" i="23"/>
  <c r="B69" i="23" s="1"/>
  <c r="J76" i="23"/>
  <c r="H81" i="23"/>
  <c r="H84" i="23"/>
  <c r="H25" i="19"/>
  <c r="P25" i="19"/>
  <c r="S176" i="27"/>
  <c r="U60" i="22"/>
  <c r="U58" i="22"/>
  <c r="U56" i="22"/>
  <c r="U54" i="22"/>
  <c r="U52" i="22"/>
  <c r="J61" i="32"/>
  <c r="J59" i="32"/>
  <c r="J56" i="32"/>
  <c r="J54" i="32"/>
  <c r="J52" i="32"/>
  <c r="J50" i="32"/>
  <c r="J48" i="32"/>
  <c r="J46" i="32"/>
  <c r="D2" i="79"/>
  <c r="B6" i="72"/>
  <c r="E16" i="72"/>
  <c r="C16" i="72"/>
  <c r="M113" i="35"/>
  <c r="M118" i="35"/>
  <c r="M119" i="35"/>
  <c r="M120" i="35"/>
  <c r="M125" i="35"/>
  <c r="M131" i="35"/>
  <c r="M137" i="35"/>
  <c r="M139" i="35"/>
  <c r="M141" i="35"/>
  <c r="M145" i="35"/>
  <c r="M152" i="35"/>
  <c r="M154" i="35"/>
  <c r="M159" i="35"/>
  <c r="M161" i="35"/>
  <c r="M165" i="35"/>
  <c r="M174" i="35"/>
  <c r="B133" i="35"/>
  <c r="B132" i="35"/>
  <c r="B123" i="35"/>
  <c r="B122" i="35"/>
  <c r="B157" i="35"/>
  <c r="N88" i="35"/>
  <c r="C24" i="80"/>
  <c r="C14" i="80"/>
  <c r="J63" i="23"/>
  <c r="J62" i="23"/>
  <c r="J64" i="23"/>
  <c r="H63" i="23"/>
  <c r="H62" i="23"/>
  <c r="H64" i="23"/>
  <c r="F3" i="28"/>
  <c r="C39" i="59"/>
  <c r="S197" i="27"/>
  <c r="L25" i="20"/>
  <c r="J30" i="30"/>
  <c r="G24" i="20" s="1"/>
  <c r="N72" i="41"/>
  <c r="N64" i="41"/>
  <c r="N60" i="41"/>
  <c r="N52" i="41"/>
  <c r="N40" i="41"/>
  <c r="G25" i="28"/>
  <c r="G28" i="28" s="1"/>
  <c r="L28" i="20"/>
  <c r="M10" i="70"/>
  <c r="M14" i="70"/>
  <c r="I16" i="69"/>
  <c r="L20" i="20"/>
  <c r="H76" i="23"/>
  <c r="K28" i="65"/>
  <c r="J28" i="65"/>
  <c r="I28" i="65"/>
  <c r="G28" i="65"/>
  <c r="F28" i="65"/>
  <c r="O38" i="23"/>
  <c r="O36" i="23"/>
  <c r="H36" i="19"/>
  <c r="N30" i="42"/>
  <c r="K30" i="42"/>
  <c r="I30" i="42"/>
  <c r="N22" i="42"/>
  <c r="R95" i="19"/>
  <c r="R94" i="19"/>
  <c r="N20" i="42"/>
  <c r="K20" i="42"/>
  <c r="I20" i="42"/>
  <c r="G20" i="42"/>
  <c r="H47" i="53" s="1"/>
  <c r="E20" i="42"/>
  <c r="H45" i="53" s="1"/>
  <c r="R47" i="22"/>
  <c r="M41" i="54" s="1"/>
  <c r="P47" i="22"/>
  <c r="M39" i="54" s="1"/>
  <c r="M53" i="63"/>
  <c r="M42" i="63"/>
  <c r="M37" i="63"/>
  <c r="M40" i="63"/>
  <c r="M35" i="63"/>
  <c r="M33" i="63"/>
  <c r="M28" i="63"/>
  <c r="M24" i="63"/>
  <c r="M17" i="63"/>
  <c r="M9" i="63"/>
  <c r="L27" i="20"/>
  <c r="G3" i="58"/>
  <c r="J6" i="32"/>
  <c r="O39" i="26"/>
  <c r="O37" i="26"/>
  <c r="O33" i="26"/>
  <c r="O30" i="26"/>
  <c r="O28" i="26"/>
  <c r="O27" i="26"/>
  <c r="O26" i="26"/>
  <c r="U32" i="22"/>
  <c r="O90" i="23"/>
  <c r="O69" i="23"/>
  <c r="O60" i="23"/>
  <c r="O57" i="23"/>
  <c r="O54" i="23"/>
  <c r="O52" i="23"/>
  <c r="O43" i="23"/>
  <c r="O41" i="23"/>
  <c r="O86" i="23"/>
  <c r="O81" i="23"/>
  <c r="O78" i="23"/>
  <c r="O76" i="23"/>
  <c r="O72" i="23"/>
  <c r="O34" i="23"/>
  <c r="O29" i="23"/>
  <c r="O26" i="23"/>
  <c r="O17" i="23"/>
  <c r="O9" i="23"/>
  <c r="O7" i="23"/>
  <c r="H3" i="63"/>
  <c r="J50" i="63" s="1"/>
  <c r="M7" i="63"/>
  <c r="U11" i="22"/>
  <c r="L71" i="34"/>
  <c r="L69" i="34"/>
  <c r="L67" i="34"/>
  <c r="L67" i="20"/>
  <c r="L65" i="20"/>
  <c r="L38" i="20"/>
  <c r="L63" i="34"/>
  <c r="F43" i="18"/>
  <c r="F42" i="18"/>
  <c r="F41" i="18"/>
  <c r="F38" i="18"/>
  <c r="F36" i="18"/>
  <c r="F33" i="18"/>
  <c r="F32" i="18"/>
  <c r="F31" i="18"/>
  <c r="F30" i="18"/>
  <c r="F29" i="18"/>
  <c r="F28" i="18"/>
  <c r="F27" i="18"/>
  <c r="F25" i="18"/>
  <c r="F23" i="18"/>
  <c r="F12" i="18"/>
  <c r="F13" i="18"/>
  <c r="F14" i="18"/>
  <c r="F15" i="18"/>
  <c r="F16" i="18"/>
  <c r="F17" i="18"/>
  <c r="F18" i="18"/>
  <c r="F19" i="18"/>
  <c r="F20" i="18"/>
  <c r="F21" i="18"/>
  <c r="F11" i="18"/>
  <c r="F10" i="60"/>
  <c r="F11" i="60"/>
  <c r="F12" i="60"/>
  <c r="F13" i="60"/>
  <c r="F14" i="60"/>
  <c r="F15" i="60"/>
  <c r="F16" i="60"/>
  <c r="F17" i="60"/>
  <c r="F18" i="60"/>
  <c r="F19" i="60"/>
  <c r="F20" i="60"/>
  <c r="F21" i="60"/>
  <c r="F22" i="60"/>
  <c r="F23" i="60"/>
  <c r="F24" i="60"/>
  <c r="F25" i="60"/>
  <c r="F26" i="60"/>
  <c r="F27" i="60"/>
  <c r="F28" i="60"/>
  <c r="F29" i="60"/>
  <c r="F30" i="60"/>
  <c r="F31" i="60"/>
  <c r="F36" i="60"/>
  <c r="F37" i="60"/>
  <c r="F38" i="60"/>
  <c r="F39" i="60"/>
  <c r="F40" i="60"/>
  <c r="E41" i="60"/>
  <c r="D41" i="60"/>
  <c r="E32" i="60"/>
  <c r="D32" i="60"/>
  <c r="E4" i="60"/>
  <c r="L58" i="20"/>
  <c r="L53" i="20"/>
  <c r="L51" i="20"/>
  <c r="L49" i="20"/>
  <c r="L47" i="20"/>
  <c r="L45" i="20"/>
  <c r="L44" i="20"/>
  <c r="L40" i="20"/>
  <c r="L37" i="20"/>
  <c r="L36" i="20"/>
  <c r="L35" i="20"/>
  <c r="L34" i="20"/>
  <c r="L32" i="20"/>
  <c r="L31" i="20"/>
  <c r="L29" i="20"/>
  <c r="L26" i="20"/>
  <c r="N78" i="41"/>
  <c r="G4" i="20"/>
  <c r="L16" i="20"/>
  <c r="J11" i="32"/>
  <c r="L24" i="20"/>
  <c r="L22" i="20"/>
  <c r="L21" i="20"/>
  <c r="L18" i="20"/>
  <c r="L17" i="20"/>
  <c r="L15" i="20"/>
  <c r="L14" i="20"/>
  <c r="L13" i="20"/>
  <c r="L12" i="20"/>
  <c r="L11" i="20"/>
  <c r="J44" i="59"/>
  <c r="J40" i="59"/>
  <c r="J39" i="59"/>
  <c r="J38" i="59"/>
  <c r="J37" i="59"/>
  <c r="J36" i="59"/>
  <c r="J23" i="59"/>
  <c r="J22" i="59"/>
  <c r="J21" i="59"/>
  <c r="J20" i="59"/>
  <c r="J19" i="59"/>
  <c r="J28" i="59"/>
  <c r="J11" i="59"/>
  <c r="I29" i="58"/>
  <c r="I27" i="58"/>
  <c r="I25" i="58"/>
  <c r="I12" i="58"/>
  <c r="J32" i="59"/>
  <c r="J31" i="59"/>
  <c r="J30" i="59"/>
  <c r="J27" i="59"/>
  <c r="J10" i="59"/>
  <c r="L10" i="20"/>
  <c r="M3" i="54"/>
  <c r="E43" i="15"/>
  <c r="E48" i="15" s="1"/>
  <c r="K39" i="54" s="1"/>
  <c r="K45" i="54"/>
  <c r="M45" i="54"/>
  <c r="O45" i="54" s="1"/>
  <c r="K47" i="54"/>
  <c r="M47" i="54"/>
  <c r="O47" i="54" s="1"/>
  <c r="K49" i="54"/>
  <c r="O49" i="54"/>
  <c r="K51" i="54"/>
  <c r="O51" i="54"/>
  <c r="K53" i="54"/>
  <c r="K57" i="54"/>
  <c r="AE34" i="51"/>
  <c r="AE35" i="51"/>
  <c r="AE36" i="51"/>
  <c r="K59" i="54"/>
  <c r="M59" i="54"/>
  <c r="O59" i="54" s="1"/>
  <c r="K61" i="54"/>
  <c r="M61" i="54"/>
  <c r="O61" i="54" s="1"/>
  <c r="K63" i="54"/>
  <c r="O63" i="54"/>
  <c r="K65" i="54"/>
  <c r="O65" i="54"/>
  <c r="K67" i="54"/>
  <c r="AE44" i="51"/>
  <c r="AE45" i="51"/>
  <c r="K69" i="54"/>
  <c r="K71" i="54"/>
  <c r="H3" i="53"/>
  <c r="M12" i="53"/>
  <c r="A14" i="53"/>
  <c r="M14" i="53" s="1"/>
  <c r="I43" i="15"/>
  <c r="I48" i="15" s="1"/>
  <c r="J25" i="19"/>
  <c r="J36" i="19"/>
  <c r="G3" i="52"/>
  <c r="L12" i="52"/>
  <c r="A14" i="52"/>
  <c r="L14" i="52" s="1"/>
  <c r="L22" i="52"/>
  <c r="P79" i="19"/>
  <c r="G38" i="52" s="1"/>
  <c r="R79" i="19"/>
  <c r="G40" i="52" s="1"/>
  <c r="P84" i="19"/>
  <c r="G42" i="52" s="1"/>
  <c r="R84" i="19"/>
  <c r="G44" i="52" s="1"/>
  <c r="G46" i="52"/>
  <c r="K46" i="52" s="1"/>
  <c r="G3" i="51"/>
  <c r="AE20" i="51"/>
  <c r="AE25" i="51"/>
  <c r="AE26" i="51"/>
  <c r="AE27" i="51"/>
  <c r="AE28" i="51"/>
  <c r="AE29" i="51"/>
  <c r="AE30" i="51"/>
  <c r="AE31" i="51"/>
  <c r="AE46" i="51"/>
  <c r="M3" i="48"/>
  <c r="E3" i="45"/>
  <c r="A14" i="45"/>
  <c r="A15" i="45" s="1"/>
  <c r="A16" i="45" s="1"/>
  <c r="A17" i="45" s="1"/>
  <c r="A18" i="45" s="1"/>
  <c r="A19" i="45" s="1"/>
  <c r="A20" i="45" s="1"/>
  <c r="A21" i="45" s="1"/>
  <c r="A22" i="45" s="1"/>
  <c r="A23" i="45" s="1"/>
  <c r="A24" i="45" s="1"/>
  <c r="A25" i="45" s="1"/>
  <c r="A26" i="45" s="1"/>
  <c r="A27" i="45" s="1"/>
  <c r="A28" i="45" s="1"/>
  <c r="A29" i="45" s="1"/>
  <c r="A30" i="45" s="1"/>
  <c r="A31" i="45" s="1"/>
  <c r="A32" i="45" s="1"/>
  <c r="A33" i="45" s="1"/>
  <c r="A34" i="45" s="1"/>
  <c r="A35" i="45" s="1"/>
  <c r="A36" i="45" s="1"/>
  <c r="A37" i="45" s="1"/>
  <c r="A38" i="45" s="1"/>
  <c r="A39" i="45" s="1"/>
  <c r="A40" i="45" s="1"/>
  <c r="A41" i="45" s="1"/>
  <c r="A42" i="45" s="1"/>
  <c r="G43" i="45"/>
  <c r="F3" i="44"/>
  <c r="H11" i="44"/>
  <c r="H13" i="44"/>
  <c r="H15" i="44"/>
  <c r="H17" i="44"/>
  <c r="H19" i="44"/>
  <c r="H20" i="44"/>
  <c r="H21" i="44"/>
  <c r="H22" i="44"/>
  <c r="H23" i="44"/>
  <c r="H24" i="44"/>
  <c r="H26" i="44"/>
  <c r="H27" i="44"/>
  <c r="H28" i="44"/>
  <c r="D30" i="44"/>
  <c r="E30" i="44"/>
  <c r="F30" i="44"/>
  <c r="H30" i="44"/>
  <c r="G2" i="43"/>
  <c r="K3" i="42"/>
  <c r="E55" i="42"/>
  <c r="G55" i="42"/>
  <c r="I55" i="42"/>
  <c r="K55" i="42"/>
  <c r="N55" i="42"/>
  <c r="N7" i="41"/>
  <c r="N9" i="41"/>
  <c r="N13" i="41"/>
  <c r="N17" i="41"/>
  <c r="N21" i="41"/>
  <c r="N25" i="41"/>
  <c r="N29" i="41"/>
  <c r="N33" i="41"/>
  <c r="N44" i="41"/>
  <c r="N48" i="41"/>
  <c r="N56" i="41"/>
  <c r="N68" i="41"/>
  <c r="N76" i="41"/>
  <c r="L30" i="34"/>
  <c r="L32" i="34"/>
  <c r="L34" i="34"/>
  <c r="L36" i="34"/>
  <c r="L38" i="34"/>
  <c r="L52" i="34"/>
  <c r="L54" i="34"/>
  <c r="L56" i="34"/>
  <c r="L58" i="34"/>
  <c r="L60" i="34"/>
  <c r="J13" i="32"/>
  <c r="J15" i="32"/>
  <c r="J20" i="32"/>
  <c r="J27" i="32"/>
  <c r="J29" i="32"/>
  <c r="J31" i="32"/>
  <c r="J33" i="32"/>
  <c r="J35" i="32"/>
  <c r="J40" i="32"/>
  <c r="K7" i="31"/>
  <c r="K9" i="31"/>
  <c r="K12" i="31"/>
  <c r="K14" i="31"/>
  <c r="J24" i="30"/>
  <c r="J27" i="30"/>
  <c r="J36" i="30"/>
  <c r="J46" i="30"/>
  <c r="J56" i="30"/>
  <c r="G34" i="20" s="1"/>
  <c r="J62" i="30"/>
  <c r="K18" i="29"/>
  <c r="K28" i="29"/>
  <c r="K36" i="29"/>
  <c r="K51" i="29"/>
  <c r="H7" i="28"/>
  <c r="H9" i="28"/>
  <c r="H12" i="28"/>
  <c r="H15" i="28"/>
  <c r="H17" i="28"/>
  <c r="H20" i="28"/>
  <c r="H23" i="28"/>
  <c r="H25" i="28"/>
  <c r="H28" i="28"/>
  <c r="H31" i="28"/>
  <c r="H33" i="28"/>
  <c r="H38" i="28"/>
  <c r="H41" i="28"/>
  <c r="H43" i="28"/>
  <c r="H45" i="28"/>
  <c r="H47" i="28"/>
  <c r="S92" i="27"/>
  <c r="F140" i="27"/>
  <c r="L140" i="27"/>
  <c r="N140" i="27"/>
  <c r="P140" i="27"/>
  <c r="R140" i="27"/>
  <c r="F141" i="27"/>
  <c r="L141" i="27"/>
  <c r="N141" i="27"/>
  <c r="P141" i="27"/>
  <c r="R141" i="27"/>
  <c r="F142" i="27"/>
  <c r="L142" i="27"/>
  <c r="N142" i="27"/>
  <c r="P142" i="27"/>
  <c r="R142" i="27"/>
  <c r="F143" i="27"/>
  <c r="N143" i="27"/>
  <c r="P143" i="27"/>
  <c r="R143" i="27"/>
  <c r="F144" i="27"/>
  <c r="L144" i="27"/>
  <c r="N144" i="27"/>
  <c r="P144" i="27"/>
  <c r="R144" i="27"/>
  <c r="F145" i="27"/>
  <c r="L145" i="27"/>
  <c r="N145" i="27"/>
  <c r="P145" i="27"/>
  <c r="R145" i="27"/>
  <c r="F146" i="27"/>
  <c r="L146" i="27"/>
  <c r="N146" i="27"/>
  <c r="P146" i="27"/>
  <c r="R146" i="27"/>
  <c r="F147" i="27"/>
  <c r="L147" i="27"/>
  <c r="N147" i="27"/>
  <c r="P147" i="27"/>
  <c r="R147" i="27"/>
  <c r="F148" i="27"/>
  <c r="L148" i="27"/>
  <c r="N148" i="27"/>
  <c r="P148" i="27"/>
  <c r="R148" i="27"/>
  <c r="F149" i="27"/>
  <c r="L149" i="27"/>
  <c r="N149" i="27"/>
  <c r="P149" i="27"/>
  <c r="R149" i="27"/>
  <c r="F150" i="27"/>
  <c r="L150" i="27"/>
  <c r="N150" i="27"/>
  <c r="P150" i="27"/>
  <c r="R150" i="27"/>
  <c r="S155" i="27"/>
  <c r="S158" i="27"/>
  <c r="S162" i="27"/>
  <c r="S184" i="27"/>
  <c r="S189" i="27"/>
  <c r="L3" i="26"/>
  <c r="O9" i="26"/>
  <c r="O13" i="26"/>
  <c r="O15" i="26"/>
  <c r="O17" i="26"/>
  <c r="O21" i="26"/>
  <c r="O45" i="26"/>
  <c r="O49" i="26"/>
  <c r="K14" i="25"/>
  <c r="K24" i="25"/>
  <c r="K30" i="25"/>
  <c r="B1" i="20"/>
  <c r="F11" i="23"/>
  <c r="I24" i="23"/>
  <c r="I26" i="23" s="1"/>
  <c r="L46" i="23"/>
  <c r="H65" i="23"/>
  <c r="J65" i="23"/>
  <c r="U7" i="22"/>
  <c r="U15" i="22"/>
  <c r="U20" i="22"/>
  <c r="U26" i="22"/>
  <c r="U29" i="22"/>
  <c r="U38" i="22"/>
  <c r="U35" i="22"/>
  <c r="U45" i="22"/>
  <c r="U47" i="22"/>
  <c r="U64" i="22"/>
  <c r="J12" i="20"/>
  <c r="J13" i="20" s="1"/>
  <c r="J14" i="20" s="1"/>
  <c r="J15" i="20" s="1"/>
  <c r="J16" i="20" s="1"/>
  <c r="G13" i="20"/>
  <c r="G15" i="20"/>
  <c r="G21" i="20"/>
  <c r="G31" i="20"/>
  <c r="D51" i="20"/>
  <c r="J53" i="20" s="1"/>
  <c r="J58" i="20" s="1"/>
  <c r="J3" i="19"/>
  <c r="X15" i="19"/>
  <c r="X16" i="19"/>
  <c r="X21" i="19"/>
  <c r="X22" i="19"/>
  <c r="X23" i="19"/>
  <c r="X24" i="19"/>
  <c r="I25" i="19"/>
  <c r="L25" i="19"/>
  <c r="M25" i="19"/>
  <c r="Q25" i="19"/>
  <c r="R25" i="19"/>
  <c r="T25" i="19"/>
  <c r="U25" i="19"/>
  <c r="X25" i="19"/>
  <c r="X27" i="19"/>
  <c r="X32" i="19"/>
  <c r="X33" i="19"/>
  <c r="X34" i="19"/>
  <c r="X35" i="19"/>
  <c r="L36" i="19"/>
  <c r="M36" i="19"/>
  <c r="P36" i="19"/>
  <c r="R36" i="19"/>
  <c r="T36" i="19"/>
  <c r="U36" i="19"/>
  <c r="X36" i="19"/>
  <c r="X42" i="19"/>
  <c r="G47" i="19"/>
  <c r="I47" i="19" s="1"/>
  <c r="K47" i="19" s="1"/>
  <c r="O47" i="19" s="1"/>
  <c r="G48" i="19" s="1"/>
  <c r="I48" i="19" s="1"/>
  <c r="K48" i="19" s="1"/>
  <c r="O48" i="19" s="1"/>
  <c r="G49" i="19" s="1"/>
  <c r="I49" i="19" s="1"/>
  <c r="K49" i="19" s="1"/>
  <c r="O49" i="19" s="1"/>
  <c r="G50" i="19" s="1"/>
  <c r="I50" i="19" s="1"/>
  <c r="K50" i="19" s="1"/>
  <c r="O50" i="19" s="1"/>
  <c r="G51" i="19" s="1"/>
  <c r="I51" i="19" s="1"/>
  <c r="K51" i="19" s="1"/>
  <c r="O51" i="19" s="1"/>
  <c r="G52" i="19" s="1"/>
  <c r="I52" i="19" s="1"/>
  <c r="K52" i="19" s="1"/>
  <c r="O52" i="19" s="1"/>
  <c r="O54" i="19" s="1"/>
  <c r="X47" i="19"/>
  <c r="X50" i="19"/>
  <c r="X54" i="19"/>
  <c r="X56" i="19"/>
  <c r="X61" i="19"/>
  <c r="X62" i="19"/>
  <c r="X64" i="19"/>
  <c r="X66" i="19"/>
  <c r="X68" i="19"/>
  <c r="X70" i="19"/>
  <c r="I77" i="19"/>
  <c r="X77" i="19"/>
  <c r="I78" i="19"/>
  <c r="X78" i="19"/>
  <c r="X79" i="19"/>
  <c r="I82" i="19"/>
  <c r="X82" i="19"/>
  <c r="I83" i="19"/>
  <c r="X83" i="19"/>
  <c r="X84" i="19"/>
  <c r="X87" i="19"/>
  <c r="X91" i="19"/>
  <c r="L94" i="19"/>
  <c r="X94" i="19"/>
  <c r="L95" i="19"/>
  <c r="X95" i="19"/>
  <c r="X96" i="19"/>
  <c r="T98" i="19"/>
  <c r="X98" i="19"/>
  <c r="X100" i="19"/>
  <c r="C2" i="18"/>
  <c r="G3" i="17"/>
  <c r="I4" i="16"/>
  <c r="D19" i="16"/>
  <c r="D24" i="16" s="1"/>
  <c r="E19" i="16"/>
  <c r="E24" i="16" s="1"/>
  <c r="F19" i="16"/>
  <c r="F24" i="16" s="1"/>
  <c r="G19" i="16"/>
  <c r="G24" i="16" s="1"/>
  <c r="H19" i="16"/>
  <c r="H24" i="16" s="1"/>
  <c r="I19" i="16"/>
  <c r="I24" i="16" s="1"/>
  <c r="J19" i="16"/>
  <c r="J24" i="16" s="1"/>
  <c r="G41" i="16"/>
  <c r="G46" i="16" s="1"/>
  <c r="I4" i="15"/>
  <c r="D20" i="15"/>
  <c r="D25" i="15" s="1"/>
  <c r="E20" i="15"/>
  <c r="E25" i="15" s="1"/>
  <c r="F20" i="15"/>
  <c r="F25" i="15" s="1"/>
  <c r="G20" i="15"/>
  <c r="G25" i="15" s="1"/>
  <c r="H20" i="15"/>
  <c r="H25" i="15" s="1"/>
  <c r="I20" i="15"/>
  <c r="I25" i="15" s="1"/>
  <c r="J20" i="15"/>
  <c r="J25" i="15" s="1"/>
  <c r="D43" i="15"/>
  <c r="D48" i="15" s="1"/>
  <c r="F43" i="15"/>
  <c r="F48" i="15" s="1"/>
  <c r="G43" i="15"/>
  <c r="G48" i="15" s="1"/>
  <c r="I3" i="1"/>
  <c r="G200" i="67"/>
  <c r="H200" i="67" s="1"/>
  <c r="B134" i="35"/>
  <c r="G202" i="67"/>
  <c r="H202" i="67" s="1"/>
  <c r="B155" i="35"/>
  <c r="G217" i="67"/>
  <c r="H217" i="67" s="1"/>
  <c r="M19" i="53"/>
  <c r="A21" i="53"/>
  <c r="M21" i="53" s="1"/>
  <c r="G20" i="93"/>
  <c r="G2" i="99" l="1"/>
  <c r="I10" i="30"/>
  <c r="I12" i="30" s="1"/>
  <c r="J48" i="41" s="1"/>
  <c r="I53" i="30"/>
  <c r="I51" i="30"/>
  <c r="J10" i="70"/>
  <c r="J14" i="70" s="1"/>
  <c r="K28" i="20" s="1"/>
  <c r="H99" i="35"/>
  <c r="H98" i="35"/>
  <c r="R193" i="27"/>
  <c r="I10" i="59"/>
  <c r="I42" i="59"/>
  <c r="R195" i="27"/>
  <c r="H68" i="32"/>
  <c r="AE15" i="51"/>
  <c r="AF15" i="51"/>
  <c r="AE14" i="51"/>
  <c r="AF14" i="51"/>
  <c r="AE13" i="51"/>
  <c r="AF13" i="51"/>
  <c r="AE16" i="51"/>
  <c r="AF16" i="51"/>
  <c r="M69" i="54"/>
  <c r="O69" i="54" s="1"/>
  <c r="AE47" i="51"/>
  <c r="M71" i="54"/>
  <c r="O71" i="54" s="1"/>
  <c r="AE41" i="51"/>
  <c r="J40" i="41"/>
  <c r="B19" i="81"/>
  <c r="L45" i="23"/>
  <c r="K37" i="13"/>
  <c r="L48" i="23"/>
  <c r="K12" i="13"/>
  <c r="K46" i="13"/>
  <c r="F51" i="12"/>
  <c r="M51" i="12" s="1"/>
  <c r="M54" i="12" s="1"/>
  <c r="D24" i="72" s="1"/>
  <c r="K44" i="13"/>
  <c r="K48" i="13"/>
  <c r="C19" i="95"/>
  <c r="K13" i="13"/>
  <c r="J25" i="53" s="1"/>
  <c r="K47" i="13"/>
  <c r="K43" i="13"/>
  <c r="H108" i="27"/>
  <c r="H148" i="27"/>
  <c r="K25" i="13"/>
  <c r="K21" i="13"/>
  <c r="K31" i="13"/>
  <c r="AC20" i="57"/>
  <c r="X5" i="57" s="1"/>
  <c r="H35" i="32" s="1"/>
  <c r="E23" i="75"/>
  <c r="K26" i="13"/>
  <c r="K22" i="13"/>
  <c r="K18" i="13"/>
  <c r="K32" i="13"/>
  <c r="K14" i="13"/>
  <c r="J27" i="53" s="1"/>
  <c r="D15" i="80"/>
  <c r="T64" i="19"/>
  <c r="T68" i="19" s="1"/>
  <c r="I44" i="52" s="1"/>
  <c r="K44" i="52" s="1"/>
  <c r="C77" i="95"/>
  <c r="K38" i="13"/>
  <c r="D25" i="75"/>
  <c r="C30" i="75"/>
  <c r="F13" i="81"/>
  <c r="L40" i="41" s="1"/>
  <c r="E58" i="79"/>
  <c r="D11" i="72" s="1"/>
  <c r="K54" i="13"/>
  <c r="Q51" i="54"/>
  <c r="R96" i="19"/>
  <c r="R100" i="19" s="1"/>
  <c r="G22" i="42" s="1"/>
  <c r="N37" i="26"/>
  <c r="N39" i="26" s="1"/>
  <c r="C19" i="75"/>
  <c r="K24" i="13"/>
  <c r="K30" i="13"/>
  <c r="T95" i="19"/>
  <c r="H145" i="27"/>
  <c r="K53" i="13"/>
  <c r="E66" i="95"/>
  <c r="H35" i="82"/>
  <c r="H134" i="27"/>
  <c r="K15" i="13"/>
  <c r="J93" i="27"/>
  <c r="J124" i="27" s="1"/>
  <c r="H150" i="27"/>
  <c r="K11" i="13"/>
  <c r="H112" i="27"/>
  <c r="E17" i="75"/>
  <c r="H149" i="27"/>
  <c r="H117" i="27"/>
  <c r="H127" i="27"/>
  <c r="H124" i="27"/>
  <c r="D86" i="79"/>
  <c r="T94" i="19"/>
  <c r="D88" i="82"/>
  <c r="K19" i="13"/>
  <c r="K33" i="13"/>
  <c r="D19" i="95"/>
  <c r="E42" i="95"/>
  <c r="E62" i="95"/>
  <c r="C66" i="95"/>
  <c r="H25" i="53"/>
  <c r="H140" i="27"/>
  <c r="H143" i="27"/>
  <c r="L62" i="23"/>
  <c r="K20" i="13"/>
  <c r="K39" i="13"/>
  <c r="D49" i="82"/>
  <c r="E51" i="95"/>
  <c r="P96" i="19"/>
  <c r="P100" i="19" s="1"/>
  <c r="N9" i="26" s="1"/>
  <c r="N17" i="26" s="1"/>
  <c r="H110" i="27"/>
  <c r="M57" i="54"/>
  <c r="O57" i="54" s="1"/>
  <c r="E81" i="82"/>
  <c r="H81" i="82" s="1"/>
  <c r="I55" i="12"/>
  <c r="K16" i="13"/>
  <c r="K51" i="13"/>
  <c r="F40" i="95"/>
  <c r="F60" i="95"/>
  <c r="F65" i="95"/>
  <c r="D42" i="13"/>
  <c r="K42" i="13" s="1"/>
  <c r="Q49" i="54"/>
  <c r="C25" i="80"/>
  <c r="M55" i="42"/>
  <c r="D89" i="79" s="1"/>
  <c r="D88" i="79"/>
  <c r="G55" i="12"/>
  <c r="L55" i="12"/>
  <c r="E14" i="92" s="1"/>
  <c r="G49" i="82"/>
  <c r="A16" i="52"/>
  <c r="A23" i="53"/>
  <c r="M23" i="53" s="1"/>
  <c r="H114" i="27"/>
  <c r="J98" i="27"/>
  <c r="Q61" i="54"/>
  <c r="D55" i="12"/>
  <c r="J31" i="53" s="1"/>
  <c r="E55" i="12"/>
  <c r="F88" i="82"/>
  <c r="J36" i="23"/>
  <c r="J38" i="23" s="1"/>
  <c r="L158" i="27"/>
  <c r="R70" i="27"/>
  <c r="L35" i="53"/>
  <c r="J52" i="34"/>
  <c r="J60" i="34" s="1"/>
  <c r="K37" i="20" s="1"/>
  <c r="D25" i="80"/>
  <c r="V62" i="19"/>
  <c r="E28" i="95"/>
  <c r="C42" i="95"/>
  <c r="F61" i="95"/>
  <c r="J30" i="34"/>
  <c r="J38" i="34" s="1"/>
  <c r="K31" i="20" s="1"/>
  <c r="E36" i="18"/>
  <c r="H23" i="53"/>
  <c r="H47" i="82"/>
  <c r="J67" i="34"/>
  <c r="J71" i="34" s="1"/>
  <c r="K38" i="20" s="1"/>
  <c r="K63" i="20" s="1"/>
  <c r="K65" i="20" s="1"/>
  <c r="B45" i="26"/>
  <c r="N45" i="26"/>
  <c r="B22" i="26"/>
  <c r="N22" i="26"/>
  <c r="E18" i="91"/>
  <c r="R191" i="27"/>
  <c r="J68" i="41"/>
  <c r="L68" i="41"/>
  <c r="J12" i="29"/>
  <c r="J11" i="29"/>
  <c r="J47" i="29"/>
  <c r="J141" i="27"/>
  <c r="J108" i="27"/>
  <c r="J125" i="27"/>
  <c r="H115" i="27"/>
  <c r="J101" i="27"/>
  <c r="J115" i="27" s="1"/>
  <c r="L33" i="53"/>
  <c r="R87" i="19"/>
  <c r="D34" i="29"/>
  <c r="J37" i="29" s="1"/>
  <c r="D33" i="29"/>
  <c r="J36" i="29" s="1"/>
  <c r="D23" i="29"/>
  <c r="J25" i="29" s="1"/>
  <c r="J26" i="29" s="1"/>
  <c r="J27" i="29" s="1"/>
  <c r="I311" i="67"/>
  <c r="F311" i="67"/>
  <c r="I312" i="67"/>
  <c r="F312" i="67"/>
  <c r="I160" i="67"/>
  <c r="F160" i="67"/>
  <c r="J54" i="29"/>
  <c r="K23" i="20" s="1"/>
  <c r="J45" i="29"/>
  <c r="F21" i="87"/>
  <c r="F24" i="87" s="1"/>
  <c r="H29" i="32"/>
  <c r="J158" i="27"/>
  <c r="J23" i="35"/>
  <c r="J26" i="35" s="1"/>
  <c r="E21" i="25"/>
  <c r="E81" i="35" s="1"/>
  <c r="J16" i="25"/>
  <c r="H2" i="53"/>
  <c r="L2" i="41"/>
  <c r="F2" i="44"/>
  <c r="AD20" i="57"/>
  <c r="AG20" i="57" s="1"/>
  <c r="AO5" i="57" s="1"/>
  <c r="H37" i="32" s="1"/>
  <c r="J22" i="63"/>
  <c r="J15" i="63"/>
  <c r="M67" i="54"/>
  <c r="Q67" i="54" s="1"/>
  <c r="J55" i="12"/>
  <c r="T84" i="19"/>
  <c r="J21" i="53" s="1"/>
  <c r="E75" i="95"/>
  <c r="F41" i="92"/>
  <c r="F45" i="92" s="1"/>
  <c r="E43" i="92" s="1"/>
  <c r="C15" i="80"/>
  <c r="L47" i="23"/>
  <c r="D87" i="79"/>
  <c r="K45" i="13"/>
  <c r="D27" i="79"/>
  <c r="D35" i="79" s="1"/>
  <c r="E44" i="79" s="1"/>
  <c r="D9" i="72" s="1"/>
  <c r="J41" i="16"/>
  <c r="J46" i="16" s="1"/>
  <c r="H21" i="53" s="1"/>
  <c r="J34" i="13"/>
  <c r="H71" i="82"/>
  <c r="E19" i="95"/>
  <c r="J110" i="27"/>
  <c r="Q47" i="54"/>
  <c r="L63" i="23"/>
  <c r="K23" i="13"/>
  <c r="J15" i="23"/>
  <c r="H14" i="58"/>
  <c r="I13" i="98"/>
  <c r="J143" i="27"/>
  <c r="H109" i="27"/>
  <c r="H142" i="27"/>
  <c r="E23" i="18"/>
  <c r="D74" i="51"/>
  <c r="H55" i="12"/>
  <c r="AC33" i="57"/>
  <c r="AL19" i="57" s="1"/>
  <c r="AN19" i="57" s="1"/>
  <c r="AJ7" i="57" s="1"/>
  <c r="H48" i="32" s="1"/>
  <c r="F17" i="95"/>
  <c r="E73" i="95"/>
  <c r="F18" i="91"/>
  <c r="M33" i="12"/>
  <c r="D20" i="72" s="1"/>
  <c r="J95" i="27"/>
  <c r="C55" i="12"/>
  <c r="L50" i="19"/>
  <c r="D77" i="95"/>
  <c r="M26" i="12"/>
  <c r="D19" i="72" s="1"/>
  <c r="F32" i="60"/>
  <c r="H29" i="53" s="1"/>
  <c r="L29" i="53" s="1"/>
  <c r="F49" i="82"/>
  <c r="G88" i="82"/>
  <c r="H12" i="58"/>
  <c r="F13" i="95"/>
  <c r="F36" i="95"/>
  <c r="D42" i="95"/>
  <c r="C62" i="95"/>
  <c r="F64" i="95"/>
  <c r="E74" i="95"/>
  <c r="Q63" i="54"/>
  <c r="H20" i="32"/>
  <c r="J24" i="23"/>
  <c r="J49" i="23"/>
  <c r="J54" i="23" s="1"/>
  <c r="J66" i="23"/>
  <c r="H66" i="23"/>
  <c r="H69" i="23" s="1"/>
  <c r="L65" i="23"/>
  <c r="I31" i="93"/>
  <c r="G31" i="93"/>
  <c r="J29" i="90"/>
  <c r="J11" i="90"/>
  <c r="J13" i="90"/>
  <c r="J31" i="90"/>
  <c r="J23" i="90"/>
  <c r="J26" i="90" s="1"/>
  <c r="J9" i="90"/>
  <c r="J19" i="90"/>
  <c r="J21" i="90" s="1"/>
  <c r="J7" i="90"/>
  <c r="T28" i="65"/>
  <c r="H31" i="53" s="1"/>
  <c r="F41" i="60"/>
  <c r="E29" i="92"/>
  <c r="G21" i="25"/>
  <c r="E12" i="25"/>
  <c r="E62" i="35" s="1"/>
  <c r="E22" i="25"/>
  <c r="E73" i="35" s="1"/>
  <c r="C73" i="35" s="1"/>
  <c r="L26" i="22"/>
  <c r="T47" i="19"/>
  <c r="D27" i="13"/>
  <c r="D34" i="13"/>
  <c r="G84" i="23"/>
  <c r="J84" i="23" s="1"/>
  <c r="T79" i="19"/>
  <c r="T32" i="22"/>
  <c r="P32" i="22" s="1"/>
  <c r="O41" i="54"/>
  <c r="T47" i="22"/>
  <c r="P50" i="19"/>
  <c r="T50" i="19" s="1"/>
  <c r="M48" i="12"/>
  <c r="D22" i="72" s="1"/>
  <c r="E39" i="35"/>
  <c r="E41" i="35" s="1"/>
  <c r="E42" i="35" s="1"/>
  <c r="E43" i="35" s="1"/>
  <c r="R52" i="22"/>
  <c r="I48" i="30"/>
  <c r="R64" i="19"/>
  <c r="R68" i="19" s="1"/>
  <c r="I42" i="52" s="1"/>
  <c r="K42" i="52" s="1"/>
  <c r="V61" i="19"/>
  <c r="T51" i="19"/>
  <c r="T49" i="19"/>
  <c r="L51" i="19"/>
  <c r="L52" i="19"/>
  <c r="P87" i="19"/>
  <c r="H59" i="32"/>
  <c r="H61" i="32"/>
  <c r="H50" i="32"/>
  <c r="H54" i="32" s="1"/>
  <c r="I27" i="59"/>
  <c r="I28" i="59" s="1"/>
  <c r="F34" i="91"/>
  <c r="F35" i="91" s="1"/>
  <c r="I3" i="16"/>
  <c r="E3" i="96"/>
  <c r="G2" i="58"/>
  <c r="E2" i="87"/>
  <c r="G2" i="17"/>
  <c r="G2" i="69"/>
  <c r="B5" i="72"/>
  <c r="H2" i="70"/>
  <c r="K2" i="27"/>
  <c r="G2" i="32"/>
  <c r="D1" i="79"/>
  <c r="H2" i="30"/>
  <c r="J2" i="23"/>
  <c r="G2" i="51"/>
  <c r="G2" i="81"/>
  <c r="F2" i="35"/>
  <c r="H2" i="63"/>
  <c r="A3" i="54"/>
  <c r="K2" i="42"/>
  <c r="G2" i="25"/>
  <c r="H2" i="31"/>
  <c r="F2" i="28"/>
  <c r="D1" i="92"/>
  <c r="H2" i="90"/>
  <c r="L2" i="26"/>
  <c r="M2" i="48"/>
  <c r="I3" i="15"/>
  <c r="J3" i="12"/>
  <c r="H2" i="59"/>
  <c r="E3" i="85"/>
  <c r="P2" i="22"/>
  <c r="F1" i="82"/>
  <c r="I2" i="1"/>
  <c r="D19" i="1" s="1"/>
  <c r="D1" i="94"/>
  <c r="E2" i="45"/>
  <c r="I3" i="13"/>
  <c r="F2" i="89"/>
  <c r="D2" i="86"/>
  <c r="G1" i="43"/>
  <c r="C1" i="18"/>
  <c r="D1" i="75"/>
  <c r="D1" i="91"/>
  <c r="H3" i="34"/>
  <c r="J2" i="19"/>
  <c r="G2" i="52"/>
  <c r="E3" i="95"/>
  <c r="E3" i="60"/>
  <c r="F1" i="93"/>
  <c r="M2" i="54"/>
  <c r="H2" i="29"/>
  <c r="G20" i="25"/>
  <c r="G39" i="35"/>
  <c r="G41" i="35" s="1"/>
  <c r="G48" i="35" s="1"/>
  <c r="G50" i="35" s="1"/>
  <c r="L52" i="23"/>
  <c r="H6" i="32"/>
  <c r="H27" i="32"/>
  <c r="I11" i="59"/>
  <c r="P80" i="19"/>
  <c r="Q54" i="19"/>
  <c r="H144" i="27"/>
  <c r="H128" i="27"/>
  <c r="H111" i="27"/>
  <c r="H27" i="53"/>
  <c r="J36" i="15"/>
  <c r="J43" i="15" s="1"/>
  <c r="J48" i="15" s="1"/>
  <c r="H19" i="53" s="1"/>
  <c r="K17" i="13"/>
  <c r="J128" i="27"/>
  <c r="Q65" i="54"/>
  <c r="J134" i="27"/>
  <c r="J117" i="27"/>
  <c r="J150" i="27"/>
  <c r="D36" i="13"/>
  <c r="M39" i="12"/>
  <c r="H139" i="35"/>
  <c r="F39" i="35"/>
  <c r="F41" i="35" s="1"/>
  <c r="H66" i="35"/>
  <c r="L49" i="19"/>
  <c r="K29" i="13"/>
  <c r="J144" i="27"/>
  <c r="J102" i="27"/>
  <c r="Q45" i="54"/>
  <c r="O39" i="54"/>
  <c r="G20" i="28"/>
  <c r="H41" i="53"/>
  <c r="D61" i="79"/>
  <c r="E69" i="79" s="1"/>
  <c r="D12" i="72" s="1"/>
  <c r="M20" i="42"/>
  <c r="D22" i="75"/>
  <c r="M53" i="54"/>
  <c r="O53" i="54" s="1"/>
  <c r="H119" i="35"/>
  <c r="H118" i="35"/>
  <c r="H41" i="16"/>
  <c r="H46" i="16" s="1"/>
  <c r="L64" i="23"/>
  <c r="D39" i="35"/>
  <c r="H43" i="15"/>
  <c r="H48" i="15" s="1"/>
  <c r="H116" i="27"/>
  <c r="H131" i="27"/>
  <c r="J100" i="27"/>
  <c r="K26" i="52"/>
  <c r="Q59" i="54"/>
  <c r="J99" i="27"/>
  <c r="H146" i="27"/>
  <c r="H130" i="27"/>
  <c r="H141" i="27"/>
  <c r="H125" i="27"/>
  <c r="M30" i="42"/>
  <c r="J23" i="53" s="1"/>
  <c r="K55" i="12"/>
  <c r="H49" i="23"/>
  <c r="H54" i="23" s="1"/>
  <c r="F56" i="13"/>
  <c r="J27" i="13"/>
  <c r="G81" i="23"/>
  <c r="J81" i="23" s="1"/>
  <c r="D24" i="75"/>
  <c r="G56" i="13" s="1"/>
  <c r="G57" i="13" s="1"/>
  <c r="R48" i="19"/>
  <c r="T48" i="19" s="1"/>
  <c r="L48" i="19"/>
  <c r="F24" i="91"/>
  <c r="H63" i="82"/>
  <c r="J55" i="13"/>
  <c r="J49" i="13"/>
  <c r="H25" i="82"/>
  <c r="A28" i="52"/>
  <c r="L26" i="52"/>
  <c r="D6" i="79"/>
  <c r="J40" i="13"/>
  <c r="T52" i="19"/>
  <c r="H63" i="32"/>
  <c r="E15" i="82" s="1"/>
  <c r="H46" i="32"/>
  <c r="E24" i="91"/>
  <c r="E35" i="91"/>
  <c r="L47" i="19"/>
  <c r="D52" i="94"/>
  <c r="D62" i="95"/>
  <c r="D66" i="95"/>
  <c r="J14" i="31"/>
  <c r="J17" i="31" s="1"/>
  <c r="K36" i="20" s="1"/>
  <c r="B54" i="23"/>
  <c r="G12" i="25"/>
  <c r="I16" i="30"/>
  <c r="I18" i="30" s="1"/>
  <c r="L48" i="41" s="1"/>
  <c r="J43" i="29"/>
  <c r="H86" i="82" l="1"/>
  <c r="I81" i="82"/>
  <c r="L72" i="41"/>
  <c r="J72" i="41"/>
  <c r="J29" i="41"/>
  <c r="AF74" i="51"/>
  <c r="K48" i="52" s="1"/>
  <c r="Q69" i="54"/>
  <c r="Q71" i="54"/>
  <c r="L49" i="23"/>
  <c r="L27" i="53"/>
  <c r="G90" i="82"/>
  <c r="T96" i="19"/>
  <c r="D52" i="13"/>
  <c r="D55" i="13" s="1"/>
  <c r="D23" i="72"/>
  <c r="F54" i="12"/>
  <c r="F55" i="12" s="1"/>
  <c r="C32" i="75"/>
  <c r="K34" i="13"/>
  <c r="L25" i="53"/>
  <c r="J47" i="53"/>
  <c r="L47" i="53" s="1"/>
  <c r="F66" i="95"/>
  <c r="Q57" i="54"/>
  <c r="L31" i="53"/>
  <c r="H13" i="81"/>
  <c r="H18" i="81" s="1"/>
  <c r="J49" i="53"/>
  <c r="L49" i="53" s="1"/>
  <c r="E68" i="95"/>
  <c r="J140" i="27"/>
  <c r="R151" i="27" s="1"/>
  <c r="A25" i="53"/>
  <c r="M25" i="53" s="1"/>
  <c r="D90" i="82"/>
  <c r="E42" i="94" s="1"/>
  <c r="E44" i="94" s="1"/>
  <c r="E46" i="94" s="1"/>
  <c r="E54" i="94" s="1"/>
  <c r="E56" i="94" s="1"/>
  <c r="E57" i="94" s="1"/>
  <c r="J107" i="27"/>
  <c r="O67" i="54"/>
  <c r="F90" i="82"/>
  <c r="E24" i="75"/>
  <c r="L66" i="23"/>
  <c r="N21" i="26"/>
  <c r="N49" i="26" s="1"/>
  <c r="K17" i="20" s="1"/>
  <c r="AL23" i="57"/>
  <c r="AN23" i="57" s="1"/>
  <c r="AL6" i="57" s="1"/>
  <c r="R54" i="22" s="1"/>
  <c r="R62" i="22" s="1"/>
  <c r="K27" i="13"/>
  <c r="H40" i="32"/>
  <c r="T100" i="19"/>
  <c r="C68" i="95"/>
  <c r="E86" i="82"/>
  <c r="F62" i="95"/>
  <c r="J112" i="27"/>
  <c r="J145" i="27"/>
  <c r="J129" i="27"/>
  <c r="D68" i="95"/>
  <c r="J69" i="23"/>
  <c r="L69" i="23" s="1"/>
  <c r="D49" i="13"/>
  <c r="K49" i="13" s="1"/>
  <c r="F42" i="95"/>
  <c r="F19" i="95"/>
  <c r="G47" i="28"/>
  <c r="K21" i="20" s="1"/>
  <c r="A18" i="52"/>
  <c r="L16" i="52"/>
  <c r="L23" i="53"/>
  <c r="E114" i="79"/>
  <c r="D15" i="72" s="1"/>
  <c r="H56" i="32"/>
  <c r="L29" i="41"/>
  <c r="F31" i="87"/>
  <c r="T87" i="19"/>
  <c r="J132" i="27"/>
  <c r="J148" i="27"/>
  <c r="J38" i="29"/>
  <c r="J28" i="29"/>
  <c r="F161" i="35"/>
  <c r="H161" i="35" s="1"/>
  <c r="J19" i="53"/>
  <c r="E71" i="35"/>
  <c r="C21" i="25"/>
  <c r="J24" i="63"/>
  <c r="J26" i="23"/>
  <c r="J59" i="90"/>
  <c r="J61" i="90" s="1"/>
  <c r="J126" i="27"/>
  <c r="J109" i="27"/>
  <c r="J142" i="27"/>
  <c r="J17" i="90"/>
  <c r="E77" i="95"/>
  <c r="K45" i="20"/>
  <c r="M45" i="20" s="1"/>
  <c r="J35" i="90"/>
  <c r="F81" i="35"/>
  <c r="C81" i="35" s="1"/>
  <c r="J18" i="25"/>
  <c r="F71" i="35"/>
  <c r="C22" i="25"/>
  <c r="E82" i="35"/>
  <c r="C82" i="35" s="1"/>
  <c r="J86" i="23"/>
  <c r="R32" i="22"/>
  <c r="P54" i="19"/>
  <c r="I38" i="52" s="1"/>
  <c r="K38" i="52" s="1"/>
  <c r="I30" i="30"/>
  <c r="J180" i="27"/>
  <c r="V64" i="19"/>
  <c r="J179" i="27"/>
  <c r="I32" i="59"/>
  <c r="I38" i="59" s="1"/>
  <c r="I31" i="59"/>
  <c r="I37" i="59" s="1"/>
  <c r="I30" i="59"/>
  <c r="I36" i="59" s="1"/>
  <c r="I39" i="59"/>
  <c r="C20" i="25"/>
  <c r="F70" i="35"/>
  <c r="C70" i="35" s="1"/>
  <c r="L54" i="23"/>
  <c r="G42" i="35"/>
  <c r="G43" i="35" s="1"/>
  <c r="I14" i="59"/>
  <c r="I20" i="59" s="1"/>
  <c r="I15" i="59"/>
  <c r="I21" i="59" s="1"/>
  <c r="I13" i="59"/>
  <c r="I19" i="59" s="1"/>
  <c r="I22" i="59"/>
  <c r="H15" i="82"/>
  <c r="I15" i="82" s="1"/>
  <c r="D26" i="75"/>
  <c r="E26" i="75" s="1"/>
  <c r="Q53" i="54"/>
  <c r="K36" i="13"/>
  <c r="J41" i="53" s="1"/>
  <c r="L41" i="53" s="1"/>
  <c r="D40" i="13"/>
  <c r="K40" i="13" s="1"/>
  <c r="S54" i="19"/>
  <c r="R80" i="19"/>
  <c r="J113" i="27"/>
  <c r="J146" i="27"/>
  <c r="J130" i="27"/>
  <c r="J147" i="27"/>
  <c r="J131" i="27"/>
  <c r="J114" i="27"/>
  <c r="D18" i="58"/>
  <c r="F48" i="35"/>
  <c r="F50" i="35" s="1"/>
  <c r="F42" i="35"/>
  <c r="F43" i="35" s="1"/>
  <c r="N11" i="22"/>
  <c r="N15" i="22" s="1"/>
  <c r="R54" i="19"/>
  <c r="L28" i="52"/>
  <c r="A30" i="52"/>
  <c r="E48" i="35"/>
  <c r="E50" i="35" s="1"/>
  <c r="D41" i="35"/>
  <c r="E22" i="75"/>
  <c r="J149" i="27"/>
  <c r="J116" i="27"/>
  <c r="J133" i="27"/>
  <c r="D21" i="72"/>
  <c r="M55" i="12"/>
  <c r="T54" i="19"/>
  <c r="L11" i="22"/>
  <c r="B12" i="25"/>
  <c r="F62" i="35"/>
  <c r="B62" i="35" s="1"/>
  <c r="T62" i="22" l="1"/>
  <c r="F25" i="91"/>
  <c r="F27" i="91" s="1"/>
  <c r="F29" i="91" s="1"/>
  <c r="I35" i="93" s="1"/>
  <c r="I33" i="93" s="1"/>
  <c r="K20" i="20"/>
  <c r="K52" i="13"/>
  <c r="D25" i="72"/>
  <c r="F68" i="95"/>
  <c r="D30" i="75"/>
  <c r="A27" i="53"/>
  <c r="A29" i="53" s="1"/>
  <c r="A20" i="52"/>
  <c r="L20" i="52" s="1"/>
  <c r="L18" i="52"/>
  <c r="J7" i="29"/>
  <c r="J13" i="29" s="1"/>
  <c r="J18" i="29" s="1"/>
  <c r="I50" i="35"/>
  <c r="F11" i="35" s="1"/>
  <c r="K19" i="20"/>
  <c r="J37" i="41"/>
  <c r="R118" i="27"/>
  <c r="J155" i="27" s="1"/>
  <c r="J162" i="27" s="1"/>
  <c r="J172" i="27" s="1"/>
  <c r="L172" i="27" s="1"/>
  <c r="C71" i="35"/>
  <c r="L90" i="23"/>
  <c r="R135" i="27"/>
  <c r="L155" i="27" s="1"/>
  <c r="L162" i="27" s="1"/>
  <c r="J173" i="27" s="1"/>
  <c r="L173" i="27" s="1"/>
  <c r="J43" i="90"/>
  <c r="J50" i="90" s="1"/>
  <c r="H68" i="35"/>
  <c r="R70" i="19"/>
  <c r="T29" i="22" s="1"/>
  <c r="T35" i="22" s="1"/>
  <c r="V68" i="19"/>
  <c r="V70" i="19" s="1"/>
  <c r="D25" i="58"/>
  <c r="J181" i="27"/>
  <c r="I40" i="59"/>
  <c r="L60" i="41" s="1"/>
  <c r="I23" i="59"/>
  <c r="J56" i="13"/>
  <c r="H9" i="89"/>
  <c r="H11" i="89" s="1"/>
  <c r="H18" i="58"/>
  <c r="H21" i="58" s="1"/>
  <c r="J9" i="41" s="1"/>
  <c r="T80" i="19"/>
  <c r="G61" i="19"/>
  <c r="K61" i="19" s="1"/>
  <c r="M61" i="19" s="1"/>
  <c r="Q61" i="19" s="1"/>
  <c r="G62" i="19" s="1"/>
  <c r="K62" i="19" s="1"/>
  <c r="M62" i="19" s="1"/>
  <c r="Q62" i="19" s="1"/>
  <c r="Q64" i="19" s="1"/>
  <c r="S64" i="19" s="1"/>
  <c r="U64" i="19" s="1"/>
  <c r="Q66" i="19" s="1"/>
  <c r="S66" i="19" s="1"/>
  <c r="U66" i="19" s="1"/>
  <c r="Q68" i="19" s="1"/>
  <c r="I41" i="35"/>
  <c r="F16" i="35" s="1"/>
  <c r="H58" i="35"/>
  <c r="D42" i="35"/>
  <c r="D43" i="35" s="1"/>
  <c r="J45" i="53"/>
  <c r="L45" i="53" s="1"/>
  <c r="T70" i="19"/>
  <c r="I40" i="52"/>
  <c r="K40" i="52" s="1"/>
  <c r="K55" i="13"/>
  <c r="D56" i="13"/>
  <c r="L19" i="53"/>
  <c r="L30" i="52"/>
  <c r="A32" i="52"/>
  <c r="L15" i="22"/>
  <c r="P15" i="22" s="1"/>
  <c r="P11" i="22"/>
  <c r="K24" i="20"/>
  <c r="J51" i="29" l="1"/>
  <c r="H13" i="35"/>
  <c r="H62" i="35"/>
  <c r="H93" i="35"/>
  <c r="J60" i="41"/>
  <c r="I44" i="59"/>
  <c r="K11" i="20" s="1"/>
  <c r="D47" i="79"/>
  <c r="E51" i="79" s="1"/>
  <c r="D10" i="72" s="1"/>
  <c r="K44" i="20"/>
  <c r="F37" i="91"/>
  <c r="G33" i="93"/>
  <c r="G35" i="93" s="1"/>
  <c r="E30" i="75"/>
  <c r="M27" i="53"/>
  <c r="J17" i="41"/>
  <c r="L17" i="41"/>
  <c r="I43" i="35"/>
  <c r="F10" i="35" s="1"/>
  <c r="H15" i="89"/>
  <c r="J171" i="27"/>
  <c r="J165" i="27"/>
  <c r="J170" i="27"/>
  <c r="L170" i="27" s="1"/>
  <c r="L165" i="27"/>
  <c r="P184" i="27" s="1"/>
  <c r="I40" i="30"/>
  <c r="I44" i="30" s="1"/>
  <c r="H65" i="32"/>
  <c r="H74" i="32" s="1"/>
  <c r="K13" i="20"/>
  <c r="K56" i="13"/>
  <c r="P29" i="22"/>
  <c r="P35" i="22" s="1"/>
  <c r="P64" i="22" s="1"/>
  <c r="R29" i="22"/>
  <c r="H76" i="35"/>
  <c r="I88" i="35" s="1"/>
  <c r="L21" i="53"/>
  <c r="R11" i="22"/>
  <c r="R15" i="22" s="1"/>
  <c r="L7" i="41"/>
  <c r="H25" i="58"/>
  <c r="H27" i="58" s="1"/>
  <c r="L9" i="41" s="1"/>
  <c r="H18" i="89"/>
  <c r="H20" i="89" s="1"/>
  <c r="S68" i="19"/>
  <c r="P85" i="19"/>
  <c r="L32" i="52"/>
  <c r="A34" i="52"/>
  <c r="H113" i="35"/>
  <c r="N184" i="27"/>
  <c r="R176" i="27"/>
  <c r="H16" i="35"/>
  <c r="I38" i="30"/>
  <c r="I42" i="30" s="1"/>
  <c r="I56" i="30" s="1"/>
  <c r="J7" i="41"/>
  <c r="J8" i="25"/>
  <c r="J12" i="25" s="1"/>
  <c r="J33" i="63"/>
  <c r="J37" i="63" s="1"/>
  <c r="J40" i="63" s="1"/>
  <c r="J42" i="63" s="1"/>
  <c r="M29" i="53"/>
  <c r="A31" i="53"/>
  <c r="H100" i="35" l="1"/>
  <c r="H105" i="35" s="1"/>
  <c r="F13" i="35" s="1"/>
  <c r="R35" i="22"/>
  <c r="R64" i="22" s="1"/>
  <c r="L171" i="27"/>
  <c r="L184" i="27" s="1"/>
  <c r="J44" i="41"/>
  <c r="L44" i="41"/>
  <c r="H22" i="89"/>
  <c r="H28" i="89" s="1"/>
  <c r="K16" i="20"/>
  <c r="J47" i="63"/>
  <c r="J53" i="63" s="1"/>
  <c r="H29" i="58"/>
  <c r="E157" i="35"/>
  <c r="E156" i="35"/>
  <c r="E131" i="35"/>
  <c r="H131" i="35" s="1"/>
  <c r="E155" i="35"/>
  <c r="T15" i="22"/>
  <c r="J189" i="27"/>
  <c r="L189" i="27"/>
  <c r="J24" i="25"/>
  <c r="J30" i="25" s="1"/>
  <c r="J184" i="27"/>
  <c r="H120" i="35"/>
  <c r="H125" i="35" s="1"/>
  <c r="M31" i="53"/>
  <c r="A33" i="53"/>
  <c r="A36" i="52"/>
  <c r="L34" i="52"/>
  <c r="U68" i="19"/>
  <c r="R85" i="19"/>
  <c r="H12" i="35" l="1"/>
  <c r="H11" i="35"/>
  <c r="T64" i="22"/>
  <c r="R184" i="27"/>
  <c r="L174" i="27"/>
  <c r="J21" i="41"/>
  <c r="L21" i="41"/>
  <c r="K10" i="20"/>
  <c r="H10" i="35"/>
  <c r="K14" i="20"/>
  <c r="L13" i="41"/>
  <c r="R189" i="27"/>
  <c r="K34" i="20"/>
  <c r="E54" i="82" s="1"/>
  <c r="E55" i="82" s="1"/>
  <c r="L25" i="41"/>
  <c r="A38" i="52"/>
  <c r="L36" i="52"/>
  <c r="F12" i="35"/>
  <c r="F14" i="35" s="1"/>
  <c r="F159" i="35"/>
  <c r="H157" i="35"/>
  <c r="E137" i="35"/>
  <c r="H137" i="35" s="1"/>
  <c r="Q70" i="19"/>
  <c r="T85" i="19"/>
  <c r="M33" i="53"/>
  <c r="A35" i="53"/>
  <c r="R197" i="27" l="1"/>
  <c r="K18" i="20" s="1"/>
  <c r="J33" i="41"/>
  <c r="L33" i="41"/>
  <c r="J64" i="41"/>
  <c r="L64" i="41"/>
  <c r="J52" i="41"/>
  <c r="L52" i="41"/>
  <c r="E11" i="82"/>
  <c r="H11" i="82" s="1"/>
  <c r="J13" i="41"/>
  <c r="J25" i="41"/>
  <c r="H14" i="35"/>
  <c r="K27" i="20"/>
  <c r="K12" i="20"/>
  <c r="H159" i="35"/>
  <c r="H165" i="35" s="1"/>
  <c r="H54" i="82"/>
  <c r="I54" i="82" s="1"/>
  <c r="K15" i="20"/>
  <c r="M35" i="53"/>
  <c r="E141" i="35"/>
  <c r="H141" i="35" s="1"/>
  <c r="S70" i="19"/>
  <c r="P88" i="19"/>
  <c r="E88" i="82"/>
  <c r="H55" i="82"/>
  <c r="H88" i="82" s="1"/>
  <c r="L38" i="52"/>
  <c r="A40" i="52"/>
  <c r="H16" i="82" l="1"/>
  <c r="H49" i="82" s="1"/>
  <c r="H90" i="82" s="1"/>
  <c r="D42" i="94" s="1"/>
  <c r="I11" i="82"/>
  <c r="I90" i="82" s="1"/>
  <c r="K24" i="52" s="1"/>
  <c r="E16" i="82"/>
  <c r="E49" i="82" s="1"/>
  <c r="E90" i="82" s="1"/>
  <c r="J20" i="35"/>
  <c r="H145" i="35"/>
  <c r="H174" i="35" s="1"/>
  <c r="R88" i="19"/>
  <c r="U70" i="19"/>
  <c r="A42" i="52"/>
  <c r="L40" i="52"/>
  <c r="D44" i="94" l="1"/>
  <c r="D46" i="94" s="1"/>
  <c r="D54" i="94" s="1"/>
  <c r="D56" i="94" s="1"/>
  <c r="D57" i="94" s="1"/>
  <c r="E25" i="91"/>
  <c r="E27" i="91" s="1"/>
  <c r="E29" i="91" s="1"/>
  <c r="E37" i="91" s="1"/>
  <c r="E20" i="92"/>
  <c r="E24" i="92" s="1"/>
  <c r="E41" i="92" s="1"/>
  <c r="E45" i="92" s="1"/>
  <c r="D7" i="79"/>
  <c r="K22" i="20"/>
  <c r="J30" i="35"/>
  <c r="L42" i="52"/>
  <c r="A44" i="52"/>
  <c r="T88" i="19"/>
  <c r="G94" i="19"/>
  <c r="I94" i="19" s="1"/>
  <c r="K94" i="19" s="1"/>
  <c r="O94" i="19" s="1"/>
  <c r="G95" i="19" s="1"/>
  <c r="I95" i="19" s="1"/>
  <c r="K95" i="19" s="1"/>
  <c r="O95" i="19" s="1"/>
  <c r="O96" i="19" s="1"/>
  <c r="Q96" i="19" s="1"/>
  <c r="S96" i="19" s="1"/>
  <c r="O98" i="19" s="1"/>
  <c r="Q98" i="19" s="1"/>
  <c r="S98" i="19" s="1"/>
  <c r="O100" i="19" s="1"/>
  <c r="Q100" i="19" s="1"/>
  <c r="S100" i="19" s="1"/>
  <c r="J56" i="41" l="1"/>
  <c r="J76" i="41" s="1"/>
  <c r="J78" i="41" s="1"/>
  <c r="L56" i="41"/>
  <c r="L76" i="41" s="1"/>
  <c r="L78" i="41" s="1"/>
  <c r="K26" i="20"/>
  <c r="K29" i="20" s="1"/>
  <c r="K32" i="20" s="1"/>
  <c r="K40" i="20" s="1"/>
  <c r="K58" i="20" s="1"/>
  <c r="K67" i="20" s="1"/>
  <c r="D5" i="79" s="1"/>
  <c r="E8" i="79" s="1"/>
  <c r="E116" i="79" s="1"/>
  <c r="I22" i="52" s="1"/>
  <c r="L44" i="52"/>
  <c r="A46" i="52"/>
  <c r="A48" i="52" s="1"/>
  <c r="M41" i="53"/>
  <c r="A50" i="52" l="1"/>
  <c r="L50" i="52" s="1"/>
  <c r="L48" i="52"/>
  <c r="D8" i="72"/>
  <c r="D16" i="72" s="1"/>
  <c r="D27" i="72" s="1"/>
  <c r="M43" i="53"/>
  <c r="L46" i="52"/>
  <c r="G22" i="52" l="1"/>
  <c r="K22" i="52" s="1"/>
  <c r="D8" i="75"/>
  <c r="D31" i="72"/>
  <c r="M45" i="53"/>
  <c r="M49" i="53" l="1"/>
  <c r="M47" i="53"/>
  <c r="E8" i="75" l="1"/>
  <c r="E9" i="75" s="1"/>
  <c r="D9" i="75"/>
  <c r="D19" i="75" s="1"/>
  <c r="E19" i="75" s="1"/>
  <c r="E32" i="75" s="1"/>
  <c r="D32" i="75" l="1"/>
</calcChain>
</file>

<file path=xl/comments1.xml><?xml version="1.0" encoding="utf-8"?>
<comments xmlns="http://schemas.openxmlformats.org/spreadsheetml/2006/main">
  <authors>
    <author>Fry, Martin (EDU)</author>
  </authors>
  <commentList>
    <comment ref="E14" authorId="0">
      <text>
        <r>
          <rPr>
            <b/>
            <sz val="9"/>
            <color indexed="81"/>
            <rFont val="Tahoma"/>
            <family val="2"/>
          </rPr>
          <t>Fry, Martin (EDU):</t>
        </r>
        <r>
          <rPr>
            <sz val="9"/>
            <color indexed="81"/>
            <rFont val="Tahoma"/>
            <family val="2"/>
          </rPr>
          <t xml:space="preserve">
Requires formula and change in Sch 3C for Financial Statements
</t>
        </r>
      </text>
    </comment>
  </commentList>
</comments>
</file>

<file path=xl/comments2.xml><?xml version="1.0" encoding="utf-8"?>
<comments xmlns="http://schemas.openxmlformats.org/spreadsheetml/2006/main">
  <authors>
    <author>Fry, Martin (EDU)</author>
  </authors>
  <commentList>
    <comment ref="G15" authorId="0">
      <text>
        <r>
          <rPr>
            <b/>
            <sz val="9"/>
            <color indexed="81"/>
            <rFont val="Tahoma"/>
            <family val="2"/>
          </rPr>
          <t>Fry, Martin (EDU):</t>
        </r>
        <r>
          <rPr>
            <sz val="9"/>
            <color indexed="81"/>
            <rFont val="Tahoma"/>
            <family val="2"/>
          </rPr>
          <t xml:space="preserve">
These cells require formulas picking up from Schedule 3C for Financial Statements purposes.
</t>
        </r>
      </text>
    </comment>
  </commentList>
</comments>
</file>

<file path=xl/sharedStrings.xml><?xml version="1.0" encoding="utf-8"?>
<sst xmlns="http://schemas.openxmlformats.org/spreadsheetml/2006/main" count="5573" uniqueCount="3241">
  <si>
    <t>Years of teaching experience/
Années d'exp en enseignement</t>
  </si>
  <si>
    <t>A1 / Gr 1</t>
  </si>
  <si>
    <t>A2 / Gr 2</t>
  </si>
  <si>
    <t>A3 / Gr 3</t>
  </si>
  <si>
    <t>A4 / Gr 4</t>
  </si>
  <si>
    <t>Elementary 
(Col.1 x Col. 3) 
(two decimals)</t>
  </si>
  <si>
    <t>Secondary 
(Col. 2 X Col. 3) 
(two decimals)</t>
  </si>
  <si>
    <t>Other Capital, Leases</t>
  </si>
  <si>
    <t>Schedule 10A,                 CP5015 +                        Schedule 10B, CP5035</t>
  </si>
  <si>
    <t>Schedule 10ADJ, CP6819</t>
  </si>
  <si>
    <t>1.3.10</t>
  </si>
  <si>
    <t>1.3.14</t>
  </si>
  <si>
    <t>Number of Secondary schools in which pupils were enrolled in day school program in current year</t>
  </si>
  <si>
    <t>Special Education</t>
  </si>
  <si>
    <t>School Foundation</t>
  </si>
  <si>
    <t>Salaries, wages and employee benefits that are not payable as a result of employees withholding their services or a lockout.</t>
  </si>
  <si>
    <t>Library Teachers</t>
  </si>
  <si>
    <t>Section 1 - Summary of Allocations</t>
  </si>
  <si>
    <t>Item Reference</t>
  </si>
  <si>
    <t>First Nation, Métis and Inuit Education Supplemental Allocation</t>
  </si>
  <si>
    <t>1.26.1</t>
  </si>
  <si>
    <t>1.26.2</t>
  </si>
  <si>
    <t>1.26.3</t>
  </si>
  <si>
    <t>(Note)</t>
  </si>
  <si>
    <t>Land &amp; Land Improvement with Infinite Lives</t>
  </si>
  <si>
    <t>Buildings - 40 years</t>
  </si>
  <si>
    <t>Supplementary Information on Salaries and Benefits</t>
  </si>
  <si>
    <t>10G</t>
  </si>
  <si>
    <t>Supplementary Information on Retirement Benefits and Termination Benefits</t>
  </si>
  <si>
    <t>Gain on Disposal</t>
  </si>
  <si>
    <t>Loss on Disposal</t>
  </si>
  <si>
    <t>Continuing Education / Literacy &amp; Numeracy / Summer School</t>
  </si>
  <si>
    <t>Subject other than  French but taught in French language (grades 11 and 12)</t>
  </si>
  <si>
    <t>French as a Second Language - Secondary amount</t>
  </si>
  <si>
    <t>Moyenne salariale des enseignants dans des établissement de soins, de traitement et de services correctionnels (AAS niveau 4) au secondaire</t>
  </si>
  <si>
    <t>Tableau 10A&amp;10B, C3132</t>
  </si>
  <si>
    <t>Annexe H, C1296</t>
  </si>
  <si>
    <t>Governance allocation</t>
  </si>
  <si>
    <t>Operating Fund - Revenues</t>
  </si>
  <si>
    <t>10ADJ</t>
  </si>
  <si>
    <t>Amount per JK to Grade 3 Pupil</t>
  </si>
  <si>
    <t>SEPPA (Inflation on High Needs Amount also reflected here)</t>
  </si>
  <si>
    <t>JK to Grade 3</t>
  </si>
  <si>
    <t>Grade 4 to 8</t>
  </si>
  <si>
    <t>FSL - ELEMENTARY</t>
  </si>
  <si>
    <t>20 but &lt;60 (grades 4 to 8 only)</t>
  </si>
  <si>
    <t>60 but&lt;150 (grades 4 to 8 only)</t>
  </si>
  <si>
    <t>150 or more (grades 1 to 8 only)</t>
  </si>
  <si>
    <t>Autres - dép. non liées au fonctionnement</t>
  </si>
  <si>
    <t>From Sept. 1, 2007 to Aug. 31, 2008</t>
  </si>
  <si>
    <t>Textbooks and Classroom supplies</t>
  </si>
  <si>
    <t>Continuing Education, Summer School, PLAR</t>
  </si>
  <si>
    <t>13.3.1</t>
  </si>
  <si>
    <t>13.3.2</t>
  </si>
  <si>
    <t>13.3.3</t>
  </si>
  <si>
    <t>Where a board's teacher salary grid identifies teachers with 13 years of teaching experience or more,  report the average under the line 13+.</t>
  </si>
  <si>
    <t>Compare the number of Elementary pupils, who entered Canada, reported in line 1999/00 with 2000/01</t>
  </si>
  <si>
    <t>Section 3, Item 3.7, CP0661</t>
  </si>
  <si>
    <t>Colonne B</t>
  </si>
  <si>
    <t>Col. A / Col. B</t>
  </si>
  <si>
    <t>ESL, PDF</t>
  </si>
  <si>
    <t>ESL</t>
  </si>
  <si>
    <t>Compare le nombre d'élèves à l'élémentaire du conseil,qui sont arrivés au Canada en 1998/99 avec 1999/00</t>
  </si>
  <si>
    <t>Section 3, poste 3.7, C0665</t>
  </si>
  <si>
    <t>Section 3, poste 3.7, C0663</t>
  </si>
  <si>
    <t>E0789</t>
  </si>
  <si>
    <t>E0706</t>
  </si>
  <si>
    <t>3.1.1</t>
  </si>
  <si>
    <t>3.1.2</t>
  </si>
  <si>
    <t>French as a Second Language - Elementary amount</t>
  </si>
  <si>
    <t>Warning</t>
  </si>
  <si>
    <t>TOTAL SCHOOL OPERATIONS ALLOCATIONS</t>
  </si>
  <si>
    <t>ALLOCATION FOR SCHOOL RENEWAL</t>
  </si>
  <si>
    <t>Continuing Education Average Daily Enrolment</t>
  </si>
  <si>
    <t>Adult Native as a second language</t>
  </si>
  <si>
    <t>Col. 15</t>
  </si>
  <si>
    <t>Summer School Average Daily Enrolment</t>
  </si>
  <si>
    <t xml:space="preserve">Allocation for board administration costs </t>
  </si>
  <si>
    <t>Ministry Adjustment (for Ministry use only)</t>
  </si>
  <si>
    <t>Base for Grant Advances</t>
  </si>
  <si>
    <t>Ministry Adjustment should be zero.</t>
  </si>
  <si>
    <t>Section 1</t>
  </si>
  <si>
    <t>Section 3 - Language Allocations</t>
  </si>
  <si>
    <t>I00104</t>
  </si>
  <si>
    <t>I00105</t>
  </si>
  <si>
    <t>I00106</t>
  </si>
  <si>
    <t>I00107</t>
  </si>
  <si>
    <t>I00108</t>
  </si>
  <si>
    <t>I00109</t>
  </si>
  <si>
    <t>I00110</t>
  </si>
  <si>
    <t>I00111</t>
  </si>
  <si>
    <t>I00112</t>
  </si>
  <si>
    <t>I00501</t>
  </si>
  <si>
    <t>Section 3, poste 3.7, C0664</t>
  </si>
  <si>
    <t>Section 13 - Learning Opportunities Allocation</t>
  </si>
  <si>
    <t>Please indicate the most recent school year reflected on the salary grid:</t>
  </si>
  <si>
    <t>YEAR / ANNÉE</t>
  </si>
  <si>
    <t>(Col. 2 X Col. 4)</t>
  </si>
  <si>
    <t>Enveloping</t>
  </si>
  <si>
    <t>I00101</t>
  </si>
  <si>
    <t>1.10</t>
  </si>
  <si>
    <t>Note 1 :</t>
  </si>
  <si>
    <t>Error Messages</t>
  </si>
  <si>
    <t>Worksheet cross-references</t>
  </si>
  <si>
    <t>Column A</t>
  </si>
  <si>
    <t>Column B</t>
  </si>
  <si>
    <t>$ Col. A</t>
  </si>
  <si>
    <t>$ Col. B</t>
  </si>
  <si>
    <t xml:space="preserve">equal to </t>
  </si>
  <si>
    <t>E0713</t>
  </si>
  <si>
    <t>E0720</t>
  </si>
  <si>
    <t>E0727</t>
  </si>
  <si>
    <t>E0734</t>
  </si>
  <si>
    <t>E0741</t>
  </si>
  <si>
    <t>E0748</t>
  </si>
  <si>
    <t>E0755</t>
  </si>
  <si>
    <t>E0762</t>
  </si>
  <si>
    <t>E0769</t>
  </si>
  <si>
    <t>E0776</t>
  </si>
  <si>
    <t>Other Buildings</t>
  </si>
  <si>
    <t>Portable Structures</t>
  </si>
  <si>
    <t>SUBTOTAL</t>
  </si>
  <si>
    <t>Asset Permanently Removed From Service</t>
  </si>
  <si>
    <t>Construction In Progress Assets</t>
  </si>
  <si>
    <t>Construction In Progress - 40 years</t>
  </si>
  <si>
    <t>Construction In Progress - 20 years</t>
  </si>
  <si>
    <t>Construction In Progress - Portables</t>
  </si>
  <si>
    <t>Capital Leased Assets</t>
  </si>
  <si>
    <t>Buildings</t>
  </si>
  <si>
    <t>GRAND TOTAL</t>
  </si>
  <si>
    <t>Grades 7 &amp; 8 Student Success Teachers &amp; Literacy/Numeracy Coaches:</t>
  </si>
  <si>
    <t>Q &amp; E factor + 1</t>
  </si>
  <si>
    <t>Full Day K Classroom</t>
  </si>
  <si>
    <t>All school authorities must complete this section in order to generate the appropriate allocation calculations</t>
  </si>
  <si>
    <t>Sum of Day School ADE categories</t>
  </si>
  <si>
    <t>must equal:</t>
  </si>
  <si>
    <t>Secondary Total (Item 4.1.4 + Item 4.1.5 must equal the specified codepoint)</t>
  </si>
  <si>
    <t>E0893</t>
  </si>
  <si>
    <t>Elementary calculated factor (Item 7.1 X 7.3) (four decimals) - English Language Instructional Unit</t>
  </si>
  <si>
    <t>Land</t>
  </si>
  <si>
    <t>Land Improvements</t>
  </si>
  <si>
    <t>Note:</t>
  </si>
  <si>
    <t>&amp;=IF(G12&lt;&gt;I12,"ERROR","")</t>
  </si>
  <si>
    <t>Transportation - Contracted and Board-Owned Vehicles</t>
  </si>
  <si>
    <t>F1.1</t>
  </si>
  <si>
    <t>Transportation - Board-Owned Vehicles - Details</t>
  </si>
  <si>
    <t>F2</t>
  </si>
  <si>
    <t>Board and Lodging</t>
  </si>
  <si>
    <t xml:space="preserve">Capital Leases </t>
  </si>
  <si>
    <t>Special approval - Capital</t>
  </si>
  <si>
    <t>Adjusted Expenditures for Compliance</t>
  </si>
  <si>
    <t>Schedule 10B, CP3131</t>
  </si>
  <si>
    <t>E0783</t>
  </si>
  <si>
    <t>E0790</t>
  </si>
  <si>
    <t>E0707</t>
  </si>
  <si>
    <t>E0714</t>
  </si>
  <si>
    <t>E0721</t>
  </si>
  <si>
    <t>E0728</t>
  </si>
  <si>
    <t>Sec:  Section 1.3, line 1.3.18</t>
  </si>
  <si>
    <t>School Amount - elementary school</t>
  </si>
  <si>
    <t>TOTAL</t>
  </si>
  <si>
    <t>a)</t>
  </si>
  <si>
    <t>School Authority No.</t>
  </si>
  <si>
    <t>Name of Sch. Authority</t>
  </si>
  <si>
    <t>Elem:  Section 1.1, line 1.1.4</t>
  </si>
  <si>
    <t>Sec:  Section 1.1, line 1.1.7</t>
  </si>
  <si>
    <t>Elem:  Section 10, line 10.19</t>
  </si>
  <si>
    <t>Sec:  Section 10, 10.19</t>
  </si>
  <si>
    <t>Elem:  Section 18, line 18.3.6</t>
  </si>
  <si>
    <t>Sec:  Section 18, line 18.3.6</t>
  </si>
  <si>
    <t>Number of pupils of the board enrolled at October 31, 2009 who meet the eligibility criteria under section 30(4) of Ont. 2010/11 Grant Reg. and entered Canada:</t>
  </si>
  <si>
    <t>From Sept. 1, 2008 to Aug. 31, 2009</t>
  </si>
  <si>
    <t>From Sept. 1, 2009 to Oct. 31, 2010</t>
  </si>
  <si>
    <t>Fundraising for external charities</t>
  </si>
  <si>
    <t>Student activities and resources (including fees)</t>
  </si>
  <si>
    <t>Subtotal (to revenue Sch 9, Lines 4.1 &amp; 4.2)</t>
  </si>
  <si>
    <t>Capital asset fundraising</t>
  </si>
  <si>
    <t>Schedule 7, line 1 - line 2.1, Current year amounts</t>
  </si>
  <si>
    <t>&amp;=IF(G12&lt;&gt;I12,"WARNING","")</t>
  </si>
  <si>
    <t>Expense Categories (as used in Uniform Code of Accounts)</t>
  </si>
  <si>
    <t>**********************************************************Expenses recorded on an adjusted compliance basis ONLY **********************************************************</t>
  </si>
  <si>
    <t>Subject other than  French but taught in French language (grades 9 and 10 only)</t>
  </si>
  <si>
    <t>9.2.1</t>
  </si>
  <si>
    <t>ADE for summer literacy and numeracy remedial courses, Gr.7-10 day school pupils (CP0583 +CP0590)</t>
  </si>
  <si>
    <t>School operations allocation for summer literacy and numeracy remedial courses</t>
  </si>
  <si>
    <t>1.3.1</t>
  </si>
  <si>
    <t>Range 3 =   251 to 500 km with 20% or more secondary road</t>
  </si>
  <si>
    <t>Range 4 = &gt; 500 km</t>
  </si>
  <si>
    <t>Range 5  = no road access</t>
  </si>
  <si>
    <t>BOARD ADMINISTRATION</t>
  </si>
  <si>
    <t>Compare the total expenditures for Sec 23 program reported on Schedule 10B with the allocation on Section 2</t>
  </si>
  <si>
    <t>Average the Spec. Ed. Sec 23 Elementary Teacher Classroom Expenditure</t>
  </si>
  <si>
    <t>Average the Spec. Ed. Sec 23 Elementary Teacher Assistant Expenditure</t>
  </si>
  <si>
    <t>Average the Spec. Ed. Sec 23 Secondary Teacher Classroom Expenditure</t>
  </si>
  <si>
    <t>Average the Spec. Ed. Sec 23 Secondary Teacher Assistant Expenditure</t>
  </si>
  <si>
    <t>Transportation</t>
  </si>
  <si>
    <t>4.1.1</t>
  </si>
  <si>
    <t>Library &amp; Guidance</t>
  </si>
  <si>
    <t>French as a second language - only for school authorities with English-language unit</t>
  </si>
  <si>
    <t>Donations to external charities</t>
  </si>
  <si>
    <t>Student activities and resources (including school resources and supplies, library resources, sporting activites)</t>
  </si>
  <si>
    <t>Subtotal (to expenses Sch 10, Line 79, Col 5)</t>
  </si>
  <si>
    <t>Capital assets</t>
  </si>
  <si>
    <t>Subtotal (Total of Col. 1 and 2 should equal Schedule 3, Capital Expenditure Budget, page 2, line 2.21, col. 8)</t>
  </si>
  <si>
    <t>CLASSROOM</t>
  </si>
  <si>
    <t>02</t>
  </si>
  <si>
    <t>The change in non-financial assets on Schedule 1 should equal to the increase (decrease) in non-financial assets on Schedule 1.1</t>
  </si>
  <si>
    <t>Schedule 1, line 4.3 Current Year amount - Prior Year amount</t>
  </si>
  <si>
    <t>Schedule 1.1, line 4.3 Current Year amount</t>
  </si>
  <si>
    <t>Schedule 10A, CP5011</t>
  </si>
  <si>
    <t>Section 2, CP0638</t>
  </si>
  <si>
    <t>Schedule 10B, CP5031</t>
  </si>
  <si>
    <t>Section2, CP0639</t>
  </si>
  <si>
    <t>11.9</t>
  </si>
  <si>
    <t>11.10.1</t>
  </si>
  <si>
    <t>11.10.2</t>
  </si>
  <si>
    <t>11.12</t>
  </si>
  <si>
    <t>b) Les avantages sociaux au C6003 (Temps de préparation) doivent être inclus à la catégorie "Titulaires de classe".</t>
  </si>
  <si>
    <r>
      <t>Maximum home-to-school allocation</t>
    </r>
    <r>
      <rPr>
        <b/>
        <sz val="10"/>
        <rFont val="Arial"/>
        <family val="2"/>
      </rPr>
      <t/>
    </r>
  </si>
  <si>
    <t>REVENUES</t>
  </si>
  <si>
    <t>Secondary        (whole numbers)</t>
  </si>
  <si>
    <t>Savings from strike or lock-out:</t>
  </si>
  <si>
    <t>Enter the contract amount for contracted vehicles and the amount reported on Appendix F1.1 for board-owned vehicles</t>
  </si>
  <si>
    <t>Note: Do not report enrolment on this form in respect of pupils for whom the board is entitled to charge fees per Section 8 of Ont. Calculation of Fees Reg.</t>
  </si>
  <si>
    <t>Total Continuing Education ADE excluding literacy and numeracy courses (sum of items 1.1 to 1.7)</t>
  </si>
  <si>
    <t xml:space="preserve">Total (sum of items 1.1.1 to 1.1.4) </t>
  </si>
  <si>
    <t>TOTAL SECONDARY</t>
  </si>
  <si>
    <t xml:space="preserve">                                    - SK to gr.3</t>
  </si>
  <si>
    <t xml:space="preserve">                                    - gr. 4 to gr.8</t>
  </si>
  <si>
    <t>School Foundation allocation</t>
  </si>
  <si>
    <t>Elem:  Section 1.3, line 1.3.9</t>
  </si>
  <si>
    <t>Summer school literacy and numeracy ADE</t>
  </si>
  <si>
    <t>Pupil Foundation Allocation</t>
  </si>
  <si>
    <t>School Foundation Allocation</t>
  </si>
  <si>
    <t>Total Foundation Allocation - Secondary</t>
  </si>
  <si>
    <t>Subtotal - Grants from Other Ministries and Other GRE</t>
  </si>
  <si>
    <t>Prior years' grant adjustments (specify):</t>
  </si>
  <si>
    <t>Subtotal - Grant Adjustments</t>
  </si>
  <si>
    <t>TOTAL PROVINCIAL GRANTS - OTHER</t>
  </si>
  <si>
    <t>TAXATION</t>
  </si>
  <si>
    <t>Tax revenue from municipalities</t>
  </si>
  <si>
    <t>Tax revenue from unorganized territories</t>
  </si>
  <si>
    <t>TOTAL TAXATION</t>
  </si>
  <si>
    <t>Schedule 9 - Revenues - Page 2</t>
  </si>
  <si>
    <t>SCHOOL GENERATED FUNDS</t>
  </si>
  <si>
    <t>Elementary schools generated funds and other revenues</t>
  </si>
  <si>
    <t>999999=K17-M17</t>
  </si>
  <si>
    <t>999999=Section3!I55</t>
  </si>
  <si>
    <t>Transportation Safety Program</t>
  </si>
  <si>
    <t>15.3.1</t>
  </si>
  <si>
    <t>Capital Program Grant (Specify)</t>
  </si>
  <si>
    <t>pupils to whom S49(6) of the Act applies</t>
  </si>
  <si>
    <t>Annexe H, C1297 + C1299</t>
  </si>
  <si>
    <t>E0852</t>
  </si>
  <si>
    <t>E0859</t>
  </si>
  <si>
    <t>E0866</t>
  </si>
  <si>
    <t>E0873</t>
  </si>
  <si>
    <t>Care and Treatment and Correctional Facilities Assistants (ISA 4)</t>
  </si>
  <si>
    <t>Remote factors for teacherage allocation</t>
  </si>
  <si>
    <t>Transportation - BL and WT</t>
  </si>
  <si>
    <t>Monthly amount</t>
  </si>
  <si>
    <t>SAFE SCHOOLS</t>
  </si>
  <si>
    <t>Projected ADE:</t>
  </si>
  <si>
    <t xml:space="preserve">Moose Factory </t>
  </si>
  <si>
    <t>Moosonee DSAB</t>
  </si>
  <si>
    <t>Penetanguishine</t>
  </si>
  <si>
    <t>James Bay Lowlands</t>
  </si>
  <si>
    <t>Current Year closing cash &amp; cash equivalents on Schedule 1.2 should equal to the cash &amp; cash equivalents - temporary borrowing on Schedule 7</t>
  </si>
  <si>
    <t>Schedule 1.2, line 7, current year amount</t>
  </si>
  <si>
    <t>Assistance for Student Success</t>
  </si>
  <si>
    <t>Other teacherage use</t>
  </si>
  <si>
    <t>15.2.1</t>
  </si>
  <si>
    <t>15.2.2</t>
  </si>
  <si>
    <t>15.2.3</t>
  </si>
  <si>
    <t>International Languages</t>
  </si>
  <si>
    <t>Number of hours of instruction for current year</t>
  </si>
  <si>
    <t>6.1.4</t>
  </si>
  <si>
    <t>Helicopter</t>
  </si>
  <si>
    <t>Snowmobile</t>
  </si>
  <si>
    <t>Station Wagon</t>
  </si>
  <si>
    <t>1.7</t>
  </si>
  <si>
    <t>1.8</t>
  </si>
  <si>
    <t xml:space="preserve">Col.1 </t>
  </si>
  <si>
    <t xml:space="preserve">Col.2 </t>
  </si>
  <si>
    <t>Minstry use only</t>
  </si>
  <si>
    <t>In-Year Increase (+) / Decrease (-)</t>
  </si>
  <si>
    <t>Isolate Board base amount</t>
  </si>
  <si>
    <t>NEW PUPIL PLACES</t>
  </si>
  <si>
    <t>Per pupil amount - Elementary</t>
  </si>
  <si>
    <t>Estimated coordinator travel expenditure</t>
  </si>
  <si>
    <t>Number of individual student equivalency assessments for grade 9 and 10 credits</t>
  </si>
  <si>
    <t>Number of individual student equivalency assessments for grade 11 and 12 credits</t>
  </si>
  <si>
    <t>3.4.2</t>
  </si>
  <si>
    <t>3.5.1</t>
  </si>
  <si>
    <t>&amp;='Sch 1.1 Stmt of Fin. Activities'!H37</t>
  </si>
  <si>
    <t>&amp;=IF(G14&lt;&gt;I14,"ERROR","")</t>
  </si>
  <si>
    <t>Current Year Net Assets should equal to Current Year Net Financial Position</t>
  </si>
  <si>
    <t>Schedule 1, Line 5, Current Year amount</t>
  </si>
  <si>
    <t>Schedule 1, Line 8, Current Year amount</t>
  </si>
  <si>
    <t>Cost adjustment amount for Non-Teaching Staff</t>
  </si>
  <si>
    <t>Appendix H,                Sum of lines 1 to 4 Col. 4</t>
  </si>
  <si>
    <t>Appendix H,                Sum of lines 1 to 4 Col. 5</t>
  </si>
  <si>
    <t>Appendix H,                Line 6 Col. 5</t>
  </si>
  <si>
    <t>Appendix H,                Line 6 Col. 4</t>
  </si>
  <si>
    <t>Name of School Authority</t>
  </si>
  <si>
    <t>School Authority Number</t>
  </si>
  <si>
    <t>Compare the number of Elementary pupils, who entered Canada, reported in line 1998/99 with 1999/00</t>
  </si>
  <si>
    <t>Section 3, Item 3.7, CP0665</t>
  </si>
  <si>
    <t>Language</t>
  </si>
  <si>
    <t>Cost Adjustment and Teacher Qualification and Experience</t>
  </si>
  <si>
    <t>Secondary School Foundation Amount</t>
  </si>
  <si>
    <t>10A</t>
  </si>
  <si>
    <t>Where boards require additional rows to report their municipalities data, they should insert rows, and copy the formula in Column 7 to the new rows.</t>
  </si>
  <si>
    <t xml:space="preserve">Notes:  </t>
  </si>
  <si>
    <t>a)  Residential taxes reported in column 3 include residential/farm tax revenue and farmlands and managed forests tax revenue.</t>
  </si>
  <si>
    <t>b)  Business taxes reported in column 4 include commercial, industrial, pipeline, railway and power utility lands tax revenue.</t>
  </si>
  <si>
    <t>c)  Col. 11 is the cost of tax collection to a maximum of 2% of the taxes levied for school purposes in unorganized areas.</t>
  </si>
  <si>
    <t>Per Pupil 
Amount</t>
  </si>
  <si>
    <t>Vice-Principals - Administrative Time</t>
  </si>
  <si>
    <t>Student Success Leader - maximum allowable travel - NB/Sud</t>
  </si>
  <si>
    <t>Student Success Leader - maximum allowable travel - Fr</t>
  </si>
  <si>
    <t>Territorial Student Program - selected boards</t>
  </si>
  <si>
    <t>Per Board Amount</t>
  </si>
  <si>
    <t>Spec Ed 
Principal Payments</t>
  </si>
  <si>
    <t>District School Area Board</t>
  </si>
  <si>
    <t>Protestant Separate School Board</t>
  </si>
  <si>
    <t>3.</t>
  </si>
  <si>
    <t>Secondary Day School Average Daily Enrolment</t>
  </si>
  <si>
    <t>Consolidated Statement of Operations</t>
  </si>
  <si>
    <t>For the year ended August 31</t>
  </si>
  <si>
    <t>Provincial grants - Grants for Student Needs</t>
  </si>
  <si>
    <t>School generated funds</t>
  </si>
  <si>
    <t>EXPENSES</t>
  </si>
  <si>
    <t>TOTAL EXPENSES</t>
  </si>
  <si>
    <t>Annual Surplus/(Deficit)</t>
  </si>
  <si>
    <t>Accumulated Surplus / (Deficit) at beginning of year</t>
  </si>
  <si>
    <t>Accumulated Surplus / (Deficit) at end of year</t>
  </si>
  <si>
    <t>Schedule 3 - Capital Expenditure - Moveable Assets - Additions and Betterments</t>
  </si>
  <si>
    <t>Col 4</t>
  </si>
  <si>
    <t>Col 5</t>
  </si>
  <si>
    <t>Moveable Type Assets</t>
  </si>
  <si>
    <t>Computer Hardware</t>
  </si>
  <si>
    <t>Computer Software</t>
  </si>
  <si>
    <t>Vehicles &lt; 1 ton</t>
  </si>
  <si>
    <t>Administration du conseil</t>
  </si>
  <si>
    <t>Board Administration</t>
  </si>
  <si>
    <t>Approved personalized special education equipment</t>
  </si>
  <si>
    <t>SECTION 23 FACILTIES AMOUNT</t>
  </si>
  <si>
    <t>Low Range</t>
  </si>
  <si>
    <t>Select the type of transportation provided by the board for each route from the drop-down menu . Report  TSP transportation by road on this Appendix.</t>
  </si>
  <si>
    <t>The total expenditure from Schedule 10C, should be equal to the school operations and maintenance in Schedule10.</t>
  </si>
  <si>
    <t>Schedule 10C
Total exp., Col. 3</t>
  </si>
  <si>
    <t>Schedule 10
CP7012</t>
  </si>
  <si>
    <t>School</t>
  </si>
  <si>
    <t xml:space="preserve">Total Language Allocation </t>
  </si>
  <si>
    <t>(Line 5.2.2 X line 5.1.1)</t>
  </si>
  <si>
    <t>Special Education expenditures for Teacher Assistants cannot be greater than the Total expenditures for Teacher Assistants</t>
  </si>
  <si>
    <t>Amounts from Deferred Revenue - Federal Government</t>
  </si>
  <si>
    <t>Specify other:</t>
  </si>
  <si>
    <t>TOTAL FEDERAL GRANTS &amp; FEES</t>
  </si>
  <si>
    <t>INVESTMENT INCOME</t>
  </si>
  <si>
    <t>TOTAL INVESTMENT INCOME</t>
  </si>
  <si>
    <t>OTHER FEES &amp; REVENUES FROM SCHOOL BOARDS</t>
  </si>
  <si>
    <t>Rental Revenue - Instructional Accommodation / Schools</t>
  </si>
  <si>
    <t>Rental Revenue - Non-Instructional Accommodation</t>
  </si>
  <si>
    <t>TOTAL OTHER FEES &amp; REVENUES FROM SCHOOL BOARDS</t>
  </si>
  <si>
    <t>FEES &amp; REVENUES FROM OTHER SOURCES</t>
  </si>
  <si>
    <t>Fees from Boards outside Ontario</t>
  </si>
  <si>
    <t>Fees from Individuals - Day School, Ontario Residents</t>
  </si>
  <si>
    <t>Fees from Individuals - Day School, Other</t>
  </si>
  <si>
    <t>Fees from Individuals - Continuing Education</t>
  </si>
  <si>
    <t>Rental Revenue - Non-Instructional Accommodation / Schools</t>
  </si>
  <si>
    <t>Rental revenue from Community Use</t>
  </si>
  <si>
    <t>Rental revenue - Other</t>
  </si>
  <si>
    <t>Insurance proceeds other than capital appurtenances</t>
  </si>
  <si>
    <t>Board Level Donations - to be applied to Classroom Expenses</t>
  </si>
  <si>
    <t>Board Level Donations - Other</t>
  </si>
  <si>
    <t>Government of Ontario - Non grant payment</t>
  </si>
  <si>
    <t>Amounts from Deferred Revenue - Other Third Party</t>
  </si>
  <si>
    <t>TOTAL OTHER FEES &amp; REVENUES FROM OTHER SOURCES</t>
  </si>
  <si>
    <t>Schedule 14 - School Generated Funds</t>
  </si>
  <si>
    <t>SCHOOL GENERATED FUNDS - REVENUES/DEFERRED REVENUES</t>
  </si>
  <si>
    <t>Field trips/excursions (including admission, transportation and accomodation)</t>
  </si>
  <si>
    <t>Prior Year Net Assets should equal to Prior Year Net Financial Position</t>
  </si>
  <si>
    <t>Schedule 1, Line 5, Prior Year amount</t>
  </si>
  <si>
    <t>Schedule 1, LIne 8 Prior Year amount</t>
  </si>
  <si>
    <t>&amp;=IF(G18&lt;&gt;I18,"ERROR","")</t>
  </si>
  <si>
    <t>Total CUS</t>
  </si>
  <si>
    <t>Average Salaries &amp; Wages of Spec. Ed. Elementary Classroom Teachers</t>
  </si>
  <si>
    <t>Schedule 10A, CP3102</t>
  </si>
  <si>
    <t>Average Salaries &amp; Wages of Spec. Ed. Elementary Teachers Assistants</t>
  </si>
  <si>
    <t xml:space="preserve">The special education recovery amount should be reported on Schedules 10A and 10B, if the recovery of negotiated services on Appendix B includes the recovery of special education expenditures. </t>
  </si>
  <si>
    <t>Aboriginal Amount</t>
  </si>
  <si>
    <t>18.3.1</t>
  </si>
  <si>
    <t>Board ADE</t>
  </si>
  <si>
    <t>18.3.2</t>
  </si>
  <si>
    <t>Incidence factor</t>
  </si>
  <si>
    <t>18.3.3</t>
  </si>
  <si>
    <t>I01003</t>
  </si>
  <si>
    <t>Col.14</t>
  </si>
  <si>
    <t>Col.15</t>
  </si>
  <si>
    <t>Col.16</t>
  </si>
  <si>
    <t>(Appendix F2 -  column 5,  line 1.1 )</t>
  </si>
  <si>
    <t>Section 3, poste 3.21, C0684</t>
  </si>
  <si>
    <t>Section 3, Item 3.21, CP0686</t>
  </si>
  <si>
    <t>Section 3, Item 3.21, CP0684</t>
  </si>
  <si>
    <t>Construction in Progress - 20 years</t>
  </si>
  <si>
    <t>Construction in Progress - Portables</t>
  </si>
  <si>
    <t>&amp;='[Sch 1 Stmt of Fin. Position]Sch 1 Stmt of Fin. Position'!E32-'[Sch 1 Stmt of Fin. Position]Sch 1 Stmt of Fin. Position'!H32</t>
  </si>
  <si>
    <t>&amp;='[Sch 1 Stmt of Fin. Position]Sch 1 Stmt of Fin. Position'!E34</t>
  </si>
  <si>
    <t>&amp;='[Sch 1 Stmt of Fin. Position]Sch 1 Stmt of Fin. Position'!E47</t>
  </si>
  <si>
    <t>&amp;='[Sch 1 Stmt of Fin. Position]Sch 1 Stmt of Fin. Position'!H34</t>
  </si>
  <si>
    <t>(Line 9.1.2.1 less line 9.1.2.2)</t>
  </si>
  <si>
    <t>(Appendix F1 -  column 14,  line 1.16 )</t>
  </si>
  <si>
    <t>Elementary ADE</t>
  </si>
  <si>
    <t>Secondary ADE</t>
  </si>
  <si>
    <t xml:space="preserve">Col.A </t>
  </si>
  <si>
    <t>LOG Demographic Component</t>
  </si>
  <si>
    <t>Schedule 10A, CP3302</t>
  </si>
  <si>
    <t>Moyenne salariale des salaires des enseignants à l'EED au secondaire</t>
  </si>
  <si>
    <t>Tableau 10A&amp;10B, C3122</t>
  </si>
  <si>
    <t>Out of Province Students</t>
  </si>
  <si>
    <t>VISA Students</t>
  </si>
  <si>
    <t>40-110,41-110</t>
  </si>
  <si>
    <t>Formulaire A.2, Somme de C1012, C1014, C1016</t>
  </si>
  <si>
    <t>Annexe H, C1297</t>
  </si>
  <si>
    <t>The number of Pupils in Special Ed. Self-Contained Classes from JK to Grade 8 compared to the number of Teachers in Self-Contained Classes</t>
  </si>
  <si>
    <t>Data form A.2, Sum of CP1012, CP1014, CP1016</t>
  </si>
  <si>
    <t>Data E, CP1297</t>
  </si>
  <si>
    <t>15-151</t>
  </si>
  <si>
    <t>15-152, 15-170*</t>
  </si>
  <si>
    <t>Dept. Head Release Time</t>
  </si>
  <si>
    <t>15-154</t>
  </si>
  <si>
    <t>Clerical/Secretarial/Admin - School Administration</t>
  </si>
  <si>
    <t>Principals, VP's, Teachers - Continuing Education</t>
  </si>
  <si>
    <t>55-151,152,161,170</t>
  </si>
  <si>
    <t>1.7.1</t>
  </si>
  <si>
    <t xml:space="preserve">Rural and Small Community Allocation </t>
  </si>
  <si>
    <t>Safe Schools Allocation</t>
  </si>
  <si>
    <t>Tuition fees per pupil (Line 1.19 / Line 1.0)</t>
  </si>
  <si>
    <t>Total (Sum of lines 1.1 to 1.18)</t>
  </si>
  <si>
    <t>Amounts for greater than 99 municipalities</t>
  </si>
  <si>
    <t>Base amount for eligible isolate boards only</t>
  </si>
  <si>
    <t>REPORTING ENTITIES PROJECT</t>
  </si>
  <si>
    <t>Per-Pupil Amount</t>
  </si>
  <si>
    <t>LEARNING OPPORTUNITIES</t>
  </si>
  <si>
    <t>Learning Opportunities Growth Factor</t>
  </si>
  <si>
    <t>LITERACY AND NUMERACY</t>
  </si>
  <si>
    <t>Transportation Adjustment Factor</t>
  </si>
  <si>
    <t>Amount per pupil</t>
  </si>
  <si>
    <t>SCHOOL DISPERSION AMOUNT</t>
  </si>
  <si>
    <t>Per pupil</t>
  </si>
  <si>
    <t>STUDENTS AT RISK</t>
  </si>
  <si>
    <t>Assist For Grade 7 and 8</t>
  </si>
  <si>
    <t>Assist For Grade 9 to 12</t>
  </si>
  <si>
    <t>Transportation for students at risk</t>
  </si>
  <si>
    <t>Geographic Component - Elem</t>
  </si>
  <si>
    <t>Geographic Component - Sec</t>
  </si>
  <si>
    <t>School amount - converted into a Table amount</t>
  </si>
  <si>
    <t>Per pupil amount - converted into a Table amount</t>
  </si>
  <si>
    <t>Per teacher amount - converted into a Table amount</t>
  </si>
  <si>
    <t>Student Success Leader - maximum allowable travel - TB</t>
  </si>
  <si>
    <t>The change in total fund balances on Schedule 1 should equal to the change in fund balances on Schedule 1.1</t>
  </si>
  <si>
    <t>Remote and Rural Allocation</t>
  </si>
  <si>
    <t>Transportation Allocation</t>
  </si>
  <si>
    <t>Schedule 10, CP5902</t>
  </si>
  <si>
    <t>Appendix H, sum of line 19 &amp; 20, Col. 1</t>
  </si>
  <si>
    <t>Appendix H,  line 22, Col. 1</t>
  </si>
  <si>
    <t>Appendix H,  line 18, Col. 1</t>
  </si>
  <si>
    <t>I01202</t>
  </si>
  <si>
    <t>Special Education Expenditure Schedule 10A should not be zero if the board has elementary enrolment</t>
  </si>
  <si>
    <t>Course enrolment</t>
  </si>
  <si>
    <t>Number of classes</t>
  </si>
  <si>
    <t>Adjustment for small class size</t>
  </si>
  <si>
    <t>If ADE &lt; 50</t>
  </si>
  <si>
    <t>Schedule 10, CP6202</t>
  </si>
  <si>
    <t>Calculation of Fees</t>
  </si>
  <si>
    <t>Tuition Fee Revenue</t>
  </si>
  <si>
    <t>Vice-Principals - instruction time only</t>
  </si>
  <si>
    <t>10-152</t>
  </si>
  <si>
    <t>Grades JK - 3</t>
  </si>
  <si>
    <t>Enter enrolment data below - cells in other boxes for SS, SST &amp; LN SEL &amp; BE will be prepopulated</t>
  </si>
  <si>
    <t>Sec:  Section 5, line 5.4</t>
  </si>
  <si>
    <t>Elem: Section 13, line 13.1</t>
  </si>
  <si>
    <t>Full-time Equivalent</t>
  </si>
  <si>
    <t>Pupil Foundation Allocation - Elementary - Primary (JK to Grade 3)</t>
  </si>
  <si>
    <t>Pupil Foundation Allocation - Elementary - Junior/Intermediate (Grades 4 to 8)</t>
  </si>
  <si>
    <t>Base Amount Grades 4 to 8</t>
  </si>
  <si>
    <t>Total Pupil Foundation Allocation - Elementary</t>
  </si>
  <si>
    <t>1.1.6</t>
  </si>
  <si>
    <t>The total of the transportation recoveries for home-to-school, board and lodging and territorial student program reported in Section 9 should equal the total reported on Schedule 9</t>
  </si>
  <si>
    <t>Warning Messages</t>
  </si>
  <si>
    <t>Schedule 13,  CP0553</t>
  </si>
  <si>
    <t>cannot be greater than</t>
  </si>
  <si>
    <t>Capital funded from Operating</t>
  </si>
  <si>
    <t>Principal Payments</t>
  </si>
  <si>
    <t>Recovery of Negotiated Service (note1)</t>
  </si>
  <si>
    <t>Moyenne salariale des aide -enseignants à l'EED à l'élémentaire</t>
  </si>
  <si>
    <t>Tableau 10A&amp;10B, C3302</t>
  </si>
  <si>
    <t>Annexe H, C1303</t>
  </si>
  <si>
    <t>Type of Benefit</t>
  </si>
  <si>
    <t>01</t>
  </si>
  <si>
    <t>07</t>
  </si>
  <si>
    <t>08</t>
  </si>
  <si>
    <t>09</t>
  </si>
  <si>
    <t>Other Benefits</t>
  </si>
  <si>
    <t>Retirement Health, Dental, Life Insurance Plans</t>
  </si>
  <si>
    <t>Long Term Disability Plans</t>
  </si>
  <si>
    <t>OPSEU Pension Benefits</t>
  </si>
  <si>
    <t>Other Pension Benefits</t>
  </si>
  <si>
    <t>Sub-total - Other Benefits</t>
  </si>
  <si>
    <t>Liability as of August 31, 2013</t>
  </si>
  <si>
    <t>Schedule 10G - Supplementary Information on Retirement Benefits and Termination Benefits</t>
  </si>
  <si>
    <t>ESTIMATED FUTURE YEARS (N/A FOR ESTIMATES)</t>
  </si>
  <si>
    <t>2014-15 Benefits Expenses</t>
  </si>
  <si>
    <t>2014-15 Benefits Payments</t>
  </si>
  <si>
    <t>2015-16 Benefits Expenses</t>
  </si>
  <si>
    <t>Sub-total - non-retirement gratuity related benefits Benefits</t>
  </si>
  <si>
    <t>Employee Average Remaining Service Life (EARSL) (one decimal)</t>
  </si>
  <si>
    <t>Discount Rate on Other Employee Benefit Expense - Note 2 (e.g. enter 4.50 for 4.5%)</t>
  </si>
  <si>
    <t>Discount Rate on Other Non Pension Requirement Benefit Expense - Note 1 (e.g. enter 4.50 for 4.5%)</t>
  </si>
  <si>
    <t>Note 1 - Other non-Pension Retirement Benefit Expenses include retirement gratuity plans, retirement health, dental, life insurance plans</t>
  </si>
  <si>
    <t>Note 2 - Other Employee Benefit Expenses include long-term disability plans, workers compensation benefits and termination benefits.</t>
  </si>
  <si>
    <t xml:space="preserve">    Average Daily Enrolment </t>
  </si>
  <si>
    <t>Pupils of
Board</t>
  </si>
  <si>
    <t>Cafeteria income</t>
  </si>
  <si>
    <t>Day School ADE</t>
  </si>
  <si>
    <t>2.1.2</t>
  </si>
  <si>
    <t>Incidence rate</t>
  </si>
  <si>
    <t>E0812</t>
  </si>
  <si>
    <t>E0819</t>
  </si>
  <si>
    <t>E0826</t>
  </si>
  <si>
    <t>E0833</t>
  </si>
  <si>
    <t>E0840</t>
  </si>
  <si>
    <t>E0847</t>
  </si>
  <si>
    <t>E0854</t>
  </si>
  <si>
    <t>E0861</t>
  </si>
  <si>
    <t>Total First Nation, Métis and Inuit Supplemental Allocation</t>
  </si>
  <si>
    <t>Grades</t>
  </si>
  <si>
    <t>Section 23 Programs</t>
  </si>
  <si>
    <t>Detail</t>
  </si>
  <si>
    <t>Custodial Operations</t>
  </si>
  <si>
    <t>Wages</t>
  </si>
  <si>
    <t>Benefits</t>
  </si>
  <si>
    <t>Supplies</t>
  </si>
  <si>
    <t>Contract services</t>
  </si>
  <si>
    <t>Maintenance Operations</t>
  </si>
  <si>
    <t>Utilities</t>
  </si>
  <si>
    <t>Electricity</t>
  </si>
  <si>
    <t>Heating - oil</t>
  </si>
  <si>
    <t>Heating - gas</t>
  </si>
  <si>
    <t>Heating - other</t>
  </si>
  <si>
    <t>c) Les prestations d'assurance-maladie complémentaire incluent les soins dentaires, hôpital et soin de la vue</t>
  </si>
  <si>
    <t>d) La rubrique "autres" inclus, mais n'ait pas limitée, au régime d'assistance aux employés, prime d'encouragement à la retraite, CSPAAT</t>
  </si>
  <si>
    <t>et autres avantages sociaux non-mentionnés</t>
  </si>
  <si>
    <t>CP0535 at line 4.1.3, Col. B of Schedule 13 should agree with CP0535 at line 2.3, Col. 6 of Schedule 13</t>
  </si>
  <si>
    <t>Enter the estimated annual cost for each contracted or board-owned vehicle. For Estimates and Revised Estimates, the estimated cost is expected to be the same amount as the amount reported in column 14.</t>
  </si>
  <si>
    <t>5.2.3</t>
  </si>
  <si>
    <t>ADE</t>
  </si>
  <si>
    <t>Elementary fees</t>
  </si>
  <si>
    <t>Secondary fees</t>
  </si>
  <si>
    <t>(including PAC)</t>
  </si>
  <si>
    <t>(whole number)</t>
  </si>
  <si>
    <t>Government of Canada Students</t>
  </si>
  <si>
    <t>TOTAL SCHOOL RENEWAL ALLOCATIONS</t>
  </si>
  <si>
    <t>(Please enter all full time equivalent enrolment (FTE) and average daily enrolment (ADE) to two decimal places)</t>
  </si>
  <si>
    <t>except for the following:</t>
  </si>
  <si>
    <t>Note 1 - In cases where school authorities negotiate specific special education services or programs over and above the regular programs provided by the school, these expenses are recovered by separate billing from the Agency requesting the services. The recovery of these expenses is reported on Appendix B - Tuition Revenue for Negotiated Services. School authorities are requested to report the recovery of these expenses in Column 35 against the appropriate expense category.</t>
  </si>
  <si>
    <t>Total Expense</t>
  </si>
  <si>
    <t>*******Expenses recorded according to the CICA Public Sector Accounting Handbook*******</t>
  </si>
  <si>
    <t>Total Expenses</t>
  </si>
  <si>
    <t>Retirement Gratuity Plans</t>
  </si>
  <si>
    <t>Workers Compensation Benefits</t>
  </si>
  <si>
    <t>Termination Benefits</t>
  </si>
  <si>
    <t>OPSEU Pension Plan</t>
  </si>
  <si>
    <t>Other Pension Plans</t>
  </si>
  <si>
    <t>OMERS</t>
  </si>
  <si>
    <t>b) Please refer to PSA Handbook Sections 3250 and 3255 for definitions of various terms related to this schedule.</t>
  </si>
  <si>
    <t>c) Statutory employee benefits include EI, CPP Employer Health Tax.</t>
  </si>
  <si>
    <t>e) Other benefits benefit expenses not recorded elsewhere.</t>
  </si>
  <si>
    <t>INSTRUCTION</t>
  </si>
  <si>
    <t>E0764</t>
  </si>
  <si>
    <t>E0771</t>
  </si>
  <si>
    <t>E0778</t>
  </si>
  <si>
    <t>E0785</t>
  </si>
  <si>
    <t>E0792</t>
  </si>
  <si>
    <t>E0709</t>
  </si>
  <si>
    <t>E0716</t>
  </si>
  <si>
    <t>E0723</t>
  </si>
  <si>
    <t>E0730</t>
  </si>
  <si>
    <t>E0737</t>
  </si>
  <si>
    <t>E0744</t>
  </si>
  <si>
    <t>E0751</t>
  </si>
  <si>
    <t>E0758</t>
  </si>
  <si>
    <t>E0765</t>
  </si>
  <si>
    <t>E0772</t>
  </si>
  <si>
    <t>E0779</t>
  </si>
  <si>
    <t>E0786</t>
  </si>
  <si>
    <t>E0793</t>
  </si>
  <si>
    <t>E0710</t>
  </si>
  <si>
    <t>E0717</t>
  </si>
  <si>
    <t>E0724</t>
  </si>
  <si>
    <t>E0731</t>
  </si>
  <si>
    <t>E0738</t>
  </si>
  <si>
    <t>E0745</t>
  </si>
  <si>
    <t>E0752</t>
  </si>
  <si>
    <t>E0759</t>
  </si>
  <si>
    <t>Municipality / Locality Number</t>
  </si>
  <si>
    <t>Payments in Lieu of Taxes</t>
  </si>
  <si>
    <t>Other Non-Operating</t>
  </si>
  <si>
    <t>All Staff - Other Non-Operating</t>
  </si>
  <si>
    <t>59-xxx</t>
  </si>
  <si>
    <t>*  see instructions for detail on Code of Account references and exceptions.</t>
  </si>
  <si>
    <t>Base Amount</t>
  </si>
  <si>
    <t>9.2.2</t>
  </si>
  <si>
    <t>9.2.3</t>
  </si>
  <si>
    <t>Total employee benefits expenditures on Schedule 10F should equal to the total employee benefits expenditures on Schedule 10, CP9003</t>
  </si>
  <si>
    <t>Secondary calculated factor (Item 7.2 X Item 7.3) (four decimals) - English Language Intructional Unit</t>
  </si>
  <si>
    <t>Coordinator travel allocation</t>
  </si>
  <si>
    <t>Tableau 10A&amp;10B, C3312</t>
  </si>
  <si>
    <t>Annexe H, C1301</t>
  </si>
  <si>
    <t xml:space="preserve">Ministry of Education </t>
  </si>
  <si>
    <t>Ministry of Education</t>
  </si>
  <si>
    <t>NON-CLASSROOM</t>
  </si>
  <si>
    <t>Coordinators &amp; Consultants</t>
  </si>
  <si>
    <t>Phase-In amount</t>
  </si>
  <si>
    <t>Section 16, page 2 - calculation of previous year allocations using current benchmarks</t>
  </si>
  <si>
    <t>JK - Gr. 3</t>
  </si>
  <si>
    <t>16.8.0</t>
  </si>
  <si>
    <t>16.8.1</t>
  </si>
  <si>
    <t>16.8.2</t>
  </si>
  <si>
    <t>Adjustment to last year's ADE figures if required</t>
  </si>
  <si>
    <t>16.8.3</t>
  </si>
  <si>
    <t>Fees - Day School</t>
  </si>
  <si>
    <t>Transportation Recoveries</t>
  </si>
  <si>
    <t>Employment Assistance</t>
  </si>
  <si>
    <t>(This section relates to the PLAR for mature students as defined in Section 6.6 of Ontario Secondary School Grades 9 to 12)</t>
  </si>
  <si>
    <t>Territorial Student Program</t>
  </si>
  <si>
    <t>Home-to-School - board school</t>
  </si>
  <si>
    <t>TOTAL SCHOOL GENERATED FUNDS - EXPENSES / EXPENDITURES</t>
  </si>
  <si>
    <t>Est.</t>
  </si>
  <si>
    <t>Operating revenue for declining enrolment purposes:</t>
  </si>
  <si>
    <t>Other</t>
  </si>
  <si>
    <t>Code of Accounts References</t>
  </si>
  <si>
    <t>d) Teachers, providing library and guidance to pupils, are to be included.</t>
  </si>
  <si>
    <t>13 and over</t>
  </si>
  <si>
    <t>Local taxation</t>
  </si>
  <si>
    <t>Provincial grants - Other</t>
  </si>
  <si>
    <t>Appendix H,                Sum of lines 1 to 4 Col. 1</t>
  </si>
  <si>
    <t>Appendix H,                Line 5 Col. 4</t>
  </si>
  <si>
    <t>Appendix H,                Line 5 Col. 5</t>
  </si>
  <si>
    <t>Appendix H,                Line 7 Col. 5</t>
  </si>
  <si>
    <t>Appendix H,                Line 7 Col. 4</t>
  </si>
  <si>
    <t xml:space="preserve">School Authority No. </t>
  </si>
  <si>
    <t>FTE of Part-time pupils</t>
  </si>
  <si>
    <t>Junior Kindergarten (JK)</t>
  </si>
  <si>
    <t>Guidance Teachers</t>
  </si>
  <si>
    <t>999999=AppendixH!E20</t>
  </si>
  <si>
    <t>F3</t>
  </si>
  <si>
    <t>Expenditure for Transportation to/from Provincial Schools</t>
  </si>
  <si>
    <t>G</t>
  </si>
  <si>
    <t>Board Teacher Salary Grid</t>
  </si>
  <si>
    <t>H</t>
  </si>
  <si>
    <t>16.5.1</t>
  </si>
  <si>
    <t xml:space="preserve">TOTAL EXPENDITURE  </t>
  </si>
  <si>
    <t>Salaries and supplies in approved facilities</t>
  </si>
  <si>
    <t>E0844</t>
  </si>
  <si>
    <t>E0851</t>
  </si>
  <si>
    <t>E0858</t>
  </si>
  <si>
    <t>E0865</t>
  </si>
  <si>
    <t>E0872</t>
  </si>
  <si>
    <t>E0879</t>
  </si>
  <si>
    <t>E0886</t>
  </si>
  <si>
    <t>E0803</t>
  </si>
  <si>
    <t>E0810</t>
  </si>
  <si>
    <t>Subtotal - Legislative Grants</t>
  </si>
  <si>
    <t>Other Ministry of Education Grants</t>
  </si>
  <si>
    <t>Other Provincial Grants</t>
  </si>
  <si>
    <t>Ministry of Training Colleges &amp; Universities</t>
  </si>
  <si>
    <t>Subtotal - Other Provincial Grants</t>
  </si>
  <si>
    <t>Third Party</t>
  </si>
  <si>
    <t>School Boards</t>
  </si>
  <si>
    <t>Colleges</t>
  </si>
  <si>
    <t>Federal Government</t>
  </si>
  <si>
    <t>Other Third Party - Specify:</t>
  </si>
  <si>
    <t>Subtotal - Third Party</t>
  </si>
  <si>
    <t>SUBTOTAL - OPERATING DEFERRED REVENUE</t>
  </si>
  <si>
    <t>Subtotal - Other Ministry of Education Grants</t>
  </si>
  <si>
    <t>MECR / BECR</t>
  </si>
  <si>
    <t>School Generated Funds - Capital</t>
  </si>
  <si>
    <t>Board Level Donations - Capital</t>
  </si>
  <si>
    <t>SUBTOTAL - CAPITAL DEFERRED REVENUE</t>
  </si>
  <si>
    <t>TOTAL - DEFERRED REVENUE</t>
  </si>
  <si>
    <t>Schedule 9 - Revenues - Page 1</t>
  </si>
  <si>
    <t>PROVINCIAL GRANTS - GRANTS FOR STUDENT NEEDS</t>
  </si>
  <si>
    <t>Plus: Amounts from deferred revenue - legislative grants</t>
  </si>
  <si>
    <t>TOTAL PROVINCIAL GRANTS - GRANTS FOR STUDENT NEEDS</t>
  </si>
  <si>
    <t>PROVINCIAL GRANTS - OTHER</t>
  </si>
  <si>
    <t>Amounts from deferred revenue -Other Ministry of Education grants</t>
  </si>
  <si>
    <t>Specify other grants for operating:</t>
  </si>
  <si>
    <t>Subtotal - EDU Other Grants</t>
  </si>
  <si>
    <t>Grants from Other Ministries and Other Government Reporting Entities (GRE)</t>
  </si>
  <si>
    <t>Provincial employment assistance programs</t>
  </si>
  <si>
    <t>TCU Grant: Literacy and Basic Skills</t>
  </si>
  <si>
    <t>TCU Grant: OYAP</t>
  </si>
  <si>
    <t>Amounts from Deferred Revenue - Other Ministries</t>
  </si>
  <si>
    <t>Specify other grants from other ministries:</t>
  </si>
  <si>
    <t>Remote and Rural adjustment</t>
  </si>
  <si>
    <t>Learning Opportunities adjustment</t>
  </si>
  <si>
    <t>NPP adjustment</t>
  </si>
  <si>
    <t>Supervisory Officers Allocation</t>
  </si>
  <si>
    <t>SO base amount</t>
  </si>
  <si>
    <t>Base amount - range 1 = &lt;50</t>
  </si>
  <si>
    <t>Base amount - range 2 = 50 &lt;&gt; 100</t>
  </si>
  <si>
    <t>Base amount - range 3 = 100 &lt;&gt; 200</t>
  </si>
  <si>
    <t>Base amount - range 4 = &gt;200</t>
  </si>
  <si>
    <t>Remote factors for SO travel</t>
  </si>
  <si>
    <t>Range 1 =   &lt;251 km</t>
  </si>
  <si>
    <t>Range 2 =   251 to 500 km</t>
  </si>
  <si>
    <t>Tax Revenue Net of Election Costs</t>
  </si>
  <si>
    <t>Dispersion Factor</t>
  </si>
  <si>
    <t>Minimum Average Dispersion Factor</t>
  </si>
  <si>
    <t>RURAL AND SMALL COMMUNITIES ALLOCATION</t>
  </si>
  <si>
    <t>Specify other grants from other government reporting entities (GRE):</t>
  </si>
  <si>
    <t>Cost per sq. metre - Elementary</t>
  </si>
  <si>
    <t>Cost per sq. metre - Secondary</t>
  </si>
  <si>
    <t>Well water - base amount - eligible boards</t>
  </si>
  <si>
    <t>Community Use - % of School Operation allocation - converted into a Table amount</t>
  </si>
  <si>
    <t>COMMUNITY USE OF SCHOOLS - CO-ORDINATORS</t>
  </si>
  <si>
    <t>SCHOOL RENEWAL</t>
  </si>
  <si>
    <t>.....( If (Item 16.1.9 Col.1 - Col.2) is greater than 0, (Item 16.1.8 col. 1 - Col. 2), otherwise 0)</t>
  </si>
  <si>
    <t>Moyenne salariale des aides-enseignants dans des établissement de soins, de traitement et de services correctionnels (AAS niveau 4) au secondaire</t>
  </si>
  <si>
    <t>Tableau 10A&amp;10B, C3332</t>
  </si>
  <si>
    <t>**********************************************************Expenditures recorded according to the CICA Public Sector Accounting Handbook**********************************************************</t>
  </si>
  <si>
    <t>Interest Charges on Long Term Debt</t>
  </si>
  <si>
    <t>Municipality or Locality</t>
  </si>
  <si>
    <t>Language Allocation</t>
  </si>
  <si>
    <t>Data form A.2, CP1018</t>
  </si>
  <si>
    <t>Est. (Note)</t>
  </si>
  <si>
    <t>Enter the total kilometers travelled by road on a daily basis.  Note - for land vehicles only.</t>
  </si>
  <si>
    <t>Select the frequency of trips from the drop-down menu.</t>
  </si>
  <si>
    <t>Continuing Education, Summer School &amp; International Language</t>
  </si>
  <si>
    <t>ADMINISTRATION</t>
  </si>
  <si>
    <t>Trustees</t>
  </si>
  <si>
    <t>Directors &amp; Supervisory Officers</t>
  </si>
  <si>
    <t>Schedules</t>
  </si>
  <si>
    <t>Schedule 13,  CP0536</t>
  </si>
  <si>
    <t>10B</t>
  </si>
  <si>
    <t>Sub-total  (Items 2.1 to 2.4)</t>
  </si>
  <si>
    <t>Salary - Vehicle driver</t>
  </si>
  <si>
    <t>Benefits - Vehicle driver</t>
  </si>
  <si>
    <t>Insurance</t>
  </si>
  <si>
    <t>Fuel</t>
  </si>
  <si>
    <t>Pupil Transportation (excl. transportation to/from provincial schools)</t>
  </si>
  <si>
    <t>Number of Half-time pupils</t>
  </si>
  <si>
    <t>(note 1)</t>
  </si>
  <si>
    <t>Recognized Expenditure</t>
  </si>
  <si>
    <t>15.1</t>
  </si>
  <si>
    <t>15.1.1</t>
  </si>
  <si>
    <t>15.1.2</t>
  </si>
  <si>
    <t>Approved expenditure for contracted lease arrangements Elementary facilities</t>
  </si>
  <si>
    <t>Number of part-time pupils
(See Note 1)</t>
  </si>
  <si>
    <t>E0870</t>
  </si>
  <si>
    <t>E0877</t>
  </si>
  <si>
    <t>E0884</t>
  </si>
  <si>
    <t>E0801</t>
  </si>
  <si>
    <t>E0808</t>
  </si>
  <si>
    <t>E0815</t>
  </si>
  <si>
    <t>E0822</t>
  </si>
  <si>
    <t>E0829</t>
  </si>
  <si>
    <t>E0836</t>
  </si>
  <si>
    <t>E0843</t>
  </si>
  <si>
    <t>E0850</t>
  </si>
  <si>
    <t>E0857</t>
  </si>
  <si>
    <t>E0864</t>
  </si>
  <si>
    <t>E0871</t>
  </si>
  <si>
    <t>E0878</t>
  </si>
  <si>
    <t>E0885</t>
  </si>
  <si>
    <t>E0802</t>
  </si>
  <si>
    <t>E0809</t>
  </si>
  <si>
    <t>E0816</t>
  </si>
  <si>
    <t>E0823</t>
  </si>
  <si>
    <t>E0830</t>
  </si>
  <si>
    <t>E0837</t>
  </si>
  <si>
    <t>Remote and Rural</t>
  </si>
  <si>
    <t>Learning Opportunity</t>
  </si>
  <si>
    <t>Total Fees</t>
  </si>
  <si>
    <t>(Col 4 + Col 5)</t>
  </si>
  <si>
    <t>Principals and Vice Principals</t>
  </si>
  <si>
    <t xml:space="preserve"> </t>
  </si>
  <si>
    <t>Elementary (whole numbers)</t>
  </si>
  <si>
    <t>Federal grants &amp; fees</t>
  </si>
  <si>
    <t>Other revenues - School boards</t>
  </si>
  <si>
    <t>Q&amp;E per pupil - Secondary</t>
  </si>
  <si>
    <t>NEW TEACHER INDUCTION PROGRAM (NTIP)</t>
  </si>
  <si>
    <t>Amount per New Teacher</t>
  </si>
  <si>
    <t>TRUSTEES</t>
  </si>
  <si>
    <t>Old Base Amount</t>
  </si>
  <si>
    <t>Old Total Entitlement</t>
  </si>
  <si>
    <t>Other including Teacherages</t>
  </si>
  <si>
    <t>Approved expenditure for contracted lease arrangements Secondary facilities</t>
  </si>
  <si>
    <t>S10513</t>
  </si>
  <si>
    <t>S10517</t>
  </si>
  <si>
    <t>S10521</t>
  </si>
  <si>
    <t>S10525</t>
  </si>
  <si>
    <t>S10529</t>
  </si>
  <si>
    <t>Qualification Categories (one decimal)</t>
  </si>
  <si>
    <t xml:space="preserve">Programme régulier </t>
  </si>
  <si>
    <t>Transportation Assistants</t>
  </si>
  <si>
    <t>50 to 54 -122</t>
  </si>
  <si>
    <t>School Operations &amp; Maintenance</t>
  </si>
  <si>
    <t>40-103,41-103</t>
  </si>
  <si>
    <t>40-112,41-112</t>
  </si>
  <si>
    <t>High Range</t>
  </si>
  <si>
    <t>2.3.1</t>
  </si>
  <si>
    <t>Provide the point of  first pick-up.  Where the transportation is to another community, indicate the  community where the pupil resides.</t>
  </si>
  <si>
    <t>Col.10</t>
  </si>
  <si>
    <t>Col. 14</t>
  </si>
  <si>
    <t>Continuing Education</t>
  </si>
  <si>
    <t>Kindergarten (SK)</t>
  </si>
  <si>
    <t>1.1.3</t>
  </si>
  <si>
    <t xml:space="preserve">Minutes of Instruction                                                                                                                                  </t>
  </si>
  <si>
    <t>Number of elementary pupils as at October 31</t>
  </si>
  <si>
    <t>Adult Credit for Diploma - offered during the school day</t>
  </si>
  <si>
    <t>Tableau 10A&amp;10B, C3322</t>
  </si>
  <si>
    <t>Annexe H, C1304</t>
  </si>
  <si>
    <t>Average Salaries &amp; Wages of Spec. Ed. Secondary Teachers Assistants</t>
  </si>
  <si>
    <t>Schedule 10B, CP3322</t>
  </si>
  <si>
    <t>````````````````````</t>
  </si>
  <si>
    <t>Language allocation</t>
  </si>
  <si>
    <t>Summer School tuition fee per pupil</t>
  </si>
  <si>
    <t>Literacy and Numeracy</t>
  </si>
  <si>
    <t>Summer School</t>
  </si>
  <si>
    <t>Recognized capital program expenditures</t>
  </si>
  <si>
    <t>15.3.2</t>
  </si>
  <si>
    <t>15.3.3</t>
  </si>
  <si>
    <t>LOG          TSP Counsellor</t>
  </si>
  <si>
    <t xml:space="preserve">Transportation               TSP </t>
  </si>
  <si>
    <t>16.5.2</t>
  </si>
  <si>
    <t>The total expenditure for home-to-school, school-to-school, board and lodging and territorial student program transportation reported in Section 9 should equal the transportation expenditures reported on Schedule 10</t>
  </si>
  <si>
    <t>Col. 8</t>
  </si>
  <si>
    <t>Col. 9</t>
  </si>
  <si>
    <t>Col. 4</t>
  </si>
  <si>
    <t>Col. 5</t>
  </si>
  <si>
    <t>Col. 6</t>
  </si>
  <si>
    <t>Annexe H, C1298 + C1300</t>
  </si>
  <si>
    <t>SPECIAL EDUCATION High Needs Per Pupil</t>
  </si>
  <si>
    <t>ESL          Table 2</t>
  </si>
  <si>
    <t>SCHOOL OPERATION Community Use</t>
  </si>
  <si>
    <t>Penetanguishene PSS Bd</t>
  </si>
  <si>
    <t>James Bay Lowlands SS Bd</t>
  </si>
  <si>
    <t>Col. B</t>
  </si>
  <si>
    <t>Transportation to/from provincial schools</t>
  </si>
  <si>
    <t xml:space="preserve">PUPIL ACCOMMODATION </t>
  </si>
  <si>
    <t>Allocation for trustees' expenses</t>
  </si>
  <si>
    <t>Section 12 - Teacherages</t>
  </si>
  <si>
    <t>16.1.4</t>
  </si>
  <si>
    <t>10F</t>
  </si>
  <si>
    <t>1.3.8</t>
  </si>
  <si>
    <t>Grades 4 to 8</t>
  </si>
  <si>
    <t>LOG     Student Effectiveness Leader</t>
  </si>
  <si>
    <t>LOG     Student Effectiveness Travel</t>
  </si>
  <si>
    <t>LOG     Student  Effectiveness per Pupil</t>
  </si>
  <si>
    <t>LOG     Student Success per Pupil</t>
  </si>
  <si>
    <t>Student Success per Pupil amounts:</t>
  </si>
  <si>
    <t xml:space="preserve">SEL per pupil amounts:  </t>
  </si>
  <si>
    <t>JBLSSB Broker Board</t>
  </si>
  <si>
    <t>Moosonee DSA Broker Board</t>
  </si>
  <si>
    <t>`</t>
  </si>
  <si>
    <t>&amp;='[Sch 1 Stmt of Fin. Position]Sch 1 Stmt of Fin. Position'!E43-'[Sch 1 Stmt of Fin. Position]Sch 1 Stmt of Fin. Position'!H43</t>
  </si>
  <si>
    <t>&amp;='[Sch 1.2 Stmt Changes in FP]Sch 1.2 Stmt Changes in FP'!E36</t>
  </si>
  <si>
    <t>&amp;='[Sch. 7 Fin Assets,Liabilties]Sch. 7 Fin Assets,Liabilties'!E8-'[Sch. 7 Fin Assets,Liabilties]Sch. 7 Fin Assets,Liabilties'!E21</t>
  </si>
  <si>
    <t>Schedule 1.1, line 3 Current Year amount</t>
  </si>
  <si>
    <t>&amp;='Sch 1.1 Stmt of Fin. Activities'!H31</t>
  </si>
  <si>
    <t>Elem:  Section 19, line 19.2</t>
  </si>
  <si>
    <t>Sec:  Section 19, line 19.2</t>
  </si>
  <si>
    <t xml:space="preserve">Elem:  Section 5, line 5.4 </t>
  </si>
  <si>
    <t>10.3.1</t>
  </si>
  <si>
    <t>10.3.2</t>
  </si>
  <si>
    <t>10.3.3</t>
  </si>
  <si>
    <t xml:space="preserve">Allocation for Supervisory Officers </t>
  </si>
  <si>
    <t>Allocation for Supervisory Officers:</t>
  </si>
  <si>
    <t>Total number of teacherages</t>
  </si>
  <si>
    <t>Special approval allocation for operating expenditures</t>
  </si>
  <si>
    <t>Elementary Day School ADE of all  pupils in French Language Instructional Unit</t>
  </si>
  <si>
    <t>Secondary Day School ADE of all  pupils in French Language Instructional Unit</t>
  </si>
  <si>
    <t>Pupil Amount</t>
  </si>
  <si>
    <t>Other Academic Staff - Teachers, Principals, Vice-Principals</t>
  </si>
  <si>
    <t>Clerical/Secretarial/Technical &amp; Specialized  Staff</t>
  </si>
  <si>
    <t>50 to 54 - 103</t>
  </si>
  <si>
    <t>50 to 54 - 112</t>
  </si>
  <si>
    <t>Technical &amp; Specialized /Bus Drivers (employed by the Board)</t>
  </si>
  <si>
    <t>50 to 54 -110</t>
  </si>
  <si>
    <t>S10002</t>
  </si>
  <si>
    <t>S10003</t>
  </si>
  <si>
    <t>S10004</t>
  </si>
  <si>
    <t>S10005</t>
  </si>
  <si>
    <t>S10006</t>
  </si>
  <si>
    <t>S10007</t>
  </si>
  <si>
    <t>S10008</t>
  </si>
  <si>
    <t>S10009</t>
  </si>
  <si>
    <t>S10011</t>
  </si>
  <si>
    <t>S10012</t>
  </si>
  <si>
    <t>Transport des élèves</t>
  </si>
  <si>
    <t>CP9003</t>
  </si>
  <si>
    <t>Notes</t>
  </si>
  <si>
    <t>a) Les conseils doivent faire une estimation détaillée des avantages sociaux par catégorie de dépenses rapportées au tableau 10.</t>
  </si>
  <si>
    <t xml:space="preserve">a) Boards are requested to estimate the breakdown of employee benefits reported on Schedule 10 by type of benefit expense in this schedule. </t>
  </si>
  <si>
    <t>.....Item 16.9.1 x item 16.9.2</t>
  </si>
  <si>
    <t>16.10.3</t>
  </si>
  <si>
    <t>16.12.1</t>
  </si>
  <si>
    <t>16.12.2</t>
  </si>
  <si>
    <t>16.12.3</t>
  </si>
  <si>
    <t>16.12.4</t>
  </si>
  <si>
    <t xml:space="preserve">c) Columns 3 and 4 include amounts distributed under part XXII.1 of the Municipal Act. </t>
  </si>
  <si>
    <t>Moyenne salariale des titulaires de classe à l'élémentaire</t>
  </si>
  <si>
    <t>Tableau 10.1&amp;10.2, C5114</t>
  </si>
  <si>
    <t xml:space="preserve">Gr. JK to 3 </t>
  </si>
  <si>
    <t>20 but &lt;60 minutes (grades 4 to 8 only)</t>
  </si>
  <si>
    <t>60 but &lt;150 minutes (grades 4 to 8 only)</t>
  </si>
  <si>
    <t>pupils whose parents or guardians do not reside in Ontario</t>
  </si>
  <si>
    <t>Other Grants - Non GREs (specify)</t>
  </si>
  <si>
    <t>Teacherages</t>
  </si>
  <si>
    <t>&amp;=IF(G16&lt;&gt;I16,"ERROR","")</t>
  </si>
  <si>
    <t>3.5.2</t>
  </si>
  <si>
    <t>d) Extended Health benefits include dental, hospital and vision plans</t>
  </si>
  <si>
    <t>Schedule 10 F - Schedule of Employee Benefits</t>
  </si>
  <si>
    <t>Statutory Employee Benefits</t>
  </si>
  <si>
    <t>Life Insurance / Long-Term Disability</t>
  </si>
  <si>
    <t>Chefs de section</t>
  </si>
  <si>
    <t>per trustee where Day school ADE is more than 300</t>
  </si>
  <si>
    <t>Continuing Education, Summer School and International Language Enrolment</t>
  </si>
  <si>
    <t>f)</t>
  </si>
  <si>
    <t>g)</t>
  </si>
  <si>
    <t>h)</t>
  </si>
  <si>
    <t>E0892</t>
  </si>
  <si>
    <t>Annexe H, C1330</t>
  </si>
  <si>
    <t>Average Salaries &amp; Wages of Secondary Teacher's Preparation Time</t>
  </si>
  <si>
    <t xml:space="preserve">Schedule 10.1&amp;10.2, CP6026 </t>
  </si>
  <si>
    <t>Data E, CP1330</t>
  </si>
  <si>
    <t>I01101</t>
  </si>
  <si>
    <t>I01102</t>
  </si>
  <si>
    <t>I01201</t>
  </si>
  <si>
    <t>Appendix H,               Sum of lines 2 &amp; 3, Col. 2 and Col. 4</t>
  </si>
  <si>
    <t>Elementary - for the developmentally delayed</t>
  </si>
  <si>
    <t>Adult literacy and numeracy for parents [S.3(2)8 of ADE Regulations]</t>
  </si>
  <si>
    <t>Elementary Day School Average Daily Enrolment</t>
  </si>
  <si>
    <t>Secondary:</t>
  </si>
  <si>
    <t>CP0534 at line 4.1.3, Col. A of Schedule 13 should agree with CP0534 at line 2.3, Col. 5 of Schedule 13</t>
  </si>
  <si>
    <t>CP0551 at line 4.1.6, Col. A of Schedule 13 should agree with CP0551 at line 3.5, Col. 5 of Schedule 13</t>
  </si>
  <si>
    <t>CP0552 at line 4.1.6, Col. B of Schedule 13 should agree with CP0552 at line 3.5, Col. 6 of Schedule 13</t>
  </si>
  <si>
    <t>Appendix B1 - Tuition Fee Revenue</t>
  </si>
  <si>
    <t>Col.4</t>
  </si>
  <si>
    <t>Col.5</t>
  </si>
  <si>
    <t>Pupil Credits (whole numbers) (see note a)</t>
  </si>
  <si>
    <t>E0777</t>
  </si>
  <si>
    <t>E0784</t>
  </si>
  <si>
    <t>E0791</t>
  </si>
  <si>
    <t>E0708</t>
  </si>
  <si>
    <t>E0715</t>
  </si>
  <si>
    <t>E0722</t>
  </si>
  <si>
    <t>E0729</t>
  </si>
  <si>
    <t>E0736</t>
  </si>
  <si>
    <t>E0743</t>
  </si>
  <si>
    <t>E0750</t>
  </si>
  <si>
    <t>E0757</t>
  </si>
  <si>
    <t>Schedule 10A CP5014</t>
  </si>
  <si>
    <t>E0890</t>
  </si>
  <si>
    <t xml:space="preserve">Select the type of vehicle used to transport the pupils from the drop-down menu.  In the case where the contract is for a combination of vehicles, enter the vehicle combination (e.g. boat and bus combination). </t>
  </si>
  <si>
    <t>Col.6</t>
  </si>
  <si>
    <t>Indicate the seating capacity of the contracted or board-owned vehicle. In the case of a vehicle combination, indicate the capacity for the road vehicle.</t>
  </si>
  <si>
    <t>Col.7</t>
  </si>
  <si>
    <t>If the board is sharing the vehicle, indicate with whom the board is sharing.</t>
  </si>
  <si>
    <t>Less:
Increase(Decrease) Unfunded Liabilities - Interest Accrued</t>
  </si>
  <si>
    <t>16.1.1</t>
  </si>
  <si>
    <t>16.1.2</t>
  </si>
  <si>
    <t>16.1.8</t>
  </si>
  <si>
    <t>16.1.9</t>
  </si>
  <si>
    <t>Declining Enrolment Adjustment</t>
  </si>
  <si>
    <t xml:space="preserve">Maximum board, lodging and weekly transportation allocation </t>
  </si>
  <si>
    <t>Estimated board,  lodging and weekly transportation expenditure</t>
  </si>
  <si>
    <t>&amp;='[Sch 1 Stmt of Fin. Position]Sch 1 Stmt of Fin. Position'!E26-'[Sch 1 Stmt of Fin. Position]Sch 1 Stmt of Fin. Position'!H26</t>
  </si>
  <si>
    <t>Sec.</t>
  </si>
  <si>
    <t>Classroom Teachers (including Preparation Time)</t>
  </si>
  <si>
    <t>(where the challenge is for a partial credit, the completed challenge should be pro-rated accordingly)</t>
  </si>
  <si>
    <t>PLAR Allocation</t>
  </si>
  <si>
    <t>Section 6 - Adult Education, Continuing Education,</t>
  </si>
  <si>
    <t>6.1.1</t>
  </si>
  <si>
    <t>6.1.2</t>
  </si>
  <si>
    <t>6.1.3</t>
  </si>
  <si>
    <t>Grades 11 and 12</t>
  </si>
  <si>
    <t>3.3</t>
  </si>
  <si>
    <t>3.3.1</t>
  </si>
  <si>
    <t>3.3.2</t>
  </si>
  <si>
    <t>3.3.3</t>
  </si>
  <si>
    <t>3.4</t>
  </si>
  <si>
    <t>equal to</t>
  </si>
  <si>
    <t>Elementary Total (Item 4.1.1 + Item 4.1.2 must equal the specified codepoint)</t>
  </si>
  <si>
    <t>Licence Fees for Trailers</t>
  </si>
  <si>
    <t>Subject of French (grades 9 and 10  only)</t>
  </si>
  <si>
    <t>Secondary</t>
  </si>
  <si>
    <t>Total</t>
  </si>
  <si>
    <t>(two decimals)</t>
  </si>
  <si>
    <t>(whole numbers)</t>
  </si>
  <si>
    <t>2.1.1</t>
  </si>
  <si>
    <t>13.3.8</t>
  </si>
  <si>
    <t>Calculated amount (Col. 1 X Col. 2) (whole dollars)</t>
  </si>
  <si>
    <t>Subject of French (grades 11 and 12)</t>
  </si>
  <si>
    <t>Secondary schools generated funds and other revenues</t>
  </si>
  <si>
    <t>TOTAL SCHOOL GENERATED FUNDS</t>
  </si>
  <si>
    <t>FEDERAL GRANTS &amp; FEES</t>
  </si>
  <si>
    <t>Special Education Expenses net of Negotiated  Services</t>
  </si>
  <si>
    <t>Student Trustees' Funded Percentage of Honoraria</t>
  </si>
  <si>
    <t>Student Trustees' Expenses</t>
  </si>
  <si>
    <t>DIRECTORS AND SUPERVISORY OFFICERS</t>
  </si>
  <si>
    <t>For first 10,000 pupils</t>
  </si>
  <si>
    <t>For next 10,000 pupils</t>
  </si>
  <si>
    <t>For remaining pupils</t>
  </si>
  <si>
    <t>Personnel et dépenses salariales</t>
  </si>
  <si>
    <t>Staffing and Staffing Expenditure</t>
  </si>
  <si>
    <t>Compare the total expenditures for Sec 23 program reported on Schedule 10A with the allocation on Section 2</t>
  </si>
  <si>
    <t>13.2.1</t>
  </si>
  <si>
    <t>13.2.2</t>
  </si>
  <si>
    <t>13.2.3</t>
  </si>
  <si>
    <t>Section 3, Item 3.7, CP0663</t>
  </si>
  <si>
    <t>Clerical and Secretarial Staff</t>
  </si>
  <si>
    <t>Administration and Governance</t>
  </si>
  <si>
    <t>Ministry of Citizenship &amp; Immigration - Citizenship/Adult ESL/FSL</t>
  </si>
  <si>
    <t>Elementary 
(whole numbers)</t>
  </si>
  <si>
    <t>FFL</t>
  </si>
  <si>
    <t>Moose Factory Island DSA</t>
  </si>
  <si>
    <t>Moosonee DSA</t>
  </si>
  <si>
    <t>Page</t>
  </si>
  <si>
    <t>Table of Contents</t>
  </si>
  <si>
    <t>Section 3, poste 3.21, C0681</t>
  </si>
  <si>
    <t>Totals</t>
  </si>
  <si>
    <t># Pupils</t>
  </si>
  <si>
    <t>$ PP</t>
  </si>
  <si>
    <t>Behavioural Expertise amounts:</t>
  </si>
  <si>
    <t>Moose Factory Island DSAB Broker Board</t>
  </si>
  <si>
    <t>School operations</t>
  </si>
  <si>
    <t>(Line 12.2  +  line 12.3.2)</t>
  </si>
  <si>
    <t>Nombre d'élèves dans des classes d'élèves en difficulté entièrement distinctes de la maternelle à la 8e année comparé au nombre d'enseignants dans les classes distinctes.</t>
  </si>
  <si>
    <t>OP</t>
  </si>
  <si>
    <t>Type</t>
  </si>
  <si>
    <t>Seating</t>
  </si>
  <si>
    <t>Vehicle shared with</t>
  </si>
  <si>
    <t>From</t>
  </si>
  <si>
    <t>To</t>
  </si>
  <si>
    <t>Frequency</t>
  </si>
  <si>
    <t>Contracted Amount</t>
  </si>
  <si>
    <t>Boat</t>
  </si>
  <si>
    <t>Weekly</t>
  </si>
  <si>
    <t>Mid-day run</t>
  </si>
  <si>
    <t>Boat and Bus</t>
  </si>
  <si>
    <t>French as a First Language - only for school authorities with French-language unit</t>
  </si>
  <si>
    <t>Schedule 10A, CP3111</t>
  </si>
  <si>
    <t>Schedule 10A, CP3311</t>
  </si>
  <si>
    <t>Schedule 10B, CP3331</t>
  </si>
  <si>
    <t>Average Salaries &amp; Wages of Principals and Vice-Principals</t>
  </si>
  <si>
    <t>Schedule 10, CP6102</t>
  </si>
  <si>
    <t>Average Salaries &amp; Wages of School Clerical and Secretarial Staff</t>
  </si>
  <si>
    <t>Allocation for board trustees' honoraria and expenses and for pupil representation:</t>
  </si>
  <si>
    <t>Allocation for board administration costs:</t>
  </si>
  <si>
    <t>11A</t>
  </si>
  <si>
    <t>School Administration</t>
  </si>
  <si>
    <t>Principals - Administrative Time</t>
  </si>
  <si>
    <t>TOTAL REVENUES</t>
  </si>
  <si>
    <t>OK</t>
  </si>
  <si>
    <t>Programme d'appui aux noveeaux arrivants (PANA) Allocation</t>
  </si>
  <si>
    <t>Appendix F2 - Board, Lodging and Weekly Transportation</t>
  </si>
  <si>
    <t>E0880</t>
  </si>
  <si>
    <t>E0887</t>
  </si>
  <si>
    <t>E0804</t>
  </si>
  <si>
    <t>E0811</t>
  </si>
  <si>
    <t>E0818</t>
  </si>
  <si>
    <t>E0825</t>
  </si>
  <si>
    <t>New Teacher Induction Program (NTIP)</t>
  </si>
  <si>
    <t>Literacy and numeracy component of school operations</t>
  </si>
  <si>
    <t>Total Transportation Allocation</t>
  </si>
  <si>
    <t>Allocation for Program Supports</t>
  </si>
  <si>
    <t>Community use of schools operations amount</t>
  </si>
  <si>
    <t>5A</t>
  </si>
  <si>
    <t>7A</t>
  </si>
  <si>
    <t>New Teacher Induction Program</t>
  </si>
  <si>
    <t>Community Use of Schools</t>
  </si>
  <si>
    <t>1.22.1</t>
  </si>
  <si>
    <t>1.28.1</t>
  </si>
  <si>
    <t>1.28.2</t>
  </si>
  <si>
    <t>1.28.3</t>
  </si>
  <si>
    <t>Sub-Total:  OPERATING (Sum of lines 1.1 to 1.15)</t>
  </si>
  <si>
    <t>Total - OPERATING (line 1.16 + line 1.17)</t>
  </si>
  <si>
    <t>Total Ministry Adjustment (Item 1.28.1 + Item 1.28.2)</t>
  </si>
  <si>
    <t>Annexe H, CP1298</t>
  </si>
  <si>
    <t>Col. 16</t>
  </si>
  <si>
    <t>d)</t>
  </si>
  <si>
    <t>e)</t>
  </si>
  <si>
    <t>Years of experience</t>
  </si>
  <si>
    <t>F1</t>
  </si>
  <si>
    <t>Secondary calculated factor (Item 7.2 X Item 7.3) (four decimals) - French Language Intructional Unit</t>
  </si>
  <si>
    <t>F0893</t>
  </si>
  <si>
    <t>E0894</t>
  </si>
  <si>
    <t>E0895</t>
  </si>
  <si>
    <t>E0900</t>
  </si>
  <si>
    <t>E0901</t>
  </si>
  <si>
    <t>Average Salaries &amp; Wages of Library and Guidance</t>
  </si>
  <si>
    <t>Schedule 10, CP5702</t>
  </si>
  <si>
    <t>E0860</t>
  </si>
  <si>
    <t>E0867</t>
  </si>
  <si>
    <t>Per Pupil</t>
  </si>
  <si>
    <t>&amp;=IF(G14&lt;&gt;I14,"WARNING","")</t>
  </si>
  <si>
    <t>11.11.1</t>
  </si>
  <si>
    <t>11.11.2</t>
  </si>
  <si>
    <t>Approved number of months for board, lodging and weekly transportation</t>
  </si>
  <si>
    <t>LEARNING ENHANCEMENT Number of schools</t>
  </si>
  <si>
    <t>(Col. 5 + Col. 6)</t>
  </si>
  <si>
    <t>Remote distance factor</t>
  </si>
  <si>
    <t>999999=Section3!G55</t>
  </si>
  <si>
    <t>999999=Section3!G54</t>
  </si>
  <si>
    <t>999999=K15-M15</t>
  </si>
  <si>
    <t>999999=Section3!G53</t>
  </si>
  <si>
    <t>This column is a calculated cell and provides a daily route cost.</t>
  </si>
  <si>
    <t>City or Town</t>
  </si>
  <si>
    <t>75 or more (JK and K only)</t>
  </si>
  <si>
    <t>FSL - SECONDARY</t>
  </si>
  <si>
    <t>Subject of french (grds.9&amp;10 only)</t>
  </si>
  <si>
    <t>Subject of french (grds.11,12,OAC only)</t>
  </si>
  <si>
    <t>Subject other than french (grd9&amp;10 only)</t>
  </si>
  <si>
    <t>Subject other than french (grd11,12,OAC only)</t>
  </si>
  <si>
    <t>Number of Elem as at Oct31</t>
  </si>
  <si>
    <t>Number of Secondary ADE</t>
  </si>
  <si>
    <t>FFL startup - Elementary only</t>
  </si>
  <si>
    <t>ALF</t>
  </si>
  <si>
    <t>Per-Pupil Amount - Elem</t>
  </si>
  <si>
    <t>TOTAL ALLOCATIONS (Sum of lines 1.18 to 1.22.2)</t>
  </si>
  <si>
    <t>LOG     Student Success Leader</t>
  </si>
  <si>
    <t>LOG     Student Success Travel</t>
  </si>
  <si>
    <t>Language Instruction for Newcomers to Canada (LINC)</t>
  </si>
  <si>
    <t>Other pupils</t>
  </si>
  <si>
    <t>Total pupils</t>
  </si>
  <si>
    <t>Factors</t>
  </si>
  <si>
    <t>E0874</t>
  </si>
  <si>
    <t>E0881</t>
  </si>
  <si>
    <t>E0888</t>
  </si>
  <si>
    <t>E0889</t>
  </si>
  <si>
    <t>Other School Based Teachers &amp; Resource Teachers</t>
  </si>
  <si>
    <t>10-171, 173, 192</t>
  </si>
  <si>
    <t>Care and Treatment and Correctional Facilities Teachers (ISA 4)</t>
  </si>
  <si>
    <t>10-170-(305)</t>
  </si>
  <si>
    <t>Teacher Assistants - General</t>
  </si>
  <si>
    <t>10-191*</t>
  </si>
  <si>
    <t>10-191-(305)</t>
  </si>
  <si>
    <t>Student Support - Professionals, Paraprofessionals and Technicians</t>
  </si>
  <si>
    <t>Social Services</t>
  </si>
  <si>
    <t>21-134</t>
  </si>
  <si>
    <t>Speech Services</t>
  </si>
  <si>
    <t>21-133</t>
  </si>
  <si>
    <t>Psychological Services</t>
  </si>
  <si>
    <t>21-132</t>
  </si>
  <si>
    <t>Attendance Counselling</t>
  </si>
  <si>
    <t>21-131</t>
  </si>
  <si>
    <t>21-121</t>
  </si>
  <si>
    <t>Computer and Other Technical Student Support Services</t>
  </si>
  <si>
    <t>22-135, 21 or 22-110</t>
  </si>
  <si>
    <t>Other Prof. and Paraprof. Staff, Teachers or Teacher Assistants</t>
  </si>
  <si>
    <t>21- 136, 170, 191</t>
  </si>
  <si>
    <t xml:space="preserve">Library and Guidance </t>
  </si>
  <si>
    <t>23-170</t>
  </si>
  <si>
    <t>24-170</t>
  </si>
  <si>
    <t>Technicians &amp; Other Staff - Library/Guidance</t>
  </si>
  <si>
    <t>See Instructions</t>
  </si>
  <si>
    <t>Teacher Support Services</t>
  </si>
  <si>
    <t xml:space="preserve">Coordinators and Consultants </t>
  </si>
  <si>
    <t>Annual Surplus/Deficit reported on Schedule 1.1, line 3.1 should equal Schedule 9, line 9 less Schedule 10, total expenditures</t>
  </si>
  <si>
    <t>Schedule 1.1, line 3.1 Current year amount</t>
  </si>
  <si>
    <t>Schedule 9, line 9 less Schedule 10, total expenditures</t>
  </si>
  <si>
    <t>Other GREs</t>
  </si>
  <si>
    <t>(Sum of lines 13.3.2, 13.3.5 and 13.3.6 and 13.3.7)</t>
  </si>
  <si>
    <t>Operating Fund - Adjusted Expenses for Compliance Purposes</t>
  </si>
  <si>
    <t>Schedule 10A - Special Education Expenses - Elementary</t>
  </si>
  <si>
    <t>Schedule 10B - Special Education Expenses - Secondary</t>
  </si>
  <si>
    <t>Special Education Expenses - Elementary</t>
  </si>
  <si>
    <t>Special Education Expenses - Secondary</t>
  </si>
  <si>
    <t>School Operations &amp; Maintenance Expenses</t>
  </si>
  <si>
    <t>Schedule 10C - School Operations &amp; Maintenance Expenses</t>
  </si>
  <si>
    <t>1.3.1.1</t>
  </si>
  <si>
    <t>1.3.10.1</t>
  </si>
  <si>
    <t>Col. A</t>
  </si>
  <si>
    <t>1.3.5</t>
  </si>
  <si>
    <t>1.3.6</t>
  </si>
  <si>
    <t>1.3.7</t>
  </si>
  <si>
    <t>Administration and Governance Allocation</t>
  </si>
  <si>
    <t>School Renewal Allocation</t>
  </si>
  <si>
    <t>Deduct:</t>
  </si>
  <si>
    <t>Salaries &amp; Wages</t>
  </si>
  <si>
    <t>Employee Benefits</t>
  </si>
  <si>
    <t>Staff Development</t>
  </si>
  <si>
    <t>Supplies &amp; Services</t>
  </si>
  <si>
    <t>Notes:</t>
  </si>
  <si>
    <t>E0856</t>
  </si>
  <si>
    <t>E0863</t>
  </si>
  <si>
    <t>Section 16 - Declining Enrolment Adjustment</t>
  </si>
  <si>
    <t>Declining enrolment adjustment</t>
  </si>
  <si>
    <t>Secondary - English Language Instructional Units</t>
  </si>
  <si>
    <t>E0705</t>
  </si>
  <si>
    <t>E0712</t>
  </si>
  <si>
    <t>E0719</t>
  </si>
  <si>
    <t>E0726</t>
  </si>
  <si>
    <t>E0733</t>
  </si>
  <si>
    <t>E0740</t>
  </si>
  <si>
    <t>E0747</t>
  </si>
  <si>
    <t>E0754</t>
  </si>
  <si>
    <t>E0761</t>
  </si>
  <si>
    <t>E0768</t>
  </si>
  <si>
    <t>E0775</t>
  </si>
  <si>
    <t>E0782</t>
  </si>
  <si>
    <t>ADMIN       Honoraria</t>
  </si>
  <si>
    <t>SCHOOL OPERATION Well Maintenance</t>
  </si>
  <si>
    <t>ADMIN       Trustee</t>
  </si>
  <si>
    <t>REMOTE AND RURAL Distance</t>
  </si>
  <si>
    <t>DISTANT SCHOOL 2003-04 FS Sec</t>
  </si>
  <si>
    <t>ADMIN       Remote Distance Factor</t>
  </si>
  <si>
    <t>SCHOOL OPERATION School Area</t>
  </si>
  <si>
    <t>TOTAL ELEMENTARY</t>
  </si>
  <si>
    <t>Grade 7 and 8 literacy and numeracy remedial</t>
  </si>
  <si>
    <t>Staffing</t>
  </si>
  <si>
    <t>Appendices</t>
  </si>
  <si>
    <t>Error</t>
  </si>
  <si>
    <t>Independent Study Average Daily Enrolment</t>
  </si>
  <si>
    <t>2.2.1</t>
  </si>
  <si>
    <t>Compare le nombre d'élèves au secondaire, du conseil,qui sont arrivés au Canada en 1998/99 avec 1999/00</t>
  </si>
  <si>
    <t>Secion 3,  poste 3.7, C0666</t>
  </si>
  <si>
    <t>Special Approval - Operating</t>
  </si>
  <si>
    <t>COST</t>
  </si>
  <si>
    <t>Additions and Betterments</t>
  </si>
  <si>
    <t>Disposals/Deemed Disposals</t>
  </si>
  <si>
    <t>Assets In Service</t>
  </si>
  <si>
    <t>(Elem.  CP0892; Sec.  CP0893)</t>
  </si>
  <si>
    <t>3.5.2.1</t>
  </si>
  <si>
    <t>3.5.2.2</t>
  </si>
  <si>
    <t>3.5.3</t>
  </si>
  <si>
    <t>&amp;='[Sch 1.2 Stmt Changes in FP]Sch 1.2 Stmt Changes in FP'!H36</t>
  </si>
  <si>
    <t>Provide the point of last drop-off (usually the board's school).  Where the transportation is to another community, indicate the community where the pupil is attending the school.</t>
  </si>
  <si>
    <t>Col.11</t>
  </si>
  <si>
    <t>Col.12</t>
  </si>
  <si>
    <t>Col.13</t>
  </si>
  <si>
    <t>Total Pupil Foundation Allocation</t>
  </si>
  <si>
    <t>Pupil Foundation</t>
  </si>
  <si>
    <t>Section 1.3 - School Foundation Amount</t>
  </si>
  <si>
    <t>Elementary School Foundation Amount</t>
  </si>
  <si>
    <r>
      <t>Remote and Rural Allocation</t>
    </r>
    <r>
      <rPr>
        <sz val="12"/>
        <rFont val="Arial"/>
        <family val="2"/>
      </rPr>
      <t xml:space="preserve"> </t>
    </r>
  </si>
  <si>
    <t>16.10.1</t>
  </si>
  <si>
    <t>16.10.2</t>
  </si>
  <si>
    <t>16.11.1</t>
  </si>
  <si>
    <t>16.11.2</t>
  </si>
  <si>
    <t>16.11.3</t>
  </si>
  <si>
    <t>16.11.4</t>
  </si>
  <si>
    <t>16.11.5</t>
  </si>
  <si>
    <t>Total                              (Col.4 and Col. 5)           (two decimals)</t>
  </si>
  <si>
    <t>for the remaining pupils</t>
  </si>
  <si>
    <t>(Lesser of lines 9.2.2 and 9.2.3)</t>
  </si>
  <si>
    <t>(Lesser of lines 9.1.1 and 9.1.2.3)</t>
  </si>
  <si>
    <t>Maximum Transportation Safety Program amount (Line 9.5.1  X  $1,000)</t>
  </si>
  <si>
    <t>9.5.3</t>
  </si>
  <si>
    <t>Estimated Transportation Safety Program expenditure</t>
  </si>
  <si>
    <t>9.5.4</t>
  </si>
  <si>
    <t>Transportation Safety Program amount</t>
  </si>
  <si>
    <t>Base</t>
  </si>
  <si>
    <t>per pupil for the first 150 pupils</t>
  </si>
  <si>
    <t>per pupil for the next 150 pupils</t>
  </si>
  <si>
    <t>(Line 15.1.1 - line 15.1.2)</t>
  </si>
  <si>
    <t>(Line 15.2.1 - line 15.2.2)</t>
  </si>
  <si>
    <t>(Ministry Use Only):</t>
  </si>
  <si>
    <t>Total weighted enrolment</t>
  </si>
  <si>
    <t>Per pupil amount</t>
  </si>
  <si>
    <t xml:space="preserve">Distance amount </t>
  </si>
  <si>
    <t>Remote teacherage amount</t>
  </si>
  <si>
    <t>Teacherage amount</t>
  </si>
  <si>
    <t>12.3.1</t>
  </si>
  <si>
    <t>Total Cost Adjustment and Teacher Qualification and Experience Allocation</t>
  </si>
  <si>
    <t>Moyenne salariale du temps de préparation des enseignants au secondaire</t>
  </si>
  <si>
    <t xml:space="preserve">Tableau 10.1&amp;10.2, C6026 </t>
  </si>
  <si>
    <t>Secondary (exclude 21 &amp; over at December 31, 2008) (whole numbers)</t>
  </si>
  <si>
    <t>Section 3, poste 3.21, C0682</t>
  </si>
  <si>
    <t>Section 2 -- Special Education Allocation</t>
  </si>
  <si>
    <t>SEPPA</t>
  </si>
  <si>
    <t>Col. 1</t>
  </si>
  <si>
    <t>Col. 2</t>
  </si>
  <si>
    <t>Col. 3</t>
  </si>
  <si>
    <t>Elementary</t>
  </si>
  <si>
    <t>I01203</t>
  </si>
  <si>
    <t>I01204</t>
  </si>
  <si>
    <t>I01205</t>
  </si>
  <si>
    <t>I01206</t>
  </si>
  <si>
    <t>I01207</t>
  </si>
  <si>
    <t>I01208</t>
  </si>
  <si>
    <t>I01209</t>
  </si>
  <si>
    <t>I01210</t>
  </si>
  <si>
    <t>I01301</t>
  </si>
  <si>
    <t>I01305</t>
  </si>
  <si>
    <t>E0817</t>
  </si>
  <si>
    <t>E0824</t>
  </si>
  <si>
    <t>E0831</t>
  </si>
  <si>
    <t>E0838</t>
  </si>
  <si>
    <t>E0845</t>
  </si>
  <si>
    <t>Literacy and Numeracy Assistance</t>
  </si>
  <si>
    <t>E0742</t>
  </si>
  <si>
    <t>E0749</t>
  </si>
  <si>
    <t>E0756</t>
  </si>
  <si>
    <t>E0763</t>
  </si>
  <si>
    <t>E0770</t>
  </si>
  <si>
    <t>Classroom Teachers</t>
  </si>
  <si>
    <t>Retirement Gratuities</t>
  </si>
  <si>
    <t>2.10</t>
  </si>
  <si>
    <t>Adult Education, Continuing Education and Summer School</t>
  </si>
  <si>
    <t>Teacherage</t>
  </si>
  <si>
    <t>Section 5 - Remote and Rural Allocation</t>
  </si>
  <si>
    <t>Col. 10</t>
  </si>
  <si>
    <t>Col. 11</t>
  </si>
  <si>
    <t>Section 19 - Safe Schools Allocation</t>
  </si>
  <si>
    <t>Pre-construction/pre-acquisition costs</t>
  </si>
  <si>
    <t>Proceeds of Disposition</t>
  </si>
  <si>
    <t>Other Buildings - 20 years</t>
  </si>
  <si>
    <t>Schedule 5 Detail of Accumulated Surplus/(Deficit)</t>
  </si>
  <si>
    <t>Net saving (Line 1.26.1 less line 1.26.2) (Amount at line 1.26.3 is reported on Schedule 5.1 as transfer to reserve for strike savings AND as transfer from reserve from strike savings)</t>
  </si>
  <si>
    <t>Number of Elementary Pupils as at October 31</t>
  </si>
  <si>
    <t>18.1.1</t>
  </si>
  <si>
    <t>18.1.2</t>
  </si>
  <si>
    <t>18.1.3</t>
  </si>
  <si>
    <t>(Line 18.1.1 + line 18.1.2)</t>
  </si>
  <si>
    <t>Grades 9 and 10</t>
  </si>
  <si>
    <t>Other Elementary grades</t>
  </si>
  <si>
    <t>Tuition Revenue for Regular Day School (under 21)</t>
  </si>
  <si>
    <t>Tuition Revenue for Regular Day School (21 and over )</t>
  </si>
  <si>
    <t>Elementary Pupils Negotiated Fees</t>
  </si>
  <si>
    <t>I01502</t>
  </si>
  <si>
    <t>I01503</t>
  </si>
  <si>
    <t>I01504</t>
  </si>
  <si>
    <t>I01505</t>
  </si>
  <si>
    <t>I01506</t>
  </si>
  <si>
    <t>Prior Learning Assessment and Recognition (PLAR)</t>
  </si>
  <si>
    <t>Scaling</t>
  </si>
  <si>
    <t>Start Point</t>
  </si>
  <si>
    <t>Vehicles &gt; 1 ton</t>
  </si>
  <si>
    <t>Other moveable type assets (note 3)</t>
  </si>
  <si>
    <t>Note 3 - These include equipment (5yr, 10yr and 15 yr), and first-time equipping.</t>
  </si>
  <si>
    <t>From Sept. 1, 2006 to Aug. 31, 2007</t>
  </si>
  <si>
    <t>BENCHMARK TEACHER SALARY</t>
  </si>
  <si>
    <t>Teacher Salary Benchmark</t>
  </si>
  <si>
    <t xml:space="preserve">Teacher Benefits Benchmark </t>
  </si>
  <si>
    <t>Teacher Salary Benchmark + Benefits</t>
  </si>
  <si>
    <t>PUPIL FOUNDATION</t>
  </si>
  <si>
    <t>JK-Grade 3</t>
  </si>
  <si>
    <t>Grade 4-8</t>
  </si>
  <si>
    <t>SCHOOL FOUNDATION AMOUNTS</t>
  </si>
  <si>
    <t>Principal Salary incl. Benefits - Elem</t>
  </si>
  <si>
    <t>Principal Salary incl. Benefits - Sec</t>
  </si>
  <si>
    <t>Vice-Principal Salary incl. Benefits - Elem</t>
  </si>
  <si>
    <t>Vice-Principal Salary incl. Benefits - Sec</t>
  </si>
  <si>
    <t>Secretary Salary incl. Benefits - Elem</t>
  </si>
  <si>
    <t>Secretary Salary incl. Benefits - Sec</t>
  </si>
  <si>
    <t>School Amount - Elem</t>
  </si>
  <si>
    <t>School Amount - Sec</t>
  </si>
  <si>
    <t>Supplies Amount - Elem</t>
  </si>
  <si>
    <t>Supplies Amount - Sec</t>
  </si>
  <si>
    <t xml:space="preserve">Total (sum of items 1.2 .1 to 1.2.4) </t>
  </si>
  <si>
    <t>2.</t>
  </si>
  <si>
    <t>Elementary Day School Pupils (JK to Gr.8)</t>
  </si>
  <si>
    <t>Col.1</t>
  </si>
  <si>
    <t>(Col. 1 + Col. 2)</t>
  </si>
  <si>
    <t>(Col. 1 X Col. 4)</t>
  </si>
  <si>
    <t>3.1.3</t>
  </si>
  <si>
    <t>3.2.1</t>
  </si>
  <si>
    <t>Continuing Education tuition fee per pupil</t>
  </si>
  <si>
    <t>Tuition Revenue for Continuing Education, Literacy &amp; Numeracy, Summer School</t>
  </si>
  <si>
    <t>Continuing Education and Other Programs</t>
  </si>
  <si>
    <t>B1</t>
  </si>
  <si>
    <t>The change in net financial assets(liabilities) on Schedule 1 should equal to the net revenue (exp.) on Schedule 1.1</t>
  </si>
  <si>
    <t>Schedule 1, line 3 Current Year amount - Prior Year amount</t>
  </si>
  <si>
    <t/>
  </si>
  <si>
    <t>Tableau 10F - Tableau des avantages sociaux</t>
  </si>
  <si>
    <t>Average Program minutes per school day</t>
  </si>
  <si>
    <t>20- 39 minutes</t>
  </si>
  <si>
    <t>40 minutes or more</t>
  </si>
  <si>
    <t>DISTANT SCHOOL 2003-04 FS Elem (Eng)</t>
  </si>
  <si>
    <t>Schedule 10F
line 19, col. 6</t>
  </si>
  <si>
    <t>Schedulle 10
CP9003</t>
  </si>
  <si>
    <t>Furniture and Equipment in approved facilities</t>
  </si>
  <si>
    <t xml:space="preserve">Principals &amp; Vice-Principals </t>
  </si>
  <si>
    <t>Department Heads</t>
  </si>
  <si>
    <t>Classroom Teachers (incl. Special Education self -contained)</t>
  </si>
  <si>
    <t>10-170*</t>
  </si>
  <si>
    <t>Principals - instruction time only</t>
  </si>
  <si>
    <t>10-151</t>
  </si>
  <si>
    <t>Special Education Expenditure Schedule 10B should not be zero if the board has secondary enrolment</t>
  </si>
  <si>
    <t>Schedule 10B CP5014</t>
  </si>
  <si>
    <t>Pupil Accommodation Allocation</t>
  </si>
  <si>
    <t>Number of Elementary pupils as of October 31</t>
  </si>
  <si>
    <t>Current year secondary Day School ADE</t>
  </si>
  <si>
    <t>3.2.2</t>
  </si>
  <si>
    <t>3.2.3</t>
  </si>
  <si>
    <t>10C</t>
  </si>
  <si>
    <t>Residential Taxes (notes a and c)</t>
  </si>
  <si>
    <t>Business Taxes (notes b and c)</t>
  </si>
  <si>
    <t>I01501</t>
  </si>
  <si>
    <t>Compare le total des dépenses estimées pour les programmes AAS niveau 4 inscrit au tableau 10A avec l'élément à la Section 2 pour le palier élémentaire</t>
  </si>
  <si>
    <t>Tableau 10A&amp;10B, C5012</t>
  </si>
  <si>
    <t>Section 2, C0638</t>
  </si>
  <si>
    <t>Compare le total des dépenses estimées pour les programmes AAS niveau 4 inscrit au tableau 10B avec l'élément à la Section 2 pour le palier secondaire</t>
  </si>
  <si>
    <t>Tableau 10A&amp;3B, C5032</t>
  </si>
  <si>
    <t>Section2, C0639</t>
  </si>
  <si>
    <t>Col.8</t>
  </si>
  <si>
    <t>Identify the board share of the vehicle.  Show 100% where there is no sharing.</t>
  </si>
  <si>
    <t>Col.9</t>
  </si>
  <si>
    <t>Tuition Fee Revenue (Appendix B1, items 1.1 and 1.1.2)</t>
  </si>
  <si>
    <t>Per-Pupil - Enrolment Based Funding</t>
  </si>
  <si>
    <t>Dispersion %</t>
  </si>
  <si>
    <t>Minimum Provision</t>
  </si>
  <si>
    <t>PROFESSIONALS &amp; PARA-PROFESSIONALS</t>
  </si>
  <si>
    <t>PROGRAM ENHANCEMENT GRANT</t>
  </si>
  <si>
    <t>Per-School Amount</t>
  </si>
  <si>
    <t>SCHOOL OPERATIONS</t>
  </si>
  <si>
    <t>999999=Section3!G149</t>
  </si>
  <si>
    <t>999999=K25-M25</t>
  </si>
  <si>
    <t>999999=Section3!G148</t>
  </si>
  <si>
    <t>999999=K27-M27</t>
  </si>
  <si>
    <t>999999=Section3!I150</t>
  </si>
  <si>
    <t>999999=Section3!I149</t>
  </si>
  <si>
    <t>999999=K29-M29</t>
  </si>
  <si>
    <t>999999=Section3!I148</t>
  </si>
  <si>
    <t>999999=K31-M31</t>
  </si>
  <si>
    <t>Expenditure approved by the Minister that is attributed to the withholding of services by employees or a lockout.</t>
  </si>
  <si>
    <t>Section 15 - Special Approvals</t>
  </si>
  <si>
    <t>Distance Amount</t>
  </si>
  <si>
    <t>Col A</t>
  </si>
  <si>
    <t>Col B</t>
  </si>
  <si>
    <t>Col C</t>
  </si>
  <si>
    <t>Full years of teaching experience</t>
  </si>
  <si>
    <t>D</t>
  </si>
  <si>
    <t>C</t>
  </si>
  <si>
    <t>B</t>
  </si>
  <si>
    <t>A1/group1</t>
  </si>
  <si>
    <t>A2/group2</t>
  </si>
  <si>
    <t>A3/group3</t>
  </si>
  <si>
    <t>A4/group4</t>
  </si>
  <si>
    <t>&lt;1</t>
  </si>
  <si>
    <t xml:space="preserve">Section 13 - </t>
  </si>
  <si>
    <t>No</t>
  </si>
  <si>
    <t>Yes</t>
  </si>
  <si>
    <t>Minimum Geographic Area for Distance Amount (sq. km)</t>
  </si>
  <si>
    <t>Minimum Dispersal Factor for Distance Amount</t>
  </si>
  <si>
    <t>Per Pupil Amount for Trustee Allocation</t>
  </si>
  <si>
    <t>Trustee Honoraria frozen to levels set by each isolate board for 1996</t>
  </si>
  <si>
    <t xml:space="preserve">Trustees Expenses amount </t>
  </si>
  <si>
    <t>Base amount - range 1 = &lt;100</t>
  </si>
  <si>
    <t>Base amount - range 2 = 100 &lt;&gt; 200</t>
  </si>
  <si>
    <t>Base amount - range 3 = &gt;200</t>
  </si>
  <si>
    <t xml:space="preserve">Per Pupil Amount for Chair Allocation Capped  - LOW </t>
  </si>
  <si>
    <t>Per Pupil Amount for Chair Allocation Capped - HIGH</t>
  </si>
  <si>
    <t>TOTAL SCHOOL GENERATED FUNDS - REVENUES/DEFERRED REVENUES</t>
  </si>
  <si>
    <t>SCHOOL GENERATED FUNDS - EXPENSES / EXPENDITURES</t>
  </si>
  <si>
    <t>Grades 9 to 12</t>
  </si>
  <si>
    <t>.....(Section 1.1, (Item 1.1.8) x 13%)</t>
  </si>
  <si>
    <t>Special education - SEPPA</t>
  </si>
  <si>
    <t>Remote and Rural allocation</t>
  </si>
  <si>
    <t>Administration allocation</t>
  </si>
  <si>
    <t>Day School ADE of pupils of the Board</t>
  </si>
  <si>
    <t>Declining Enrolment Adjustment before phase-in amount</t>
  </si>
  <si>
    <t>Secondary School Size - &gt;= 200 or &lt; 300</t>
  </si>
  <si>
    <t>Secondary School Size - &gt;= 300 or &lt; 400</t>
  </si>
  <si>
    <t>Secondary School Size - &gt;= 400</t>
  </si>
  <si>
    <r>
      <t xml:space="preserve">if line 16.10.5 is less than 151, </t>
    </r>
    <r>
      <rPr>
        <b/>
        <sz val="12"/>
        <rFont val="Arial"/>
        <family val="2"/>
      </rPr>
      <t>enter 0</t>
    </r>
  </si>
  <si>
    <t xml:space="preserve">(Sum of lines 16.12.1, 16.12.2 and 16.12.4) </t>
  </si>
  <si>
    <t>16.12.5</t>
  </si>
  <si>
    <t>16.13.1</t>
  </si>
  <si>
    <t>16.13.2</t>
  </si>
  <si>
    <t>16.13.3</t>
  </si>
  <si>
    <t>16.13.4</t>
  </si>
  <si>
    <t>(Sum of lines 16.13 to 16.13.3)</t>
  </si>
  <si>
    <t>(Sum of lines 16.11.5+16.12.5+16.13.4+16.14)</t>
  </si>
  <si>
    <t>Teacher qualification and experience allocation per pupil:</t>
  </si>
  <si>
    <t>Total Teacher qualification and experience allocation per pupil:</t>
  </si>
  <si>
    <t>Interest income</t>
  </si>
  <si>
    <t>Interest on Sinking Fund Assets</t>
  </si>
  <si>
    <t>Average Salaries &amp; Wages of Coordinators and Consultants</t>
  </si>
  <si>
    <t>Water and sewerage</t>
  </si>
  <si>
    <t>999999=IF(M35999999=0,0,K35/M35)</t>
  </si>
  <si>
    <t>999999=DataA.2!G33</t>
  </si>
  <si>
    <t>999999=AppendixH!G20</t>
  </si>
  <si>
    <t>999999=IF(M37999999=0,0,K37/M37)</t>
  </si>
  <si>
    <t>999999='Schedule10.1&amp;10.2'!E52</t>
  </si>
  <si>
    <t>999999=AppendixH!G45</t>
  </si>
  <si>
    <t>999999=IF(M63999999=0,0,K63/M63)</t>
  </si>
  <si>
    <t>Recognized capital expenditures</t>
  </si>
  <si>
    <t>Recognized operating expenditures</t>
  </si>
  <si>
    <t>Recognized operating expenditures after adjustment (Item 15.1.1 + Item 15.1.2)</t>
  </si>
  <si>
    <t>Recognized capital expenditures after adjustments (Item 15.2.1 + Item 15.2.2)</t>
  </si>
  <si>
    <t>Daily Km</t>
  </si>
  <si>
    <t>Annexe H, Somme des C1285,C1291,C1293,1295,1297,1299</t>
  </si>
  <si>
    <t>Average Salaries &amp; Wages of Classroom Teachers over the number of Teachers and Principals and Vice-Principals instruction time</t>
  </si>
  <si>
    <t>Number of Full-time pupils</t>
  </si>
  <si>
    <t>1.3</t>
  </si>
  <si>
    <t>1.4</t>
  </si>
  <si>
    <t>1.5</t>
  </si>
  <si>
    <t>1.6</t>
  </si>
  <si>
    <t>Teacherage allocation</t>
  </si>
  <si>
    <t>L'enfance en difficulté</t>
  </si>
  <si>
    <t>Regular Program</t>
  </si>
  <si>
    <t>Schedule 13,     line 4.1.3 CP0534</t>
  </si>
  <si>
    <t>Schedule 13,     line 4.1.3, CP0535</t>
  </si>
  <si>
    <t>Schedule 13,     line 4.1.6,  CP0551</t>
  </si>
  <si>
    <t>Schedule 13,     line 4.1.6, CP0552</t>
  </si>
  <si>
    <t>Schedule 13,     line 2.3,          CP0534</t>
  </si>
  <si>
    <t>Schedule 13,     line 2.3,          CP0535</t>
  </si>
  <si>
    <t>Schedule 13,     line 3.5,          CP0551</t>
  </si>
  <si>
    <t>Schedule 13,     line 3.5,          CP0552</t>
  </si>
  <si>
    <t xml:space="preserve">Pupil Foundation allocation </t>
  </si>
  <si>
    <t>Weighting Factor - 15% or more</t>
  </si>
  <si>
    <t>SUPPORTED SCHOOLS - ELEMENTARY</t>
  </si>
  <si>
    <t>ADE greater than or equal to 1 and less than 50 - Fixed Amount</t>
  </si>
  <si>
    <t>ADE greater than or equal to 1 and less than 50 - Variable Amount</t>
  </si>
  <si>
    <t>ADE greater than or equal to 50 and less than 150 - Fixed Amount</t>
  </si>
  <si>
    <t>ADE greater than or equal to 50 and less than 150 - Variable Amount</t>
  </si>
  <si>
    <t>ADE greater than 150 - Fixed Amount</t>
  </si>
  <si>
    <t>ADE greater than 150 - Variable Amount</t>
  </si>
  <si>
    <t>SUPPORTED SCHOOLS - SECONDARY</t>
  </si>
  <si>
    <t>ADE greater than or equal to 50 and less than 200 - Fixed Amount</t>
  </si>
  <si>
    <t>Total Special Education Allocation</t>
  </si>
  <si>
    <t>TCU Grant: Ontario Employment Benefits and Support Measures (EBSM), formerly LDMA</t>
  </si>
  <si>
    <t>Vehicle # 3</t>
  </si>
  <si>
    <t>Make of vehicle (e.g. Bluebird)</t>
  </si>
  <si>
    <t>Capacity (e.g. 72 passenger)</t>
  </si>
  <si>
    <t>Model Year</t>
  </si>
  <si>
    <t>Operating Costs</t>
  </si>
  <si>
    <t>SEPPA:  Allocation per pupil</t>
  </si>
  <si>
    <t>2.1.3</t>
  </si>
  <si>
    <t>Elementary - English Language Instructional Unit</t>
  </si>
  <si>
    <t>Col 6</t>
  </si>
  <si>
    <t>COST ADJ. Non-Teaching Staff</t>
  </si>
  <si>
    <t>Approved Special Incidence Portion (SIP)</t>
  </si>
  <si>
    <t>SPECIAL EDUCATION EQUIPMENT AMOUNT</t>
  </si>
  <si>
    <t>Net Loss on Disposal of TCS</t>
  </si>
  <si>
    <t>e) Boards in unorganized areas should  include only their portions of taxes for school purposes relating to the unorganized areas.</t>
  </si>
  <si>
    <t>Professionals, Paraprofessionals and Technicians</t>
  </si>
  <si>
    <t>4.1.2</t>
  </si>
  <si>
    <t>4.1.3</t>
  </si>
  <si>
    <t>4.1.4</t>
  </si>
  <si>
    <t>4.1.5</t>
  </si>
  <si>
    <t>4.1.6</t>
  </si>
  <si>
    <t>4.1.7</t>
  </si>
  <si>
    <t>Schedule 11A</t>
  </si>
  <si>
    <t>1.1.1</t>
  </si>
  <si>
    <t>1.1.2</t>
  </si>
  <si>
    <t>Board Administration including non-instructional operations, maintenance and capital</t>
  </si>
  <si>
    <t>TRANSPORTATION</t>
  </si>
  <si>
    <t>Moyenne salariale des aides-enseignants dans des établissement de soins, de traitement et de services correctionnels (AAS niveau 4) à l'élémentaire</t>
  </si>
  <si>
    <t>Available for Compliance - Unappropriated</t>
  </si>
  <si>
    <t>Total Unappropriated</t>
  </si>
  <si>
    <t>Available for Compliance - Internally Appropriated</t>
  </si>
  <si>
    <t>Other Purposes (please specify):</t>
  </si>
  <si>
    <t>Total Internally Appropriated</t>
  </si>
  <si>
    <t>Total Accumulated Surplus / (Deficit) Available for Compliance (Sum of lines 1.3 and 2.5)</t>
  </si>
  <si>
    <t>Unavailable for Compliance</t>
  </si>
  <si>
    <t>Interest to be Accrued</t>
  </si>
  <si>
    <t>Net TCA</t>
  </si>
  <si>
    <t>Total Externally Appropriated</t>
  </si>
  <si>
    <t>Total Accumulated Surplus/(Deficit)</t>
  </si>
  <si>
    <t>Contributions Received</t>
  </si>
  <si>
    <t>Earnings on Deferred Revenue</t>
  </si>
  <si>
    <t>Transferred to Revenue</t>
  </si>
  <si>
    <t>Legislative Grants</t>
  </si>
  <si>
    <t>Classroom Expense</t>
  </si>
  <si>
    <t>1.4.1</t>
  </si>
  <si>
    <t>Moyenne salariale des aide -enseignants à l'EED au secondaire</t>
  </si>
  <si>
    <t>Pupils of the board -- JK to Grade 8.</t>
  </si>
  <si>
    <t>Col.2</t>
  </si>
  <si>
    <t>Col.3</t>
  </si>
  <si>
    <t>Enter number of pupils</t>
  </si>
  <si>
    <t>Note 1 -</t>
  </si>
  <si>
    <t>Base amount</t>
  </si>
  <si>
    <t>Total Legislative Grant</t>
  </si>
  <si>
    <t>Safe School Supplement</t>
  </si>
  <si>
    <t xml:space="preserve">French Board Distance Amount </t>
  </si>
  <si>
    <t>Special approvals - Operating</t>
  </si>
  <si>
    <t>Total Secondary Day School Average Daily Enrolment (sum of item 3.3 + item 3.4)</t>
  </si>
  <si>
    <t>4.</t>
  </si>
  <si>
    <t>5.</t>
  </si>
  <si>
    <t>Adult Day School Average Daily Enrolment</t>
  </si>
  <si>
    <t>ADE greater than or equal to 50 and less than 200 - Variable Amount</t>
  </si>
  <si>
    <t>ADE greater than or equal to 200 and less than 500 - Fixed Amount</t>
  </si>
  <si>
    <t>ADE greater than or equal to 200 and less than 500 - Variable Amount</t>
  </si>
  <si>
    <t>ADE greater than 500 - Fixed Amount</t>
  </si>
  <si>
    <t>ADE greater than 500 - Variable Amount</t>
  </si>
  <si>
    <t>REMOTE AND RURAL</t>
  </si>
  <si>
    <t>I certify that the estimates shown on the attached schedules are those that were prepared and</t>
  </si>
  <si>
    <t>adopted by</t>
  </si>
  <si>
    <t>on</t>
  </si>
  <si>
    <t>under the provisions of section 231</t>
  </si>
  <si>
    <t>WSIB</t>
  </si>
  <si>
    <t>Legislative grants - current year</t>
  </si>
  <si>
    <t>Managerial/Professional Staff</t>
  </si>
  <si>
    <t>Custodial and Maintenance Staff</t>
  </si>
  <si>
    <t>Pupil Transportation</t>
  </si>
  <si>
    <t>Section 9 - Transportation Allocation</t>
  </si>
  <si>
    <t>9.1.1</t>
  </si>
  <si>
    <t>Operations &amp; Maintenance - Schools</t>
  </si>
  <si>
    <t>School Renewal</t>
  </si>
  <si>
    <t>25-161,170,151,152</t>
  </si>
  <si>
    <t>School-to-School</t>
  </si>
  <si>
    <t>Adult Credit for Diploma - offered after end of regular day school</t>
  </si>
  <si>
    <t>2.3.2</t>
  </si>
  <si>
    <t>Pupil Foundation Allocation - Secondary</t>
  </si>
  <si>
    <t>Principal Amount (Line 1.3.11 x Col. A)</t>
  </si>
  <si>
    <t>Total approved expenditure for contracted lease arrangements</t>
  </si>
  <si>
    <t>Eligible teacherages</t>
  </si>
  <si>
    <t>Coordinator component</t>
  </si>
  <si>
    <t>English as second language/English skills development (ESL/ESD) - only for school authorities with English-language unit</t>
  </si>
  <si>
    <t>Actualisation linguistique en français (ALF) - only for school authorities with French-language unit</t>
  </si>
  <si>
    <t>Operating Fund - Expenses</t>
  </si>
  <si>
    <t>Schedule 10 - Operating Fund - Expenditures</t>
  </si>
  <si>
    <t>Amortization and Write Downs &amp; Net Loss on Disposal</t>
  </si>
  <si>
    <t>Amortization and Write Downs</t>
  </si>
  <si>
    <t>Net Loss on Disposal of TCA</t>
  </si>
  <si>
    <t>Instruction Subtotal</t>
  </si>
  <si>
    <t>Administration Subtotal</t>
  </si>
  <si>
    <t>Transportation Subtotal</t>
  </si>
  <si>
    <t>Pupil Accomodation and Teacherage Subtotal</t>
  </si>
  <si>
    <t>Subtotal - Other</t>
  </si>
  <si>
    <t>Secondary               (Col. 2 X Col. 3)      (two decimals)</t>
  </si>
  <si>
    <t>Sec:  Section 13, line 13.1</t>
  </si>
  <si>
    <t>Elem: Section 11, line 11.2</t>
  </si>
  <si>
    <t>Sec: Section 11, line 11.4</t>
  </si>
  <si>
    <t>Elem:  Section 16, line 16.6</t>
  </si>
  <si>
    <t xml:space="preserve">Sec: Section 16, line 16.6 </t>
  </si>
  <si>
    <t>Elem:  Section 15, line 15.1.3</t>
  </si>
  <si>
    <t>Sec:  Section 15, line 15.1.3</t>
  </si>
  <si>
    <t>ADMIN       Tax Collection</t>
  </si>
  <si>
    <t>Estimated transportation expenditure net of recoveries</t>
  </si>
  <si>
    <t>Home-to-school transportation allocation</t>
  </si>
  <si>
    <t>Secondary Pupils Negotiated Fees</t>
  </si>
  <si>
    <t>Tableau 10A&amp;10B, C3112</t>
  </si>
  <si>
    <t>Annexe H, C1295</t>
  </si>
  <si>
    <t>Contract Leases</t>
  </si>
  <si>
    <t>9.1.3</t>
  </si>
  <si>
    <t>Schedule 13   CP0572</t>
  </si>
  <si>
    <t>3.4.1</t>
  </si>
  <si>
    <t>Secondary (exclude pupils 21 years of age or over)</t>
  </si>
  <si>
    <t>Q&amp;E per pupil - Grade 4 to 8</t>
  </si>
  <si>
    <t>Q&amp;E per pupil - Elementary</t>
  </si>
  <si>
    <t>School renewal allocation for summer literacy and numeracy remedial courses</t>
  </si>
  <si>
    <t>(item 18.3.2 / 18.3.1 )</t>
  </si>
  <si>
    <t>(sum of 2.1 to 2.9)</t>
  </si>
  <si>
    <t>pupils in respect of whom fees are receivable from the crown in right of Canada or a band, council of a band or education authority</t>
  </si>
  <si>
    <t>Parent Engagement</t>
  </si>
  <si>
    <t>Allocation for Trustee's honoraria</t>
  </si>
  <si>
    <t>Allocation for Chair &amp; Vice-Chair</t>
  </si>
  <si>
    <t>Attendance Amount</t>
  </si>
  <si>
    <t>Additional school renewal allocation</t>
  </si>
  <si>
    <t>Note:  Conversion Factor - 1 Sq Ft = 0.092903 Sq M</t>
  </si>
  <si>
    <t>Elementary - English</t>
  </si>
  <si>
    <t>Secondary - English</t>
  </si>
  <si>
    <t xml:space="preserve">Pupil Credits (whole number) </t>
  </si>
  <si>
    <t>I00102</t>
  </si>
  <si>
    <t>I00103</t>
  </si>
  <si>
    <t>Total Estimated Day School ADE (Sum of Item 2.3 + Item 3.5)</t>
  </si>
  <si>
    <t>S10013</t>
  </si>
  <si>
    <t>S10015</t>
  </si>
  <si>
    <t>S10016</t>
  </si>
  <si>
    <t>S10017</t>
  </si>
  <si>
    <t>S10018</t>
  </si>
  <si>
    <t>Schedule 12</t>
  </si>
  <si>
    <t>1.</t>
  </si>
  <si>
    <t>Correspondence / Self-Study</t>
  </si>
  <si>
    <t>Appendix B - Calculation of Fees</t>
  </si>
  <si>
    <t>1.0</t>
  </si>
  <si>
    <t>Appendix B,               Line 1.19 Col. 6</t>
  </si>
  <si>
    <t>Appendix H,  Sum of line 2 to 5, Col. 2 and Col. 4</t>
  </si>
  <si>
    <t>Total SEPPA</t>
  </si>
  <si>
    <t>10 and &gt; 10</t>
  </si>
  <si>
    <t>Total elementary experience factors</t>
  </si>
  <si>
    <t>Total secondary experience factors</t>
  </si>
  <si>
    <t xml:space="preserve"> Panel</t>
  </si>
  <si>
    <t>E0766</t>
  </si>
  <si>
    <t>E0773</t>
  </si>
  <si>
    <t>15.1.3</t>
  </si>
  <si>
    <t>15.2</t>
  </si>
  <si>
    <t>Analysis</t>
  </si>
  <si>
    <t>Data Analysis</t>
  </si>
  <si>
    <t>Lunchroom/Noon hour/Bus/Yard Supervision</t>
  </si>
  <si>
    <t>1.3.9</t>
  </si>
  <si>
    <t>Total Elementary School Foundation Amount (Sum of lines 1.3.5 to 1.3.8)</t>
  </si>
  <si>
    <t>Kms distance range 2</t>
  </si>
  <si>
    <t>Kms distance range 3</t>
  </si>
  <si>
    <t>Distance Amount Range 1 Greater than 650</t>
  </si>
  <si>
    <t>Distance Amount Range 2 Greater than 1,150</t>
  </si>
  <si>
    <t>Distance Amount Range 3 Greater than 150</t>
  </si>
  <si>
    <t>Distance Amount Range 4 Greater than 650</t>
  </si>
  <si>
    <t xml:space="preserve"> Elementary:</t>
  </si>
  <si>
    <t>Vice-Principal Amount (Line 1.3.12 x Col. A)</t>
  </si>
  <si>
    <t>Secretarial support staff amount (Line 1.3.13 x Col. A)</t>
  </si>
  <si>
    <t>Appendix F1.1 - Transportation - Board-Owned Vehicles - Details</t>
  </si>
  <si>
    <t xml:space="preserve">Vehicle #1 </t>
  </si>
  <si>
    <t>Vehicle # 2</t>
  </si>
  <si>
    <t>I00901</t>
  </si>
  <si>
    <t>I00902</t>
  </si>
  <si>
    <t>I00903</t>
  </si>
  <si>
    <t>Special approval allocation for capital expenditures</t>
  </si>
  <si>
    <t>18.3.4</t>
  </si>
  <si>
    <t>Appendix H,                Sum of lines 15, 16 and 17 Col. 1</t>
  </si>
  <si>
    <t>School Operations and Maintenance Administration</t>
  </si>
  <si>
    <t>Leases</t>
  </si>
  <si>
    <t>Operating component</t>
  </si>
  <si>
    <t>TOTAL Expenditure (Col 3 must equal CP 7012)</t>
  </si>
  <si>
    <t>Detailed description by project</t>
  </si>
  <si>
    <t>Adjustment for learning opportunities allocation (Section 13, Item 13.1 X .0062)</t>
  </si>
  <si>
    <t>School Generated Funds</t>
  </si>
  <si>
    <t>&amp;='Sch 1.1 Stmt of Fin. Activities'!H49</t>
  </si>
  <si>
    <t>&amp;=IF(G20&lt;&gt;I20,"ERROR","")</t>
  </si>
  <si>
    <t>Deferred Revenue Continuity Schedule</t>
  </si>
  <si>
    <t>OPERATING DEFERRED REVENUE</t>
  </si>
  <si>
    <t>Other - Specify</t>
  </si>
  <si>
    <t>Other Ministries - Specify</t>
  </si>
  <si>
    <t>Hospitals &amp; Local Health Integration Networks</t>
  </si>
  <si>
    <t>CAPITAL DEFERRED REVENUE</t>
  </si>
  <si>
    <t>Pupil Accommodation - School Renewal</t>
  </si>
  <si>
    <t>Subtotal - Ministry of Education Grants</t>
  </si>
  <si>
    <t>Proceed of Disposition - School Buildings</t>
  </si>
  <si>
    <t>Proceed of Disposition - PTR School Buildings</t>
  </si>
  <si>
    <t>Proceed of Disposition - Other</t>
  </si>
  <si>
    <t>2.24.1</t>
  </si>
  <si>
    <t>Insurance Proceeds re: capital appurtenances</t>
  </si>
  <si>
    <r>
      <t>Education Development Charges</t>
    </r>
    <r>
      <rPr>
        <sz val="10"/>
        <rFont val="Arial"/>
        <family val="2"/>
      </rPr>
      <t/>
    </r>
  </si>
  <si>
    <t>1 -</t>
  </si>
  <si>
    <t>Enrolment by grade - Elementary</t>
  </si>
  <si>
    <t>Adult Credit for Diploma - offered at night or on the weekend</t>
  </si>
  <si>
    <t>Board  %</t>
  </si>
  <si>
    <t>Annual</t>
  </si>
  <si>
    <t xml:space="preserve">Daily </t>
  </si>
  <si>
    <t>E0781</t>
  </si>
  <si>
    <t>E0788</t>
  </si>
  <si>
    <t>E0795</t>
  </si>
  <si>
    <t>E0796</t>
  </si>
  <si>
    <t>E0797</t>
  </si>
  <si>
    <t>E0798</t>
  </si>
  <si>
    <t>E0805</t>
  </si>
  <si>
    <t>Total allocation for administration and governance</t>
  </si>
  <si>
    <t>13 +</t>
  </si>
  <si>
    <t>Qualification Categories (whole dollars)/
Catégories de qualifications (nombre entier)</t>
  </si>
  <si>
    <t>Moyenne salariale des salaires des enseignants à l'EED à l'élémentaire</t>
  </si>
  <si>
    <t>If 50 =&lt; ADE &lt;=100</t>
  </si>
  <si>
    <t>If 100 &lt; ADE &lt;= 200</t>
  </si>
  <si>
    <t>Special Approvals</t>
  </si>
  <si>
    <t>(Line 12.1 X $800)</t>
  </si>
  <si>
    <t>(Line 12.2  X  (line 12.3.1 - 1))</t>
  </si>
  <si>
    <t>Section 9,                       Lines 9.1.2.1, 9.2.3,  and 9.5.3</t>
  </si>
  <si>
    <t>Estimated Expenditure</t>
  </si>
  <si>
    <t>E0780</t>
  </si>
  <si>
    <t>E0787</t>
  </si>
  <si>
    <t>E0794</t>
  </si>
  <si>
    <t>E0711</t>
  </si>
  <si>
    <t>E0718</t>
  </si>
  <si>
    <t>E0725</t>
  </si>
  <si>
    <t>E0732</t>
  </si>
  <si>
    <t>E0739</t>
  </si>
  <si>
    <t>E0746</t>
  </si>
  <si>
    <t>E0753</t>
  </si>
  <si>
    <t>E0760</t>
  </si>
  <si>
    <t>E0767</t>
  </si>
  <si>
    <t>E0774</t>
  </si>
  <si>
    <t>Section 1.1 - Pupil Foundation Allocation</t>
  </si>
  <si>
    <t>Compare the number of Secondary pupils, who entered Canada, reported in line 1998/99 with 1999/00</t>
  </si>
  <si>
    <t>Secion 3, Item 3.7, CP0666</t>
  </si>
  <si>
    <t>Section 3, Item 3.7, CP0664</t>
  </si>
  <si>
    <t>Compare le nombre d'élèves au secondaire, du conseil,qui sont arrivés au Canada en 1999/00 avec 2000/01</t>
  </si>
  <si>
    <t>Section 3, poste 3.7, C0662</t>
  </si>
  <si>
    <t>Compare the number of Secondary pupils, who entered Canada, reported in line 1999/00 with 2000/01</t>
  </si>
  <si>
    <t>Section 3, Item 3.7, CP0662</t>
  </si>
  <si>
    <t>PDF</t>
  </si>
  <si>
    <t>Section 3, poste 3.21, C0685</t>
  </si>
  <si>
    <t>Section 3, poste 3.21, C0683</t>
  </si>
  <si>
    <t>Section 3, Item 3.21, CP0685</t>
  </si>
  <si>
    <t>Section 3, Item 3.21, CP0683</t>
  </si>
  <si>
    <t>I01001</t>
  </si>
  <si>
    <t>Schedule 1.1, line 7 Current Year amount</t>
  </si>
  <si>
    <t>Tuition Revenue for Negotiated Services (Note 1)</t>
  </si>
  <si>
    <t>Nombre d'élèves dans des classes d'élèves en difficulté entièrement distinctes de la 8e année au CPO comparé au nombre d'enseignants dans les classes distinctes.</t>
  </si>
  <si>
    <t>Formulaire A.2, C1018</t>
  </si>
  <si>
    <t>Annexe H, C1298</t>
  </si>
  <si>
    <t>Section 11 - Pupil Accommodation Allocation</t>
  </si>
  <si>
    <t>A</t>
  </si>
  <si>
    <t>9.2.4</t>
  </si>
  <si>
    <t>6.2.1</t>
  </si>
  <si>
    <t>SUSPENSIONS AND EXPULSIONS</t>
  </si>
  <si>
    <t xml:space="preserve"> and the number of pupils enrolled are to reported under Col 3 and Col 7. </t>
  </si>
  <si>
    <t>Secondary - for credit courses</t>
  </si>
  <si>
    <t>Rental Expenditure</t>
  </si>
  <si>
    <t>Fees &amp; Contractual Services</t>
  </si>
  <si>
    <t>E0868</t>
  </si>
  <si>
    <t>E0875</t>
  </si>
  <si>
    <t>E0882</t>
  </si>
  <si>
    <t>E0799</t>
  </si>
  <si>
    <t>E0806</t>
  </si>
  <si>
    <t>E0813</t>
  </si>
  <si>
    <t>E0820</t>
  </si>
  <si>
    <t>E0827</t>
  </si>
  <si>
    <t>E0834</t>
  </si>
  <si>
    <t>E0841</t>
  </si>
  <si>
    <t>E0848</t>
  </si>
  <si>
    <t>E0855</t>
  </si>
  <si>
    <t>E0862</t>
  </si>
  <si>
    <t>E0869</t>
  </si>
  <si>
    <t>E0876</t>
  </si>
  <si>
    <t>Occasional / Supply Teachers</t>
  </si>
  <si>
    <t>Teacher Assistants</t>
  </si>
  <si>
    <t>Classroom Computers</t>
  </si>
  <si>
    <t>Grades 1 to 3</t>
  </si>
  <si>
    <t>1.1.4</t>
  </si>
  <si>
    <t>1.1.5</t>
  </si>
  <si>
    <t>Other pupils -- JK to Grade 8   (include only those who are not pupils of the board).</t>
  </si>
  <si>
    <t>1.2.1</t>
  </si>
  <si>
    <t>1.2.2</t>
  </si>
  <si>
    <t>Method of Qualification Categories System</t>
  </si>
  <si>
    <t>QECO</t>
  </si>
  <si>
    <t>OSSTF</t>
  </si>
  <si>
    <t>b)</t>
  </si>
  <si>
    <t>c)</t>
  </si>
  <si>
    <t>Repairs and maintenance</t>
  </si>
  <si>
    <t>Licenses</t>
  </si>
  <si>
    <t>Other:</t>
  </si>
  <si>
    <t>2.9</t>
  </si>
  <si>
    <t>Total Operating Costs</t>
  </si>
  <si>
    <t>Pupil Name</t>
  </si>
  <si>
    <t>School Attended</t>
  </si>
  <si>
    <t>Number of Months</t>
  </si>
  <si>
    <t xml:space="preserve">Note - </t>
  </si>
  <si>
    <t>Clerical/Secretarial/Admin Staff - Continuing Education</t>
  </si>
  <si>
    <t>55-103, 55-112</t>
  </si>
  <si>
    <t>31-101</t>
  </si>
  <si>
    <t>32-102</t>
  </si>
  <si>
    <t>Transfer to Other Boards</t>
  </si>
  <si>
    <t>Total Operating Expenditures</t>
  </si>
  <si>
    <t>Gr. 4 - 8</t>
  </si>
  <si>
    <t>Per pupil amount -  Secondary</t>
  </si>
  <si>
    <t>NPP GRANDFATHERED</t>
  </si>
  <si>
    <t>Area Requirement - Elementary</t>
  </si>
  <si>
    <t>Area Requirement - Secondary</t>
  </si>
  <si>
    <t>Per Pupil Amount for Vice-Chair Allocation Capped</t>
  </si>
  <si>
    <t>Per Pupil Amount for Vice-Chair Allocation Capped - LOW</t>
  </si>
  <si>
    <t>Per Pupil Amount for Vice-Chair Allocation Capped - HIGH</t>
  </si>
  <si>
    <t>Allocation for Trustees Expenses</t>
  </si>
  <si>
    <t>Percentage of Honoraria Funded by Ministry</t>
  </si>
  <si>
    <t>Student Trustees' Entitlement</t>
  </si>
  <si>
    <t xml:space="preserve">If there are increases in the salary grid during the year, compute the average. </t>
  </si>
  <si>
    <t xml:space="preserve">Literacy and Numeracy assistance </t>
  </si>
  <si>
    <t>{(Line 13.2.1 + line 13.2.2 + line 13.2.3) x Col.A}</t>
  </si>
  <si>
    <t>g) Principals and vice-principals, described in (f) above, are deemed to have 10 years' experience and shall be deemed to be in A4/group 4.</t>
  </si>
  <si>
    <t>Roman Catholic Separate School Board</t>
  </si>
  <si>
    <t>Benchmark - Elementary</t>
  </si>
  <si>
    <t>Benchmark - Secondary</t>
  </si>
  <si>
    <t>Expenditure Categories (as used in Uniform Code of Accounts)</t>
  </si>
  <si>
    <t>Teacherages occupied by other than staff and trustees</t>
  </si>
  <si>
    <t>The number of Pupils in Special Ed. Self-Contained Classes from grade 9 to OAC compared over the number of Teachers in Self-Contained Classes</t>
  </si>
  <si>
    <t>Schedule 1, line 6.5 Current Year amount - Prior Year amount</t>
  </si>
  <si>
    <t>E0735</t>
  </si>
  <si>
    <t>Factor</t>
  </si>
  <si>
    <t>Grade</t>
  </si>
  <si>
    <t>Schedule 13, CP0535</t>
  </si>
  <si>
    <t xml:space="preserve">Ministry of Education / Ministère de l'éducation </t>
  </si>
  <si>
    <t>1.1</t>
  </si>
  <si>
    <t>5.2.1</t>
  </si>
  <si>
    <t>5.2.2</t>
  </si>
  <si>
    <t>13.2.4</t>
  </si>
  <si>
    <t>13.3.4</t>
  </si>
  <si>
    <t>13.3.5</t>
  </si>
  <si>
    <t>13.3.6</t>
  </si>
  <si>
    <t>13.3.7</t>
  </si>
  <si>
    <t>Total Adult Day School Average Daily Enrolment (sum of item 5.3 + item 5.4)</t>
  </si>
  <si>
    <t>5.1.1</t>
  </si>
  <si>
    <t>Day school ADE (excluding students 21 years of age and over)</t>
  </si>
  <si>
    <t>5.1.2</t>
  </si>
  <si>
    <t>Sub-total</t>
  </si>
  <si>
    <t>Directors and Supervisory Officers</t>
  </si>
  <si>
    <t>Date</t>
  </si>
  <si>
    <t>Tableau 10A&amp;10B, C3102</t>
  </si>
  <si>
    <t>03</t>
  </si>
  <si>
    <t>04</t>
  </si>
  <si>
    <t>05</t>
  </si>
  <si>
    <t>06</t>
  </si>
  <si>
    <t>BEHAVIOURAL EXPERTISE AMOUNT  (note 2)</t>
  </si>
  <si>
    <t>Certificate of the Secretary of the School Authority</t>
  </si>
  <si>
    <t xml:space="preserve">Schedule 13  </t>
  </si>
  <si>
    <t>Total Secondary School Foundation Amount (Sum of lines 1.3.5 to 1.3.8)</t>
  </si>
  <si>
    <t>Board #</t>
  </si>
  <si>
    <t xml:space="preserve">Total Section 23 Facilities amount </t>
  </si>
  <si>
    <t>Benchmark Sq. Metres base - Elementary</t>
  </si>
  <si>
    <t>Benchmark Sq. Metres base - Secondary</t>
  </si>
  <si>
    <t>Benchmark Sq. Metres base - Adult</t>
  </si>
  <si>
    <t>Cost Adjustment and Teacher Qualification and Experience Allocation</t>
  </si>
  <si>
    <t>Total 
(Col.4 and Col. 5)  
(two decimals)</t>
  </si>
  <si>
    <t>&amp;='[Sch. 7 Fin Assets,Liabilties]Sch. 7 Fin Assets,Liabilties'!H8-'[Sch. 7 Fin Assets,Liabilties]Sch. 7 Fin Assets,Liabilties'!H21</t>
  </si>
  <si>
    <t>Per-Pupil Amount - Sec</t>
  </si>
  <si>
    <t>Secondary School Size - &gt;= 1 or &lt; 100</t>
  </si>
  <si>
    <t>Secondary School Size - &gt;= 100 or &lt; 200</t>
  </si>
  <si>
    <t>Note 1 - In cases where school authorities negotiate specific special education services or programs over and above the regular programs provided by the school, these expenses are recovered by separate billing from the Agency requesting the services. The recovery of these expenses is reported on Appendix B - Tuition Revenue for Negotiated Services. School authorities are requested to report the recovery of these expenses in Column 15 against the appropriate expense category.</t>
  </si>
  <si>
    <t>Total ADE</t>
  </si>
  <si>
    <t>16.8.4</t>
  </si>
  <si>
    <t>16.8.5</t>
  </si>
  <si>
    <t>16.9.0</t>
  </si>
  <si>
    <t>16.9.1</t>
  </si>
  <si>
    <t>16.9.2</t>
  </si>
  <si>
    <t>16.9.3</t>
  </si>
  <si>
    <t>Prior year closing cash &amp; cash equivalents on Schedule 1.2 should equal to the cash &amp; cash equivalents - temporary borrowing on Schedule 7</t>
  </si>
  <si>
    <t>Schedule 1.2, line 7, prior year amount</t>
  </si>
  <si>
    <t>Schedule 7, line 1 - line 2.1, prior year amounts</t>
  </si>
  <si>
    <t>Average Salaries &amp; Wages of Spec. Ed. Secondary Classroom Teachers</t>
  </si>
  <si>
    <t>Schedule 10B, CP3122</t>
  </si>
  <si>
    <t>7.5F</t>
  </si>
  <si>
    <t>Small Brd component enrolment range 1</t>
  </si>
  <si>
    <t>Small Brd component enrolment range 2</t>
  </si>
  <si>
    <t>Small Brd component enrolment range 3</t>
  </si>
  <si>
    <t>Per pupil starting point for range 1</t>
  </si>
  <si>
    <t>Per pupil starting point for range 2</t>
  </si>
  <si>
    <t>Per pupil starting point for range 3</t>
  </si>
  <si>
    <t>Per pupil scale for range 1</t>
  </si>
  <si>
    <t>Per pupil scale for range 2</t>
  </si>
  <si>
    <t>Per pupil scale for range 3</t>
  </si>
  <si>
    <t>Kms distance range 1</t>
  </si>
  <si>
    <t>3C</t>
  </si>
  <si>
    <t>Deferred Revenues - Operating</t>
  </si>
  <si>
    <t>Deferred Revenues - Capital</t>
  </si>
  <si>
    <t>Behavioural Expertise Base Amount</t>
  </si>
  <si>
    <t>Behavioural Expertise Travel</t>
  </si>
  <si>
    <t>Specialist High Skill Major</t>
  </si>
  <si>
    <t>Assistance for School Effectiveness</t>
  </si>
  <si>
    <t>13.4.1</t>
  </si>
  <si>
    <t>13.4.2</t>
  </si>
  <si>
    <t>13.4.3</t>
  </si>
  <si>
    <t>13.4.4</t>
  </si>
  <si>
    <t>13.4.5</t>
  </si>
  <si>
    <t>13.4.6</t>
  </si>
  <si>
    <t>(Sum of lines 13.4.1, 13.4.2 and 13.4.5)</t>
  </si>
  <si>
    <t>OFIP Tutoring  ($2,000 per Board)</t>
  </si>
  <si>
    <t>1.4.2</t>
  </si>
  <si>
    <t>Reserve for Working Funds</t>
  </si>
  <si>
    <t>Less: Amounts to deferred revenue - legislative grants</t>
  </si>
  <si>
    <t>999999=DataA.2!G30+DataA.2!G31+DataA.2!G32</t>
  </si>
  <si>
    <t>Schedule 13, CP0552</t>
  </si>
  <si>
    <t>Literacy &amp; Numeracy tuition fee per pupil</t>
  </si>
  <si>
    <t>Elem. (2 dec.)</t>
  </si>
  <si>
    <t>Sec. (2 dec.)</t>
  </si>
  <si>
    <t>9.1.2.1</t>
  </si>
  <si>
    <t>Estimated transportation expenditure</t>
  </si>
  <si>
    <t>% Variance</t>
  </si>
  <si>
    <t>$  Variance</t>
  </si>
  <si>
    <t>Compare le nombre d'élèves à l'élémentaire du conseil,qui sont arrivés au Canada en 1999/00 avec 2000/01</t>
  </si>
  <si>
    <t>Section 3, poste 3.7, C0661</t>
  </si>
  <si>
    <t>Safe Schools</t>
  </si>
  <si>
    <t xml:space="preserve">  Program supports for expelled students and students serving long term suspensions</t>
  </si>
  <si>
    <t>19.2</t>
  </si>
  <si>
    <t>Total Safe Schools Allocation</t>
  </si>
  <si>
    <t>Rural and Small Community Allocation</t>
  </si>
  <si>
    <t>Fonctionnement et entretien - Écoles</t>
  </si>
  <si>
    <t>New Pupil Places</t>
  </si>
  <si>
    <t>PRIMARY CLASS SIZE REDUCTION</t>
  </si>
  <si>
    <t>GRADE 4 to 8 CLASS SIZE REDUCTION</t>
  </si>
  <si>
    <t>Staff per thousand</t>
  </si>
  <si>
    <t>Per-Pupil</t>
  </si>
  <si>
    <t>2.2.2</t>
  </si>
  <si>
    <t>1.1.7</t>
  </si>
  <si>
    <t>E0832</t>
  </si>
  <si>
    <t>E0839</t>
  </si>
  <si>
    <t>E0846</t>
  </si>
  <si>
    <t>E0853</t>
  </si>
  <si>
    <t>Amounts from Deferred Revenue - Other GRE</t>
  </si>
  <si>
    <t>Non-teaching staff - Cost Adjustment Amount</t>
  </si>
  <si>
    <t>ALLOCATION FOR SCHOOL OPERATIONS</t>
  </si>
  <si>
    <t>Elementary:</t>
  </si>
  <si>
    <t>Home-to-School - other board school</t>
  </si>
  <si>
    <t>Van</t>
  </si>
  <si>
    <t>Special approval - Capital Program Grant</t>
  </si>
  <si>
    <t>Capital Program Grant</t>
  </si>
  <si>
    <t>S10034</t>
  </si>
  <si>
    <t>S10038</t>
  </si>
  <si>
    <t>S10050</t>
  </si>
  <si>
    <t>S10054</t>
  </si>
  <si>
    <t>Section 7</t>
  </si>
  <si>
    <t>Cost adjustment and teacher qualification and experience allocation</t>
  </si>
  <si>
    <t>School Operations</t>
  </si>
  <si>
    <t>If ADE &gt; 200</t>
  </si>
  <si>
    <t>Section 3, Item 3.21, CP0682</t>
  </si>
  <si>
    <t>Enveloppes</t>
  </si>
  <si>
    <t>Board, lodging and weekly transportation allocation</t>
  </si>
  <si>
    <t>Reporting Entity Balance</t>
  </si>
  <si>
    <t>Number of completed challenges for grade 11 and 12 credits</t>
  </si>
  <si>
    <t>Grade 9 and 10 non-credit literacy and numeracy remedial</t>
  </si>
  <si>
    <t>Number of schools operated by the board</t>
  </si>
  <si>
    <t>Please indicate:</t>
  </si>
  <si>
    <t>Teacherages occupied by teaching staff</t>
  </si>
  <si>
    <t>Teacherages occupied by non-teaching staff</t>
  </si>
  <si>
    <t>Teacherages used for administration</t>
  </si>
  <si>
    <t>Teacherages not occupied or not in use</t>
  </si>
  <si>
    <t>Please specify other use of teacherage:</t>
  </si>
  <si>
    <t>(Appendix F1 -  column 16,  line 1.16 )</t>
  </si>
  <si>
    <t>(Line 9.2.1  X  $500)</t>
  </si>
  <si>
    <t>Parent engagement amount</t>
  </si>
  <si>
    <t>School based amount</t>
  </si>
  <si>
    <t>PARENT ENGAGEMENT</t>
  </si>
  <si>
    <t>Per-School</t>
  </si>
  <si>
    <t>9.5.1</t>
  </si>
  <si>
    <t>9.5.2</t>
  </si>
  <si>
    <t>Vehicle Amount</t>
  </si>
  <si>
    <t>Continuing Education, Summer School &amp; International Languauge.</t>
  </si>
  <si>
    <t xml:space="preserve">Col. 2 </t>
  </si>
  <si>
    <t>Spec Ed Capital funded from Operating</t>
  </si>
  <si>
    <t>Board Amount</t>
  </si>
  <si>
    <t>Native Languages (NSL)</t>
  </si>
  <si>
    <t>Elementary - 20 - 39 Min</t>
  </si>
  <si>
    <t>Elementary - 40+ Min</t>
  </si>
  <si>
    <t>Elementary - 20 - 39 Min - Staff per 8 students</t>
  </si>
  <si>
    <t>Elementary - 40+ Min - Staff per 8 students</t>
  </si>
  <si>
    <t>Secondary - Gr 9 &amp; 10</t>
  </si>
  <si>
    <t>Secondary - Gr 11 &amp; 12</t>
  </si>
  <si>
    <t>Secondary - Staff per 8 students</t>
  </si>
  <si>
    <t>Native Studies</t>
  </si>
  <si>
    <t>Secondary Per-School Amount</t>
  </si>
  <si>
    <t>Staff per 8 students</t>
  </si>
  <si>
    <t>Demographic Component</t>
  </si>
  <si>
    <t>Benchmark</t>
  </si>
  <si>
    <t>Weighting Factor - between 0 and 7.49%</t>
  </si>
  <si>
    <t>Weighting Factor - between 7.5 and 14.99%</t>
  </si>
  <si>
    <t>Ministry Approval</t>
  </si>
  <si>
    <t>Number of Elementary schools in which pupils were enrolled in day school program in current year</t>
  </si>
  <si>
    <t>(Sum of lines 1.27 and 1.28.3)</t>
  </si>
  <si>
    <t>Section 11A - Community Use of Schools</t>
  </si>
  <si>
    <t xml:space="preserve">Learning Opportunities </t>
  </si>
  <si>
    <t>Teacher Qualifications and Experience</t>
  </si>
  <si>
    <t>Annexe H, C1302</t>
  </si>
  <si>
    <t>Elementary (Col.1 x Col. 3) (two decimals)</t>
  </si>
  <si>
    <t>Day School Enrolment</t>
  </si>
  <si>
    <t>Sections</t>
  </si>
  <si>
    <t>Summary of Allocations</t>
  </si>
  <si>
    <t>E0883</t>
  </si>
  <si>
    <t>E0800</t>
  </si>
  <si>
    <t>E0807</t>
  </si>
  <si>
    <t>E0814</t>
  </si>
  <si>
    <t>E0821</t>
  </si>
  <si>
    <t>E0828</t>
  </si>
  <si>
    <t>E0835</t>
  </si>
  <si>
    <t>E0842</t>
  </si>
  <si>
    <t>E0849</t>
  </si>
  <si>
    <t>Analyse et révision</t>
  </si>
  <si>
    <t>Data Analysis and Review</t>
  </si>
  <si>
    <t>Colonne A</t>
  </si>
  <si>
    <t>S10533</t>
  </si>
  <si>
    <t>School Office - Secretarial &amp; Supplies</t>
  </si>
  <si>
    <t>1.3.15</t>
  </si>
  <si>
    <t>1.3.16</t>
  </si>
  <si>
    <t>1.3.17</t>
  </si>
  <si>
    <t>1.3.18</t>
  </si>
  <si>
    <t>1.3.19</t>
  </si>
  <si>
    <t xml:space="preserve">Total School Foundation Amount </t>
  </si>
  <si>
    <t>x</t>
  </si>
  <si>
    <t>=</t>
  </si>
  <si>
    <t>Schedule 10, CP5102</t>
  </si>
  <si>
    <t>Board Name</t>
  </si>
  <si>
    <t>Amount</t>
  </si>
  <si>
    <t>Other fees &amp; revenues</t>
  </si>
  <si>
    <t>Investment income</t>
  </si>
  <si>
    <t>TOTAL REVENUE</t>
  </si>
  <si>
    <t>Instruction</t>
  </si>
  <si>
    <t>Administration</t>
  </si>
  <si>
    <t>Pupil Accommodation</t>
  </si>
  <si>
    <t>Bi-weekly</t>
  </si>
  <si>
    <t>N/A</t>
  </si>
  <si>
    <t>Capital: (Specify)</t>
  </si>
  <si>
    <t>Operations: (Specify)</t>
  </si>
  <si>
    <t>ADULT, CONTINUING AND SUMMER EDUCATION</t>
  </si>
  <si>
    <t>Adult Day School</t>
  </si>
  <si>
    <t>Summer</t>
  </si>
  <si>
    <t>INTERNATIONAL LANGUAGES</t>
  </si>
  <si>
    <t>Elementary only hourly rate</t>
  </si>
  <si>
    <t>Elementary only reduction  per hour</t>
  </si>
  <si>
    <t>Maximum class size</t>
  </si>
  <si>
    <t>PLAR</t>
  </si>
  <si>
    <t>Equivalancy Grade 9-10</t>
  </si>
  <si>
    <t>Equivalancy Grade 11-12</t>
  </si>
  <si>
    <t>Completed Challenges Grade 11-12</t>
  </si>
  <si>
    <t>QUALIFICATION AND EXPERIENCE</t>
  </si>
  <si>
    <t>Q&amp;E per pupil - JK to Grade 3</t>
  </si>
  <si>
    <t>Moyenne salariale des enseignants dans des établissement de soins, de traitement et de services correctionnels (AAS niveau 4) à l'élémentaire</t>
  </si>
  <si>
    <t>ADE cutoff for Additional Base Amount</t>
  </si>
  <si>
    <t>MUNICIPAL ENHANCEMENT</t>
  </si>
  <si>
    <t>Number of Municipalities - Range 1</t>
  </si>
  <si>
    <t>Number of Municipalities - Range 2</t>
  </si>
  <si>
    <t>Number of Municipalities - Range 3</t>
  </si>
  <si>
    <t>Amounts for greater than 29 and less than 50 municipalities</t>
  </si>
  <si>
    <t>Amounts for greater than 49 and less than 100 municipalities</t>
  </si>
  <si>
    <t xml:space="preserve">h) Exclude teachers from Care and Treatment and Correctional Facilities </t>
  </si>
  <si>
    <t>Number of NTIP eligible teachers</t>
  </si>
  <si>
    <t>Accumulated Amortization</t>
  </si>
  <si>
    <t>Amortization Expense</t>
  </si>
  <si>
    <t>Write Downs</t>
  </si>
  <si>
    <t>Assets Permanently Removed From Service</t>
  </si>
  <si>
    <t>Construction in Progress - 40 years</t>
  </si>
  <si>
    <t>Total continuing education average daily enrolment (sum of items 1.8 to 1.11)</t>
  </si>
  <si>
    <t>Total summer school average daily enrolment (sum of items 2.5 to 2.7)</t>
  </si>
  <si>
    <t xml:space="preserve"> (Line 1.23 less (sum of lines 1.24, 1.25 and 1.26.3))</t>
  </si>
  <si>
    <t>OTHER</t>
  </si>
  <si>
    <t>Other - Non-Operating Expenditure</t>
  </si>
  <si>
    <t>Learning Opportunities Allocation</t>
  </si>
  <si>
    <t>Col. 12</t>
  </si>
  <si>
    <t>Col. 13</t>
  </si>
  <si>
    <t>Bus</t>
  </si>
  <si>
    <t>Monthly</t>
  </si>
  <si>
    <t>1.2</t>
  </si>
  <si>
    <t>Car</t>
  </si>
  <si>
    <t>Schedule 1.1</t>
  </si>
  <si>
    <t>Calculated per pupil distance amount (three decimals)</t>
  </si>
  <si>
    <t xml:space="preserve"> (whole dollars)</t>
  </si>
  <si>
    <t>1.2.3</t>
  </si>
  <si>
    <t>1.2.4</t>
  </si>
  <si>
    <t>1.2.5</t>
  </si>
  <si>
    <t>Col. 7</t>
  </si>
  <si>
    <t>Special Education Allocation</t>
  </si>
  <si>
    <t>Enseignants suppléants</t>
  </si>
  <si>
    <t>Aide-enseignants</t>
  </si>
  <si>
    <t>Textbooks, Learning Materials &amp; Classroom supplies &amp; Equipment</t>
  </si>
  <si>
    <t>Services soutien professionnel, paraprof. et technique</t>
  </si>
  <si>
    <t>Service de bibliothèque et d'orientation</t>
  </si>
  <si>
    <t>Perfectionnement du personnel</t>
  </si>
  <si>
    <t>Directeurs et directeurs adjoints</t>
  </si>
  <si>
    <t>Admin. école - secrétariat et fournitures</t>
  </si>
  <si>
    <t>Coordinateurs et consultants</t>
  </si>
  <si>
    <t>Éducation permanente, cours d'été et langues internationales</t>
  </si>
  <si>
    <t>Conseillers scolaires</t>
  </si>
  <si>
    <t>Directeur de l'éducation et agents de supervision</t>
  </si>
  <si>
    <t>(Elementary  CPE0797 &amp; CPF0797)</t>
  </si>
  <si>
    <t>(Secondary CPF0890  &amp; CPF0890)</t>
  </si>
  <si>
    <t>Board Enrolment Amount</t>
  </si>
  <si>
    <t>Total Elementary teachers on grid</t>
  </si>
  <si>
    <t>Total Secondary teachers on grid</t>
  </si>
  <si>
    <t>Section 9, item 9.1.2.2</t>
  </si>
  <si>
    <t>Community Use of Schools Allocation</t>
  </si>
  <si>
    <t>11.85.1</t>
  </si>
  <si>
    <t>11.85.5</t>
  </si>
  <si>
    <t>Titulaires de classe</t>
  </si>
  <si>
    <t>-</t>
  </si>
  <si>
    <t>Col 1</t>
  </si>
  <si>
    <t>Col 2</t>
  </si>
  <si>
    <t>Col 3</t>
  </si>
  <si>
    <t>9.1.2.2</t>
  </si>
  <si>
    <t>Estimated transportation recoveries</t>
  </si>
  <si>
    <t>9.1.2.3</t>
  </si>
  <si>
    <t xml:space="preserve">Special education allocation </t>
  </si>
  <si>
    <t>Teacherages occupied by trustees</t>
  </si>
  <si>
    <t>999999=Section3!I54</t>
  </si>
  <si>
    <t>999999=K19-M19</t>
  </si>
  <si>
    <t>999999=Section3!I53</t>
  </si>
  <si>
    <t>999999=K21-M21</t>
  </si>
  <si>
    <t>999999=Section3!G150</t>
  </si>
  <si>
    <t>Range 1 =   &lt;150  (revised to cover loss for enhanced Distant impact)</t>
  </si>
  <si>
    <t>Range 1 =   150 &lt;&gt; 300  (revised to cover loss for enhanced Distant impact)</t>
  </si>
  <si>
    <t>Range 1 =   &gt;300   (revised to cover loss for enhanced Distant impact)</t>
  </si>
  <si>
    <t>Additional Base Amount for Low Enrolment</t>
  </si>
  <si>
    <t>Total Negotiated Fees</t>
  </si>
  <si>
    <t>Appendix F1 - Transportation - Contracted and Board-Owned Vehicles</t>
  </si>
  <si>
    <t>Route Description</t>
  </si>
  <si>
    <t>Contractor</t>
  </si>
  <si>
    <t>Pupil Information</t>
  </si>
  <si>
    <t>Vehicle Information</t>
  </si>
  <si>
    <t>Transportation Information</t>
  </si>
  <si>
    <t>Transportation Costs</t>
  </si>
  <si>
    <t>Daily</t>
  </si>
  <si>
    <t>POB</t>
  </si>
  <si>
    <t>Section 3, Item 3.21, CP0681</t>
  </si>
  <si>
    <t>Section 3, poste 3.21, C0686</t>
  </si>
  <si>
    <t>1.8.1</t>
  </si>
  <si>
    <t>Per teacher NTIP amount</t>
  </si>
  <si>
    <t>Total NTIP Allocation</t>
  </si>
  <si>
    <t>COMMUNITY USE OF SCHOOL - New</t>
  </si>
  <si>
    <t>1.11.1</t>
  </si>
  <si>
    <t>6.2.2</t>
  </si>
  <si>
    <t>6.2.3</t>
  </si>
  <si>
    <t>6.2.4</t>
  </si>
  <si>
    <t>Average class size (Line 6.2.1 / line 6.2.2)</t>
  </si>
  <si>
    <t>Allocation before adjustment for small classes</t>
  </si>
  <si>
    <t>Hourly</t>
  </si>
  <si>
    <t>rate</t>
  </si>
  <si>
    <t xml:space="preserve">Reduction </t>
  </si>
  <si>
    <t>per hour</t>
  </si>
  <si>
    <t>Maximum</t>
  </si>
  <si>
    <t>Class size</t>
  </si>
  <si>
    <t>6.2.5</t>
  </si>
  <si>
    <t>6.2.6</t>
  </si>
  <si>
    <t>6.2.7</t>
  </si>
  <si>
    <t>International allocation</t>
  </si>
  <si>
    <t>(Line 6.2.5 - line 6.2.6)</t>
  </si>
  <si>
    <t>per trustee where Day school ADE is 100 or less</t>
  </si>
  <si>
    <t>per trustee where Day school ADE is 101 to 300</t>
  </si>
  <si>
    <t>12.3.2</t>
  </si>
  <si>
    <t>&amp;='[Sch 1 Stmt of Fin. Position]Sch 1 Stmt of Fin. Position'!H47</t>
  </si>
  <si>
    <t>Benefits Expenses 2013-14</t>
  </si>
  <si>
    <t>Benefits Payments 2013-14</t>
  </si>
  <si>
    <t>Day School Pupils 21 and over</t>
  </si>
  <si>
    <t>Independent Study ADE of Pupils 21 and over</t>
  </si>
  <si>
    <t>Secondary Day School Pupils (except pupils age 21 and over)</t>
  </si>
  <si>
    <t>Red Cell amounts were not updated for GSN Revised Estimates.  These cells are the original Estimates amounts</t>
  </si>
  <si>
    <t>Pupils of
Board (Regular)</t>
  </si>
  <si>
    <t>Pupils of
Board (High Credit)</t>
  </si>
  <si>
    <t>6.1.5</t>
  </si>
  <si>
    <t>Approved Special Incidence portion (SIP)</t>
  </si>
  <si>
    <t>Appendix L - Early Childhood Educator (ECE) Grid</t>
  </si>
  <si>
    <t>Grid 1 - No movement from prior year</t>
  </si>
  <si>
    <t># of FTE's</t>
  </si>
  <si>
    <t>Person Appointed under LOP</t>
  </si>
  <si>
    <t>Qualified ECEs with no years experience</t>
  </si>
  <si>
    <t>ECEs with 1 year experience</t>
  </si>
  <si>
    <t>ECEs with 2 years experience</t>
  </si>
  <si>
    <t>ECEs with 3 years experience</t>
  </si>
  <si>
    <t>ECEs with 4 or more years experience</t>
  </si>
  <si>
    <t>7.6.1</t>
  </si>
  <si>
    <t>7.6.2</t>
  </si>
  <si>
    <t>7.6.3</t>
  </si>
  <si>
    <t>7.10</t>
  </si>
  <si>
    <t>Average experience factor - total (4 dec.) for both grids</t>
  </si>
  <si>
    <t>Item 7.6.3 x (96/194) + Item 7.12.3 x (98/194))</t>
  </si>
  <si>
    <t>GRID 2 - GRID WITH Q &amp; E MOVEMENT AT START OF SCHOOL YEAR</t>
  </si>
  <si>
    <t>GRID 1 - GRID WITH NO Q &amp; E MOVEMENT FROM PRIOR YEAR</t>
  </si>
  <si>
    <t>Qualification and experience allocation (Line 7.14)</t>
  </si>
  <si>
    <t>2.6.1</t>
  </si>
  <si>
    <t>2.6.2</t>
  </si>
  <si>
    <t>2.6.3</t>
  </si>
  <si>
    <t>2.10.1</t>
  </si>
  <si>
    <t>2.10.2</t>
  </si>
  <si>
    <t>2.10.3</t>
  </si>
  <si>
    <t>2.10.4</t>
  </si>
  <si>
    <t>2.10.5</t>
  </si>
  <si>
    <t>Frozen</t>
  </si>
  <si>
    <t>Grades 7 - 8 SST &amp; LN Coaches (incl in Student Success</t>
  </si>
  <si>
    <t>Grid 2 - With movement at start of school year</t>
  </si>
  <si>
    <t>(Line 2.3 Col. A x Total ADE for Pupils of the Board , Schedule 13, line 4)</t>
  </si>
  <si>
    <t>(Sum of lines 3.1.3, 3.2.3, 3.3.2 and 3.3.3)</t>
  </si>
  <si>
    <t>10.2.4</t>
  </si>
  <si>
    <t>Note: The balances listed on this page refer to the amortization of the liability into compliance, not to the actual liability.</t>
  </si>
  <si>
    <t>In-Year Decrease (-)</t>
  </si>
  <si>
    <t>15</t>
  </si>
  <si>
    <t>Early Retirement Incentive Plans (ERIP)</t>
  </si>
  <si>
    <t>Retirement Health/Dental/Life Insurance Plans, etc.</t>
  </si>
  <si>
    <t>16</t>
  </si>
  <si>
    <t>Amortization period for Retirement Health/Dental/Life Insurance Plans, etc. (one decimal)</t>
  </si>
  <si>
    <t>.....- (Item 1 / Item 2)</t>
  </si>
  <si>
    <t>Employee Future Benefits - other than those described in items 4.1 to 4.1.2</t>
  </si>
  <si>
    <t>Employee Future Benefits - Early Retirement Incentive Plan</t>
  </si>
  <si>
    <t>Employee Future Benefits - Retirement Health, Dental, Life Insurance Plans etc.</t>
  </si>
  <si>
    <t>Less:
Increase(Decrease) Unfunded Liabilities - (Other than Retirement Gratuity)</t>
  </si>
  <si>
    <t>Section 7,
Line 7.1 CPE0796</t>
  </si>
  <si>
    <t>Section 7,
Line 7.1 CPE0797</t>
  </si>
  <si>
    <t>Adult education, continuing education, high credit and summer school ADE (sum of lines 6.1.1 to 6.1.4)</t>
  </si>
  <si>
    <t>High Credit, Summer School and PLAR Allocation</t>
  </si>
  <si>
    <t>Adult Education, Continuing Education, High Credit and Summer School</t>
  </si>
  <si>
    <t xml:space="preserve">Adult and Continuing Education, High Credit, Summer School and PLAR </t>
  </si>
  <si>
    <t>JK-SK</t>
  </si>
  <si>
    <t>Grade 1 to 3</t>
  </si>
  <si>
    <t>Q&amp;E per pupil - JK to SK</t>
  </si>
  <si>
    <t>Q&amp;E per pupil - Grade 1-3</t>
  </si>
  <si>
    <t>Base Amount JK to SK</t>
  </si>
  <si>
    <t>Base Amount Grade 1-3</t>
  </si>
  <si>
    <t xml:space="preserve"> ( item 1.1.4 + 1.1.6)</t>
  </si>
  <si>
    <t>Early Childood Educator</t>
  </si>
  <si>
    <t>Early Childhood Educator</t>
  </si>
  <si>
    <t>Classroom equipping</t>
  </si>
  <si>
    <t>Labour Enh.-Supply teachers Elem</t>
  </si>
  <si>
    <t>Labour Enh.-Supply teachers Sec</t>
  </si>
  <si>
    <t>Labour Enh.-Non-vested sick days</t>
  </si>
  <si>
    <t>JK - SK</t>
  </si>
  <si>
    <t>Gr. 1-3</t>
  </si>
  <si>
    <t>Updated</t>
  </si>
  <si>
    <t>Qualification Category B</t>
  </si>
  <si>
    <t>Section 7.1 - Early Childhood Educator Q &amp; E Allocation</t>
  </si>
  <si>
    <t>7.30 - ECE FTE - No movement</t>
  </si>
  <si>
    <t>7.31 - ECE FTE - With movement</t>
  </si>
  <si>
    <t>7.32.1 ECE FTE - No Movement</t>
  </si>
  <si>
    <t>7.33.1 ECE FTE - With Movement</t>
  </si>
  <si>
    <t>7.33.2 ECE Experience Factor - with Movement</t>
  </si>
  <si>
    <t>7.33.3 Average ECE Experience Factor - With Movement</t>
  </si>
  <si>
    <t>.....Item 7.33.2 / Item 7.33.1</t>
  </si>
  <si>
    <t>7.35 ECE Q&amp;E per Pupil Allocation                                                                                                                                                                                                   0.00</t>
  </si>
  <si>
    <t>7.36 ECE Q&amp;E Allocation</t>
  </si>
  <si>
    <t>.....Item 7.35 x JK - SK ADE</t>
  </si>
  <si>
    <t>Years of Experience</t>
  </si>
  <si>
    <t>4 or more</t>
  </si>
  <si>
    <t xml:space="preserve">Weighting Factor </t>
  </si>
  <si>
    <t>1.8.2</t>
  </si>
  <si>
    <t>Early Childhood Educator Qualification and Experience</t>
  </si>
  <si>
    <t>150 or more minutes (JK to 8 only)</t>
  </si>
  <si>
    <t>Early Childhood Educators</t>
  </si>
  <si>
    <t>Elem:  Section 7B, line 7.24</t>
  </si>
  <si>
    <t>Sec:  Section 7B, line 7.24</t>
  </si>
  <si>
    <t>1.7.2</t>
  </si>
  <si>
    <t>Elem:  Section 7A, line 7.36</t>
  </si>
  <si>
    <t>JK to SK</t>
  </si>
  <si>
    <t>Gr. 1 - 3</t>
  </si>
  <si>
    <t xml:space="preserve">Total Elementary - Supported School Allocation </t>
  </si>
  <si>
    <t>Supported School Allocation</t>
  </si>
  <si>
    <t>Elementary Day School ADE</t>
  </si>
  <si>
    <t>Secondary Day School ADE</t>
  </si>
  <si>
    <t>.....(Item 4.2 + Item 4.3)</t>
  </si>
  <si>
    <t>...(Line 4.4 + line 4.6)</t>
  </si>
  <si>
    <t>Prev. Years Supported Schools Allocation</t>
  </si>
  <si>
    <t>From 2013-14</t>
  </si>
  <si>
    <t>Section 4 - Supported Schools Allocation</t>
  </si>
  <si>
    <t>Supported Schools Allocation</t>
  </si>
  <si>
    <t xml:space="preserve">Total Elementary - Supported School Amount Excluding ECE </t>
  </si>
  <si>
    <t xml:space="preserve">Supported School Amount for ECE </t>
  </si>
  <si>
    <t xml:space="preserve">Total Secondary - Supported School Allocation </t>
  </si>
  <si>
    <t>Mental Health Leader Amount</t>
  </si>
  <si>
    <t>Mental Health Leader</t>
  </si>
  <si>
    <t>Funding provided to the following three boards: Student Success to James Bay Lowlands SSB, School Effectiveness to  Moosonee DSAB and Mental Health Leader to Penetanguishene PSS Bd, all of which are provided to service the three Moosonee area Boards and the Penetanguishine Protestant Separate School Board</t>
  </si>
  <si>
    <t>1.4.3</t>
  </si>
  <si>
    <t>11.2.1</t>
  </si>
  <si>
    <t>11.2.2</t>
  </si>
  <si>
    <t>Supported Schools allocation</t>
  </si>
  <si>
    <t>Elem: Section 4, line 4.9</t>
  </si>
  <si>
    <t>Sec:  Section 4, line 4.9</t>
  </si>
  <si>
    <t>Supported School Allocation (Note)</t>
  </si>
  <si>
    <t xml:space="preserve">Supported Schools </t>
  </si>
  <si>
    <t>(Col. 1 - Col. 2 + Col.3)</t>
  </si>
  <si>
    <t>(Col.1-Col.2)*factor</t>
  </si>
  <si>
    <t>Col.3 * factor</t>
  </si>
  <si>
    <t>Col. 5 + Col.6</t>
  </si>
  <si>
    <t xml:space="preserve">Total                   </t>
  </si>
  <si>
    <t>(Sum of lines 2.6.1 and 2.6.2)</t>
  </si>
  <si>
    <t>Total Behavioural Expertise Amount (sum of items 2.10.1, to 2.10.5)</t>
  </si>
  <si>
    <t>SUPPORTED SCHOOLS - NEW CALCULATION</t>
  </si>
  <si>
    <t>Floor - Elementary</t>
  </si>
  <si>
    <t>Fixed Amount - Range 1 - Elementary</t>
  </si>
  <si>
    <t>Fixed Amount - Range 2 - Elementary</t>
  </si>
  <si>
    <t>Fixed Amount - Range 3 - Elementary</t>
  </si>
  <si>
    <t>Fixed Amount - Range 4 - Elementary</t>
  </si>
  <si>
    <t>Fixed Amount - Range 5 - Elementary</t>
  </si>
  <si>
    <t>Fixed Amount - Range 1 - Secondary</t>
  </si>
  <si>
    <t>Fixed Amount - Range 2 - Secondary</t>
  </si>
  <si>
    <t>Fixed Amount - Range 3 - Secondary</t>
  </si>
  <si>
    <t>Fixed Amount - Range 4 - Secondary</t>
  </si>
  <si>
    <t>Fixed Amount - Range 5 - Secondary</t>
  </si>
  <si>
    <t>PFG - Kindergarten</t>
  </si>
  <si>
    <t>PFG - Grades 1 to 3</t>
  </si>
  <si>
    <t>PFG - Grades 4 to 8</t>
  </si>
  <si>
    <t>PFG - Secondary</t>
  </si>
  <si>
    <t>PFG - ECE</t>
  </si>
  <si>
    <t>ECE - Staffing Range 1</t>
  </si>
  <si>
    <t>ECE - Staffing Range 2</t>
  </si>
  <si>
    <t>ECE - Staffing Range 3</t>
  </si>
  <si>
    <t>Variable Amount - Range 1 - Elementary</t>
  </si>
  <si>
    <t>Variable Amount - Range 2 - Elementary</t>
  </si>
  <si>
    <t>Variable Amount - Range 3 - Elementary</t>
  </si>
  <si>
    <t>Variable Amount - Range 4 - Elementary</t>
  </si>
  <si>
    <t>Variable Amount - Range 5 - Elementary</t>
  </si>
  <si>
    <t>Variable Amount - Range 1 - Secondary</t>
  </si>
  <si>
    <t>Variable Amount - Range 2 - Secondary</t>
  </si>
  <si>
    <t>Variable Amount - Range 3 - Secondary</t>
  </si>
  <si>
    <t>Variable Amount - Range 4 - Secondary</t>
  </si>
  <si>
    <t>Variable Amount - Range 5 - Secondary</t>
  </si>
  <si>
    <t>ECE - ADE Range 1</t>
  </si>
  <si>
    <t>ECE - ADE Range 2</t>
  </si>
  <si>
    <t>ECE - ADE Range 3</t>
  </si>
  <si>
    <t>Floor - Secondary</t>
  </si>
  <si>
    <t>ADE Range 1 - Elementary</t>
  </si>
  <si>
    <t>ADE Range 2 - Elementary</t>
  </si>
  <si>
    <t>ADE Range 3 - Elementary</t>
  </si>
  <si>
    <t>ADE Range 4 - Elementary</t>
  </si>
  <si>
    <t>ADE Range 5 - Elementary</t>
  </si>
  <si>
    <t>ADE Range 1 - Secondary</t>
  </si>
  <si>
    <t>ADE Range 2 - Secondary</t>
  </si>
  <si>
    <t>ADE Range 3 - Secondary</t>
  </si>
  <si>
    <t>ADE Range 4 - Secondary</t>
  </si>
  <si>
    <t>ADE Range 5 - Secondary</t>
  </si>
  <si>
    <t>Range amount for Sec schools over 200 ADE</t>
  </si>
  <si>
    <t>(Line 6.3 + line 6.2.7 + line 6.4)</t>
  </si>
  <si>
    <t>Elementary calculated factor (Item 7.7 X 7.9) (four decimals) - English Language Instructional Unit</t>
  </si>
  <si>
    <t>(Sum of lines 9.1.3, 9.2.4, 9.3.1 and 9.5.4)</t>
  </si>
  <si>
    <t>(Sum of lines 11.2, 11.4, 11.6,)</t>
  </si>
  <si>
    <t>The total on Schedule 10ADJ Col. 15 should equal the sum of the sub-totals</t>
  </si>
  <si>
    <t>Schedule 10ADJ, Col.15</t>
  </si>
  <si>
    <t>The total on Schedule 10ADJ Col. 18 should equal the sum of the sub-totals</t>
  </si>
  <si>
    <t>Schedule 10ADJ, Col.18</t>
  </si>
  <si>
    <t>Schedule 10G - The EARSL cannot be zero if there is an opening unamortized liability for Retirement Gratuities</t>
  </si>
  <si>
    <t>Schedule 10G - The EARSL cannot be zero if there is an opening unamortized liability for ERIP</t>
  </si>
  <si>
    <t>Schedule 10G - The amortization period cannot be zero if there is an opening unamortized liability for Retirement Health/Dental etc.</t>
  </si>
  <si>
    <t>Travel amount (Line 16.12.1 / 3)</t>
  </si>
  <si>
    <t>Remote travel amount (Line 16.12.2 x (Line 16.12.3 - 1.00)) (negative = 0)</t>
  </si>
  <si>
    <t>Elem:  Section 2, line 2.13, Col. 1 - line 2.6.3, Col 1 - line 2.4, Col 1 - line 2.2.1, Col 1</t>
  </si>
  <si>
    <t>Sec:  Section 2, line 2.13, Col. 2 -  line 2.6.3, Col 2 - line 2.4, Col 2 - line 2.11 - line 2.2.1 Col 2</t>
  </si>
  <si>
    <t>Elem:  Section 3,  line 3.4</t>
  </si>
  <si>
    <t>Sec:  Section 3, lines 3.4</t>
  </si>
  <si>
    <t>Elem:  Section 7, line 7.16</t>
  </si>
  <si>
    <t>Sec:  Section 7, line 7.16</t>
  </si>
  <si>
    <t>Elem:  Section 7, line 7.17</t>
  </si>
  <si>
    <t>Sec:  Section 7, line 7.17</t>
  </si>
  <si>
    <t>Subtotal (to deferred revenue Sch 5.1, line 2.28, Col.2)</t>
  </si>
  <si>
    <t>freeze</t>
  </si>
  <si>
    <t>Secondary calculated factor (Item 7.8 X Item 7.9) (four decimals) - English Language Intructional Unit</t>
  </si>
  <si>
    <t>From Sept. 1, 2013 to Aug. 31, 2014</t>
  </si>
  <si>
    <t>Tax Revenue Adjustment</t>
  </si>
  <si>
    <t>Day school ADE of "pupils of the board" who are 21 years of age or over</t>
  </si>
  <si>
    <t xml:space="preserve">High Credit ADE; Grades 9 to 12 (under 21 years) </t>
  </si>
  <si>
    <t>Continuing Education ADE (CP0579)</t>
  </si>
  <si>
    <t>Summer School ADE (CP0584)</t>
  </si>
  <si>
    <t>*Not needed</t>
  </si>
  <si>
    <t>old calc</t>
  </si>
  <si>
    <t>Total Adjustments ( Col 15 + Col. 18 - Col. 14 - Col. 16)</t>
  </si>
  <si>
    <t>Principal Amount (Line 1.3.2.3 x Col. A)</t>
  </si>
  <si>
    <t>Vice-Principal Amount (Line 1.3.3.3 x Col. A)</t>
  </si>
  <si>
    <t>Secretarial support staff amount (Line 1.3.4.3 x Col. A)</t>
  </si>
  <si>
    <t>1.3.2</t>
  </si>
  <si>
    <t>1.3.3</t>
  </si>
  <si>
    <t>1.3.4</t>
  </si>
  <si>
    <t xml:space="preserve">Number of Elementary School Principals funded </t>
  </si>
  <si>
    <t xml:space="preserve">Number of Elementary School Vice-Principals funded </t>
  </si>
  <si>
    <t xml:space="preserve">Number of Elementary School Secretarial Support Staff funded </t>
  </si>
  <si>
    <t xml:space="preserve">Schedule 10G,     line 3, col.16 </t>
  </si>
  <si>
    <t>Schedule 10G,     line 3, col.15</t>
  </si>
  <si>
    <t>The sum of the amortization and write downs reported in Sch 10 should be equal to the amortization and write downs in Sch 3C</t>
  </si>
  <si>
    <t>Schedule 10, lines 72 to 76</t>
  </si>
  <si>
    <t>Schedule 3C, total write-downs and amort expense</t>
  </si>
  <si>
    <t>Special Education expenditures for Early Childhood Educators cannot be greater than the Total expenditures for Early Childhood Educators</t>
  </si>
  <si>
    <t>Schedule 10A, Line 33.1 + Schedule 10B, Line 33.1</t>
  </si>
  <si>
    <t>Schedule 10A, Line 33.2</t>
  </si>
  <si>
    <t>Schedule 10ADJ,              Line 53.1</t>
  </si>
  <si>
    <t>Schedule 10ADJ,              Line 53.2</t>
  </si>
  <si>
    <t>Schedule 9, Sum of Line 5.2, 7.1 and 8.5</t>
  </si>
  <si>
    <t>Appendix B1
CP1055</t>
  </si>
  <si>
    <t>Appendix B1
CP1056</t>
  </si>
  <si>
    <t>The day school ADE of elementary other pupils reported on Schedule 13 is equal to the number reported on Appendix B1</t>
  </si>
  <si>
    <t>The day school ADE of secondary other pupils reported on Schedule 13 is equal to the number reported on Appendix B1</t>
  </si>
  <si>
    <t>Adult education tuition fees including PAC must be calculated on Appendix B1 if Adult Education ADE exists</t>
  </si>
  <si>
    <t>Appendix B1, 
Item 1.18 Col.6</t>
  </si>
  <si>
    <t>Cost per sq. metre - Elementary (SBEM)</t>
  </si>
  <si>
    <t>Cost per sq. metre - Secondary (SBEM)</t>
  </si>
  <si>
    <t>Benchmark Sq/m cost for elementary schools</t>
  </si>
  <si>
    <t>Benchmark Sq/m cost for elementary schools (SBEM)</t>
  </si>
  <si>
    <t>Benchmark Sq/m cost for secondary schools</t>
  </si>
  <si>
    <t>Benchmark Sq/m cost for secondary schools (SBEM)</t>
  </si>
  <si>
    <t>Trustees' Association Fee</t>
  </si>
  <si>
    <t>1.10.1</t>
  </si>
  <si>
    <t>2014-15 SPECIAL EDUCATION High Needs</t>
  </si>
  <si>
    <r>
      <t>N.B. -</t>
    </r>
    <r>
      <rPr>
        <sz val="11"/>
        <rFont val="Arial"/>
        <family val="2"/>
      </rPr>
      <t xml:space="preserve"> Please distribute the ADE from Items 2.3 and 3.5 to the categories specified below:</t>
    </r>
  </si>
  <si>
    <t>Home-to-School (includes School-to-School)</t>
  </si>
  <si>
    <t>Board, Lodging and WEEKLY TRANSPORTATION</t>
  </si>
  <si>
    <t>Number of contracted and board-owned vans and busses (board share only)</t>
  </si>
  <si>
    <t xml:space="preserve"> (2 decimal places)</t>
  </si>
  <si>
    <t>Section 10 - Administration and Governance Allocations</t>
  </si>
  <si>
    <t>Learning Opportunities - Demographic amount</t>
  </si>
  <si>
    <t>Schedule 10ADJ - Adjustments for Compliance Purposes</t>
  </si>
  <si>
    <t>No longer funded</t>
  </si>
  <si>
    <t>Schedule 11A - Tax Revenue and Territorial District</t>
  </si>
  <si>
    <t>Adjustments</t>
  </si>
  <si>
    <r>
      <t xml:space="preserve">Note 1 - </t>
    </r>
    <r>
      <rPr>
        <sz val="12"/>
        <rFont val="Arial"/>
        <family val="2"/>
      </rPr>
      <t>The total high needs amount should be allocated to the Elementary and Secondary panel using the proportions of the enrolment of the high needs students in each panel.</t>
    </r>
  </si>
  <si>
    <r>
      <t xml:space="preserve">Note 2 - </t>
    </r>
    <r>
      <rPr>
        <sz val="12"/>
        <rFont val="Arial"/>
        <family val="2"/>
      </rPr>
      <t xml:space="preserve">Behavioural Expertise Funding will be provided to the Moose Factory Island DSAB,  which is provided to service the three Moosonee area Boards and the Penetanguishine Protestant </t>
    </r>
  </si>
  <si>
    <t>Separate School Board.</t>
  </si>
  <si>
    <r>
      <t xml:space="preserve">French as a Second Language Allocation </t>
    </r>
    <r>
      <rPr>
        <sz val="12"/>
        <rFont val="Arial"/>
        <family val="2"/>
      </rPr>
      <t>(Line 3.1.1 Col. 3 + Line 3.1.2  Col. 3)</t>
    </r>
  </si>
  <si>
    <r>
      <t>Total French as a First Language allocation</t>
    </r>
    <r>
      <rPr>
        <sz val="12"/>
        <rFont val="Arial"/>
        <family val="2"/>
      </rPr>
      <t xml:space="preserve"> (Line  3.2.1, Col. 3 + line 3.2.2, Col. 3)</t>
    </r>
  </si>
  <si>
    <r>
      <t xml:space="preserve">ALF Allocation </t>
    </r>
    <r>
      <rPr>
        <sz val="12"/>
        <rFont val="Arial"/>
        <family val="2"/>
      </rPr>
      <t>(Line 3.5.1  Col. 3 + Line 3.5.2.1  Col. 3)</t>
    </r>
  </si>
  <si>
    <r>
      <t>EQM, élèves du conseil inscrits au M et aux 3 premières années d'études</t>
    </r>
    <r>
      <rPr>
        <sz val="12"/>
        <rFont val="Arial"/>
        <family val="2"/>
      </rPr>
      <t>(Tab.13, Poste 1.3.1 + 1.3.2+1.3.3)</t>
    </r>
  </si>
  <si>
    <r>
      <t xml:space="preserve">if line 5.2.1 is less than 151, </t>
    </r>
    <r>
      <rPr>
        <b/>
        <sz val="12"/>
        <rFont val="Arial"/>
        <family val="2"/>
      </rPr>
      <t>enter 0</t>
    </r>
  </si>
  <si>
    <r>
      <t>Remote and Rural Allocation</t>
    </r>
    <r>
      <rPr>
        <sz val="12"/>
        <rFont val="Arial"/>
        <family val="2"/>
      </rPr>
      <t xml:space="preserve"> </t>
    </r>
  </si>
  <si>
    <t>Does not use QECO for elementary, use 2005 DataForm A submitted to the Office of Collective Bargaining Information of the Ministry of Labour for classification or elect by written</t>
  </si>
  <si>
    <t>notice to the Ministry to use QECO Programme Level 4.</t>
  </si>
  <si>
    <t xml:space="preserve">Does not use QECO or OSSTF for secondary, use 2005 DataForm A submitted to the Office of Collective Bargaining Information of the Ministry of Labour for classification or elect </t>
  </si>
  <si>
    <t>by written notice to the Minister to use 1992 OSSTF Certification System.</t>
  </si>
  <si>
    <t xml:space="preserve">Average experience factor (Item 7.6.1/7.6.2) </t>
  </si>
  <si>
    <t>Total number of teachers reported on grid</t>
  </si>
  <si>
    <t>Total experience factors</t>
  </si>
  <si>
    <t>Total Experience Factors by Panel</t>
  </si>
  <si>
    <r>
      <t xml:space="preserve">Assistance for Student Success </t>
    </r>
    <r>
      <rPr>
        <sz val="12"/>
        <rFont val="Arial"/>
        <family val="2"/>
      </rPr>
      <t>(note 1)</t>
    </r>
  </si>
  <si>
    <r>
      <t xml:space="preserve">Assistance for School Effectiveness  </t>
    </r>
    <r>
      <rPr>
        <sz val="12"/>
        <rFont val="Arial"/>
        <family val="2"/>
      </rPr>
      <t>(note 1)</t>
    </r>
  </si>
  <si>
    <t xml:space="preserve">Student Success Teachers and Literacy &amp; Numeracy Coaches </t>
  </si>
  <si>
    <r>
      <t>For ministry use only</t>
    </r>
    <r>
      <rPr>
        <strike/>
        <sz val="12"/>
        <color indexed="10"/>
        <rFont val="Arial"/>
        <family val="2"/>
      </rPr>
      <t>: Adjustment</t>
    </r>
  </si>
  <si>
    <r>
      <t>Deduct surplus operating funds (</t>
    </r>
    <r>
      <rPr>
        <b/>
        <sz val="12"/>
        <rFont val="Arial"/>
        <family val="2"/>
      </rPr>
      <t>See note 3 above</t>
    </r>
    <r>
      <rPr>
        <sz val="12"/>
        <rFont val="Arial"/>
        <family val="2"/>
      </rPr>
      <t>)</t>
    </r>
  </si>
  <si>
    <r>
      <t>For ministry use only</t>
    </r>
    <r>
      <rPr>
        <sz val="12"/>
        <rFont val="Arial"/>
        <family val="2"/>
      </rPr>
      <t>: Adjustment</t>
    </r>
  </si>
  <si>
    <r>
      <t>Deduct surplus capital and operating funds (</t>
    </r>
    <r>
      <rPr>
        <b/>
        <sz val="12"/>
        <rFont val="Arial"/>
        <family val="2"/>
      </rPr>
      <t>See note 3 above</t>
    </r>
    <r>
      <rPr>
        <sz val="12"/>
        <rFont val="Arial"/>
        <family val="2"/>
      </rPr>
      <t>)</t>
    </r>
  </si>
  <si>
    <r>
      <t xml:space="preserve">Special approval allocation for Capital Program Grant </t>
    </r>
    <r>
      <rPr>
        <sz val="12"/>
        <rFont val="Arial"/>
        <family val="2"/>
      </rPr>
      <t>(see note 4 above)</t>
    </r>
  </si>
  <si>
    <t>Secondary (excludes pupils 21 and over)</t>
  </si>
  <si>
    <r>
      <t>Note 1</t>
    </r>
    <r>
      <rPr>
        <sz val="12"/>
        <rFont val="Arial"/>
        <family val="2"/>
      </rPr>
      <t>:</t>
    </r>
  </si>
  <si>
    <r>
      <t xml:space="preserve">Total </t>
    </r>
    <r>
      <rPr>
        <sz val="12"/>
        <rFont val="Arial"/>
        <family val="2"/>
      </rPr>
      <t>- Home-to-School and School-to-School</t>
    </r>
  </si>
  <si>
    <r>
      <t xml:space="preserve">Total </t>
    </r>
    <r>
      <rPr>
        <sz val="12"/>
        <rFont val="Arial"/>
        <family val="2"/>
      </rPr>
      <t>- Territorial Student Program</t>
    </r>
  </si>
  <si>
    <r>
      <t xml:space="preserve">Total </t>
    </r>
    <r>
      <rPr>
        <sz val="12"/>
        <rFont val="Arial"/>
        <family val="2"/>
      </rPr>
      <t>(Sommes des Col.2 à 5)</t>
    </r>
  </si>
  <si>
    <t>Schedule 1</t>
  </si>
  <si>
    <t>Consolidated Statement of Financial Position</t>
  </si>
  <si>
    <t>For the year ending August 31</t>
  </si>
  <si>
    <t>(Restated)</t>
  </si>
  <si>
    <t>FINANCIAL ASSETS</t>
  </si>
  <si>
    <t>Cash and cash equivalents</t>
  </si>
  <si>
    <t>Temporary investments</t>
  </si>
  <si>
    <t>Accounts receivable</t>
  </si>
  <si>
    <t>Long Term Investments</t>
  </si>
  <si>
    <t>TOTAL FINANCIAL ASSETS</t>
  </si>
  <si>
    <t>LIABILITIES</t>
  </si>
  <si>
    <t>Temporary Borrowing</t>
  </si>
  <si>
    <t>Accounts payable  &amp; Accrued liabilities</t>
  </si>
  <si>
    <t>Net Debenture Debt, Capital Loans and Leases</t>
  </si>
  <si>
    <t>Deferred revenue</t>
  </si>
  <si>
    <t>Note 1</t>
  </si>
  <si>
    <t>Employee benefits payable</t>
  </si>
  <si>
    <r>
      <t xml:space="preserve">TOTAL </t>
    </r>
    <r>
      <rPr>
        <b/>
        <sz val="10"/>
        <rFont val="Arial"/>
        <family val="2"/>
      </rPr>
      <t>LIABILITIES</t>
    </r>
  </si>
  <si>
    <t>NET FINANCIAL ASSETS (NET DEBT)</t>
  </si>
  <si>
    <t>NON-FINANCIAL ASSETS</t>
  </si>
  <si>
    <t>Prepaid Expenses</t>
  </si>
  <si>
    <t>Inventories of supplies</t>
  </si>
  <si>
    <t>Tangible Capital Assets</t>
  </si>
  <si>
    <t>TOTAL NON-FINANCIAL ASSETS</t>
  </si>
  <si>
    <t>ACCUMULATED SURPLUS (DEFICIT)</t>
  </si>
  <si>
    <t>Signed On Behalf Of The Board:</t>
  </si>
  <si>
    <t>Signature of Chief Executive Officer</t>
  </si>
  <si>
    <t>Signature of Chair of the Board</t>
  </si>
  <si>
    <t xml:space="preserve">1 - </t>
  </si>
  <si>
    <t>All deferred revenue now on one line.</t>
  </si>
  <si>
    <t>Schedule 1.2</t>
  </si>
  <si>
    <t>Consolidated Statement of Cash Flow</t>
  </si>
  <si>
    <t>OPERATING TRANSACTIONS</t>
  </si>
  <si>
    <t>Annual Surplus (Deficit)</t>
  </si>
  <si>
    <t>Sources and (uses):</t>
  </si>
  <si>
    <t>Non-cash items including amortization, write downs and gain/losses on disposal</t>
  </si>
  <si>
    <t>(Increase) Decrease in temporary investments</t>
  </si>
  <si>
    <t>(Increase) Decrease in accounts receivable</t>
  </si>
  <si>
    <t>(Increase) Decrease in other financial assets</t>
  </si>
  <si>
    <t>Increase (Decrease) in accounts payable &amp; accrued liabilities</t>
  </si>
  <si>
    <t>Increase (Decrease) in other liabilities</t>
  </si>
  <si>
    <t>Increase (Decrease) in deferred revenues</t>
  </si>
  <si>
    <t>Increase (Decrease) in employee benefits payable</t>
  </si>
  <si>
    <t>(Increase) Decrease in prepaid expenses</t>
  </si>
  <si>
    <t>(Increase) Decrease in inventories of supplies</t>
  </si>
  <si>
    <t>Cash provided by (applied to) operating transactions</t>
  </si>
  <si>
    <t>CAPITAL TRANSACTIONS</t>
  </si>
  <si>
    <t>Proceeds on sale of tangible capital assets</t>
  </si>
  <si>
    <t>Cash used to acquire tangible capital assets</t>
  </si>
  <si>
    <t>Cash provided by (applied to) capital transactions</t>
  </si>
  <si>
    <t>INVESTING TRANSACTIONS</t>
  </si>
  <si>
    <t>(Increase) Decrease in investments</t>
  </si>
  <si>
    <t>Cash provided by (applied to) investing transactions</t>
  </si>
  <si>
    <t>FINANCING TRANSACTIONS</t>
  </si>
  <si>
    <t>Long-term liabiltiies issued</t>
  </si>
  <si>
    <t>Increase (Decrease) in temporary borrowing</t>
  </si>
  <si>
    <t>Debt repaid and sinking fund contributions</t>
  </si>
  <si>
    <t>Cash provided by (applied to) financing transactions</t>
  </si>
  <si>
    <t>CHANGE IN CASH AND CASH EQUIVALENTS</t>
  </si>
  <si>
    <t>Opening Cash and Cash Equivalents</t>
  </si>
  <si>
    <t>Closing Cash and Cash Equivalents</t>
  </si>
  <si>
    <t>Schedule 1.3</t>
  </si>
  <si>
    <t>Consolidated Statement of Change in Net Debt</t>
  </si>
  <si>
    <t>TANGIBLE CAPITAL ASSET ACTIVITY</t>
  </si>
  <si>
    <t>Acquisition of Tangible Capital Assets</t>
  </si>
  <si>
    <t>Amortization of Tangible Capital Assets</t>
  </si>
  <si>
    <t>Gain/Loss on sale of tangible capital assets</t>
  </si>
  <si>
    <t>Write-downs of tangible capital assets</t>
  </si>
  <si>
    <t>Total tangible capital asset activity</t>
  </si>
  <si>
    <t>OTHER NON-FINANCIAL ASSET ACTIVITY</t>
  </si>
  <si>
    <t>Acquisition of supplies inventories</t>
  </si>
  <si>
    <t>Acquisition of prepaid expenses</t>
  </si>
  <si>
    <t>Consumption of supplies inventories</t>
  </si>
  <si>
    <t>Use of prepaid expenses</t>
  </si>
  <si>
    <t>Total other non-financial activities</t>
  </si>
  <si>
    <t>Change in net financial assets / (net debt)</t>
  </si>
  <si>
    <t>Net financial assets / (net debt) at beginning of year</t>
  </si>
  <si>
    <t>Net financial assets / (net debt) at end of year</t>
  </si>
  <si>
    <t>Schedule 7</t>
  </si>
  <si>
    <t>Detail of Consolidated Statement of Financial Position</t>
  </si>
  <si>
    <t>….Municipalities</t>
  </si>
  <si>
    <t>…School Boards</t>
  </si>
  <si>
    <t>…Government of Ontario</t>
  </si>
  <si>
    <t>…Government of Canada</t>
  </si>
  <si>
    <t xml:space="preserve">…Other </t>
  </si>
  <si>
    <t>Accounts payable</t>
  </si>
  <si>
    <t>2.2.3</t>
  </si>
  <si>
    <t>2.2.4</t>
  </si>
  <si>
    <t>2.2.5</t>
  </si>
  <si>
    <t>Accrued Liabilities</t>
  </si>
  <si>
    <t>2.5.1</t>
  </si>
  <si>
    <t>…Unmatured Debenture Debt</t>
  </si>
  <si>
    <t>2.5.2</t>
  </si>
  <si>
    <t>…Less:  Sinking Fund Assets</t>
  </si>
  <si>
    <t>2.5.3</t>
  </si>
  <si>
    <t>…Debenture Debt NET of Sinking Fund Assets</t>
  </si>
  <si>
    <t>2.5.4</t>
  </si>
  <si>
    <t>…Capital Loans</t>
  </si>
  <si>
    <t>2.5.5</t>
  </si>
  <si>
    <t>…Capital Leases</t>
  </si>
  <si>
    <t>2.5.6</t>
  </si>
  <si>
    <t>Deferred Revenue</t>
  </si>
  <si>
    <t>TOTAL LIABILITIES</t>
  </si>
  <si>
    <t>NET DEBT</t>
  </si>
  <si>
    <t>ACCUMULATED SURPLUS / (DEFICIT)</t>
  </si>
  <si>
    <t>Checksum: Matches Schedule 1</t>
  </si>
  <si>
    <t>Should be $0</t>
  </si>
  <si>
    <t>Schedule 10.3 - Textbooks and Classroom supplies</t>
  </si>
  <si>
    <t>Object Code</t>
  </si>
  <si>
    <t>Corresponding Functions</t>
  </si>
  <si>
    <t>Expenditures</t>
  </si>
  <si>
    <t>Textbooks and learning materials</t>
  </si>
  <si>
    <t>10,23,24,25</t>
  </si>
  <si>
    <t>Software</t>
  </si>
  <si>
    <t>10,23,24</t>
  </si>
  <si>
    <t>23,24,</t>
  </si>
  <si>
    <t>Sub-Total Textbooks &amp; Learning Resources</t>
  </si>
  <si>
    <t>Instruction supplies, incl. Printing &amp; photocopying - instructional, equipment repairs and field trips</t>
  </si>
  <si>
    <t>10,23,24,25,32</t>
  </si>
  <si>
    <t>10,23,24,32</t>
  </si>
  <si>
    <t>Total Classroom Supplies &amp; Services (CP5505)</t>
  </si>
  <si>
    <t>Schedule 10.4 - Supplementary information on salaries and</t>
  </si>
  <si>
    <t xml:space="preserve">                          benefits expenditures</t>
  </si>
  <si>
    <t>*****Expenditures recorded according to the CICA Public Sector Accounting Handbook*****</t>
  </si>
  <si>
    <t>School Administration Expenditures</t>
  </si>
  <si>
    <t>Salary</t>
  </si>
  <si>
    <t>Others</t>
  </si>
  <si>
    <t>1.1 Principal</t>
  </si>
  <si>
    <t>1.2 Vice - Principal</t>
  </si>
  <si>
    <r>
      <t xml:space="preserve">1.3 Sub-total </t>
    </r>
    <r>
      <rPr>
        <sz val="8"/>
        <rFont val="Arial"/>
        <family val="2"/>
      </rPr>
      <t>(note 1)</t>
    </r>
  </si>
  <si>
    <t>2.1 Secretaries</t>
  </si>
  <si>
    <t>2.2 Others</t>
  </si>
  <si>
    <r>
      <t xml:space="preserve">2.3 Sub-total </t>
    </r>
    <r>
      <rPr>
        <sz val="8"/>
        <rFont val="Arial"/>
        <family val="2"/>
      </rPr>
      <t>(note 2)</t>
    </r>
  </si>
  <si>
    <t>3 Total School Administration Expenditures</t>
  </si>
  <si>
    <t>Library &amp; Guidance Salaries &amp; Benefits</t>
  </si>
  <si>
    <t>4.1 Library teachers</t>
  </si>
  <si>
    <t>4.2 Library technicians</t>
  </si>
  <si>
    <t>4.3 Guidance teachers</t>
  </si>
  <si>
    <r>
      <t xml:space="preserve">4.4 Total Library and Guidance salary and benefits expenditures </t>
    </r>
    <r>
      <rPr>
        <sz val="9"/>
        <rFont val="Arial"/>
        <family val="2"/>
      </rPr>
      <t>(note 3)</t>
    </r>
  </si>
  <si>
    <t>5.1 Principal</t>
  </si>
  <si>
    <t>5.2 Vice - Principal</t>
  </si>
  <si>
    <r>
      <t xml:space="preserve">5.3 Sub-total </t>
    </r>
    <r>
      <rPr>
        <sz val="8"/>
        <rFont val="Arial"/>
        <family val="2"/>
      </rPr>
      <t>(note 1)</t>
    </r>
  </si>
  <si>
    <t>6.1 Secretaries</t>
  </si>
  <si>
    <t>6.2 Others</t>
  </si>
  <si>
    <r>
      <t xml:space="preserve">6.3 Sub-total </t>
    </r>
    <r>
      <rPr>
        <sz val="8"/>
        <rFont val="Arial"/>
        <family val="2"/>
      </rPr>
      <t>(note 2)</t>
    </r>
  </si>
  <si>
    <t>7 Total School Administration Expenditures</t>
  </si>
  <si>
    <t>8.1 Library teachers</t>
  </si>
  <si>
    <t>8.2 Library technicians</t>
  </si>
  <si>
    <t>8.3 Guidance teachers</t>
  </si>
  <si>
    <r>
      <t xml:space="preserve">8.4 Total Library and Guidance salary and benefits expenditures </t>
    </r>
    <r>
      <rPr>
        <sz val="9"/>
        <rFont val="Arial"/>
        <family val="2"/>
      </rPr>
      <t>(note 3)</t>
    </r>
  </si>
  <si>
    <t>Elementary &amp; Secondary</t>
  </si>
  <si>
    <t>9.1 Principal</t>
  </si>
  <si>
    <t>9.2 Vice - Principal</t>
  </si>
  <si>
    <r>
      <t xml:space="preserve">9.3 Sub-total </t>
    </r>
    <r>
      <rPr>
        <sz val="8"/>
        <rFont val="Arial"/>
        <family val="2"/>
      </rPr>
      <t>(note 1)</t>
    </r>
  </si>
  <si>
    <t>10.1 Secretaries</t>
  </si>
  <si>
    <t>10.2 Others</t>
  </si>
  <si>
    <r>
      <t xml:space="preserve">10.3 Sub-total </t>
    </r>
    <r>
      <rPr>
        <sz val="8"/>
        <rFont val="Arial"/>
        <family val="2"/>
      </rPr>
      <t>(note 2)</t>
    </r>
  </si>
  <si>
    <t>10.4 Total School Administration Expenditures</t>
  </si>
  <si>
    <t>11.1 Library teachers</t>
  </si>
  <si>
    <t>11.2 Library technicians</t>
  </si>
  <si>
    <t>1.13 Guidance teachers</t>
  </si>
  <si>
    <r>
      <t xml:space="preserve">11.4 Total Library and Guidance salary and benefits expenditures </t>
    </r>
    <r>
      <rPr>
        <sz val="9"/>
        <rFont val="Arial"/>
        <family val="2"/>
      </rPr>
      <t>(note 3)</t>
    </r>
  </si>
  <si>
    <r>
      <t>Note 1</t>
    </r>
    <r>
      <rPr>
        <sz val="10"/>
        <rFont val="Arial"/>
        <family val="2"/>
      </rPr>
      <t xml:space="preserve"> - Principal and Vice-Principal expenditures on line 9.3 should equal to total expenditures for Principal &amp; Vice-Principal at CP 6112 on Schedule 10</t>
    </r>
  </si>
  <si>
    <r>
      <t>Note 2</t>
    </r>
    <r>
      <rPr>
        <sz val="10"/>
        <rFont val="Arial"/>
        <family val="2"/>
      </rPr>
      <t xml:space="preserve"> - Secretaries and others expenditures (line 10.3) should equal to total expenditures for School Office at CP 6212 on Schedule 10</t>
    </r>
  </si>
  <si>
    <r>
      <t>Note 3</t>
    </r>
    <r>
      <rPr>
        <sz val="10"/>
        <rFont val="Arial"/>
        <family val="2"/>
      </rPr>
      <t xml:space="preserve"> - Total salaries and benefits for library &amp; guidance, Item 11.4 Col. 1 &amp; Col. 2 should equal to salaries and benefits for library and guidance on Schedule 10, CP5702 and CP5703 respectively</t>
    </r>
  </si>
  <si>
    <t>Retirement Health, Dental, Life Insurance Plans, Etc.</t>
  </si>
  <si>
    <t>Long-Term Disability Plans</t>
  </si>
  <si>
    <t>Compensated Absences</t>
  </si>
  <si>
    <t>ESTIMATED FUTURE YEARS</t>
  </si>
  <si>
    <t>2015-16 Benefits Payments</t>
  </si>
  <si>
    <t>10</t>
  </si>
  <si>
    <t>11</t>
  </si>
  <si>
    <t>12</t>
  </si>
  <si>
    <t>d) Boards in unorganized areas should  include only their portions of taxes for school purposes relating to the unorganized areas.</t>
  </si>
  <si>
    <t>e) Boards must record in col. 1 the MMA number of each municipality.</t>
  </si>
  <si>
    <t>Board#</t>
  </si>
  <si>
    <t>MMA No.      (note e)</t>
  </si>
  <si>
    <t>Municipal Name</t>
  </si>
  <si>
    <t>Residential Taxes (notes a, c and d)</t>
  </si>
  <si>
    <t>Business Taxes (notes b, c and d)</t>
  </si>
  <si>
    <t>Licence fees for Trailers</t>
  </si>
  <si>
    <t>Total Tax Revenue before adjustments (Sum of col. 3 to 6)</t>
  </si>
  <si>
    <t>School Authority Type</t>
  </si>
  <si>
    <t>Number of Secondary School Principals funded</t>
  </si>
  <si>
    <t>Number of Secondary School Vice-Principals funded</t>
  </si>
  <si>
    <t>Number of Secondary School Secretarial Support Staff funded</t>
  </si>
  <si>
    <t>1.3.11</t>
  </si>
  <si>
    <t>1.3.12</t>
  </si>
  <si>
    <t>1.3.13</t>
  </si>
  <si>
    <t>Elementary school renewal allocation (Line 11.10.1 x Col. A x Col. B)</t>
  </si>
  <si>
    <t xml:space="preserve">Secondary school renewal allocation (Line 11.10.2 x Col. A x Col. B) </t>
  </si>
  <si>
    <t>(Line 11.5 x Col. A x Col. B)</t>
  </si>
  <si>
    <t>(Sum of lines 16.11.3 and 16.11.4)</t>
  </si>
  <si>
    <t>Adjustment for remote and rural allocation (Section 5 Item 5.4 X .1194)</t>
  </si>
  <si>
    <t>Section 16, page 3 - calculation of previous year allocations using current benchmarks</t>
  </si>
  <si>
    <t>Total SEPPA Allocation</t>
  </si>
  <si>
    <t>16.10.1a</t>
  </si>
  <si>
    <t>16.10.2b</t>
  </si>
  <si>
    <t>Small School Board Component</t>
  </si>
  <si>
    <t>16.10.1b</t>
  </si>
  <si>
    <t>16.10.2a</t>
  </si>
  <si>
    <t>16.10.2c</t>
  </si>
  <si>
    <t>Hold harmless amount for the Distant School allocation</t>
  </si>
  <si>
    <t>...(Greater of line 4.7 or line 4.8)</t>
  </si>
  <si>
    <t>The total Supported School Allocation takes the greater of the allocation from the Distant School Allocation or the amount from the new Supported Schools Allocation calculation.</t>
  </si>
  <si>
    <t>High Needs Based Amount for Collaboration and Integration</t>
  </si>
  <si>
    <t>* Note: Please report the $1,000 Trustees Association Fee as an expense.</t>
  </si>
  <si>
    <t>(Line 16.10.1a X line 16.10.2b)</t>
  </si>
  <si>
    <t>(Sum of lines 16.10.1b and 16.10.2c</t>
  </si>
  <si>
    <t>of the Education Act for the period September 1, 2016, to August 31, 2017.</t>
  </si>
  <si>
    <t>2016-17</t>
  </si>
  <si>
    <t>Expenses</t>
  </si>
  <si>
    <t>Supplementary Taxes</t>
  </si>
  <si>
    <t>Tax Write-Offs</t>
  </si>
  <si>
    <t>Rebates and Tax Deferrals</t>
  </si>
  <si>
    <t>11.1.1</t>
  </si>
  <si>
    <t>11.1.2</t>
  </si>
  <si>
    <t>11.1.3</t>
  </si>
  <si>
    <t>11.1.4</t>
  </si>
  <si>
    <t>11.1.5</t>
  </si>
  <si>
    <t>Residential Taxes % Growth</t>
  </si>
  <si>
    <t>11.2.3</t>
  </si>
  <si>
    <t>.....(Item 11.2.1 x (Item 11.2.2 + 1))</t>
  </si>
  <si>
    <t>11.2.4</t>
  </si>
  <si>
    <t>11.2.5</t>
  </si>
  <si>
    <t>11.2.6</t>
  </si>
  <si>
    <t>11.2.7</t>
  </si>
  <si>
    <t>Business Taxes Reduction</t>
  </si>
  <si>
    <t>Business Taxes % Growth</t>
  </si>
  <si>
    <t>11.2.8</t>
  </si>
  <si>
    <t>11.2.9</t>
  </si>
  <si>
    <t>% Relating to 2017</t>
  </si>
  <si>
    <t>11.2.10</t>
  </si>
  <si>
    <t>Total Tax Revenue Relating to 2017</t>
  </si>
  <si>
    <t>Election costs</t>
  </si>
  <si>
    <t>Total Tax Revenue</t>
  </si>
  <si>
    <t>.....(Item 11.2.4 x (Item 11.2.5 + 1)) - Item 11.2.6</t>
  </si>
  <si>
    <t>.....(Item 11.1 + item 11.2 + item 11.3 - item 11.4 - item 11.5)</t>
  </si>
  <si>
    <t>.....(Item 11.6 - Item 11.7)</t>
  </si>
  <si>
    <t>Transfer credit courses on Mathematics</t>
  </si>
  <si>
    <t>Additional Preparation for Changing Course Types</t>
  </si>
  <si>
    <t>From Sept. 1, 2015 to Oct. 31, 2016</t>
  </si>
  <si>
    <t>Qualification Factors - Table 13 Ontario 2016-17 Grant Regulation</t>
  </si>
  <si>
    <t xml:space="preserve">2016-17 Day School ADE </t>
  </si>
  <si>
    <t>Non-Teaching Staff - Cost Adjustment amount (Table  5, 2016-17 Instructions)</t>
  </si>
  <si>
    <t>Use the Full-Time Equivalent Number of Teachers as of October 31, 2016 (one decimal) as described in section 40(4) of Ont. 2016-17 Grants for Student Needs Reg.</t>
  </si>
  <si>
    <t>Number of trustees on the board (Table 6, Col. 2, 2016-17 Instructions)</t>
  </si>
  <si>
    <t>Allocation for trustees' honoraria frozen at Dec 1, 1996 amount (Table 6, Col. 3, 2016-17 Instructions)</t>
  </si>
  <si>
    <t>Remote distance factor (Table 7, 2016-17 Instructions)</t>
  </si>
  <si>
    <t>Distance in kilometres (Table 4, 2016-17 Instructions)</t>
  </si>
  <si>
    <t>2015-16 Day School ADE of the board</t>
  </si>
  <si>
    <t>Note: 2015-16 data is preloaded based on Enrolment of Ministry reviewed 2015-16 Estimates submission applying the current benchmarks.</t>
  </si>
  <si>
    <t xml:space="preserve">Calculated amount (Col. 1 </t>
  </si>
  <si>
    <t>X Col. 2) (whole dollars)</t>
  </si>
  <si>
    <t xml:space="preserve">Number of elementary </t>
  </si>
  <si>
    <t>pupils as at October 31</t>
  </si>
  <si>
    <t>amount</t>
  </si>
  <si>
    <t xml:space="preserve">Qualification </t>
  </si>
  <si>
    <t>Category A</t>
  </si>
  <si>
    <t>Category B</t>
  </si>
  <si>
    <t xml:space="preserve">Number of </t>
  </si>
  <si>
    <t xml:space="preserve">Teacherages </t>
  </si>
  <si>
    <t xml:space="preserve">ADE for literacy and numeracy remedial courses offered during the </t>
  </si>
  <si>
    <t xml:space="preserve">school year, outside of the regular school day, Grade 7 to 10 day </t>
  </si>
  <si>
    <t>school pupils (CP0588 + CP0589)</t>
  </si>
  <si>
    <t>ADE of literacy and numeracy courses for parents and guardians</t>
  </si>
  <si>
    <t xml:space="preserve"> of day school pupils requiring remedial help (CP0596)</t>
  </si>
  <si>
    <r>
      <t>Note 1</t>
    </r>
    <r>
      <rPr>
        <sz val="12"/>
        <rFont val="Arial"/>
        <family val="2"/>
      </rPr>
      <t xml:space="preserve">: A special approval is issued to a school authority based on an estimated cost for the special circumstance expenditure.  A school </t>
    </r>
  </si>
  <si>
    <t>authority will receive recognition for funding based on the lesser of the approved amount and the actual cost.</t>
  </si>
  <si>
    <r>
      <t>Note 2</t>
    </r>
    <r>
      <rPr>
        <sz val="12"/>
        <rFont val="Arial"/>
        <family val="2"/>
      </rPr>
      <t xml:space="preserve">: Where a school authority has underestimated a special approval expenditure in its initial application, it may make a supplementary </t>
    </r>
  </si>
  <si>
    <t>request. The request for the supplementary amount should be recorded on  a separate line item. (Applicable only at Financial Statement stage.)</t>
  </si>
  <si>
    <r>
      <t>Note 3</t>
    </r>
    <r>
      <rPr>
        <sz val="12"/>
        <rFont val="Arial"/>
        <family val="2"/>
      </rPr>
      <t xml:space="preserve">: Where a school authority has surplus funds either in a reserve or as a result of current year operations, the school authority must first </t>
    </r>
  </si>
  <si>
    <t xml:space="preserve">pay for these exceptional expenditures from surplus funds. Please refer to the Funding Guidelines for School Authorities (Isolate Boards) - </t>
  </si>
  <si>
    <t>section on Special Approvals.</t>
  </si>
  <si>
    <t>are incurred by the board. The board will need to submit monthly claims for reimbursement including supporting documentation.</t>
  </si>
  <si>
    <t>Regular Day School</t>
  </si>
  <si>
    <t xml:space="preserve">Tuition fee revenue for services negotiated under separate arrangements between a school authority and a fee-paying agency are reported in this section. </t>
  </si>
  <si>
    <t>Examples of negotiated services include high cost programs, counselors, educational assistants etc</t>
  </si>
  <si>
    <t>is paying transportation costs (e.g. secondary school pupils attending secondary school in another community).</t>
  </si>
  <si>
    <t>Enter the number of days the board provides busing for this route.</t>
  </si>
  <si>
    <t>Provide the contractor's name for each transportation service provided to the board. In the case of board-owned vehicles, enter the name of the board.</t>
  </si>
  <si>
    <t>Estimated</t>
  </si>
  <si>
    <t xml:space="preserve"># of Days </t>
  </si>
  <si>
    <t>Bused</t>
  </si>
  <si>
    <t xml:space="preserve">Funding for board, lodging and weekly transportation is provided in cases where a pupil must travel </t>
  </si>
  <si>
    <t xml:space="preserve">to another community to attend a secondary school. Where there is a secondary school located nearby </t>
  </si>
  <si>
    <t xml:space="preserve">and a pupil decides to travel to another community to attend a secondary school, the board must apply </t>
  </si>
  <si>
    <t xml:space="preserve">directly to the District Office for board, lodging and weekly transportation funding for this pupil. The </t>
  </si>
  <si>
    <t xml:space="preserve">application to the District Office must clearly state the reason why the student cannot attend the local </t>
  </si>
  <si>
    <t>secondary school.</t>
  </si>
  <si>
    <t>The linked Table of Contents begins in cell B8 and goes down column B. Column A contains worksheet references although for the topic “Textbooks and Classroom Supplies” in cell B17; “Supplementary Information on Salaries and Benefits” in cell B18; “Expenditure for Transportation to/from Provincial Schools” in cell B58do not have direct links to specific worksheets. Pressing Enter on any of the links on this worksheet will take you to that specific worksheet.</t>
  </si>
  <si>
    <t>Cells B5 and B6 have formulas that automatically display calculations when you enter data into the worksheet. The Revenue category begins in cell B7. Contents for Revenue and cells span cells B8 through E15. The total for Revenues starts in cell BB16. The category begins in cell B18 and the categories and data span cells B19 through E24. Total Expenses begin in cell B25 and go across the row to E25. Cell B27 contains the category Cell B29“Annual Surplus/(Deficit)” the data for which goes across that row to cell E27. Cell B29 starts the “Accumulated Surplus / (Deficit) at beginning of year” category which spans that row to cell E29. The category “Accumulated Surplus / (Deficit) at end of year” is in cell B31 and goes across the row to cell E31. Some of the cells in this worksheet have formulas and some do not, so please listen to your adaptive technology. Links begin in cell B4 and go across row 4.</t>
  </si>
  <si>
    <t>Revenues</t>
  </si>
  <si>
    <t>Cells D1 and D2 have formulas that calculate once you enter data into the worksheet. There are links to specific areas of the worksheet in cells B1, C1,, E1, C2 and E2.</t>
  </si>
  <si>
    <t>Legislative Grants 2</t>
  </si>
  <si>
    <t>Other Ministry of Education Grants 2</t>
  </si>
  <si>
    <t>Cells F1 and F2 have formulas. The links for specific areas of this worksheet begin in cell A1 and go horizontally across row 4.  Each section has a sub-total and total row.</t>
  </si>
  <si>
    <t xml:space="preserve">This workbook contains 64 individual worksheets, 54 of them are available to you for data entry or information purposes. Each worksheet has its own hidden instructions for working with the individual worksheets. You might want to copy and paste the instructions into a NotePad or Word document for easy reference. Each worksheet also has hidden links to get you to specific parts of the worksheet. The links will go horizontally across a row. The row will be identified in the instructions for each worksheet. This worksheet is the cover page. It is where certification by the secretary of the School Authority is entered. The certification statement is in cell B17. The words adopted by are in cell B19 and the signature should be entered in cell D19 The date should be entered in D21. Cells I21 and B23 have declarative statements confirming that the information in the entire workbook is true. Enter the date in cell B29. The cover page is to be printed and signed with the signature “located in cell I29” when the page is printed.   </t>
  </si>
  <si>
    <t>There is no room to add links to content on this worksheet. Copy the contents of this cell into NotePad or Word so you can reference specific cell locations. The first section is “PROVINCIAL GRANTS - GRANTS FOR STUDENT NEEDS” and it is located in cell B4. The data descriptions are under this in column B with the data entry cells for each item in column D. For example, for the item in cell B5, the data entry cell is cell D5. The text “TOTAL PROVINCIAL GRANTS - GRANTS FOR STUDENT NEEDS” is in cell B8 with a calculated cell in E8. Cell B10 has the category “PROVINCIAL GRANTS – OTHER” Cells B11 and B12 have data descriptions with the data entry cells in cells D11 and D12. This category has cells that are white for additional descriptions that span cells B14 through B18 with their respective data entry cells in cells D14 through D18.  Cell B21 starts the category “Grants from Other Ministries and Other Government Reporting Entities (GRE).” The description of data items are in cells B22 through B28 with the respective data entry cells in cells D22 through D28. This category has white cells to enter additional categories and data in cells B29 and B30 and D29 and B30 respectively. This category continues with descriptions of items in cells B31 and B32 with the corresponding data entry cells in cells D30 and D31. Cells B33 and B34 are white to allow for additional descriptions/items with the corresponding data entry cells in cells D33 and D34.the next category, in cell B35 is “Subtotal - Grants from Other Ministries and Other GRE.” The first description of an item is in cell B37 with the corresponding data entry cell in cell D37. There is an item description in cell B39 with a corresponding data entry cell in cell D39. Cells B40 and B41 along with cells D40 and D41 allow for additional items and data entry. Cell B42 contains the text “Subtotal - Grant Adjustments” with a data entry cell in D42. Cell D44 has the text “TOTAL PROVINCIAL GRANTS – OTHER” with a calculated cell in E44. Cell B46 starts the category “Taxation.” The items under this category are in cells BB47 through B50 with data entry cells in D47 through D50.Cell B51 has the text “TOTAL TAXATION” with a calculated cell in E51. Cell A52 has the text “Ministry of Education” which starts another category. Cell B52 has the text “Schedule 9 - Revenues - Page 2 but has no items or data entry cells associated with it.” Another sub-heading is in cell B55, “SCHOOL GENERATED FUNDS.”  This category descriptions in cells B56 and B57 with data entry cells in D56 and D57. Cell B58 has the text : TOTAL SCHOOL GENERATED FUNDS” with a calculated cell in E58. Cell B60 has the text “FEDERAL GRANTS &amp; FEES” with items under it in cells BB61 through B66 with corresponding data entry cells in D61 through D66. Cells B67 and B68 are for additional items with corresponding data entry cells in D67 and D68. Cell B69 has the text “TOTAL FEDERAL GRANTS &amp; FEES” which has a calculated cell in D69. Cell B71 starts the category “INVESTMENT INCOME.” The items are in cell B72 and B73 with the data entry cells in D71 and D73. Cell B74 has the text “TOTAL INVESTMENT INCOME” with a calculated cell in E74. The category “OTHER FEES &amp; REVENUES FROM SCHOOL BOARDS” starts in cell B76. The items under it span cells B77 through B80 with data entry cells in D77 through D80. Cell B83 has the text ”TOTAL OTHER FEES &amp; REVENUES FROM SCHOOL BOARDS” with a calculated cell in E83. Cell B85 starts the category “FEES &amp; REVENUES FROM OTHER SOURCES.” The items under it are in cells B86 through B101 with data entry cells in D86 through D101. The additional items go into cells B102 and B103 with data entry cells in D102 and D103.Cell B104 states “specify other” and provides cells BB105 through B113 with corresponding data entry cells for other information. Cell B114 has the text “TOTAL OTHER FEES &amp; REVENUES FROM OTHER SOURCES” which has a calculation cell in E114. The last item on this worksheet is in cell B116 and is “TOTAL REVENUES” with a calculated cell in E116.</t>
  </si>
  <si>
    <t>Other Subtotal</t>
  </si>
  <si>
    <t>Note</t>
  </si>
  <si>
    <t>Cell H3 has the text “Name of Sch. Authority” with a calculated cell in J3. Cell H4 has the text “School Authority No.” with a calculated cel in J4. Row 8 has the column titles. Column A has the row titles. There are links to the major categories on the worksheet. Use the Down Arrow to move to the specific items under each category. Then use the Left and Right Arrows to move into the data entry area. The links to the specific categories begin in cell A3 and go horizontally across the row.</t>
  </si>
  <si>
    <t>Pupil Accommodation and teacherages Subtotal</t>
  </si>
  <si>
    <t>Total Expenditures</t>
  </si>
  <si>
    <t>Cell H3 has the text “Name of Sch. Authority” with a calculated cell in I3. Cell H4 has the text “School Authority No.” with a calculated cell in I4. The column titles are in row 8. There are links to the main topic areas starting in cell AB2. Note that column E is blank and is used to provide visual space in the worksheet. Once you navigate to a main category, use the Up and Down Arrows to explore the items under the category and the Left and Right Arrows to move into the data entry cells.</t>
  </si>
  <si>
    <t>Classroom</t>
  </si>
  <si>
    <t>Classroom SubTotal</t>
  </si>
  <si>
    <t>NonClassroom</t>
  </si>
  <si>
    <t>Total Elementary</t>
  </si>
  <si>
    <t>TotalElementary</t>
  </si>
  <si>
    <t>Cell G3 has the text “Name of Sch. Authority” with a calculated cell in I3. Cell G4 has the text “School Authority No.” with a calculated cell in J4. The worksheet is divided into two main areas, one beginning in cell row 8 where the column titles are for that work area; and row 31 which contains the column titles for that work area. There are links to the main topic areas within each work area beginning in cell B2 and going across the row horizontally. Once you navigate to a topic, use the Up and Down Arrows to explore the items under it and the Left and Right Arrows to move through the data entry cells.</t>
  </si>
  <si>
    <t>Cell G3 has the text “Name of Sch. Authority” with a calculated cell in I3. Cell G4 has the text “School Authority No.” with a calculated cell in J4. The worksheet is divided into two main areas, one beginning in cell row 8 where the column titles are for that work area; and row 30 which contains the column titles for that work area. There are links to the main topic areas within each work area beginning in cell B2 and going across the row horizontally. Once you navigate to a topic, use the Up and Down Arrows to explore the items under it and the Left and Right Arrows to move through the data entry cells.</t>
  </si>
  <si>
    <t>Total Secondary</t>
  </si>
  <si>
    <t>Cell D3 has the text “Name of Sch. Authority” with a calculated field in cell E3. Cell D4 has the text “School Authority No.” with a calculated cell in E4. This worksheet is divided into two areas: the first beginning in cell B7 with the column titles in row 9; and the second work area beginning in cell B34 with no column titles. There are links to specific topics in both work areas beginning in cell B2 and going horizontally across the row. Once you land on a topic, use the Up and Down Arrows to explore the items under it and use the Left and Right Arrow keys to move into the data entry cells.</t>
  </si>
  <si>
    <t xml:space="preserve">                      Cell H3 has the text “Name of Sch. Authority” with a calculated cell in I3. Cell H4 has the text “School Authority No.” with a calculated cell in I4. The column titles are in row 8. There are links to the main topic areas starting in cell AB2. Note that column E is blank and is used to provide visual space in the worksheet. Once you navigate to a main category, use the Up and Down Arrows to explore the items under the category and the Left and Right Arrows to move into the data entry cells.</t>
  </si>
  <si>
    <t xml:space="preserve">The text “Name of Sch. Authority” is in cell D2 with a calculated cell in E2. The Text “School Authority No.” in cell D4 with a calculated field in cell E4. The main work area is divided into two parts: the first starting in cell B56 which is empty but is the corner of the work area, and cell B65 which is also an empty cell but is the corner of the second work area. Use the Left, Right, Up and Down Arrows to move through these two work areas. </t>
  </si>
  <si>
    <t>The Text “Name of Sch. Authority” is in cell E2 with a calculated cell in G2. The text “School Authority No.” is in cell E3 with a calculated cell in G3. The column titles are in row 8 and there are no row titles. The work area of this worksheet spans cells A10 through I44. There is a totals row beginning in cell B45 and notes for this worksheet in A51.</t>
  </si>
  <si>
    <t>This worksheet has the text “Name of Sch. Authority” in cell E2 with a calculated cell in H2. The text “School Authority No.” is in cell E3 with a calculated cell in H3. The topics begin in cell B7 and are in every other cell down Colum B. The design of the worksheet uses blank rows for spacing. Starting in cell J7 and going down column J are calculated cells. Starting in cell K7 and going down column K are calculated cells. Use the Up, Down, Left and Right Arrows to move through the topics and calculated cells.</t>
  </si>
  <si>
    <t>Cell B1 has the text “Name of Sch. Authority” with a calculated cell in C1. Cell B2 has the text “School Authority No.” with a calculated cell in C2. Cell A8 has an important note about the data to enter into this worksheet. The work area begins in cell B9 and goes down column B, sometimes skipping a row for visual effect. There are codes beginning in cell D11 that correspond to the information in column B. Starting in cell E11, enter data into the corresponding cell for each topic. There are calculated cells in column F beginning in F11. There is a general note in cell A47/B47.</t>
  </si>
  <si>
    <t>complex worksheet with several work areas but no real defining topics. Cell A8 begins a series of instructions. Use the Down Arrow to read through them. Cell B15 has the text “Enrolment by grade – Elementary” but the actual data entry area begins in row 20 which is the column title row for the work area and cell B21 which begins the topics for that work area. There are several blank cells between the topic and the data entry area which begins in cell H21. Column G, for this work area, has codes in it. There is a break in the data entry area in row N and the data entry area continues beginning in cell P21. The next work area, in cell B27, has the text “Other pupils -- JK to Grade 8   (include only those who are not pupils of the board)..”  The actual work area begins in row 31 with H31 containing the first column title. The row titles begin in cell B31/B32 and have empty cells used for spacing. Column N is blank and the work area continues again in cell P31. The third work area begins in cell B42 with the text “Elementary Day School Pupils (JK to Gr.8).” The work area begins in cell H46 with row 46 containing the column titles. Cell B47 has the first item in this category and empty cells have been used for spacing. There are codes associated with each item with the data entry area beginning in cell H47. In this work area, column N does have content. Cell B56 has the text “Secondary Day School Pupils (except pupils age 21 and over).” The data entry area for this part of the worksheet begins in cell H60 with row 60 having the column titles. The row titles begin in cell B61 and go down column B with some blank rows for spacing. The topic in cell B64, “Secondary Day School Average Daily Enrolment” has the data entry cells starting in cell R64 with codes before each calculated cell. There is a note stating “All school authorities must complete this section in order to generate the appropriate allocation calculations” in cell B74. There is an important note in cell B75: “N.B. - Please distribute the ADE from Items 2.3 and 3.5 to the categories specified below:.” The work area begins in cell B77 with topics going down column G. The codes and calculated cells start in cellO77. Read through the row carefully as empty cells have been used for spacing and there is information from the start of the topic over to the codes and calculated cells. The last work area begins in cell B91 with the text “Day School Pupils 21 and over.”  The actual work area begins in cell H93 with row 93 containing the column titles and cell B94 with column B providing row titles. Cell B98 has the text “Independent Study ADE of Pupils 21 and over” with the data entry area beginning in cell O98 which is a cede and P98 which is a data entry cell. Move across the row to ensure you find all data entry cells. There is a total row in cell B100 with the code and calculated cells starting in O100 and going to the right.</t>
  </si>
  <si>
    <t>Cell B2 has the text “Name of Sch. Authority” with a calculated cell in B2. Cell B3 has the text “School Authority No.” with a calculated cell in G3. Cell B4 has the text “Panel” with a calculated cell in B4. There are no topic changes in the worksheet to provide links to. Starting in cell C10, the items go down column C. Starting in cell G10 and going down column G are the “Item Reference” cells. Starting in cell J10 and going down column J are the codes. Not all cells in this column have codes entered in them. Starting in cell K10 and going down column K are the cells for data entry which do have formulae in them. Starting in cell L10 and going down column L are numbers which represent sections or identifiers. If you start in cell B10 and go across the row, you will find the items listed above. Not all cells have content as some are used for spacing. The last part of the worksheet begins in cell C64 and is for Ministry use only.</t>
  </si>
  <si>
    <t>There are no major topic changes on this worksheet. The column titles begin in cell C5 and the row titles begin in cell B7. Cell B25 has the text “TOTAL SCHOOL GENERATED FUNDS - EXPENSES / EXPENDITURES” with the totals entered in calculated cells to the right of the text.</t>
  </si>
  <si>
    <t>Cell E2 has the text “Name of Sch. Authority” with a calculated cell in G2. Cell E3 has the text “School Authority No.” with a calculated cell in G3. The column titles begin in cell D8 and go across row 8. The row titles start in cell C10 and go down column B. There are some blank cells used for spacing in this worksheet.  Cell C30 is the last column and row location with content. There are calculated cells to the right of cell C30.</t>
  </si>
  <si>
    <t xml:space="preserve">Cell F2 has the text “Name of Sch. Authority” with a calculated cell in H2. Cell F3 has the text “School Authority No.” with a calculated cell in H3. There are no specific topic areas on this worksheet. Cell C10 begins the items that go down column C. There are corresponding calculated cells for each item starting in I10 and going down column I. The exception is the area covered by cells C19 through II23 which has information in column B. The other area of the worksheet with similar additional information spans cells C36 through I40.Cell C42 has the text “Total School Foundation Amount” with the total in cell I42. Cell C43 provides the amounts to be calculated. </t>
  </si>
  <si>
    <t>Cell N1 has the text “Name of Sch. Authority” with a calculated cell in P2. Cell N3 has the text “School Authority No.” with a calculated cell in P3. There are no specific topic areas on the worksheet to provide links for. Row 8 has the column titles beginning in L8 and going across the row. The row titles begin in B11 and go down column B. There are empty cells used for spacing so make sure you read across a row to ensure you reach the calculated cells. Cell B62 contains the text “Total Special Education Allocation” with code and calculated cells starting in cell O62. There are notes for this worksheet in cell A64  and A65.</t>
  </si>
  <si>
    <t xml:space="preserve">Cell H2 has the text “Name of Sch. Authority” with a calculated cell in J2. Cell H3 has the text “School Authority No.” with a calculated cell in J3. There are no specific places in this worksheet to navigate to because empty rows and columns are used for spacing.  In cell B7 is the text “French as a second language - only for school authorities with English-language unit” with a sub topic of “Elementary” in B9. The actual data area begins in cell B10 with the column titles going across row 10 with the second column title in cell G10. Cell B15 has the text “French as a Second Language - Elementary amount” with a calculated cell in cell J15. The next area begins with the text “Secondary (exclude pupils 21 years of age or over)” in cell B17 The column titles for this section start in cell G18with the row titles beginning in cell B19.The text “French as a Second Language - Secondary amount” is in cell B24 with a code in cell I24 and a calculated cell in  J24. Cell B26 has the text “French as a Second Language Allocation (Line 3.1.1 Col. 3 + Line 3.1.2  Col. 3)” with a code in cell I26 and a calculated cell in J26. Cell B29 has the text “French as a First Language - only for school authorities with French-language unit” with the data entry area starting in cell G32 where the column titles are, going across row 32. The row titles begin in cell B34.Cell B38 has the text “Total French as a First Language allocation (Line  3.2.1, Col. 3 + line 3.2.2, Col. 3)” with a code cell in I35 and a calculated cell in J35. Cell B41 has the text “English as second language/English skills development (ESL/ESD) - only for school authorities with English-language unit” with the data entry area beginning in cell B43. The column titles go across row 43. The row titles begin in cell B45. Cell B52 has the text “Allocation in respect of pupils born in Canada (Table 2, 2015-16 Instructions)” with a the words “per pupil” in cell E52, a code in cell K52 and a calculated cell in L52.Cell B54 has the text “="ESL/ESD Allocation (Line 3.3.1 X $"&amp;F54&amp;") (whole dollars)"” code and calculated cells going across that row. Cell B90 has the text “Total Language Allocation “ with the calculated cell in L90 and a further description of what should be entered in cell B91. </t>
  </si>
  <si>
    <t>Cell D2 has the text “Name of Sch. Authority” with a calculated cell in G2. Cell D3 has the text “School Authority No.” with a calculated cell in G3. Cell B6 contains the text “Board Enrolment Amount.”  Cell B8 has the text “Day school ADE (excluding students 21 years of age and over)” with a calculated cell in J8. Cell E10 has the start of the column titles for a one row series of data entry cells. Continue moving to the right of this cell to hear the other column title.  Cell B12 has a formula written in long hand.  Cells E12 and G12 are calculated cells under the two column titles. Cell J12 is a calculated cell. Cell B14 has the text “Distance Amount.” Cell B16 has the text “Distance in kilometres (Table 4, 2015-16 Instructions)” with a code cell in I16 and a calculated cell in J16. Cell B18 has the text “Calculated per pupil distance amount (three decimals)” with a calculated cell in J18. Cell C19 and moving down column C and across the rows, has specific information about distance. For example, cell C19 has the text “Calculated per pupil distance amount (three decimals).” Cell B24 has the text “Distance amount” with a code in cell I24 and a calculated cell in J24. There is a formula written in long hand in cell B25 with the text “(Line 5.2.2 X line 5.1.1).” Cell B25 has the text “Remote and Rural Allocation” with a calculated cell in J28.Cell B29 has the following text “(Sum of lines 5.1.2 and 5.2.3).”</t>
  </si>
  <si>
    <t xml:space="preserve">Cell J2 has the text “Name of Sch. Authority” with a calculated cell in L2. Cell J3 has the text “School Authority No.” with a calculated cell in L3. Cell B7 has the text “Adult Education, Continuing Education, High Credit and Summer School” which has items for entry under it. Move to cell B9 and use the Up, Down, Left and Right Arrows to move through the items. Blank columns and rows have been used for spacing. The calculated cells are in column N. Cell B21 has the text “="Adult Day School, High Credit and Summer School ((Line 6.1.1 + 6.1.2 +6.1.4) X $"&amp;L21&amp;")"” Cell B22 also has a formula. The calculation cells for these two items are cells L21 and L22 and M21 and M22 respectively. Cell B24 has the text “International Languages” which has a items under it beginning in cell B26 and going down column B. The calculated cells for this section are in M26, M27 and M28.  Cell B30 has the text “Number of hours of instruction for current year” with a data entry cell in M30. Cell B33 has the text “Allocation before adjustment for small classes” with a calculated cell with an amount in L33 and a calculated cell in N33. Cell B37 has the text” Adjustment for small class size” with a pre-filled calculated cell in J37, L37 and an unfilled calculated cell in N47. Cell B39 has the text “International allocation” with a calculated cell in N49. Cell B40 has the text “(Line 6.2.5 - line 6.2.6)” with a calculated cell in N40. Cell B43 has the text “PLAR Allocation” with items under it beginning in cell B45 and B46 with calculated cells pre-filled in L45 and L46 and calculated cells in N45 and N46. Cell A49 has the text “Adult and Continuing Education, High Credit, Summer School and PLAR” with a code cell in M49 and a calculated cell in N49. There is additional description of this item in cell B50. </t>
  </si>
  <si>
    <t>Elementary - English Language Instructional Unit 2</t>
  </si>
  <si>
    <t>Secondary - English Language Instructional Units 2</t>
  </si>
  <si>
    <t>Cell I2 has the text “Name of Sch. Authority” with a calculated cell in K2. Cell I3 has the text “School Authority No.” with a calculated cell in K3. This is a large complex worksheet. There are links to specific areas of the worksheet, however, once you navigate to the topics, contents will begin in non-uniform areas of the worksheet. The data information for Method of Qualification Categories System” begins in cell B8 with  data entry cells down to B12. The descriptions for what is entered is in the cell to the right of these data entry areas. The data information for Use the Full-Time Equivalent Number of Teachers as of October 31, 2016 (one decimal) as described in section 40(4) of Ont. 2016-17 Grants for Student Needs Reg.” begins in cell B16 and the information only content goes down to cell B24. The data information for “Elementary - English Language Instructional Unit” Begins in cell D33 which is the corner of the data entry area. The data information for “Secondary - English Language Instructional Units” begins in cell D53 which is the corner of the data entry area. The data information for “Qualification Factors - Table 13 Ontario 2016-17 Grant Regulation” begins in cell D72 which is the first corner of the data entry area. The data information for “Elementary calculated factor (Item 7.1 X 7.3) (four decimals) - English Language Instructional Unit” begins in cell D86 which is the first corner of the data entry area. The data information “Secondary calculated factor (Item 7.2 X Item 7.3) (four decimals) - English Language Instructional Unit” begins in cell D103 which is the first corner of the data entry area. This topic has additional entry areas just under the data entry area that begin in cell B135 and span to L142. The data information for “Elementary - English Language Instructional Unit” begins in cell D148 which is the first corner of the data entry area. The data information for “Secondary - English Language Instructional Units” begins in cell D189 which is the first corner of the data entry area. The data information for “Qualification Factors - Table 13 Ontario 2016-17 Grant Regulation” begins in cell D208 which is the first corner of the data entry area. The data information for “Elementary calculated factor (Item 7.7 X 7.9) (four decimals) - English Language Instructional Unit” begins in cell D222 which is the first corner of the data entry area. The data information for “Secondary calculated factor (Item 7.8 X Item 7.9) (four decimals) - English Language Instructional Unit” begins in cell D239 which is the first corner of the data entry area. This topic has an additional data entry area spanning cells B271 through L278. The data information for “Average experience factor - total (4 dec.) for both grids” begins in cell J221 and L221. This topic has additional information and data entry areas spanning cells B285 through L290. The data information for “2016-17 Day School ADE” begins immediately under this text/link. The data entry information spans cells B293 through J297 with a single cell data entry point at cell R292. The data information for “ Qualification and experience allocation (Line 7.14)” goes across row 302. The data information for “Non-Teaching Staff - Cost Adjustment amount (Table  5, 2016-17 Instructions)” goes across row 305. Finally, the data information for “Total Cost Adjustment and Teacher Qualification and Experience Allocation” has a single data entry cell at R309.</t>
  </si>
  <si>
    <t>Cells E2 and E3 have formulae but no text associated with them. There are links to topics on this worksheet. The cell range for topics is from column A to column F with some blank cells among the data entry areas for visual effect. The links begin in cell B1 and go horizontally across the row.</t>
  </si>
  <si>
    <t>Cells G2 and G3 have formulae but no associated text. There are no topics to link to on this worksheet. The data entry area spans cells B9 which is blank but starts the column titles as of cell D9 through cell H18. There are notes in cell B18 and B19.</t>
  </si>
  <si>
    <t>Cell E2 has the text “Name of Sch. Authority” with a calculated cell in F2. Cell E3 has the text “School Authority No.” with a calculated cell in F3. There are links to the main topics on this worksheet beginning in cell B1 and going horizontally across the row. Blank rows and columns have been used for visual effect so listen to your adaptive technology as you move through the data entry areas. The last column is G.</t>
  </si>
  <si>
    <t>Cell C2 has the text “Name of Sch. Authority” with a calculated cell in F2. Cell C3 has the text “School Authority No.” with a calculated cell in F3. The items begin in cell B9 and go down column B with some blank rows for visual effect.  The corresponding data entry cells are in column H, beginning in cell H9. If there is a code for an item it goes into column G beginning with cell G9. The last row of information on this worksheet is row 29. There is a note in cell B32.</t>
  </si>
  <si>
    <t>Allocation for Supervisory Officers  2</t>
  </si>
  <si>
    <t>This is a complex worksheet with links across row 1 to the main topic areas. Cell E2 has the text “Name of Sch. Authority” with a calculated cell in G2. Cell E3 has the text “School Authority No.” with a calculated cell in G3. The data entry area for “Allocation for board trustees' honoraria and expenses and for pupil representation:” begins in cell B12 and span B12 through I17 with some cells empty. Cell B19 has the text “Governance allocation” with data entry cells going across row19 with some empty cells. Cell B23 has the text “Allocation for Supervisory Officers:” with the data entry area beginning in cell B25 and spanning cells through I37 with some empty cells. Cell B41 has the text “Allocation for Supervisory Officers “ with the data entry area  across row 41. Cell B66 has the text “Parent engagement amount” with the data entry cells across row 66There is also a data entry area for this topic starting in row B68 and going across the row. . Cell B70 has the text “Total allocation for administration and governance” with the data entry cell in I70. The last area of the worksheet is in cell “Trustees' Association Fee” in cell B73 with the data entry cell in I73.</t>
  </si>
  <si>
    <t>This worksheet has links to major topic areas beginning in cell B1 and going across row 1. The items are in column B with data entry areas in columns F and G, codes in column H, and data entry areas in column I. Navigate to the topic and then use the Left, Right, Up or Down Arrows to find the content you want. Empty cells have been used in this worksheet for visual effect. Cell F2 has the text “Name of Sch. Authority” with a calculated cell in H2. Cell F3 has the text “School Authority No.” with a calculated cell in H3.</t>
  </si>
  <si>
    <t xml:space="preserve">Cell E2 has the text “Name of Sch. Authority” with a calculated cell in G2. Cell E3 has the text “School Authority No.” with a calculated cell in G3. There are only two areas of data entry on this worksheet. The first is in row C11 with the text “Community use of schools operations amount” and a data entry cell in H11. The second data entry area is in cell C16 with the text “Community Use of Schools Allocation” and a calculated cell in H16. in </t>
  </si>
  <si>
    <t xml:space="preserve">Cell E2 has the text “Name of Sch. Authority” with a calculated cell in H2. Cell E3 has the text “School Authority No.” with a calculated cell in H3. Cell B7 has the text “2016-17 number of eligible teacherages indicated below :” with a code cell in I7 and a calculated cell in J7. Cell B9 has the text “Teacherage amount” with a code cell in I9 and a calculated cell in J9. Cell B12 has the text “Remote distance factor” with a calculated cell in J12. Cell B14 has the text “Remote teacherage amount” with a calculated cell in J14.  Cell B18 has the text “(Line 12.2  +  line 12.3.2)” with a calculated cell in J18. The worksheet changes at this point. Cell B21 has the text “Please indicate:” followed by items and data entry areas spanning cells B24 through H34. Within that range of cells are code cells in column G and data entry cells in column H. Cell B36 has the text “Total number of teacherages” with calculated cells in E36 and H36. </t>
  </si>
  <si>
    <t>Section 7.2 - New Teacher Induction Program (NTIP)</t>
  </si>
  <si>
    <t>Cell E2 has the text “Name of Sch. Authority” with a calculated cell in G2. Cell E3 has the text “School Authority No.” with a calculated cell in G3. Cell B6 has the text “Learning Opportunities - Demographic amount” with a code cell in G6 and a calculated cell in H6. Cell B9 has the text “Literacy and Numeracy Assistance” with the items under that topic beginning in cell B11 and spanning through cells H18 with some empty cells so make sure you explore all cells in that range. Cell B23 has the text “Assistance for Student Success (note 1)” with  no other explanation. Cell B25 has the text “Coordinator component” with no other component. Cell B27 has the text “Base amount” with a calculated cell in h27. There are items in the range of cells B27 through H40 with empty cells in that range so make sure you explore all cells in that range. Cell B44 has the text “Assistance for School Effectiveness  (note 1)” with no other component. There are items in cells C46 through H57 with empty cells so make sure you explore all parts of the range. Cell B59 has the text “OFIP Tutoring  ($2,000 per Board)” with a calculated cell in H59. Cell B61 has the text “Specialist High Skills Major Support (Table 15, Col. 3, 2016-17 Instructions)” with a calculated cell in H61. Cell B63 has the text “Mental Health Leader Amount” with a calculated cell in H63. Cell B65 has the text “Learning Opportunities Allocation” with a calculated cell in H65. There is a note in cell C69.</t>
  </si>
  <si>
    <t>Cell E3 has the text “Name of Sch. Authority” with a calculated cell in H3. Cell E4 has the text “School Authority No.” with a calculated cell in H4. There are no real topic areas on this worksheet. The Notes begin in cell A6 and go down to cell A14. Use the Down Arrow to read through them. The first data entry area begins in cell A17 and spans through cells J28 with empty columns. Codes are entered in columns B and G. The calculated cells are in column J. The next area of the worksheet begins in cell B30 with the text “Recognized operating expenditures” with  a code cell in I30 and a calculated cell in J30. This area of the worksheet spans cells B30 through J38 with empty cells, code cells in column I and calculated cells in column J. The worksheet changes beginning in cell A43 with another data entry area spanning cells A43 through J50 with code cells in columns B and G and calculated cells in column J..  Cell B52 has the text “Recognized capital expenditures” and begins a text entry area spanning cells B52 through J69. The last data entry area on the worksheet is in cell B71 which has the text “Special approval allocation for Capital Program Grant (see note 4 above).”  Cell B73 and B74 are for Ministry use only. There are empty cells throughout this worksheet so listen carefully to your adaptive technology.</t>
  </si>
  <si>
    <t>Cell D2 has the text “Name of Sch. Authority” with a calculated cell in F2. Cell D3 has the text “School Authority No.” with a calculated cell in F3. This is a long complex worksheet with no real topics identified.  Cell B7 has the text “Operating revenue for declining enrolment purposes:” There is a note in cell F6 that spans cells F6 through F7. There is another note that spans cells H6 and H7. Cell B9 has the text “Pupil Foundation Allocation” and this cell starts a cell range through cell H16 with calculated cells in columns F and H. The next area of the worksheet begins in cell B19 with the text “Declining Enrolment Adjustment before phase-in amount” and spans through  cell J29 with calculated cells in column J and empty cells in that range. The item in cell BB29 has a calculated cell in F29 and is the only item with an additional calculated cell. Cell B33 has the text “Declining Enrolment Adjustment” with a calculated cell in J33.   Cell B36 has the text “Note: Please see page 2 and page 3 for detail calculations of 2015-16..” Cell A38 has the text “Section 16, page 2 - calculation of previous year allocations using current benchmarks.”  Cell B41 has the text “Pupil Foundation Allocation” with a cell range of B41 through I46. Cell B50 has the text “Total SEPPA Allocation” and starts the range of data entry from cell B50 through I53. Cell B57 has the text “Remote and Rural allocation” which starts another area of the worksheet. Cell B61 has the text “Day school ADE (excluding students 21 years of age and over)” which starts a cell range of data entry spanning cell B61  through cell H76. Note that this range has several empty cells. Cell B79 has the text “Distance amount” along with a code cell in G79 and a calculated cell in I79. Cell C84 has a note: “="if line 16.10.2b is greater than or equal to 650 but less than 1,150, enter [(Line 16.10.2b - 650) X $ "&amp;F84&amp;"+$ "&amp;E84” with cells containing dollar amounts in E84 and F84 . Cell C85 has a note: “="If Line 16.10.2b is greater than or equal to 1,150, enter $ "&amp;E85” with dollar amounts entered in cells E85 and F85. Cell B91 has the text “Remote and Rural Allocation” with a calculated cell in H91. Cell A94 has the text “Section 16, page 3 - calculation of previous year allocations using current benchmarks” Cell B96 has the text “Administration allocation” Cell B98 has the text “2015-16 Day School ADE of the board” with a calculated cell in H98. Cell B101 has the text “Allocation for board trustees' honoraria and expenses and for pupil representation:” which starts a data entry area spanning cells B103 through H108. There are empty cells in this range. Cell B110 has the text “Governance allocation” with a code cell in G110 and a calculated cell in H110. Cell B114 has the text “Allocation for Supervisory Officers:” and starts another data entry area spanning cells B117 through H127. This data range has empty cells. Cell B130 has the text “Allocation for Supervisory Officers” with a code cell in G130 and a calculated cell in H130. Cell B134 has the text “Allocation for board administration costs:” which starts another data range which spans cells B137 through H146. Cell B150 has the text “Allocation for board administration costs” and a code cell in G150 and a calculated cell in H150. The cell B155 has the text “Parent engagement amount.”  Cell B157 has the text “School based amount” with a calculated cell in H157. Cell B160 has the text “(Sum of lines 16.11.5+16.12.5+16.13.4+16.14)” with a calculated cell in H160. Cell B163 has a note: “Note: 2015-16 data is preloaded based on Enrolment of Ministry reviewed 2015-16 Estimates submission applying the current benchmarks..”</t>
  </si>
  <si>
    <t>Cell F2 has the text “Name of Sch. Authority” with a calculated cell in H2. Cell F3 has the text “School Authority No.” with a calculated cell in H3. This worksheet has topics that can be navigated to using links. The links begin in cell A2 and go horizontally across the page. There are blank columns and rows in the worksheet. The columns used are A through J.</t>
  </si>
  <si>
    <t>Cell F2 has the text “Name of Sch. Authority” with a calculated cell in H2. Cell F3 has the text “School Authority No.” with a calculated cell in H3. Cell B7 has the text “  Program supports for expelled students and students serving long term suspensions.” There are two data entry areas on this small worksheet. Cell B10 has the text “Allocation for Program Supports” with a calculated cell in H10; and cell B14 has the text “Total Safe Schools Allocation” with a calculated cell in H14.</t>
  </si>
  <si>
    <t>Early Childhood Educator Qualifications &amp; Experience Allocation</t>
  </si>
  <si>
    <t>Cell J2 has the text “Name of Sch. Authority” with a calculated cell in L2.  Cell J3 has the text “School Authority No.” with a calculated cell in L3. There are links to main data entry areas for this worksheet. The columns used are B,  J and L. There are many blank rows and columns on this worksheet. The links to topic areas begin in cell B2 and go across row 2 horizontally. The links also go down column M beginning in M5.</t>
  </si>
  <si>
    <t>Cell I2 has the text “Name of Sch. Authority” with a calculated cell in K2. Cell I3 has the text “School Authority No.” with a calculated cell in K3. There are links to specific areas of this worksheet, but, there are empty columns and rows in the various data ranges so listen to your adaptive technology. The areas of the worksheet are not uniform in their presentation. There are code cells and calculation cells in each range. The furthers column is M and the furthest row is 55. The links to specific areas begin in cell B1 and go across row 1 horizontally.</t>
  </si>
  <si>
    <t xml:space="preserve"> Cell E1 has the text “Name of Sch. Authority” with a calculated cell in G1. Cell E2 has the text “School Authority No.” with a calculated cell in G2. There are two main areas of the worksheet. The first is a data entry area spanning cells B8 through Q26. This area has few empty cells, most of which are in row 26. The second area of the worksheet begins in cell in cell B28 with the text “Total - Territorial Student Program” which has calculated cells in O28 and Q28. From that point in the worksheet to the end, the items are in cells B31 through A62. There are no calculated cells or code cells associated with these items.</t>
  </si>
  <si>
    <t>Cell D2 has the text “Name of Sch. Authority” with a calculated cell in F2. Cell D3 has the text “School Authority No.” with a calculated cell in F3. This is a short worksheet. The data entry area begins in cell B9 which is blank and spans through cell G30.i There are blank rows in this data entry area.</t>
  </si>
  <si>
    <t>Cell D2 has the text “Name of Sch. Authority” with a calculated cell in E2. Cell D3 has the text “School Authority No.” with a calculated cell in E3. This worksheet has a data entry area spanning cells B11 through F43. There is a notes area beginning in cell B46 and going down column B. The text has been broken into sequential cells.</t>
  </si>
  <si>
    <t>Notes Begin</t>
  </si>
  <si>
    <t>Cell J2 has the text “Name of Sch. Authority” with a calculated cell in M2. Cell D3 has the text “School Authority No.” with a calculated cell in M3. There are links to specific data entry areas of this worksheet. For the text that is entered in cell A5, “Report the collective agreement for 2015/16; where no agreement exits, report the most recent year.” There is a shift in the cells at cell B13 where there are items and data entry areas. There are many blank rows and columns within this area of the worksheet. The other areas of the worksheet have contiguous data entry areas. The links to specific areas of the worksheet begin in cell B1 and go horizontally across row 1.</t>
  </si>
  <si>
    <t>Teacher Assistance</t>
  </si>
  <si>
    <t>Cell D2 has the text “Name of Sch. Authority” with a calculated cell in G2. Cell D4 has the text “School Authority No.” with a calculated cell in G3. This worksheet has Text beginning in cell B21 and spanning through to cell L48. There are blank rows and columns as well as calculated cells. The calculated cells are in columns G, I and K.</t>
  </si>
  <si>
    <t xml:space="preserve">Cell E2 has the text “Name of Sch. Authority” with a calculated cell in H2. Cell D3 has the text “School Authority No.” with a calculated cell in H3. The information begins in cell B19 and spans through cell L49. There are blank columns and rows for visual effect. There are calculated cells in columns H, J and L. </t>
  </si>
  <si>
    <t>Cell J2 has the text “Name of Sch. Authority” with a calculated cell in M2. Cell J3 has the text “School Authority No.” with a calculated cell in M3. The text based information on this worksheet begins in cell A39 and spans A39 through O71. There are blank rows and columns used for visual effect on the worksheet. Calculated cells are in columns K, M and O.</t>
  </si>
  <si>
    <t>11A.1</t>
  </si>
  <si>
    <t>Tax Revenue from Prior Year Financial Statements (Note 2)</t>
  </si>
  <si>
    <t>11A.2</t>
  </si>
  <si>
    <t>Total Tax Revenue before Adjustments</t>
  </si>
  <si>
    <t>11A.3</t>
  </si>
  <si>
    <t>Tax Difference</t>
  </si>
  <si>
    <t>(Item 11A.1 - Item 11A.2)</t>
  </si>
  <si>
    <t>11A.4</t>
  </si>
  <si>
    <t>(62% of Item 11A.3)</t>
  </si>
  <si>
    <t>Note 1:</t>
  </si>
  <si>
    <t>Applicable only to tax collecting boards in unorganized areas.</t>
  </si>
  <si>
    <t>Note 2:</t>
  </si>
  <si>
    <t>11.6.1</t>
  </si>
  <si>
    <t>Tax Revenue Adjustment - 2016</t>
  </si>
  <si>
    <t>Calendar Year 2016 Property Tax Revenue Adjustment (For Financial Statements Only)</t>
  </si>
  <si>
    <t>Grades 4 to 8 ADE x $26.16 x Board's average Q &amp; E factor plus 1:</t>
  </si>
  <si>
    <t>DIFFERENTIATED SPECIAL EDUCATION NEEDS AMOUNT</t>
  </si>
  <si>
    <t xml:space="preserve">Differentiated Special Education Needs per pupil amount </t>
  </si>
  <si>
    <t>Differentiated Special Education Needs Based Amount for Collaboration and Integration</t>
  </si>
  <si>
    <t>Supply Staff</t>
  </si>
  <si>
    <t>....(Item 16.4 + Item 16.5.2)</t>
  </si>
  <si>
    <t>18.3.5b</t>
  </si>
  <si>
    <t>18.3.5a</t>
  </si>
  <si>
    <t>Minimum FNMI Per Pupil Amount Allocation</t>
  </si>
  <si>
    <t>18.3.5c</t>
  </si>
  <si>
    <t>Section 18 - First Nation, Métis and Inuit Allocation</t>
  </si>
  <si>
    <t>.....The greater of items 18.3.5a and 18.3.5b</t>
  </si>
  <si>
    <t xml:space="preserve">Managing Information for Student Achievement (MISA) Local Capacity </t>
  </si>
  <si>
    <t xml:space="preserve">Managing Information for Student Achievement (MISA) </t>
  </si>
  <si>
    <t>Trustees Association Fee</t>
  </si>
  <si>
    <t>Outdoor Education Amount</t>
  </si>
  <si>
    <t>Outdoor Education Amount - Base Amount</t>
  </si>
  <si>
    <t>Outdoor Education Amount - Per Pupil Amount</t>
  </si>
  <si>
    <t>7.31 - ECE FTE</t>
  </si>
  <si>
    <t>ECE FTE</t>
  </si>
  <si>
    <t>Section 10 - Administration and Governance Allocation</t>
  </si>
  <si>
    <t>10.2.1</t>
  </si>
  <si>
    <t>10.2.2</t>
  </si>
  <si>
    <t>10.2.3</t>
  </si>
  <si>
    <t>Remote travel adjustment</t>
  </si>
  <si>
    <t>Supervisory Officers - Base amount</t>
  </si>
  <si>
    <t>Allocation for Board Administration:</t>
  </si>
  <si>
    <t>Supplies amount</t>
  </si>
  <si>
    <t xml:space="preserve">Board Administration - Base amount </t>
  </si>
  <si>
    <t>Board Administration - Supplies amount</t>
  </si>
  <si>
    <t>10.4.1</t>
  </si>
  <si>
    <t>(Sum of lines 10.2.1 to 10.2.3)</t>
  </si>
  <si>
    <t>Travel amount (Line 10.2.1 / 3)</t>
  </si>
  <si>
    <t>Base amount (30% Full Time salary)</t>
  </si>
  <si>
    <t>Supplies amount (1/3 of Benchmark)</t>
  </si>
  <si>
    <t>Base amount (2.6 Full Time Positions)</t>
  </si>
  <si>
    <t>10.5.1</t>
  </si>
  <si>
    <t>Technology Enabled Learning and Teaching Contact (TELT)</t>
  </si>
  <si>
    <t>No longer used for Section 16</t>
  </si>
  <si>
    <t>Library Staff Amount</t>
  </si>
  <si>
    <t>13.10</t>
  </si>
  <si>
    <t>….Funding for the Elementary Schools</t>
  </si>
  <si>
    <t>10.6.1</t>
  </si>
  <si>
    <t>10.4.3</t>
  </si>
  <si>
    <t>10.4.2</t>
  </si>
  <si>
    <t>10.3.4</t>
  </si>
  <si>
    <t>(Sum of lines 10.2.2 and 10.2.3)</t>
  </si>
  <si>
    <t>.....(Item 16.8.4 x 13%)</t>
  </si>
  <si>
    <t>Base Salary and Benefits</t>
  </si>
  <si>
    <t>18.3.5d</t>
  </si>
  <si>
    <t>(items 18.1.3 + 18.2 + 18.3.5c + 18.3.5d)</t>
  </si>
  <si>
    <t>2017-18 Estimates - Cover Page</t>
  </si>
  <si>
    <t>Schedule 3C - Tangible Capital Asset Continuity Schedule - 2017-18</t>
  </si>
  <si>
    <t>Schedule of Tax Revenue for the Calendar Year 2017</t>
  </si>
  <si>
    <t>31, 2018</t>
  </si>
  <si>
    <t>1, 2017</t>
  </si>
  <si>
    <t>for the year ended August 31, 2018</t>
  </si>
  <si>
    <t>2017-18</t>
  </si>
  <si>
    <t>Total moveable type assets 2017-18</t>
  </si>
  <si>
    <t>Closing Balance August 31, 2018</t>
  </si>
  <si>
    <t>2017 - 2018 Estimates</t>
  </si>
  <si>
    <t>to August</t>
  </si>
  <si>
    <t>Balance at Aug 31, 2018</t>
  </si>
  <si>
    <t>For the year ended August 31, 2018</t>
  </si>
  <si>
    <t>Unsupported Debt at Aug 31, 2018</t>
  </si>
  <si>
    <t>Balance at September 1, 2017</t>
  </si>
  <si>
    <t>Balance at August 31, 2018</t>
  </si>
  <si>
    <t>If a school raises fund specifically for the purchase of a capital asset, then the revenue received should be deferred until a capital asset is purchased.  When the funds are spent on their intended purpose, the deferred revenue will be transferred to revenue in 2017-18.  Other school funds will be recognized in revenue as received (i.e. the funds are meant to support operating expenses and are recognized in the period these expenses occur).</t>
  </si>
  <si>
    <t>Grant accrual re. 2016 accrued tax adjustment</t>
  </si>
  <si>
    <t>Tax supplementary and tax write-offs adjustment - accrual re. 2017 amounts</t>
  </si>
  <si>
    <t>Plus: Amortization of Employee Future Benefits - retirement health/dental/life ins. liability as of Sept.1, 2017 over period reported in Sch 10G</t>
  </si>
  <si>
    <t>Plus:Amortization of EFB - retirement gratuity &amp; ERIP liability as of Sept.1, 2017 over EARSL reported in Sch 10G</t>
  </si>
  <si>
    <t>2017-18 School Renewal Report</t>
  </si>
  <si>
    <t>Balance at Sept 1, 2017</t>
  </si>
  <si>
    <t>Residential Taxes 2017</t>
  </si>
  <si>
    <t>Business Taxes 2017</t>
  </si>
  <si>
    <t>Licence Fees for Trailers 2017</t>
  </si>
  <si>
    <t>Payments in Lieu of Taxes 2017</t>
  </si>
  <si>
    <t>Residential Taxes with Growth 2018</t>
  </si>
  <si>
    <t>Business Taxes with Growth 2018</t>
  </si>
  <si>
    <t>% Relating to 2018</t>
  </si>
  <si>
    <t>Total Tax Revenue Relating to 2018</t>
  </si>
  <si>
    <t>Tax Revenue Adjustment - 2017 (Financial Statements Only)</t>
  </si>
  <si>
    <t>From Schedule 11B of the 2016-17 Financial Statements.</t>
  </si>
  <si>
    <t>For pupils enrolled in grade 9 in 2017-18 school year and who were strongly encouraged to successfully complete additional course work of up to 30 hours when the pupil plans to switch from one course type in grade 9 to the other in grade 10 in the same subject</t>
  </si>
  <si>
    <t>Enrolment for 2017-18</t>
  </si>
  <si>
    <t xml:space="preserve">Pupils of the board (S4(1) of Ontario 2017-18 Grant Regulation): Pupils of the board are pupils enrolled in schools operated by the board </t>
  </si>
  <si>
    <t>March 31, 2018</t>
  </si>
  <si>
    <t>October 31, 2017</t>
  </si>
  <si>
    <t>March 31, 2018    - JK</t>
  </si>
  <si>
    <t>October 31, 2017  - JK</t>
  </si>
  <si>
    <t>Note 1 - Where a board offers a combined JK/SK program, the FTE of pupils on the program calculated in accordance with the 2017-18 ADE regulation are to be reported under Col 4 and Col 8</t>
  </si>
  <si>
    <t>2017-18 Estimated Tax Revenue (Schedule 11A Est Tax Revenue, line 11.8)</t>
  </si>
  <si>
    <t>Travel Amount (Table 8, Col. 4, 2017-18 Instructions)</t>
  </si>
  <si>
    <t>Per Pupil Amount (Table 8, Col. 3, 2017-18 Instructions)</t>
  </si>
  <si>
    <t>Board Amount  (Table 8, Col. 2, 2017-18 Instructions)</t>
  </si>
  <si>
    <t>2017-18 Enrolment based Differentiated Special Education Needs Amount</t>
  </si>
  <si>
    <t>(Table 1, Col. 2,  2017-18 Instructions)</t>
  </si>
  <si>
    <t>Number of pupils of the board enrolled as of October 31, 2017 who entered Canada from countries where English is not the first language or where a variety of English that is different from Instructional English is spoken ( S.27(2) Ont. 2017-18 Grant Reg.)</t>
  </si>
  <si>
    <t>From Sept. 1, 2016 to Oct. 31, 2017</t>
  </si>
  <si>
    <t>From Sept. 1, 2014 to Aug. 31, 2015</t>
  </si>
  <si>
    <t>Secondary (exclude 21 &amp; over at December 31, 2017) 
(whole numbers)</t>
  </si>
  <si>
    <t>Use the Full-Time Equivalent Number of Teachers as of October 31, 2017 (one decimal) as described in section 40(4) of Ont. 2017-18 Grants for Student Needs Reg.</t>
  </si>
  <si>
    <t>reimbursed as per Section 40(4) of the Ont. 2017-18 Grants for Student Needs Reg.</t>
  </si>
  <si>
    <t xml:space="preserve">b) Occasional teachers are only counted if the teacher he/she replaces is not expected to resume instructional duties in the 2017-18 fiscal year.  </t>
  </si>
  <si>
    <t>c) Number of full year teaching experience is to be rounded to the nearest whole number as per Section 40(6) of the Ont. 2017-18 Grants For Student Needs Reg.</t>
  </si>
  <si>
    <t>e) Teachers, who are assigned to instruct for part of their time, should be included, as per Section  40(4) of Ont. 2017-18 Grants For Student Needs Reg.</t>
  </si>
  <si>
    <t>f) Principals or vice-principals, who are assigned to instruct for part of their time, should be included, as per Section 40(4) of Ont. 2017-18 Grants For Student Needs Reg.</t>
  </si>
  <si>
    <t>Boards should truncate part years of experience as per section 41(6) of Ont. 2017-18 Grants For Student Needs Reg.</t>
  </si>
  <si>
    <t>Qualification Factors - Table 13 Ontario 2017-18 Grant Regulation</t>
  </si>
  <si>
    <t xml:space="preserve">2017-18 Day School ADE </t>
  </si>
  <si>
    <t>Non-Teaching Staff - Cost Adjustment amount (Table 5, 2017-18 Instructions)</t>
  </si>
  <si>
    <t>Allocation for Maternity Leave and Sick Leave (Table 18, 2017-18 Instructions)</t>
  </si>
  <si>
    <t>.....Table 14 of 2017-18 Ontario Grant Reg. X Item 7.31</t>
  </si>
  <si>
    <t>2017-18 Day School ADE of the board</t>
  </si>
  <si>
    <t>Number of trustees on the board (Table 6, Col. 2, 2017-18 Instructions)</t>
  </si>
  <si>
    <t>Allocation for trustees' honoraria frozen at Dec 1, 1996 amount (Table 6, Col. 3, 2017-18 Instructions)</t>
  </si>
  <si>
    <t>Actual total Elementary school area (Table 9, 2017-18 Instructions)</t>
  </si>
  <si>
    <t>Actual total Secondary school area (Table 9, 2017-18 Guidelines)</t>
  </si>
  <si>
    <t>………...Table 11, 2017-18 Instructions</t>
  </si>
  <si>
    <t>2017-18 number of eligible teacherages indicated below :</t>
  </si>
  <si>
    <t>(Table 12, 2017-18 Instructions)</t>
  </si>
  <si>
    <t>Base amount (Table 13, Col. 2, 2017-18 Instructions)</t>
  </si>
  <si>
    <t>Maximum coordinator travel allocation (Table 13, Col. 3, 2017-18 Instructions)</t>
  </si>
  <si>
    <t>School component (Table 13, Col. 4, 2017-18 Instructions)</t>
  </si>
  <si>
    <t>(Table 16, 2017-18 Instructions)</t>
  </si>
  <si>
    <t>School Effectiveness Lead Amount (Table 10, Col. 2, 2017-18 Instructions)</t>
  </si>
  <si>
    <t>Per Pupil Amount (Table 10, Col. 4, 2017-18 Instructions)</t>
  </si>
  <si>
    <t>Maximum coordinator travel allocation (Table 10, Col. 3, 2017-18 Instructions)</t>
  </si>
  <si>
    <t>Specialist High Skills Major Support (Table 15, Col. 3, 2017-18 Instructions)</t>
  </si>
  <si>
    <t>2016-17 declining enrolment adjustment before phase in amount (Note)</t>
  </si>
  <si>
    <t>.....(2016-17: Item 16.8.3; 2017-18: Schedule 13, item 4)</t>
  </si>
  <si>
    <t>.....(2016-17 Estimates Data, item 16.4)</t>
  </si>
  <si>
    <t>2016-17 Phase-In Amount</t>
  </si>
  <si>
    <t>.....2016-17 DEA Phase-In Percentage Benchmark 0.25 x item 16.5.1</t>
  </si>
  <si>
    <t>Note: Please see page 2 and page 3 for detail calculations of 2016-17.</t>
  </si>
  <si>
    <t>2016-17 Est. ADE</t>
  </si>
  <si>
    <t>2017-18 Pupil Foundation allocation - per pupil amount</t>
  </si>
  <si>
    <t>2017-18 SEPPA - per pupil amount</t>
  </si>
  <si>
    <t>Distance in kilometres (Table 4, 2017-18 Instructions)</t>
  </si>
  <si>
    <t>Note: 2016-17 data is preloaded based on Enrolment of Ministry reviewed 2016-17 Estimates submission applying the current benchmarks.</t>
  </si>
  <si>
    <t>(Table 19, Col. 2,  2017-18 Instructions)</t>
  </si>
  <si>
    <t xml:space="preserve">  .....Table 14, 2017-18 Instructions   </t>
  </si>
  <si>
    <t xml:space="preserve">Enter the number of pupils transported by the board in 2017-18 who attend a school operated by the board for whom fees are received by the board.  Include pupils attending a school operated by another board and for whom the board </t>
  </si>
  <si>
    <t>Enter the number of pupils transported by the board in 2017-18 who attend a school operated by the board and for whom no fees are received by the board.</t>
  </si>
  <si>
    <t>Appendix G - Board Teacher Salary Grid - 2017-18</t>
  </si>
  <si>
    <t>Report the collective agreement for 2016/17; where no agreement exits, report the most recent year.</t>
  </si>
  <si>
    <t>Appendix H - 2017-18 Staffing</t>
  </si>
  <si>
    <t>Other Employee Benefits</t>
  </si>
  <si>
    <t>Other Benefits Subtotal</t>
  </si>
  <si>
    <t>Total Employee Benefits Supplementary Information</t>
  </si>
  <si>
    <t>2016-17 Benefits Expenses</t>
  </si>
  <si>
    <t>2016-17 Benefits Payments</t>
  </si>
  <si>
    <t>2017-18 Benefits Expenses</t>
  </si>
  <si>
    <t>2017-18 Benefits Payments</t>
  </si>
  <si>
    <t>DISCOUNT RATE</t>
  </si>
  <si>
    <t>Note 3 - Compensated Absences refers to the carry-over of unused sick leave credits for the topping up of eligible absences under the STLDP.</t>
  </si>
  <si>
    <t>Opening EFB Liability as of September 1, 2017</t>
  </si>
  <si>
    <t>Benefits Expenses 2016-18</t>
  </si>
  <si>
    <t>Benefits Payments 2017-18</t>
  </si>
  <si>
    <t>Closing EFB Liability as of August 31, 2018</t>
  </si>
  <si>
    <t>Unamortized Actuarial Losses/(Gains) as of August 31, 2018</t>
  </si>
  <si>
    <t>Accrued Benefit Obligations as of August 31, 2018</t>
  </si>
  <si>
    <t>Schedule 3 - Capital Expenditures</t>
  </si>
  <si>
    <t>Funding Source</t>
  </si>
  <si>
    <t>Special Approval</t>
  </si>
  <si>
    <t>Land and Land Improvements with Infinite Lives</t>
  </si>
  <si>
    <t>Land Improvement (Finite Lives)</t>
  </si>
  <si>
    <t>New</t>
  </si>
  <si>
    <t>Existing</t>
  </si>
  <si>
    <t>CIP</t>
  </si>
  <si>
    <t>Sub-total Buildings 40 years</t>
  </si>
  <si>
    <t>Other Buildings - 20 Years</t>
  </si>
  <si>
    <t>Sub-total Other Buildings 20 years</t>
  </si>
  <si>
    <t>Sub-total Portable Structures</t>
  </si>
  <si>
    <t>Moveable type assets from below</t>
  </si>
  <si>
    <t>Portion of item 2.20 related to interest</t>
  </si>
  <si>
    <t>Expenditures - 2017-18</t>
  </si>
  <si>
    <t>Total Capital Expenditures 2017-18</t>
  </si>
  <si>
    <t>Total Capital Expenditures 2017-18 less interest</t>
  </si>
  <si>
    <t>Transfers (In is +; Out is -)</t>
  </si>
  <si>
    <t>Transfer to Financial Assets</t>
  </si>
  <si>
    <t>Equipment 5 years</t>
  </si>
  <si>
    <t>Equipment 10 years</t>
  </si>
  <si>
    <t>Equipment 15 years</t>
  </si>
  <si>
    <t>First-time equipping - 10 years</t>
  </si>
  <si>
    <t xml:space="preserve">Furniture  </t>
  </si>
  <si>
    <t>Furniture and Equipment sub-total</t>
  </si>
  <si>
    <t>Vehicles under 1 ton</t>
  </si>
  <si>
    <t>Vehicles over 1 ton</t>
  </si>
  <si>
    <t>Transfers to Financial Assets</t>
  </si>
  <si>
    <t>Net Book Value Closing Balance at Aug 31</t>
  </si>
  <si>
    <t>Net Book Value Opening Balance at Sept.1</t>
  </si>
  <si>
    <t>Pre-construction/pre-aquisition costs</t>
  </si>
  <si>
    <t>Opening Balance September 1, 2017</t>
  </si>
  <si>
    <t>2017-18 Actual</t>
  </si>
  <si>
    <t>2016-17 Actual</t>
  </si>
  <si>
    <t>Schedule 11B - Schedule of Tax Revenue for the Calendar Year 2018</t>
  </si>
  <si>
    <t>Employee Future Benefits - retirement gratuity liability as of September 1, 2017 to be amortized over the employee average remaining service life (EARSL) reported in Schedule 10G</t>
  </si>
  <si>
    <t>2017-18 Budget</t>
  </si>
  <si>
    <t>For the year ended August 31, 2017</t>
  </si>
  <si>
    <t>04/xx/2017</t>
  </si>
  <si>
    <t>Isolates 2016-17</t>
  </si>
  <si>
    <t>Isolates 2017-18  Proposed</t>
  </si>
  <si>
    <t>allocation removed</t>
  </si>
  <si>
    <t>Section 18 - Indigenous Education Allocation</t>
  </si>
  <si>
    <r>
      <t xml:space="preserve">Indigenous Language Amount </t>
    </r>
    <r>
      <rPr>
        <sz val="12"/>
        <rFont val="Arial"/>
        <family val="2"/>
      </rPr>
      <t>(All pupils)</t>
    </r>
  </si>
  <si>
    <t>Indigenous Language - elementary</t>
  </si>
  <si>
    <t>Idigenous Language Allocation</t>
  </si>
  <si>
    <t>Idigenous Studies Amount</t>
  </si>
  <si>
    <t>Idigenous Language - secondary</t>
  </si>
  <si>
    <t>Indigenous Education Per Pupil Amount</t>
  </si>
  <si>
    <t>Indigenous ADE</t>
  </si>
  <si>
    <t>Indigenous Per pupil amount</t>
  </si>
  <si>
    <t>Minimum Idigenous Education Per Pupil Amount Allocation</t>
  </si>
  <si>
    <t>Idigenous Education Per Pupil Amount</t>
  </si>
  <si>
    <t>Board Action Plan on Indigenous Education Allocation</t>
  </si>
  <si>
    <t>Total Indigenous Education Allocation</t>
  </si>
  <si>
    <t>Indigenous Education Allocation</t>
  </si>
  <si>
    <t>Declining Enrolment ADE 2016-17 Grades 4 to 8</t>
  </si>
  <si>
    <t>Declining Enrolment ADE 2016-17 Secondary</t>
  </si>
  <si>
    <t>Declining Enrolment ADE 2016-17 JK-SK (Actual Pupils)</t>
  </si>
  <si>
    <t>Declining Enrolment ADE 2016-17 Grades 1 to 3</t>
  </si>
  <si>
    <t>Allocation in respect of pupils born in Canada (Table 3, 2017-18 Instructions)</t>
  </si>
  <si>
    <t>Same as DSB amount</t>
  </si>
  <si>
    <t>October FTE</t>
  </si>
  <si>
    <t>Principals and Vice-Principals</t>
  </si>
  <si>
    <t>Other Non-Union</t>
  </si>
  <si>
    <t>Other Unions</t>
  </si>
  <si>
    <t>OSSTF EW</t>
  </si>
  <si>
    <t>ETFO EW</t>
  </si>
  <si>
    <t>ETFO</t>
  </si>
  <si>
    <t>Discrepancy in Staff by Bargaining Group</t>
  </si>
  <si>
    <t>March FTE</t>
  </si>
  <si>
    <t>7.7</t>
  </si>
  <si>
    <t>7.8</t>
  </si>
  <si>
    <t>7.9</t>
  </si>
  <si>
    <t>7.12</t>
  </si>
  <si>
    <t>Qualification and experience allocation (Line 7.8)</t>
  </si>
  <si>
    <t xml:space="preserve">a) Teachers, who are not assigned a regular timetable as of October 31, 2017, are not to be included, except for teachers on leave of absences with pay and for which the Board is not </t>
  </si>
  <si>
    <t>...(2014/15 Estimates, Section 4, Item 4.8)</t>
  </si>
  <si>
    <t>2016-17 Declining Enrolment before Phase in Amount</t>
  </si>
  <si>
    <t>Col. 2 .1</t>
  </si>
  <si>
    <t>Retirement Health, Dental, Life Insurance Plans, etc.- School Board Plans</t>
  </si>
  <si>
    <t>Retirement Health, Dental, Life Insurance Plans, etc. - Benefit Trust Plans</t>
  </si>
  <si>
    <t>Current Employees Extended Health, Dental, Life, etc.- School Board Plans</t>
  </si>
  <si>
    <t>Current Employees Extended Health, Dental, Life, etc.- Benefit Trust Plans</t>
  </si>
  <si>
    <t>$2.78 pp for 3 elementary and 1 secondary</t>
  </si>
  <si>
    <t>Declining Enrolment before Phase in Amount from 2 years prior</t>
  </si>
  <si>
    <t>Behavioural Expertise Per Pupil ($2.78)</t>
  </si>
  <si>
    <t>Elem.</t>
  </si>
  <si>
    <t>The number of Elementary Principals and Vice-Principals reported on Section 7 should be the same number as on Appendix H</t>
  </si>
  <si>
    <t>The number of Elementary Teachers reported on Section 7 should be the same number as on Appendix H</t>
  </si>
  <si>
    <t>The number of Secondary Principals and Vice-Principals reported on Section 7 should be the same number as on Appendix H</t>
  </si>
  <si>
    <t>The number of Secondary Teachers reported on Section 7 should be the same number as on Appendix H</t>
  </si>
  <si>
    <t>Section 7,
Line 7.2 CPE0889</t>
  </si>
  <si>
    <t>Section 7,
Line 7.2 CPE0890</t>
  </si>
  <si>
    <t>Appendix H,  Sum of line 2 &amp; 3, Col. 3 and Col. 5</t>
  </si>
  <si>
    <t>Appendix H,  Sum of line 2 to 5, Col. 3 and Col. 5</t>
  </si>
  <si>
    <t>Tuition fees per pupil (Line 1.18 / Line 1.0)</t>
  </si>
  <si>
    <t>Appendix H - The staffing categories for the October 31 FTE Staffing Grand Total (Col. 1) should match the Staffing Total by Bargaining Group (Col. 6).</t>
  </si>
  <si>
    <t>Appendix H - The staffing categories for the March 31 FTE Staffing Grand Total (Col. 1) should match the Staffing Total by Bargaining Group (Col. 6).</t>
  </si>
  <si>
    <t>Operating Accumulated Surplus</t>
  </si>
  <si>
    <t>Calendar Year 2017 Property Tax Revenue Adjustment (For Financial Statements Only)</t>
  </si>
  <si>
    <t>Tax Revenue Adjustment - 2017</t>
  </si>
  <si>
    <r>
      <t>Note 4</t>
    </r>
    <r>
      <rPr>
        <sz val="12"/>
        <rFont val="Arial"/>
        <family val="2"/>
      </rPr>
      <t xml:space="preserve">: Capital expenditures for major capital projects reported in Section 15.3 as Capital Program Grant will be funded as the expenditures </t>
    </r>
  </si>
  <si>
    <t>Grades 4 - 8 - $12.54 pp</t>
  </si>
  <si>
    <t>Grades 9-12 - $31.43 pp</t>
  </si>
  <si>
    <t>3/4 for 3 Elem boards</t>
  </si>
  <si>
    <t>1/4 the amount of Supervisory officers base Amount</t>
  </si>
  <si>
    <t>Prof Dev 0.5% Lump Sum</t>
  </si>
  <si>
    <t>7.11.1</t>
  </si>
  <si>
    <t>7.11.2</t>
  </si>
  <si>
    <t>Col. 7.1</t>
  </si>
  <si>
    <t>Weekly Hours to Calculate 1 FTE</t>
  </si>
  <si>
    <t>Col. 8.1</t>
  </si>
  <si>
    <t>Col. 9.1</t>
  </si>
  <si>
    <t>Col. 10.1</t>
  </si>
  <si>
    <t>Col. 11.1</t>
  </si>
  <si>
    <t>Col. 12.1</t>
  </si>
  <si>
    <t>Col. 13.1</t>
  </si>
  <si>
    <t>NTIP Expenses</t>
  </si>
  <si>
    <t>Professional Development 0.5% Lump Sum (Table 20, 2017-18 Instructions)</t>
  </si>
  <si>
    <t>Local Priorities Fund</t>
  </si>
  <si>
    <t>10.6.2</t>
  </si>
  <si>
    <t>(Sum of lines 10.2.4, 10.3.4, 10.4.3, 10.5.1, 10.6, 10.6.1 and 10.6.2)</t>
  </si>
  <si>
    <t>Human Resource Transition Supplement</t>
  </si>
  <si>
    <t>(Sum of lines 13.1, 13.2.4, 13.3.8, 13.4.6, 13.5 , 13.6, 13.7, 13.8, 13.9 and 13.10)</t>
  </si>
  <si>
    <t>Local Priorities Fund (Table 21, 2017-18 Instructions)</t>
  </si>
  <si>
    <t>Human Resource Transition Supplement (Table 22, 2017-18 Instructions)</t>
  </si>
  <si>
    <t>7.11.3</t>
  </si>
  <si>
    <t>Benefits Trust Funding (Table 23, 2017-18 Instructions)</t>
  </si>
  <si>
    <t>No longer used</t>
  </si>
  <si>
    <t>Benefits Trust Funding</t>
  </si>
  <si>
    <t>Allocation for Maternity Leave and Sick Leave</t>
  </si>
  <si>
    <t>Report board staffing, based on FTE as of March 31, 2018 (Two decimals)</t>
  </si>
  <si>
    <t>Report board staffing, based on FTE as of October 31, 2017 (Two decimals)</t>
  </si>
  <si>
    <t>Indigenous Ed Board Action Plan</t>
  </si>
  <si>
    <t xml:space="preserve"> (Sum of lines 2.3.1 and 2.3.2)</t>
  </si>
  <si>
    <t>Total Differentiated Special Education Needs allocation excluding SIP</t>
  </si>
  <si>
    <t>(Sum of lines  2.1.3 + 2.2.1 +2.4+ 2.5 + 2.6.3 + 2.11)</t>
  </si>
  <si>
    <t>Prior Year Tax Revenue from Sch 11B</t>
  </si>
  <si>
    <t>For FS only</t>
  </si>
  <si>
    <t>(Sum of lines 10.4.1 to 10.4.2)</t>
  </si>
  <si>
    <t>CUPE</t>
  </si>
  <si>
    <t>EWAO</t>
  </si>
  <si>
    <t>OCEW</t>
  </si>
  <si>
    <t>Col. 14.1</t>
  </si>
  <si>
    <t>Col. 15.1</t>
  </si>
  <si>
    <t>Col. 16.1</t>
  </si>
  <si>
    <t>Col. 17</t>
  </si>
  <si>
    <r>
      <t xml:space="preserve">Total 
</t>
    </r>
    <r>
      <rPr>
        <sz val="12"/>
        <rFont val="Arial"/>
        <family val="2"/>
      </rPr>
      <t>(Sum of Col.7 to Col. 16)</t>
    </r>
  </si>
  <si>
    <r>
      <t xml:space="preserve">Total 
</t>
    </r>
    <r>
      <rPr>
        <sz val="12"/>
        <rFont val="Arial"/>
        <family val="2"/>
      </rPr>
      <t>(Sum of Col.2 to Col. 5)</t>
    </r>
  </si>
  <si>
    <t>Additional Amount for P and VPs</t>
  </si>
  <si>
    <t>1.3.18.1</t>
  </si>
  <si>
    <t>(Sum of 1.3.9, 1.3.18 and 1.3.18.1)</t>
  </si>
  <si>
    <t>Additional Compensation for Principals and Vice Principals (Table 24, 2017-18 Instructions)</t>
  </si>
  <si>
    <t>* Note: Weekly Hours cells will change to red colour for corresponding FTE number if number of hours is not inputted.</t>
  </si>
  <si>
    <t xml:space="preserve">50798.78 x </t>
  </si>
  <si>
    <t xml:space="preserve"> (Sum of lines 7.9 to 7.11.4)</t>
  </si>
  <si>
    <t>Rural and Northern Education Fund</t>
  </si>
  <si>
    <t>5.2.4</t>
  </si>
  <si>
    <t>(Sum of lines 5.1.2, 5.2.3 and 5.2.4)</t>
  </si>
  <si>
    <t>16.1.5</t>
  </si>
  <si>
    <t>Administration allocation (Governance).....(Section 10, (Item 10.2.4))</t>
  </si>
  <si>
    <t>Number of trustees on the board (Table 6, Col. 2, 2015-16 Instructions)</t>
  </si>
  <si>
    <t>Allocation for trustees' honoraria frozen at Dec 1, 1996 amount (Table 6, Col. 3, 2015-16 Instructions)</t>
  </si>
  <si>
    <t>2016-17 Day School ADE of the board</t>
  </si>
  <si>
    <t>Reviewed</t>
  </si>
  <si>
    <t>by Spec Ed</t>
  </si>
  <si>
    <t>branch and</t>
  </si>
  <si>
    <t>EFB</t>
  </si>
  <si>
    <t>Hold harmless</t>
  </si>
  <si>
    <t>See column 50</t>
  </si>
  <si>
    <t xml:space="preserve">Updated </t>
  </si>
  <si>
    <t>for 2017-18</t>
  </si>
  <si>
    <t xml:space="preserve">To be </t>
  </si>
  <si>
    <t>reviewed going</t>
  </si>
  <si>
    <t>forward</t>
  </si>
  <si>
    <t>11.13.1</t>
  </si>
  <si>
    <t>11.13.2</t>
  </si>
  <si>
    <t>School Renewal Investment - Capital Renewal  (Table 26, Col.2, 2017-18 Instructions)</t>
  </si>
  <si>
    <t>School Renewal Investment - Maintenance (Table 26, Col.3, 2017-18 Instructions)</t>
  </si>
  <si>
    <t xml:space="preserve">School Renewal - Capital Renewal  </t>
  </si>
  <si>
    <t>School Renewal - Maintenance</t>
  </si>
  <si>
    <t>(Sum of lines 11.11.1 to 11.13.2)</t>
  </si>
  <si>
    <t>1/2 of</t>
  </si>
  <si>
    <t>Coordinator</t>
  </si>
  <si>
    <t>Calc from table below</t>
  </si>
  <si>
    <t xml:space="preserve">From Sec 16 </t>
  </si>
  <si>
    <t>for DSBs</t>
  </si>
  <si>
    <t>Update</t>
  </si>
  <si>
    <t>1/2 of DSB</t>
  </si>
  <si>
    <t>See table below</t>
  </si>
  <si>
    <t>Same as DSB</t>
  </si>
  <si>
    <t xml:space="preserve">See table </t>
  </si>
  <si>
    <t>below</t>
  </si>
  <si>
    <t>not to</t>
  </si>
  <si>
    <t>For Section 4</t>
  </si>
  <si>
    <t>For Section</t>
  </si>
  <si>
    <t>2-DSENA</t>
  </si>
  <si>
    <t>Section 10</t>
  </si>
  <si>
    <t>$2.90 per pupil for 4 schools</t>
  </si>
  <si>
    <t>from EFB</t>
  </si>
  <si>
    <t>Labour</t>
  </si>
  <si>
    <t>item that</t>
  </si>
  <si>
    <t>should be</t>
  </si>
  <si>
    <t>updated</t>
  </si>
  <si>
    <t xml:space="preserve">Update </t>
  </si>
  <si>
    <t>in FS file</t>
  </si>
  <si>
    <t>Approved Special Education Equipment Allocation(SEA)</t>
  </si>
  <si>
    <t>For</t>
  </si>
  <si>
    <t>FS only</t>
  </si>
  <si>
    <t>Rural and Northern Education Fund (Table 25, 2017-18 Instructions)</t>
  </si>
  <si>
    <t>Pupil Foundation Grant Secondary Teachers FTE per Pupil</t>
  </si>
  <si>
    <t>Pupil Foundation Grant JK-SK Teachers FTE per Pupil</t>
  </si>
  <si>
    <t>Pupil Foundation Grant Grade 1-3 Teachers FTE per Pupil</t>
  </si>
  <si>
    <t>Pupil Foundation Grant Grade 4-8 Teachers FTE per Pupil</t>
  </si>
  <si>
    <t>Schedule 5.1, closing balances.</t>
  </si>
  <si>
    <t>The closing balance of one or more of the deferred revenues in Schedule 5.1 should not be negative.</t>
  </si>
  <si>
    <t>Remote and Rural allocation .....(Section 5, Items 5.1.2 and 5.2.3)</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</si>
</sst>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6" formatCode="&quot;$&quot;#,##0;[Red]\-&quot;$&quot;#,##0"/>
    <numFmt numFmtId="41" formatCode="_-* #,##0_-;\-* #,##0_-;_-* &quot;-&quot;_-;_-@_-"/>
    <numFmt numFmtId="43" formatCode="_-* #,##0.00_-;\-* #,##0.00_-;_-* &quot;-&quot;??_-;_-@_-"/>
    <numFmt numFmtId="164" formatCode="&quot;$&quot;#,##0_);\(&quot;$&quot;#,##0\)"/>
    <numFmt numFmtId="165" formatCode="&quot;$&quot;#,##0.00_);\(&quot;$&quot;#,##0.00\)"/>
    <numFmt numFmtId="166" formatCode="_(&quot;$&quot;* #,##0.00_);_(&quot;$&quot;* \(#,##0.00\);_(&quot;$&quot;* &quot;-&quot;??_);_(@_)"/>
    <numFmt numFmtId="167" formatCode="_(* #,##0.00_);_(* \(#,##0.00\);_(* &quot;-&quot;??_);_(@_)"/>
    <numFmt numFmtId="168" formatCode="#,##0.0"/>
    <numFmt numFmtId="169" formatCode="_(* #,##0_);_(* \(#,##0\);_(* &quot;-&quot;??_);_(@_)"/>
    <numFmt numFmtId="170" formatCode="mmmm\ d\,\ yyyy"/>
    <numFmt numFmtId="171" formatCode="_(* #,##0_);_(* \(#,##0\)"/>
    <numFmt numFmtId="172" formatCode="_(* #,##0.00_);_(* \(#,##0.00\)"/>
    <numFmt numFmtId="173" formatCode="&quot;$&quot;#,##0"/>
    <numFmt numFmtId="174" formatCode="0000"/>
    <numFmt numFmtId="175" formatCode="0.0"/>
    <numFmt numFmtId="176" formatCode="#,##0.0_);\(#,##0.0\)"/>
    <numFmt numFmtId="177" formatCode="_(* #,##0_);_(* \(#,##0\);"/>
    <numFmt numFmtId="178" formatCode="_(* #,##0.00_);_(* \(#,##0.00\);"/>
    <numFmt numFmtId="179" formatCode="_(&quot;$&quot;* #,##0_);_(&quot;$&quot;* \(#,##0\);_(&quot;$&quot;* &quot;-&quot;??_);_(@_)"/>
    <numFmt numFmtId="180" formatCode=".0000"/>
    <numFmt numFmtId="181" formatCode="0.0000"/>
    <numFmt numFmtId="182" formatCode="#,##0.000_);\(#,##0.000\)"/>
    <numFmt numFmtId="183" formatCode="#,##0.0000_);\(#,##0.0000\)"/>
    <numFmt numFmtId="184" formatCode="0_);\(0\)"/>
    <numFmt numFmtId="185" formatCode="00"/>
    <numFmt numFmtId="186" formatCode="0\ %\ "/>
    <numFmt numFmtId="187" formatCode="0.0000%"/>
    <numFmt numFmtId="188" formatCode="\&amp;0000"/>
    <numFmt numFmtId="189" formatCode="0.00000"/>
    <numFmt numFmtId="190" formatCode="#,##0.00000"/>
    <numFmt numFmtId="191" formatCode="#,##0_ ;\-#,##0\ "/>
    <numFmt numFmtId="192" formatCode="#,##0.00_ ;[Red]\-#,##0.00\ "/>
    <numFmt numFmtId="193" formatCode="#,##0;\(#,##0\)"/>
    <numFmt numFmtId="194" formatCode="#,##0.0000"/>
    <numFmt numFmtId="195" formatCode="&quot;$&quot;#,##0.00"/>
    <numFmt numFmtId="196" formatCode="_-* #,##0_-;\-* #,##0_-;_-* &quot;-&quot;??_-;_-@_-"/>
    <numFmt numFmtId="197" formatCode="&quot;$&quot;#,##0.00000"/>
    <numFmt numFmtId="198" formatCode="#,##0.00_ ;\-#,##0.00\ "/>
    <numFmt numFmtId="199" formatCode="#,##0.0_ ;\-#,##0.0\ "/>
  </numFmts>
  <fonts count="135">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4"/>
      <name val="Arial"/>
      <family val="2"/>
    </font>
    <font>
      <b/>
      <sz val="24"/>
      <name val="Arial"/>
      <family val="2"/>
    </font>
    <font>
      <b/>
      <sz val="18"/>
      <name val="Arial"/>
      <family val="2"/>
    </font>
    <font>
      <sz val="12"/>
      <name val="Arial"/>
      <family val="2"/>
    </font>
    <font>
      <b/>
      <sz val="10"/>
      <name val="Arial"/>
      <family val="2"/>
    </font>
    <font>
      <b/>
      <sz val="8"/>
      <color indexed="9"/>
      <name val="Arial"/>
      <family val="2"/>
    </font>
    <font>
      <sz val="10"/>
      <color indexed="8"/>
      <name val="Arial"/>
      <family val="2"/>
    </font>
    <font>
      <sz val="8"/>
      <name val="Arial"/>
      <family val="2"/>
    </font>
    <font>
      <b/>
      <sz val="14"/>
      <name val="Arial"/>
      <family val="2"/>
    </font>
    <font>
      <sz val="10"/>
      <name val="Arial"/>
      <family val="2"/>
    </font>
    <font>
      <b/>
      <sz val="12"/>
      <name val="Arial"/>
      <family val="2"/>
    </font>
    <font>
      <b/>
      <sz val="12"/>
      <name val="Arial"/>
      <family val="2"/>
    </font>
    <font>
      <sz val="8"/>
      <name val="Arial"/>
      <family val="2"/>
    </font>
    <font>
      <b/>
      <sz val="8"/>
      <name val="Arial"/>
      <family val="2"/>
    </font>
    <font>
      <b/>
      <sz val="11"/>
      <name val="Arial"/>
      <family val="2"/>
    </font>
    <font>
      <sz val="11"/>
      <name val="Arial"/>
      <family val="2"/>
    </font>
    <font>
      <b/>
      <sz val="10"/>
      <color indexed="9"/>
      <name val="Arial"/>
      <family val="2"/>
    </font>
    <font>
      <b/>
      <sz val="10"/>
      <color indexed="10"/>
      <name val="Arial"/>
      <family val="2"/>
    </font>
    <font>
      <sz val="14"/>
      <name val="Arial"/>
      <family val="2"/>
    </font>
    <font>
      <b/>
      <sz val="9"/>
      <name val="Arial"/>
      <family val="2"/>
    </font>
    <font>
      <sz val="9"/>
      <name val="Arial"/>
      <family val="2"/>
    </font>
    <font>
      <b/>
      <sz val="11"/>
      <color indexed="9"/>
      <name val="Arial"/>
      <family val="2"/>
    </font>
    <font>
      <sz val="10"/>
      <color indexed="10"/>
      <name val="Arial"/>
      <family val="2"/>
    </font>
    <font>
      <b/>
      <sz val="12"/>
      <color indexed="10"/>
      <name val="Arial"/>
      <family val="2"/>
    </font>
    <font>
      <b/>
      <sz val="10"/>
      <color indexed="9"/>
      <name val="Arial"/>
      <family val="2"/>
    </font>
    <font>
      <b/>
      <sz val="14"/>
      <color indexed="10"/>
      <name val="Arial"/>
      <family val="2"/>
    </font>
    <font>
      <sz val="12"/>
      <name val="SWISS"/>
    </font>
    <font>
      <sz val="10"/>
      <color indexed="43"/>
      <name val="Arial"/>
      <family val="2"/>
    </font>
    <font>
      <b/>
      <u/>
      <sz val="10"/>
      <name val="Arial"/>
      <family val="2"/>
    </font>
    <font>
      <sz val="12"/>
      <color indexed="10"/>
      <name val="Arial"/>
      <family val="2"/>
    </font>
    <font>
      <sz val="8"/>
      <color indexed="10"/>
      <name val="Arial"/>
      <family val="2"/>
    </font>
    <font>
      <b/>
      <sz val="11"/>
      <color indexed="10"/>
      <name val="Arial"/>
      <family val="2"/>
    </font>
    <font>
      <b/>
      <sz val="16"/>
      <name val="Arial"/>
      <family val="2"/>
    </font>
    <font>
      <sz val="11"/>
      <color indexed="10"/>
      <name val="Arial"/>
      <family val="2"/>
    </font>
    <font>
      <sz val="10"/>
      <name val="Arial"/>
      <family val="2"/>
    </font>
    <font>
      <sz val="10"/>
      <name val="DUTCH"/>
    </font>
    <font>
      <sz val="12"/>
      <name val="Times New Roman"/>
      <family val="1"/>
    </font>
    <font>
      <b/>
      <sz val="12"/>
      <name val="Times New Roman"/>
      <family val="1"/>
    </font>
    <font>
      <sz val="12"/>
      <name val="Arial"/>
      <family val="2"/>
    </font>
    <font>
      <sz val="11"/>
      <color indexed="12"/>
      <name val="Arial"/>
      <family val="2"/>
    </font>
    <font>
      <b/>
      <u/>
      <sz val="11"/>
      <name val="Arial"/>
      <family val="2"/>
    </font>
    <font>
      <u/>
      <sz val="10"/>
      <name val="Arial"/>
      <family val="2"/>
    </font>
    <font>
      <i/>
      <sz val="8"/>
      <color indexed="16"/>
      <name val="Arial"/>
      <family val="2"/>
    </font>
    <font>
      <sz val="9"/>
      <name val="Arial"/>
      <family val="2"/>
    </font>
    <font>
      <b/>
      <i/>
      <sz val="11"/>
      <name val="Arial"/>
      <family val="2"/>
    </font>
    <font>
      <sz val="9"/>
      <color indexed="10"/>
      <name val="Arial"/>
      <family val="2"/>
    </font>
    <font>
      <b/>
      <sz val="12"/>
      <name val="Calibri"/>
      <family val="2"/>
    </font>
    <font>
      <b/>
      <sz val="16"/>
      <name val="Calibri"/>
      <family val="2"/>
    </font>
    <font>
      <b/>
      <sz val="10"/>
      <color indexed="9"/>
      <name val="Calibri"/>
      <family val="2"/>
    </font>
    <font>
      <sz val="10"/>
      <name val="Calibri"/>
      <family val="2"/>
    </font>
    <font>
      <b/>
      <sz val="14"/>
      <name val="Calibri"/>
      <family val="2"/>
    </font>
    <font>
      <b/>
      <sz val="10"/>
      <name val="Calibri"/>
      <family val="2"/>
    </font>
    <font>
      <sz val="10"/>
      <color indexed="10"/>
      <name val="Calibri"/>
      <family val="2"/>
    </font>
    <font>
      <b/>
      <i/>
      <sz val="8"/>
      <color indexed="16"/>
      <name val="Arial"/>
      <family val="2"/>
    </font>
    <font>
      <b/>
      <sz val="7"/>
      <name val="Arial"/>
      <family val="2"/>
    </font>
    <font>
      <b/>
      <sz val="10"/>
      <color indexed="8"/>
      <name val="Arial"/>
      <family val="2"/>
    </font>
    <font>
      <u/>
      <sz val="12"/>
      <name val="Arial"/>
      <family val="2"/>
    </font>
    <font>
      <b/>
      <sz val="12"/>
      <color indexed="9"/>
      <name val="Arial"/>
      <family val="2"/>
    </font>
    <font>
      <sz val="12"/>
      <color indexed="10"/>
      <name val="Arial"/>
      <family val="2"/>
    </font>
    <font>
      <sz val="12"/>
      <color indexed="8"/>
      <name val="Arial"/>
      <family val="2"/>
    </font>
    <font>
      <sz val="11"/>
      <color indexed="8"/>
      <name val="Arial"/>
      <family val="2"/>
    </font>
    <font>
      <b/>
      <sz val="11"/>
      <color indexed="8"/>
      <name val="Arial"/>
      <family val="2"/>
    </font>
    <font>
      <strike/>
      <sz val="11"/>
      <color indexed="8"/>
      <name val="Arial"/>
      <family val="2"/>
    </font>
    <font>
      <sz val="11"/>
      <color indexed="17"/>
      <name val="Arial"/>
      <family val="2"/>
    </font>
    <font>
      <b/>
      <sz val="8"/>
      <color indexed="8"/>
      <name val="Arial"/>
      <family val="2"/>
    </font>
    <font>
      <sz val="10"/>
      <color indexed="12"/>
      <name val="Arial"/>
      <family val="2"/>
    </font>
    <font>
      <b/>
      <sz val="16"/>
      <color indexed="10"/>
      <name val="Arial"/>
      <family val="2"/>
    </font>
    <font>
      <b/>
      <u/>
      <sz val="10"/>
      <color indexed="8"/>
      <name val="Arial"/>
      <family val="2"/>
    </font>
    <font>
      <sz val="18"/>
      <color indexed="8"/>
      <name val="Arial"/>
      <family val="2"/>
    </font>
    <font>
      <strike/>
      <sz val="11"/>
      <color indexed="10"/>
      <name val="Arial"/>
      <family val="2"/>
    </font>
    <font>
      <strike/>
      <sz val="11"/>
      <name val="Arial"/>
      <family val="2"/>
    </font>
    <font>
      <b/>
      <strike/>
      <sz val="11"/>
      <color indexed="10"/>
      <name val="Arial"/>
      <family val="2"/>
    </font>
    <font>
      <sz val="12"/>
      <color indexed="9"/>
      <name val="Arial"/>
      <family val="2"/>
    </font>
    <font>
      <sz val="12"/>
      <color indexed="43"/>
      <name val="Arial"/>
      <family val="2"/>
    </font>
    <font>
      <u val="singleAccounting"/>
      <sz val="12"/>
      <name val="Arial"/>
      <family val="2"/>
    </font>
    <font>
      <b/>
      <u/>
      <sz val="12"/>
      <name val="Arial"/>
      <family val="2"/>
    </font>
    <font>
      <i/>
      <sz val="12"/>
      <name val="Arial"/>
      <family val="2"/>
    </font>
    <font>
      <b/>
      <strike/>
      <sz val="12"/>
      <color indexed="10"/>
      <name val="Arial"/>
      <family val="2"/>
    </font>
    <font>
      <strike/>
      <sz val="12"/>
      <name val="Arial"/>
      <family val="2"/>
    </font>
    <font>
      <b/>
      <i/>
      <sz val="12"/>
      <name val="Arial"/>
      <family val="2"/>
    </font>
    <font>
      <b/>
      <sz val="12"/>
      <color indexed="56"/>
      <name val="Arial"/>
      <family val="2"/>
    </font>
    <font>
      <strike/>
      <sz val="12"/>
      <color indexed="10"/>
      <name val="Arial"/>
      <family val="2"/>
    </font>
    <font>
      <sz val="12"/>
      <color indexed="12"/>
      <name val="Arial"/>
      <family val="2"/>
    </font>
    <font>
      <strike/>
      <sz val="10"/>
      <name val="Arial"/>
      <family val="2"/>
    </font>
    <font>
      <b/>
      <strike/>
      <sz val="10"/>
      <name val="Arial"/>
      <family val="2"/>
    </font>
    <font>
      <b/>
      <sz val="10"/>
      <color indexed="12"/>
      <name val="Arial"/>
      <family val="2"/>
    </font>
    <font>
      <sz val="8"/>
      <color indexed="61"/>
      <name val="Arial"/>
      <family val="2"/>
    </font>
    <font>
      <u/>
      <sz val="10"/>
      <color indexed="8"/>
      <name val="Arial"/>
      <family val="2"/>
    </font>
    <font>
      <sz val="8"/>
      <color indexed="8"/>
      <name val="Arial"/>
      <family val="2"/>
    </font>
    <font>
      <b/>
      <sz val="10"/>
      <color indexed="56"/>
      <name val="Arial"/>
      <family val="2"/>
    </font>
    <font>
      <sz val="10"/>
      <color indexed="56"/>
      <name val="Arial"/>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color theme="0"/>
      <name val="Calibri"/>
      <family val="2"/>
    </font>
    <font>
      <b/>
      <sz val="9"/>
      <color theme="0"/>
      <name val="Arial"/>
      <family val="2"/>
    </font>
    <font>
      <sz val="10"/>
      <color rgb="FF000000"/>
      <name val="Arial"/>
      <family val="2"/>
    </font>
    <font>
      <b/>
      <sz val="14"/>
      <name val="Calibri"/>
      <family val="2"/>
      <scheme val="minor"/>
    </font>
    <font>
      <sz val="11"/>
      <color indexed="8"/>
      <name val="Verdana"/>
      <family val="2"/>
    </font>
    <font>
      <u/>
      <sz val="10"/>
      <color theme="10"/>
      <name val="Arial"/>
      <family val="2"/>
    </font>
    <font>
      <u/>
      <sz val="10"/>
      <color rgb="FFFFFF00"/>
      <name val="Arial"/>
      <family val="2"/>
    </font>
    <font>
      <sz val="12"/>
      <color rgb="FFFFFF00"/>
      <name val="Arial"/>
      <family val="2"/>
    </font>
    <font>
      <b/>
      <sz val="12"/>
      <color rgb="FFFFFF00"/>
      <name val="Arial"/>
      <family val="2"/>
    </font>
    <font>
      <sz val="12"/>
      <color rgb="FFFFFF99"/>
      <name val="Arial"/>
      <family val="2"/>
    </font>
    <font>
      <u/>
      <sz val="10"/>
      <color rgb="FFFFFF99"/>
      <name val="Arial"/>
      <family val="2"/>
    </font>
    <font>
      <sz val="10"/>
      <color rgb="FFFFFF99"/>
      <name val="Arial"/>
      <family val="2"/>
    </font>
    <font>
      <sz val="4"/>
      <color rgb="FFFFFF99"/>
      <name val="Arial"/>
      <family val="2"/>
    </font>
    <font>
      <b/>
      <sz val="4"/>
      <color rgb="FFFFFF99"/>
      <name val="Arial"/>
      <family val="2"/>
    </font>
    <font>
      <b/>
      <sz val="4"/>
      <color rgb="FFFFFF99"/>
      <name val="Times New Roman"/>
      <family val="1"/>
    </font>
    <font>
      <sz val="11"/>
      <color rgb="FFFFFF99"/>
      <name val="Arial"/>
      <family val="2"/>
    </font>
    <font>
      <b/>
      <sz val="12"/>
      <color rgb="FFFFFF99"/>
      <name val="Arial"/>
      <family val="2"/>
    </font>
    <font>
      <b/>
      <u/>
      <sz val="11"/>
      <color indexed="8"/>
      <name val="Arial"/>
      <family val="2"/>
    </font>
    <font>
      <sz val="11"/>
      <color theme="1"/>
      <name val="Arial"/>
      <family val="2"/>
    </font>
  </fonts>
  <fills count="64">
    <fill>
      <patternFill patternType="none"/>
    </fill>
    <fill>
      <patternFill patternType="gray125"/>
    </fill>
    <fill>
      <patternFill patternType="solid">
        <fgColor indexed="32"/>
        <bgColor indexed="64"/>
      </patternFill>
    </fill>
    <fill>
      <patternFill patternType="solid">
        <fgColor indexed="43"/>
        <bgColor indexed="64"/>
      </patternFill>
    </fill>
    <fill>
      <patternFill patternType="solid">
        <fgColor indexed="9"/>
        <bgColor indexed="64"/>
      </patternFill>
    </fill>
    <fill>
      <patternFill patternType="solid">
        <fgColor indexed="43"/>
      </patternFill>
    </fill>
    <fill>
      <patternFill patternType="solid">
        <fgColor indexed="43"/>
        <bgColor indexed="8"/>
      </patternFill>
    </fill>
    <fill>
      <patternFill patternType="solid">
        <fgColor indexed="18"/>
        <bgColor indexed="64"/>
      </patternFill>
    </fill>
    <fill>
      <patternFill patternType="solid">
        <fgColor indexed="56"/>
        <bgColor indexed="64"/>
      </patternFill>
    </fill>
    <fill>
      <patternFill patternType="solid">
        <fgColor indexed="22"/>
        <bgColor indexed="64"/>
      </patternFill>
    </fill>
    <fill>
      <patternFill patternType="solid">
        <fgColor indexed="13"/>
        <bgColor indexed="64"/>
      </patternFill>
    </fill>
    <fill>
      <patternFill patternType="solid">
        <fgColor indexed="47"/>
        <bgColor indexed="64"/>
      </patternFill>
    </fill>
    <fill>
      <patternFill patternType="solid">
        <fgColor indexed="11"/>
        <bgColor indexed="64"/>
      </patternFill>
    </fill>
    <fill>
      <patternFill patternType="solid">
        <fgColor indexed="15"/>
        <bgColor indexed="64"/>
      </patternFill>
    </fill>
    <fill>
      <patternFill patternType="solid">
        <fgColor indexed="42"/>
        <bgColor indexed="64"/>
      </patternFill>
    </fill>
    <fill>
      <patternFill patternType="solid">
        <fgColor indexed="45"/>
        <bgColor indexed="64"/>
      </patternFill>
    </fill>
    <fill>
      <patternFill patternType="solid">
        <fgColor indexed="46"/>
        <bgColor indexed="64"/>
      </patternFill>
    </fill>
    <fill>
      <patternFill patternType="solid">
        <fgColor indexed="51"/>
        <bgColor indexed="64"/>
      </patternFill>
    </fill>
    <fill>
      <patternFill patternType="solid">
        <fgColor indexed="44"/>
        <bgColor indexed="64"/>
      </patternFill>
    </fill>
    <fill>
      <patternFill patternType="solid">
        <fgColor indexed="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0000"/>
        <bgColor indexed="64"/>
      </patternFill>
    </fill>
    <fill>
      <patternFill patternType="solid">
        <fgColor rgb="FFFFC000"/>
        <bgColor indexed="64"/>
      </patternFill>
    </fill>
    <fill>
      <patternFill patternType="solid">
        <fgColor rgb="FFE0F0FF"/>
        <bgColor indexed="64"/>
      </patternFill>
    </fill>
    <fill>
      <patternFill patternType="solid">
        <fgColor theme="4" tint="0.59996337778862885"/>
        <bgColor indexed="64"/>
      </patternFill>
    </fill>
    <fill>
      <patternFill patternType="solid">
        <fgColor rgb="FFFF99CC"/>
        <bgColor indexed="64"/>
      </patternFill>
    </fill>
    <fill>
      <patternFill patternType="solid">
        <fgColor theme="2" tint="-0.24994659260841701"/>
        <bgColor indexed="64"/>
      </patternFill>
    </fill>
    <fill>
      <patternFill patternType="solid">
        <fgColor rgb="FFFFFF99"/>
        <bgColor indexed="64"/>
      </patternFill>
    </fill>
    <fill>
      <patternFill patternType="solid">
        <fgColor theme="2" tint="-9.9948118533890809E-2"/>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FFFF00"/>
        <bgColor indexed="64"/>
      </patternFill>
    </fill>
    <fill>
      <patternFill patternType="solid">
        <fgColor theme="3" tint="0.79998168889431442"/>
        <bgColor indexed="64"/>
      </patternFill>
    </fill>
    <fill>
      <patternFill patternType="solid">
        <fgColor theme="0"/>
        <bgColor indexed="64"/>
      </patternFill>
    </fill>
  </fills>
  <borders count="7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dashed">
        <color indexed="64"/>
      </bottom>
      <diagonal/>
    </border>
    <border>
      <left/>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right/>
      <top style="medium">
        <color indexed="64"/>
      </top>
      <bottom/>
      <diagonal/>
    </border>
    <border>
      <left/>
      <right/>
      <top/>
      <bottom style="thin">
        <color indexed="8"/>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right/>
      <top/>
      <bottom style="thin">
        <color auto="1"/>
      </bottom>
      <diagonal/>
    </border>
  </borders>
  <cellStyleXfs count="187">
    <xf numFmtId="0" fontId="0" fillId="0" borderId="0"/>
    <xf numFmtId="0" fontId="99" fillId="20" borderId="0" applyNumberFormat="0" applyBorder="0" applyAlignment="0" applyProtection="0"/>
    <xf numFmtId="0" fontId="99" fillId="21" borderId="0" applyNumberFormat="0" applyBorder="0" applyAlignment="0" applyProtection="0"/>
    <xf numFmtId="0" fontId="99" fillId="22" borderId="0" applyNumberFormat="0" applyBorder="0" applyAlignment="0" applyProtection="0"/>
    <xf numFmtId="0" fontId="99" fillId="23" borderId="0" applyNumberFormat="0" applyBorder="0" applyAlignment="0" applyProtection="0"/>
    <xf numFmtId="0" fontId="99" fillId="24" borderId="0" applyNumberFormat="0" applyBorder="0" applyAlignment="0" applyProtection="0"/>
    <xf numFmtId="0" fontId="99" fillId="25" borderId="0" applyNumberFormat="0" applyBorder="0" applyAlignment="0" applyProtection="0"/>
    <xf numFmtId="0" fontId="99" fillId="26" borderId="0" applyNumberFormat="0" applyBorder="0" applyAlignment="0" applyProtection="0"/>
    <xf numFmtId="0" fontId="99" fillId="27" borderId="0" applyNumberFormat="0" applyBorder="0" applyAlignment="0" applyProtection="0"/>
    <xf numFmtId="0" fontId="99" fillId="28" borderId="0" applyNumberFormat="0" applyBorder="0" applyAlignment="0" applyProtection="0"/>
    <xf numFmtId="0" fontId="99" fillId="29" borderId="0" applyNumberFormat="0" applyBorder="0" applyAlignment="0" applyProtection="0"/>
    <xf numFmtId="0" fontId="99" fillId="30" borderId="0" applyNumberFormat="0" applyBorder="0" applyAlignment="0" applyProtection="0"/>
    <xf numFmtId="0" fontId="99" fillId="31" borderId="0" applyNumberFormat="0" applyBorder="0" applyAlignment="0" applyProtection="0"/>
    <xf numFmtId="0" fontId="100" fillId="32" borderId="0" applyNumberFormat="0" applyBorder="0" applyAlignment="0" applyProtection="0"/>
    <xf numFmtId="0" fontId="100" fillId="33" borderId="0" applyNumberFormat="0" applyBorder="0" applyAlignment="0" applyProtection="0"/>
    <xf numFmtId="0" fontId="100" fillId="34" borderId="0" applyNumberFormat="0" applyBorder="0" applyAlignment="0" applyProtection="0"/>
    <xf numFmtId="0" fontId="100" fillId="35" borderId="0" applyNumberFormat="0" applyBorder="0" applyAlignment="0" applyProtection="0"/>
    <xf numFmtId="0" fontId="100" fillId="36" borderId="0" applyNumberFormat="0" applyBorder="0" applyAlignment="0" applyProtection="0"/>
    <xf numFmtId="0" fontId="100" fillId="37" borderId="0" applyNumberFormat="0" applyBorder="0" applyAlignment="0" applyProtection="0"/>
    <xf numFmtId="0" fontId="100" fillId="38" borderId="0" applyNumberFormat="0" applyBorder="0" applyAlignment="0" applyProtection="0"/>
    <xf numFmtId="0" fontId="100" fillId="39" borderId="0" applyNumberFormat="0" applyBorder="0" applyAlignment="0" applyProtection="0"/>
    <xf numFmtId="0" fontId="100" fillId="40" borderId="0" applyNumberFormat="0" applyBorder="0" applyAlignment="0" applyProtection="0"/>
    <xf numFmtId="0" fontId="100" fillId="41" borderId="0" applyNumberFormat="0" applyBorder="0" applyAlignment="0" applyProtection="0"/>
    <xf numFmtId="0" fontId="100" fillId="42" borderId="0" applyNumberFormat="0" applyBorder="0" applyAlignment="0" applyProtection="0"/>
    <xf numFmtId="0" fontId="100" fillId="43" borderId="0" applyNumberFormat="0" applyBorder="0" applyAlignment="0" applyProtection="0"/>
    <xf numFmtId="0" fontId="101" fillId="44" borderId="0" applyNumberFormat="0" applyBorder="0" applyAlignment="0" applyProtection="0"/>
    <xf numFmtId="0" fontId="102" fillId="45" borderId="64" applyNumberFormat="0" applyAlignment="0" applyProtection="0"/>
    <xf numFmtId="0" fontId="103" fillId="46" borderId="65" applyNumberFormat="0" applyAlignment="0" applyProtection="0"/>
    <xf numFmtId="16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 fillId="0" borderId="0" applyFont="0" applyFill="0" applyBorder="0" applyAlignment="0" applyProtection="0"/>
    <xf numFmtId="43" fontId="4" fillId="0" borderId="0" applyFont="0" applyFill="0" applyBorder="0" applyAlignment="0" applyProtection="0"/>
    <xf numFmtId="174" fontId="11" fillId="2" borderId="1">
      <alignment horizontal="right" vertical="top"/>
    </xf>
    <xf numFmtId="185" fontId="30" fillId="2" borderId="1">
      <alignment horizontal="center" vertical="top"/>
    </xf>
    <xf numFmtId="166" fontId="4" fillId="0" borderId="0" applyFont="0" applyFill="0" applyBorder="0" applyAlignment="0" applyProtection="0"/>
    <xf numFmtId="0" fontId="104" fillId="0" borderId="0" applyNumberFormat="0" applyFill="0" applyBorder="0" applyAlignment="0" applyProtection="0"/>
    <xf numFmtId="0" fontId="105" fillId="47" borderId="0" applyNumberFormat="0" applyBorder="0" applyAlignment="0" applyProtection="0"/>
    <xf numFmtId="0" fontId="14" fillId="3" borderId="0"/>
    <xf numFmtId="0" fontId="106" fillId="0" borderId="66" applyNumberFormat="0" applyFill="0" applyAlignment="0" applyProtection="0"/>
    <xf numFmtId="0" fontId="107" fillId="0" borderId="67" applyNumberFormat="0" applyFill="0" applyAlignment="0" applyProtection="0"/>
    <xf numFmtId="0" fontId="108" fillId="0" borderId="68" applyNumberFormat="0" applyFill="0" applyAlignment="0" applyProtection="0"/>
    <xf numFmtId="0" fontId="108" fillId="0" borderId="0" applyNumberFormat="0" applyFill="0" applyBorder="0" applyAlignment="0" applyProtection="0"/>
    <xf numFmtId="0" fontId="4" fillId="4" borderId="0" applyNumberFormat="0" applyFont="0" applyBorder="0" applyAlignment="0">
      <protection locked="0"/>
    </xf>
    <xf numFmtId="0" fontId="109" fillId="48" borderId="64" applyNumberFormat="0" applyAlignment="0" applyProtection="0"/>
    <xf numFmtId="0" fontId="10" fillId="3" borderId="0" applyNumberFormat="0">
      <alignment horizontal="left" vertical="top"/>
    </xf>
    <xf numFmtId="0" fontId="110" fillId="0" borderId="69" applyNumberFormat="0" applyFill="0" applyAlignment="0" applyProtection="0"/>
    <xf numFmtId="0" fontId="5" fillId="3" borderId="0"/>
    <xf numFmtId="0" fontId="111" fillId="49" borderId="0" applyNumberFormat="0" applyBorder="0" applyAlignment="0" applyProtection="0"/>
    <xf numFmtId="0" fontId="99" fillId="0" borderId="0"/>
    <xf numFmtId="0" fontId="4" fillId="0" borderId="0"/>
    <xf numFmtId="1" fontId="32" fillId="0" borderId="0"/>
    <xf numFmtId="0" fontId="32" fillId="0" borderId="0"/>
    <xf numFmtId="173" fontId="32" fillId="0" borderId="0"/>
    <xf numFmtId="0" fontId="99" fillId="50" borderId="70" applyNumberFormat="0" applyFont="0" applyAlignment="0" applyProtection="0"/>
    <xf numFmtId="0" fontId="112" fillId="45" borderId="71" applyNumberFormat="0" applyAlignment="0" applyProtection="0"/>
    <xf numFmtId="9" fontId="4" fillId="0" borderId="0" applyFont="0" applyFill="0" applyBorder="0" applyAlignment="0" applyProtection="0"/>
    <xf numFmtId="0" fontId="10" fillId="3" borderId="0">
      <alignment horizontal="right"/>
    </xf>
    <xf numFmtId="0" fontId="16" fillId="3" borderId="0">
      <alignment horizontal="left"/>
    </xf>
    <xf numFmtId="0" fontId="113" fillId="0" borderId="0" applyNumberFormat="0" applyFill="0" applyBorder="0" applyAlignment="0" applyProtection="0"/>
    <xf numFmtId="0" fontId="114" fillId="0" borderId="72" applyNumberFormat="0" applyFill="0" applyAlignment="0" applyProtection="0"/>
    <xf numFmtId="0" fontId="115" fillId="0" borderId="0" applyNumberFormat="0" applyFill="0" applyBorder="0" applyAlignment="0" applyProtection="0"/>
    <xf numFmtId="0" fontId="121" fillId="0" borderId="0" applyNumberFormat="0" applyFill="0" applyBorder="0" applyAlignment="0" applyProtection="0"/>
    <xf numFmtId="0" fontId="4" fillId="0" borderId="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185" fontId="22" fillId="2" borderId="1">
      <alignment horizontal="center" vertical="top"/>
    </xf>
    <xf numFmtId="0" fontId="6" fillId="3" borderId="0"/>
    <xf numFmtId="0" fontId="5" fillId="3" borderId="0" applyNumberFormat="0">
      <alignment horizontal="left" vertical="top"/>
    </xf>
    <xf numFmtId="0" fontId="3" fillId="0" borderId="0"/>
    <xf numFmtId="0" fontId="3" fillId="50" borderId="70" applyNumberFormat="0" applyFont="0" applyAlignment="0" applyProtection="0"/>
    <xf numFmtId="0" fontId="5" fillId="3" borderId="0">
      <alignment horizontal="right"/>
    </xf>
    <xf numFmtId="0" fontId="4" fillId="0" borderId="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185" fontId="22" fillId="2" borderId="1">
      <alignment horizontal="center" vertical="top"/>
    </xf>
    <xf numFmtId="0" fontId="6" fillId="3" borderId="0"/>
    <xf numFmtId="0" fontId="5" fillId="3" borderId="0" applyNumberFormat="0">
      <alignment horizontal="left" vertical="top"/>
    </xf>
    <xf numFmtId="0" fontId="3" fillId="0" borderId="0"/>
    <xf numFmtId="0" fontId="3" fillId="50" borderId="70" applyNumberFormat="0" applyFont="0" applyAlignment="0" applyProtection="0"/>
    <xf numFmtId="0" fontId="5" fillId="3" borderId="0">
      <alignment horizontal="right"/>
    </xf>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50" borderId="7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50" borderId="7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50" borderId="70" applyNumberFormat="0" applyFont="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50" borderId="70" applyNumberFormat="0" applyFont="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50" borderId="70" applyNumberFormat="0" applyFont="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50" borderId="70" applyNumberFormat="0" applyFont="0" applyAlignment="0" applyProtection="0"/>
  </cellStyleXfs>
  <cellXfs count="2488">
    <xf numFmtId="0" fontId="0" fillId="0" borderId="0" xfId="0"/>
    <xf numFmtId="0" fontId="5" fillId="3" borderId="0" xfId="0" applyFont="1" applyFill="1" applyProtection="1"/>
    <xf numFmtId="168" fontId="0" fillId="3" borderId="0" xfId="0" applyNumberFormat="1" applyFill="1" applyAlignment="1" applyProtection="1">
      <alignment horizontal="left"/>
    </xf>
    <xf numFmtId="0" fontId="0" fillId="3" borderId="0" xfId="0" applyFill="1" applyProtection="1"/>
    <xf numFmtId="169" fontId="0" fillId="3" borderId="0" xfId="28" applyNumberFormat="1" applyFont="1" applyFill="1" applyProtection="1"/>
    <xf numFmtId="0" fontId="0" fillId="3" borderId="0" xfId="0" applyFill="1"/>
    <xf numFmtId="0" fontId="6" fillId="3" borderId="0" xfId="0" applyFont="1" applyFill="1" applyProtection="1"/>
    <xf numFmtId="0" fontId="0" fillId="3" borderId="0" xfId="0" applyNumberFormat="1" applyFill="1" applyProtection="1"/>
    <xf numFmtId="0" fontId="10" fillId="3" borderId="0" xfId="0" applyFont="1" applyFill="1" applyAlignment="1" applyProtection="1">
      <alignment horizontal="right"/>
    </xf>
    <xf numFmtId="0" fontId="10" fillId="3" borderId="0" xfId="0" applyFont="1" applyFill="1" applyProtection="1"/>
    <xf numFmtId="169" fontId="0" fillId="3" borderId="0" xfId="28" applyNumberFormat="1" applyFont="1" applyFill="1" applyBorder="1" applyProtection="1"/>
    <xf numFmtId="0" fontId="0" fillId="3" borderId="0" xfId="0" applyFill="1" applyAlignment="1" applyProtection="1">
      <alignment horizontal="left"/>
    </xf>
    <xf numFmtId="171" fontId="0" fillId="3" borderId="0" xfId="28" applyNumberFormat="1" applyFont="1" applyFill="1" applyProtection="1"/>
    <xf numFmtId="0" fontId="0" fillId="3" borderId="0" xfId="0" applyFill="1" applyAlignment="1" applyProtection="1">
      <alignment horizontal="right"/>
    </xf>
    <xf numFmtId="0" fontId="10" fillId="3" borderId="0" xfId="0" applyFont="1" applyFill="1" applyAlignment="1" applyProtection="1">
      <alignment horizontal="left"/>
    </xf>
    <xf numFmtId="0" fontId="0" fillId="3" borderId="0" xfId="0" applyFill="1" applyBorder="1" applyProtection="1"/>
    <xf numFmtId="0" fontId="15" fillId="3" borderId="0" xfId="0" applyFont="1" applyFill="1" applyAlignment="1" applyProtection="1">
      <alignment wrapText="1"/>
    </xf>
    <xf numFmtId="0" fontId="5" fillId="3" borderId="0" xfId="0" applyFont="1" applyFill="1" applyAlignment="1" applyProtection="1">
      <alignment horizontal="left"/>
    </xf>
    <xf numFmtId="0" fontId="0" fillId="3" borderId="2" xfId="0" applyFill="1" applyBorder="1" applyProtection="1"/>
    <xf numFmtId="175" fontId="10" fillId="3" borderId="0" xfId="28" applyNumberFormat="1" applyFont="1" applyFill="1" applyBorder="1" applyAlignment="1" applyProtection="1">
      <alignment horizontal="right"/>
    </xf>
    <xf numFmtId="175" fontId="10" fillId="3" borderId="0" xfId="28" applyNumberFormat="1" applyFont="1" applyFill="1" applyAlignment="1" applyProtection="1">
      <alignment horizontal="right"/>
    </xf>
    <xf numFmtId="0" fontId="0" fillId="3" borderId="0" xfId="0" applyFont="1" applyFill="1" applyAlignment="1" applyProtection="1"/>
    <xf numFmtId="0" fontId="0" fillId="3" borderId="0" xfId="0" applyFill="1" applyAlignment="1" applyProtection="1"/>
    <xf numFmtId="37" fontId="0" fillId="3" borderId="0" xfId="0" applyNumberFormat="1" applyFill="1" applyBorder="1" applyProtection="1"/>
    <xf numFmtId="0" fontId="14" fillId="3" borderId="0" xfId="0" applyFont="1" applyFill="1" applyProtection="1"/>
    <xf numFmtId="0" fontId="0" fillId="3" borderId="3" xfId="0" applyFill="1" applyBorder="1" applyProtection="1"/>
    <xf numFmtId="0" fontId="6" fillId="3" borderId="0" xfId="0" applyNumberFormat="1" applyFont="1" applyFill="1" applyAlignment="1" applyProtection="1">
      <alignment horizontal="left"/>
    </xf>
    <xf numFmtId="0" fontId="16" fillId="3" borderId="0" xfId="0" applyFont="1" applyFill="1" applyProtection="1"/>
    <xf numFmtId="0" fontId="0" fillId="3" borderId="0" xfId="0" applyFill="1" applyBorder="1" applyAlignment="1" applyProtection="1">
      <alignment horizontal="right"/>
    </xf>
    <xf numFmtId="0" fontId="17" fillId="3" borderId="0" xfId="0" applyFont="1" applyFill="1" applyProtection="1"/>
    <xf numFmtId="0" fontId="15" fillId="3" borderId="0" xfId="0" applyFont="1" applyFill="1" applyProtection="1"/>
    <xf numFmtId="0" fontId="0" fillId="3" borderId="0" xfId="0" applyFill="1" applyBorder="1" applyAlignment="1" applyProtection="1">
      <alignment horizontal="left"/>
    </xf>
    <xf numFmtId="0" fontId="10" fillId="3" borderId="0" xfId="0" applyFont="1" applyFill="1" applyAlignment="1" applyProtection="1">
      <alignment horizontal="left" vertical="top"/>
    </xf>
    <xf numFmtId="39" fontId="0" fillId="3" borderId="0" xfId="0" applyNumberFormat="1" applyFill="1" applyProtection="1"/>
    <xf numFmtId="0" fontId="0" fillId="3" borderId="0" xfId="0" applyFill="1" applyAlignment="1" applyProtection="1">
      <alignment horizontal="left" wrapText="1"/>
    </xf>
    <xf numFmtId="0" fontId="0" fillId="3" borderId="1" xfId="0" applyFill="1" applyBorder="1" applyProtection="1"/>
    <xf numFmtId="0" fontId="0" fillId="3" borderId="0" xfId="0" applyFill="1" applyAlignment="1" applyProtection="1">
      <alignment vertical="top" wrapText="1"/>
    </xf>
    <xf numFmtId="0" fontId="0" fillId="3" borderId="0" xfId="0" applyFill="1" applyAlignment="1" applyProtection="1">
      <alignment wrapText="1"/>
    </xf>
    <xf numFmtId="0" fontId="0" fillId="3" borderId="1" xfId="0" applyFill="1" applyBorder="1" applyAlignment="1" applyProtection="1">
      <alignment horizontal="center" wrapText="1"/>
    </xf>
    <xf numFmtId="0" fontId="15" fillId="3" borderId="0" xfId="0" applyFont="1" applyFill="1" applyAlignment="1" applyProtection="1"/>
    <xf numFmtId="0" fontId="14" fillId="3" borderId="0" xfId="0" applyFont="1" applyFill="1" applyAlignment="1" applyProtection="1"/>
    <xf numFmtId="0" fontId="20" fillId="3" borderId="0" xfId="0" applyFont="1" applyFill="1" applyProtection="1"/>
    <xf numFmtId="0" fontId="21" fillId="3" borderId="0" xfId="0" applyFont="1" applyFill="1" applyProtection="1"/>
    <xf numFmtId="0" fontId="6" fillId="3" borderId="0" xfId="0" applyFont="1" applyFill="1" applyAlignment="1" applyProtection="1">
      <alignment horizontal="left"/>
    </xf>
    <xf numFmtId="39" fontId="0" fillId="3" borderId="0" xfId="0" applyNumberFormat="1" applyFill="1" applyBorder="1" applyAlignment="1" applyProtection="1"/>
    <xf numFmtId="0" fontId="0" fillId="3" borderId="4" xfId="0" applyFill="1" applyBorder="1" applyProtection="1"/>
    <xf numFmtId="0" fontId="5" fillId="3" borderId="0" xfId="0" applyFont="1" applyFill="1" applyAlignment="1" applyProtection="1"/>
    <xf numFmtId="169" fontId="4" fillId="3" borderId="0" xfId="28" applyNumberFormat="1" applyFill="1" applyProtection="1"/>
    <xf numFmtId="39" fontId="0" fillId="3" borderId="3" xfId="0" applyNumberFormat="1" applyFill="1" applyBorder="1" applyProtection="1"/>
    <xf numFmtId="0" fontId="4" fillId="3" borderId="0" xfId="28" applyNumberFormat="1" applyFont="1" applyFill="1" applyProtection="1"/>
    <xf numFmtId="37" fontId="0" fillId="3" borderId="0" xfId="0" applyNumberFormat="1" applyFill="1" applyBorder="1" applyAlignment="1" applyProtection="1">
      <alignment horizontal="right"/>
    </xf>
    <xf numFmtId="0" fontId="10" fillId="3" borderId="0" xfId="0" applyFont="1" applyFill="1" applyBorder="1" applyAlignment="1" applyProtection="1">
      <alignment horizontal="right"/>
    </xf>
    <xf numFmtId="37" fontId="0" fillId="3" borderId="0" xfId="0" applyNumberFormat="1" applyFill="1" applyAlignment="1" applyProtection="1">
      <alignment horizontal="right"/>
    </xf>
    <xf numFmtId="37" fontId="10" fillId="3" borderId="0" xfId="0" applyNumberFormat="1" applyFont="1" applyFill="1" applyAlignment="1" applyProtection="1">
      <alignment horizontal="right"/>
    </xf>
    <xf numFmtId="37" fontId="0" fillId="3" borderId="0" xfId="45" applyNumberFormat="1" applyFont="1" applyFill="1" applyBorder="1" applyAlignment="1" applyProtection="1">
      <alignment horizontal="right"/>
    </xf>
    <xf numFmtId="0" fontId="24" fillId="3" borderId="0" xfId="0" applyFont="1" applyFill="1" applyAlignment="1" applyProtection="1">
      <alignment horizontal="left"/>
    </xf>
    <xf numFmtId="3" fontId="0" fillId="3" borderId="0" xfId="0" applyNumberFormat="1" applyFill="1" applyBorder="1" applyProtection="1"/>
    <xf numFmtId="0" fontId="0" fillId="0" borderId="0" xfId="0" applyFill="1" applyProtection="1"/>
    <xf numFmtId="186" fontId="0" fillId="3" borderId="3" xfId="0" applyNumberFormat="1" applyFill="1" applyBorder="1" applyProtection="1"/>
    <xf numFmtId="37" fontId="15" fillId="3" borderId="0" xfId="0" applyNumberFormat="1" applyFont="1" applyFill="1" applyProtection="1"/>
    <xf numFmtId="0" fontId="14" fillId="6" borderId="0" xfId="0" applyNumberFormat="1" applyFont="1" applyFill="1" applyProtection="1"/>
    <xf numFmtId="174" fontId="11" fillId="2" borderId="1" xfId="35" applyProtection="1">
      <alignment horizontal="right" vertical="top"/>
    </xf>
    <xf numFmtId="37" fontId="0" fillId="3" borderId="4" xfId="0" applyNumberFormat="1" applyFill="1" applyBorder="1" applyAlignment="1" applyProtection="1">
      <alignment horizontal="right"/>
    </xf>
    <xf numFmtId="0" fontId="10" fillId="3" borderId="5" xfId="0" applyFont="1" applyFill="1" applyBorder="1" applyAlignment="1" applyProtection="1">
      <alignment horizontal="right"/>
    </xf>
    <xf numFmtId="186" fontId="0" fillId="3" borderId="4" xfId="0" applyNumberFormat="1" applyFill="1" applyBorder="1" applyProtection="1"/>
    <xf numFmtId="171" fontId="0" fillId="3" borderId="5" xfId="28" applyNumberFormat="1" applyFont="1" applyFill="1" applyBorder="1" applyProtection="1"/>
    <xf numFmtId="0" fontId="5" fillId="3" borderId="0" xfId="0" applyFont="1" applyFill="1" applyBorder="1" applyProtection="1"/>
    <xf numFmtId="0" fontId="0" fillId="3" borderId="0" xfId="0" applyFill="1" applyBorder="1" applyAlignment="1" applyProtection="1">
      <alignment horizontal="center"/>
    </xf>
    <xf numFmtId="39" fontId="0" fillId="3" borderId="1" xfId="0" applyNumberFormat="1" applyFill="1" applyBorder="1" applyAlignment="1" applyProtection="1"/>
    <xf numFmtId="0" fontId="0" fillId="0" borderId="0" xfId="0" applyProtection="1"/>
    <xf numFmtId="169" fontId="4" fillId="3" borderId="0" xfId="28" applyNumberFormat="1" applyFont="1" applyFill="1" applyProtection="1"/>
    <xf numFmtId="0" fontId="0" fillId="3" borderId="0" xfId="0" applyFont="1" applyFill="1" applyBorder="1" applyAlignment="1" applyProtection="1"/>
    <xf numFmtId="0" fontId="0" fillId="3" borderId="0" xfId="0" applyFill="1" applyAlignment="1" applyProtection="1">
      <alignment horizontal="centerContinuous"/>
    </xf>
    <xf numFmtId="0" fontId="0" fillId="3" borderId="2" xfId="0" applyFill="1" applyBorder="1" applyAlignment="1" applyProtection="1">
      <alignment horizontal="centerContinuous"/>
    </xf>
    <xf numFmtId="0" fontId="0" fillId="3" borderId="3" xfId="0" applyFill="1" applyBorder="1" applyAlignment="1" applyProtection="1">
      <alignment horizontal="centerContinuous"/>
    </xf>
    <xf numFmtId="0" fontId="0" fillId="3" borderId="4" xfId="0" applyFill="1" applyBorder="1" applyAlignment="1" applyProtection="1">
      <alignment horizontal="centerContinuous"/>
    </xf>
    <xf numFmtId="0" fontId="0" fillId="0" borderId="0" xfId="0" applyAlignment="1" applyProtection="1">
      <alignment horizontal="center"/>
    </xf>
    <xf numFmtId="0" fontId="8" fillId="3" borderId="0" xfId="0" applyFont="1" applyFill="1" applyAlignment="1" applyProtection="1">
      <alignment horizontal="centerContinuous"/>
    </xf>
    <xf numFmtId="0" fontId="9" fillId="3" borderId="0" xfId="0" applyFont="1" applyFill="1" applyProtection="1"/>
    <xf numFmtId="0" fontId="9" fillId="0" borderId="0" xfId="0" applyFont="1" applyProtection="1"/>
    <xf numFmtId="37" fontId="5" fillId="3" borderId="0" xfId="0" applyNumberFormat="1" applyFont="1" applyFill="1" applyProtection="1"/>
    <xf numFmtId="174" fontId="11" fillId="3" borderId="0" xfId="35" applyFill="1" applyBorder="1" applyProtection="1">
      <alignment horizontal="right" vertical="top"/>
    </xf>
    <xf numFmtId="0" fontId="15" fillId="3" borderId="0" xfId="0" applyFont="1" applyFill="1" applyAlignment="1" applyProtection="1">
      <alignment horizontal="right"/>
    </xf>
    <xf numFmtId="37" fontId="15" fillId="3" borderId="0" xfId="0" applyNumberFormat="1" applyFont="1" applyFill="1" applyAlignment="1" applyProtection="1">
      <alignment horizontal="right"/>
    </xf>
    <xf numFmtId="0" fontId="21" fillId="3" borderId="0" xfId="0" applyFont="1" applyFill="1" applyAlignment="1" applyProtection="1">
      <alignment horizontal="left"/>
    </xf>
    <xf numFmtId="0" fontId="20" fillId="3" borderId="0" xfId="0" applyFont="1" applyFill="1" applyAlignment="1" applyProtection="1">
      <alignment horizontal="left"/>
    </xf>
    <xf numFmtId="0" fontId="16" fillId="3" borderId="0" xfId="0" applyFont="1" applyFill="1" applyAlignment="1" applyProtection="1"/>
    <xf numFmtId="0" fontId="0" fillId="3" borderId="6" xfId="0" applyFill="1" applyBorder="1" applyProtection="1"/>
    <xf numFmtId="0" fontId="15" fillId="3" borderId="0" xfId="0" applyFont="1" applyFill="1" applyBorder="1" applyProtection="1"/>
    <xf numFmtId="0" fontId="15" fillId="3" borderId="0" xfId="0" applyNumberFormat="1" applyFont="1" applyFill="1" applyProtection="1"/>
    <xf numFmtId="37" fontId="15" fillId="0" borderId="1" xfId="0" applyNumberFormat="1" applyFont="1" applyFill="1" applyBorder="1" applyProtection="1">
      <protection locked="0"/>
    </xf>
    <xf numFmtId="174" fontId="11" fillId="2" borderId="1" xfId="35" applyAlignment="1" applyProtection="1">
      <alignment horizontal="center" vertical="top"/>
    </xf>
    <xf numFmtId="39" fontId="4" fillId="0" borderId="1" xfId="45" applyNumberFormat="1" applyFill="1" applyBorder="1" applyAlignment="1" applyProtection="1">
      <protection locked="0"/>
    </xf>
    <xf numFmtId="0" fontId="5" fillId="3" borderId="0" xfId="0" applyFont="1" applyFill="1" applyAlignment="1" applyProtection="1">
      <alignment horizontal="right"/>
    </xf>
    <xf numFmtId="174" fontId="11" fillId="2" borderId="1" xfId="35" applyBorder="1" applyAlignment="1" applyProtection="1">
      <alignment horizontal="center" vertical="top"/>
    </xf>
    <xf numFmtId="39" fontId="4" fillId="3" borderId="1" xfId="45" applyNumberFormat="1" applyFill="1" applyBorder="1" applyAlignment="1" applyProtection="1"/>
    <xf numFmtId="39" fontId="4" fillId="4" borderId="1" xfId="45" applyNumberFormat="1" applyBorder="1" applyAlignment="1" applyProtection="1">
      <protection locked="0"/>
    </xf>
    <xf numFmtId="174" fontId="11" fillId="3" borderId="0" xfId="35" applyFill="1" applyBorder="1" applyAlignment="1" applyProtection="1">
      <alignment horizontal="center" vertical="top"/>
    </xf>
    <xf numFmtId="39" fontId="4" fillId="3" borderId="0" xfId="45" applyNumberFormat="1" applyFill="1" applyBorder="1" applyAlignment="1" applyProtection="1"/>
    <xf numFmtId="174" fontId="11" fillId="3" borderId="7" xfId="35" applyFill="1" applyBorder="1" applyAlignment="1" applyProtection="1">
      <alignment horizontal="center" vertical="top"/>
    </xf>
    <xf numFmtId="0" fontId="20" fillId="3" borderId="0" xfId="0" applyFont="1" applyFill="1" applyAlignment="1" applyProtection="1"/>
    <xf numFmtId="0" fontId="15" fillId="3" borderId="0" xfId="0" applyFont="1" applyFill="1" applyAlignment="1" applyProtection="1">
      <alignment horizontal="left"/>
    </xf>
    <xf numFmtId="3" fontId="0" fillId="3" borderId="0" xfId="0" applyNumberFormat="1" applyFill="1" applyBorder="1" applyAlignment="1" applyProtection="1">
      <alignment horizontal="right"/>
    </xf>
    <xf numFmtId="3" fontId="15" fillId="3" borderId="0" xfId="0" applyNumberFormat="1" applyFont="1" applyFill="1" applyBorder="1" applyAlignment="1" applyProtection="1">
      <alignment horizontal="right"/>
    </xf>
    <xf numFmtId="0" fontId="16" fillId="3" borderId="0" xfId="0" applyFont="1" applyFill="1" applyAlignment="1" applyProtection="1">
      <alignment horizontal="left"/>
    </xf>
    <xf numFmtId="0" fontId="0" fillId="3" borderId="0" xfId="0" applyFill="1" applyBorder="1" applyAlignment="1" applyProtection="1">
      <alignment wrapText="1"/>
    </xf>
    <xf numFmtId="0" fontId="33" fillId="3" borderId="0" xfId="0" applyFont="1" applyFill="1" applyProtection="1"/>
    <xf numFmtId="169" fontId="33" fillId="3" borderId="0" xfId="28" applyNumberFormat="1" applyFont="1" applyFill="1" applyProtection="1"/>
    <xf numFmtId="0" fontId="5" fillId="3" borderId="0" xfId="0" applyFont="1" applyFill="1" applyBorder="1" applyAlignment="1" applyProtection="1"/>
    <xf numFmtId="0" fontId="16" fillId="3" borderId="0" xfId="0" applyFont="1" applyFill="1" applyAlignment="1" applyProtection="1">
      <alignment horizontal="center"/>
    </xf>
    <xf numFmtId="0" fontId="5" fillId="3" borderId="0" xfId="0" quotePrefix="1" applyFont="1" applyFill="1" applyAlignment="1" applyProtection="1">
      <alignment horizontal="left"/>
    </xf>
    <xf numFmtId="191" fontId="0" fillId="3" borderId="1" xfId="0" applyNumberFormat="1" applyFill="1" applyBorder="1" applyProtection="1"/>
    <xf numFmtId="191" fontId="0" fillId="3" borderId="0" xfId="0" applyNumberFormat="1" applyFill="1" applyBorder="1" applyProtection="1"/>
    <xf numFmtId="0" fontId="5" fillId="6" borderId="0" xfId="0" applyNumberFormat="1" applyFont="1" applyFill="1" applyProtection="1"/>
    <xf numFmtId="0" fontId="16" fillId="3" borderId="0" xfId="0" applyFont="1" applyFill="1" applyAlignment="1">
      <alignment horizontal="center" vertical="top"/>
    </xf>
    <xf numFmtId="0" fontId="15" fillId="3" borderId="0" xfId="0" applyFont="1" applyFill="1" applyAlignment="1">
      <alignment horizontal="center"/>
    </xf>
    <xf numFmtId="0" fontId="15" fillId="3" borderId="0" xfId="0" applyFont="1" applyFill="1"/>
    <xf numFmtId="0" fontId="15" fillId="3" borderId="0" xfId="0" applyFont="1" applyFill="1" applyAlignment="1">
      <alignment vertical="top"/>
    </xf>
    <xf numFmtId="0" fontId="0" fillId="0" borderId="0" xfId="0" applyFill="1"/>
    <xf numFmtId="0" fontId="5" fillId="3" borderId="0" xfId="0" applyFont="1" applyFill="1" applyAlignment="1" applyProtection="1">
      <alignment horizontal="center"/>
    </xf>
    <xf numFmtId="0" fontId="15" fillId="0" borderId="0" xfId="0" applyFont="1" applyProtection="1"/>
    <xf numFmtId="0" fontId="7" fillId="3" borderId="0" xfId="0" applyFont="1" applyFill="1" applyBorder="1" applyAlignment="1" applyProtection="1">
      <alignment horizontal="centerContinuous" vertical="center"/>
    </xf>
    <xf numFmtId="0" fontId="9" fillId="3" borderId="0" xfId="0" applyFont="1" applyFill="1" applyAlignment="1" applyProtection="1">
      <alignment vertical="center"/>
    </xf>
    <xf numFmtId="184" fontId="35" fillId="3" borderId="0" xfId="0" applyNumberFormat="1" applyFont="1" applyFill="1" applyAlignment="1">
      <alignment horizontal="center" vertical="top"/>
    </xf>
    <xf numFmtId="0" fontId="28" fillId="3" borderId="0" xfId="0" applyFont="1" applyFill="1" applyProtection="1"/>
    <xf numFmtId="2" fontId="4" fillId="3" borderId="4" xfId="32" applyNumberFormat="1" applyFill="1" applyBorder="1" applyProtection="1"/>
    <xf numFmtId="2" fontId="4" fillId="3" borderId="0" xfId="32" applyNumberFormat="1" applyFill="1" applyProtection="1"/>
    <xf numFmtId="181" fontId="4" fillId="3" borderId="0" xfId="32" applyNumberFormat="1" applyFill="1" applyProtection="1"/>
    <xf numFmtId="181" fontId="4" fillId="3" borderId="0" xfId="32" applyNumberFormat="1" applyFill="1" applyBorder="1" applyProtection="1"/>
    <xf numFmtId="175" fontId="5" fillId="3" borderId="0" xfId="0" applyNumberFormat="1" applyFont="1" applyFill="1" applyBorder="1" applyAlignment="1" applyProtection="1">
      <alignment horizontal="left"/>
    </xf>
    <xf numFmtId="0" fontId="28" fillId="3" borderId="0" xfId="0" applyFont="1" applyFill="1" applyBorder="1" applyProtection="1"/>
    <xf numFmtId="0" fontId="15" fillId="3" borderId="0" xfId="0" applyNumberFormat="1" applyFont="1" applyFill="1" applyAlignment="1" applyProtection="1">
      <alignment horizontal="right"/>
    </xf>
    <xf numFmtId="0" fontId="18" fillId="3" borderId="0" xfId="0" applyFont="1" applyFill="1" applyProtection="1"/>
    <xf numFmtId="171" fontId="28" fillId="3" borderId="0" xfId="0" applyNumberFormat="1" applyFont="1" applyFill="1" applyProtection="1"/>
    <xf numFmtId="171" fontId="4" fillId="3" borderId="0" xfId="30" applyNumberFormat="1" applyFill="1" applyProtection="1"/>
    <xf numFmtId="0" fontId="36" fillId="3" borderId="0" xfId="0" applyFont="1" applyFill="1" applyProtection="1"/>
    <xf numFmtId="0" fontId="31" fillId="3" borderId="0" xfId="0" applyFont="1" applyFill="1" applyProtection="1"/>
    <xf numFmtId="0" fontId="37" fillId="3" borderId="0" xfId="0" applyFont="1" applyFill="1" applyProtection="1"/>
    <xf numFmtId="0" fontId="23" fillId="3" borderId="0" xfId="0" applyFont="1" applyFill="1" applyProtection="1"/>
    <xf numFmtId="0" fontId="23" fillId="3" borderId="0" xfId="0" applyFont="1" applyFill="1" applyAlignment="1" applyProtection="1">
      <alignment horizontal="left"/>
    </xf>
    <xf numFmtId="0" fontId="23" fillId="3" borderId="0" xfId="0" applyFont="1" applyFill="1" applyAlignment="1" applyProtection="1"/>
    <xf numFmtId="3" fontId="23" fillId="3" borderId="0" xfId="30" applyNumberFormat="1" applyFont="1" applyFill="1" applyBorder="1" applyProtection="1"/>
    <xf numFmtId="169" fontId="15" fillId="3" borderId="0" xfId="30" applyNumberFormat="1" applyFont="1" applyFill="1" applyProtection="1"/>
    <xf numFmtId="174" fontId="11" fillId="7" borderId="1" xfId="0" applyNumberFormat="1" applyFont="1" applyFill="1" applyBorder="1" applyAlignment="1" applyProtection="1">
      <alignment horizontal="right" vertical="top"/>
    </xf>
    <xf numFmtId="0" fontId="15" fillId="3" borderId="2" xfId="0" applyFont="1" applyFill="1" applyBorder="1" applyProtection="1"/>
    <xf numFmtId="0" fontId="4" fillId="3" borderId="3" xfId="45" applyFill="1" applyBorder="1" applyProtection="1"/>
    <xf numFmtId="0" fontId="15" fillId="3" borderId="8" xfId="0" applyFont="1" applyFill="1" applyBorder="1" applyAlignment="1" applyProtection="1">
      <alignment horizontal="center"/>
    </xf>
    <xf numFmtId="0" fontId="0" fillId="3" borderId="8" xfId="0" applyFill="1" applyBorder="1" applyAlignment="1" applyProtection="1">
      <alignment horizontal="center"/>
    </xf>
    <xf numFmtId="171" fontId="4" fillId="3" borderId="0" xfId="30" applyNumberFormat="1" applyFill="1" applyBorder="1" applyProtection="1"/>
    <xf numFmtId="169" fontId="15" fillId="3" borderId="0" xfId="28" applyNumberFormat="1" applyFont="1" applyFill="1" applyProtection="1"/>
    <xf numFmtId="0" fontId="15" fillId="3" borderId="0" xfId="0" applyFont="1" applyFill="1" applyBorder="1" applyAlignment="1" applyProtection="1">
      <alignment wrapText="1"/>
    </xf>
    <xf numFmtId="0" fontId="5" fillId="3" borderId="0" xfId="59" applyFont="1" applyFill="1" applyProtection="1">
      <alignment horizontal="right"/>
    </xf>
    <xf numFmtId="0" fontId="38" fillId="3" borderId="0" xfId="40" applyFont="1" applyFill="1" applyProtection="1"/>
    <xf numFmtId="0" fontId="5" fillId="3" borderId="0" xfId="59" applyFont="1" applyFill="1" applyBorder="1" applyProtection="1">
      <alignment horizontal="right"/>
    </xf>
    <xf numFmtId="0" fontId="5" fillId="3" borderId="0" xfId="47" applyFont="1" applyFill="1" applyProtection="1">
      <alignment horizontal="left" vertical="top"/>
    </xf>
    <xf numFmtId="3" fontId="15" fillId="3" borderId="0" xfId="0" applyNumberFormat="1" applyFont="1" applyFill="1" applyBorder="1" applyAlignment="1" applyProtection="1">
      <alignment horizontal="center"/>
    </xf>
    <xf numFmtId="0" fontId="5" fillId="3" borderId="0" xfId="0" applyFont="1" applyFill="1" applyBorder="1" applyAlignment="1" applyProtection="1">
      <alignment horizontal="right"/>
    </xf>
    <xf numFmtId="0" fontId="15" fillId="3" borderId="0" xfId="0" applyFont="1" applyFill="1" applyBorder="1" applyAlignment="1" applyProtection="1">
      <alignment horizontal="center"/>
    </xf>
    <xf numFmtId="169" fontId="15" fillId="3" borderId="0" xfId="28" applyNumberFormat="1" applyFont="1" applyFill="1" applyBorder="1" applyProtection="1"/>
    <xf numFmtId="0" fontId="5" fillId="3" borderId="0" xfId="0" applyFont="1" applyFill="1" applyBorder="1" applyAlignment="1" applyProtection="1">
      <alignment horizontal="left" vertical="center"/>
    </xf>
    <xf numFmtId="2" fontId="15" fillId="3" borderId="3" xfId="28" applyNumberFormat="1" applyFont="1" applyFill="1" applyBorder="1" applyProtection="1"/>
    <xf numFmtId="37" fontId="15" fillId="3" borderId="4" xfId="28" applyNumberFormat="1" applyFont="1" applyFill="1" applyBorder="1" applyAlignment="1" applyProtection="1">
      <alignment horizontal="right"/>
    </xf>
    <xf numFmtId="0" fontId="15" fillId="3" borderId="0" xfId="0" applyNumberFormat="1" applyFont="1" applyFill="1" applyBorder="1" applyProtection="1"/>
    <xf numFmtId="169" fontId="15" fillId="3" borderId="0" xfId="34" applyNumberFormat="1" applyFont="1" applyFill="1" applyBorder="1" applyProtection="1"/>
    <xf numFmtId="0" fontId="15" fillId="6" borderId="0" xfId="0" applyNumberFormat="1" applyFont="1" applyFill="1" applyProtection="1"/>
    <xf numFmtId="0" fontId="16" fillId="3" borderId="10" xfId="0" applyFont="1" applyFill="1" applyBorder="1" applyAlignment="1" applyProtection="1">
      <alignment horizontal="center" wrapText="1"/>
    </xf>
    <xf numFmtId="0" fontId="15" fillId="6" borderId="1" xfId="0" applyNumberFormat="1" applyFont="1" applyFill="1" applyBorder="1" applyAlignment="1" applyProtection="1">
      <alignment horizontal="center"/>
    </xf>
    <xf numFmtId="0" fontId="5" fillId="5" borderId="1" xfId="0" applyNumberFormat="1" applyFont="1" applyFill="1" applyBorder="1" applyAlignment="1" applyProtection="1">
      <alignment horizontal="left"/>
    </xf>
    <xf numFmtId="0" fontId="15" fillId="5" borderId="1" xfId="0" applyNumberFormat="1" applyFont="1" applyFill="1" applyBorder="1" applyAlignment="1" applyProtection="1">
      <alignment horizontal="left" wrapText="1"/>
    </xf>
    <xf numFmtId="0" fontId="15" fillId="5" borderId="0" xfId="0" applyNumberFormat="1" applyFont="1" applyFill="1" applyAlignment="1" applyProtection="1">
      <alignment horizontal="left" wrapText="1"/>
    </xf>
    <xf numFmtId="0" fontId="15" fillId="6" borderId="0" xfId="0" applyNumberFormat="1" applyFont="1" applyFill="1" applyAlignment="1" applyProtection="1">
      <alignment horizontal="right"/>
    </xf>
    <xf numFmtId="0" fontId="15" fillId="3" borderId="1" xfId="0" applyFont="1" applyFill="1" applyBorder="1" applyAlignment="1" applyProtection="1">
      <alignment horizontal="center" wrapText="1"/>
    </xf>
    <xf numFmtId="2" fontId="15" fillId="3" borderId="0" xfId="28" applyNumberFormat="1" applyFont="1" applyFill="1" applyProtection="1"/>
    <xf numFmtId="2" fontId="15" fillId="4" borderId="1" xfId="45" applyNumberFormat="1" applyFont="1" applyBorder="1" applyAlignment="1" applyProtection="1">
      <alignment horizontal="right"/>
      <protection locked="0"/>
    </xf>
    <xf numFmtId="2" fontId="19" fillId="3" borderId="0" xfId="35" applyNumberFormat="1" applyFont="1" applyFill="1" applyBorder="1" applyProtection="1">
      <alignment horizontal="right" vertical="top"/>
    </xf>
    <xf numFmtId="2" fontId="15" fillId="6" borderId="0" xfId="0" applyNumberFormat="1" applyFont="1" applyFill="1" applyAlignment="1" applyProtection="1">
      <alignment horizontal="right"/>
    </xf>
    <xf numFmtId="2" fontId="15" fillId="5" borderId="0" xfId="0" applyNumberFormat="1" applyFont="1" applyFill="1" applyAlignment="1" applyProtection="1">
      <alignment horizontal="right" wrapText="1"/>
    </xf>
    <xf numFmtId="0" fontId="15" fillId="3" borderId="1" xfId="0" applyNumberFormat="1" applyFont="1" applyFill="1" applyBorder="1" applyAlignment="1" applyProtection="1">
      <alignment horizontal="left"/>
    </xf>
    <xf numFmtId="37" fontId="15" fillId="3" borderId="0" xfId="32" applyNumberFormat="1" applyFont="1" applyFill="1" applyBorder="1" applyAlignment="1" applyProtection="1">
      <alignment horizontal="right"/>
    </xf>
    <xf numFmtId="0" fontId="0" fillId="3" borderId="11" xfId="0" applyFill="1" applyBorder="1" applyProtection="1"/>
    <xf numFmtId="169" fontId="21" fillId="3" borderId="0" xfId="28" applyNumberFormat="1" applyFont="1" applyFill="1" applyProtection="1"/>
    <xf numFmtId="0" fontId="20" fillId="3" borderId="0" xfId="0" applyFont="1" applyFill="1" applyBorder="1" applyAlignment="1" applyProtection="1">
      <alignment horizontal="left"/>
    </xf>
    <xf numFmtId="0" fontId="21" fillId="3" borderId="0" xfId="0" applyFont="1" applyFill="1" applyBorder="1" applyAlignment="1" applyProtection="1"/>
    <xf numFmtId="39" fontId="21" fillId="3" borderId="0" xfId="0" applyNumberFormat="1" applyFont="1" applyFill="1" applyBorder="1" applyAlignment="1" applyProtection="1">
      <alignment horizontal="right"/>
    </xf>
    <xf numFmtId="37" fontId="21" fillId="3" borderId="0" xfId="0" applyNumberFormat="1" applyFont="1" applyFill="1" applyBorder="1" applyAlignment="1" applyProtection="1"/>
    <xf numFmtId="0" fontId="21" fillId="3" borderId="0" xfId="0" applyFont="1" applyFill="1" applyBorder="1" applyProtection="1"/>
    <xf numFmtId="0" fontId="9" fillId="3" borderId="0" xfId="0" applyFont="1" applyFill="1" applyBorder="1" applyAlignment="1" applyProtection="1">
      <alignment horizontal="left" vertical="center" wrapText="1"/>
    </xf>
    <xf numFmtId="0" fontId="21" fillId="3" borderId="0" xfId="0" applyFont="1" applyFill="1" applyBorder="1" applyAlignment="1" applyProtection="1">
      <alignment horizontal="center"/>
    </xf>
    <xf numFmtId="0" fontId="0" fillId="3" borderId="0" xfId="0" applyNumberFormat="1" applyFill="1" applyBorder="1" applyAlignment="1" applyProtection="1">
      <alignment horizontal="center"/>
    </xf>
    <xf numFmtId="0" fontId="5" fillId="3" borderId="1" xfId="0" applyNumberFormat="1" applyFont="1" applyFill="1" applyBorder="1" applyAlignment="1" applyProtection="1">
      <alignment horizontal="left" wrapText="1"/>
    </xf>
    <xf numFmtId="0" fontId="40" fillId="0" borderId="0" xfId="0" applyFont="1"/>
    <xf numFmtId="0" fontId="41" fillId="0" borderId="0" xfId="54" applyFont="1" applyBorder="1" applyAlignment="1"/>
    <xf numFmtId="2" fontId="40" fillId="0" borderId="0" xfId="0" applyNumberFormat="1" applyFont="1"/>
    <xf numFmtId="3" fontId="40" fillId="0" borderId="0" xfId="0" applyNumberFormat="1" applyFont="1"/>
    <xf numFmtId="3" fontId="15" fillId="3" borderId="1" xfId="30" applyNumberFormat="1" applyFont="1" applyFill="1" applyBorder="1" applyProtection="1"/>
    <xf numFmtId="0" fontId="43" fillId="3" borderId="0" xfId="0" applyFont="1" applyFill="1" applyAlignment="1" applyProtection="1">
      <alignment horizontal="center"/>
    </xf>
    <xf numFmtId="0" fontId="44" fillId="3" borderId="0" xfId="0" applyFont="1" applyFill="1" applyProtection="1"/>
    <xf numFmtId="0" fontId="21" fillId="3" borderId="2" xfId="0" applyFont="1" applyFill="1" applyBorder="1" applyProtection="1"/>
    <xf numFmtId="0" fontId="21" fillId="3" borderId="8" xfId="0" applyFont="1" applyFill="1" applyBorder="1" applyAlignment="1" applyProtection="1">
      <alignment horizontal="center"/>
    </xf>
    <xf numFmtId="0" fontId="21" fillId="3" borderId="0" xfId="0" applyFont="1" applyFill="1" applyAlignment="1" applyProtection="1">
      <alignment vertical="top" wrapText="1"/>
    </xf>
    <xf numFmtId="0" fontId="9" fillId="3" borderId="0" xfId="0" applyFont="1" applyFill="1" applyBorder="1" applyProtection="1"/>
    <xf numFmtId="0" fontId="0" fillId="4" borderId="12" xfId="0" applyFill="1" applyBorder="1" applyProtection="1">
      <protection locked="0"/>
    </xf>
    <xf numFmtId="0" fontId="0" fillId="4" borderId="13" xfId="0" applyFill="1" applyBorder="1" applyProtection="1">
      <protection locked="0"/>
    </xf>
    <xf numFmtId="0" fontId="0" fillId="4" borderId="7" xfId="0" applyFill="1" applyBorder="1" applyProtection="1">
      <protection locked="0"/>
    </xf>
    <xf numFmtId="0" fontId="0" fillId="4" borderId="14" xfId="0" applyFill="1" applyBorder="1" applyProtection="1">
      <protection locked="0"/>
    </xf>
    <xf numFmtId="0" fontId="0" fillId="4" borderId="15" xfId="0" applyFill="1" applyBorder="1" applyProtection="1">
      <protection locked="0"/>
    </xf>
    <xf numFmtId="0" fontId="46" fillId="3" borderId="0" xfId="0" applyFont="1" applyFill="1" applyAlignment="1" applyProtection="1">
      <alignment horizontal="center" vertical="center" wrapText="1"/>
    </xf>
    <xf numFmtId="0" fontId="37" fillId="3" borderId="0" xfId="0" applyFont="1" applyFill="1" applyBorder="1" applyProtection="1"/>
    <xf numFmtId="4" fontId="15" fillId="3" borderId="0" xfId="30" applyNumberFormat="1" applyFont="1" applyFill="1" applyBorder="1" applyProtection="1"/>
    <xf numFmtId="173" fontId="0" fillId="3" borderId="0" xfId="28" applyNumberFormat="1" applyFont="1" applyFill="1" applyBorder="1" applyAlignment="1" applyProtection="1">
      <alignment horizontal="center"/>
    </xf>
    <xf numFmtId="39" fontId="15" fillId="3" borderId="0" xfId="0" applyNumberFormat="1" applyFont="1" applyFill="1" applyAlignment="1" applyProtection="1">
      <alignment horizontal="center"/>
    </xf>
    <xf numFmtId="0" fontId="47" fillId="3" borderId="0" xfId="0" applyFont="1" applyFill="1" applyBorder="1" applyAlignment="1" applyProtection="1">
      <alignment horizontal="center"/>
    </xf>
    <xf numFmtId="0" fontId="15" fillId="0" borderId="0" xfId="55" applyNumberFormat="1" applyFont="1" applyFill="1" applyBorder="1" applyAlignment="1">
      <alignment horizontal="center"/>
    </xf>
    <xf numFmtId="0" fontId="15" fillId="0" borderId="0" xfId="55" applyNumberFormat="1" applyFont="1" applyFill="1" applyBorder="1" applyAlignment="1"/>
    <xf numFmtId="3" fontId="12" fillId="0" borderId="0" xfId="53" applyNumberFormat="1" applyFont="1" applyFill="1" applyBorder="1" applyAlignment="1"/>
    <xf numFmtId="0" fontId="40" fillId="0" borderId="0" xfId="0" applyFont="1" applyBorder="1"/>
    <xf numFmtId="3" fontId="0" fillId="3" borderId="1" xfId="28" applyNumberFormat="1" applyFont="1" applyFill="1" applyBorder="1" applyAlignment="1" applyProtection="1">
      <alignment horizontal="right"/>
    </xf>
    <xf numFmtId="169" fontId="0" fillId="3" borderId="4" xfId="28" applyNumberFormat="1" applyFont="1" applyFill="1" applyBorder="1" applyProtection="1"/>
    <xf numFmtId="0" fontId="15" fillId="3" borderId="0" xfId="0" applyFont="1" applyFill="1" applyBorder="1" applyAlignment="1" applyProtection="1">
      <alignment horizontal="left" vertical="center"/>
    </xf>
    <xf numFmtId="0" fontId="29" fillId="3" borderId="0" xfId="0" applyFont="1" applyFill="1" applyProtection="1"/>
    <xf numFmtId="3" fontId="40" fillId="0" borderId="0" xfId="0" applyNumberFormat="1" applyFont="1" applyBorder="1"/>
    <xf numFmtId="0" fontId="0" fillId="3" borderId="0" xfId="0" applyFill="1" applyBorder="1" applyProtection="1">
      <protection locked="0"/>
    </xf>
    <xf numFmtId="0" fontId="4" fillId="3" borderId="4" xfId="45" applyFill="1" applyBorder="1" applyProtection="1"/>
    <xf numFmtId="0" fontId="16" fillId="3" borderId="0" xfId="0" applyFont="1" applyFill="1" applyBorder="1" applyProtection="1"/>
    <xf numFmtId="0" fontId="20" fillId="3" borderId="0" xfId="0" applyFont="1" applyFill="1" applyAlignment="1" applyProtection="1">
      <alignment horizontal="left" vertical="center"/>
    </xf>
    <xf numFmtId="195" fontId="0" fillId="3" borderId="0" xfId="0" applyNumberFormat="1" applyFill="1" applyBorder="1" applyAlignment="1" applyProtection="1">
      <alignment horizontal="right" vertical="center"/>
    </xf>
    <xf numFmtId="0" fontId="28" fillId="3" borderId="0" xfId="0" applyFont="1" applyFill="1" applyBorder="1" applyAlignment="1" applyProtection="1">
      <alignment horizontal="left" vertical="center"/>
    </xf>
    <xf numFmtId="185" fontId="23" fillId="3" borderId="0" xfId="36" applyFont="1" applyFill="1" applyBorder="1" applyProtection="1">
      <alignment horizontal="center" vertical="top"/>
    </xf>
    <xf numFmtId="0" fontId="51" fillId="3" borderId="0" xfId="0" applyNumberFormat="1" applyFont="1" applyFill="1" applyBorder="1" applyAlignment="1" applyProtection="1">
      <alignment horizontal="left" wrapText="1"/>
    </xf>
    <xf numFmtId="0" fontId="51" fillId="3" borderId="0" xfId="0" applyNumberFormat="1" applyFont="1" applyFill="1" applyBorder="1" applyAlignment="1" applyProtection="1">
      <alignment horizontal="left"/>
    </xf>
    <xf numFmtId="0" fontId="6" fillId="3" borderId="0" xfId="0" applyNumberFormat="1" applyFont="1" applyFill="1" applyAlignment="1" applyProtection="1"/>
    <xf numFmtId="0" fontId="26" fillId="0" borderId="0" xfId="52" applyFont="1" applyFill="1" applyBorder="1" applyAlignment="1">
      <alignment wrapText="1"/>
    </xf>
    <xf numFmtId="0" fontId="53" fillId="0" borderId="0" xfId="52" applyFont="1" applyAlignment="1"/>
    <xf numFmtId="0" fontId="54" fillId="8" borderId="0" xfId="52" applyFont="1" applyFill="1" applyBorder="1" applyAlignment="1">
      <alignment horizontal="right"/>
    </xf>
    <xf numFmtId="0" fontId="52" fillId="9" borderId="16" xfId="52" applyFont="1" applyFill="1" applyBorder="1"/>
    <xf numFmtId="0" fontId="26" fillId="9" borderId="16" xfId="52" applyFont="1" applyFill="1" applyBorder="1"/>
    <xf numFmtId="0" fontId="26" fillId="9" borderId="0" xfId="52" applyFont="1" applyFill="1" applyBorder="1"/>
    <xf numFmtId="0" fontId="55" fillId="0" borderId="0" xfId="52" applyFont="1" applyBorder="1" applyAlignment="1">
      <alignment horizontal="left" indent="1"/>
    </xf>
    <xf numFmtId="195" fontId="26" fillId="0" borderId="0" xfId="52" applyNumberFormat="1" applyFont="1" applyBorder="1"/>
    <xf numFmtId="10" fontId="26" fillId="0" borderId="0" xfId="58" applyNumberFormat="1" applyFont="1" applyBorder="1"/>
    <xf numFmtId="0" fontId="55" fillId="0" borderId="7" xfId="52" applyFont="1" applyBorder="1" applyAlignment="1">
      <alignment horizontal="left" indent="1"/>
    </xf>
    <xf numFmtId="195" fontId="26" fillId="0" borderId="7" xfId="52" applyNumberFormat="1" applyFont="1" applyBorder="1"/>
    <xf numFmtId="0" fontId="55" fillId="0" borderId="0" xfId="52" applyFont="1" applyBorder="1"/>
    <xf numFmtId="195" fontId="26" fillId="0" borderId="0" xfId="52" applyNumberFormat="1" applyFont="1" applyFill="1" applyBorder="1"/>
    <xf numFmtId="0" fontId="56" fillId="3" borderId="11" xfId="52" applyFont="1" applyFill="1" applyBorder="1"/>
    <xf numFmtId="0" fontId="25" fillId="3" borderId="11" xfId="52" applyFont="1" applyFill="1" applyBorder="1" applyAlignment="1">
      <alignment horizontal="right" wrapText="1"/>
    </xf>
    <xf numFmtId="0" fontId="55" fillId="0" borderId="0" xfId="52" applyFont="1" applyFill="1" applyBorder="1" applyAlignment="1">
      <alignment horizontal="left" indent="1"/>
    </xf>
    <xf numFmtId="0" fontId="52" fillId="9" borderId="0" xfId="52" applyFont="1" applyFill="1" applyBorder="1"/>
    <xf numFmtId="195" fontId="26" fillId="0" borderId="7" xfId="52" applyNumberFormat="1" applyFont="1" applyFill="1" applyBorder="1"/>
    <xf numFmtId="0" fontId="55" fillId="0" borderId="7" xfId="52" applyFont="1" applyFill="1" applyBorder="1" applyAlignment="1">
      <alignment horizontal="left" indent="1"/>
    </xf>
    <xf numFmtId="0" fontId="57" fillId="0" borderId="0" xfId="52" applyFont="1" applyFill="1" applyBorder="1"/>
    <xf numFmtId="0" fontId="26" fillId="0" borderId="0" xfId="52" applyFont="1" applyFill="1" applyBorder="1"/>
    <xf numFmtId="0" fontId="58" fillId="0" borderId="0" xfId="52" applyFont="1" applyBorder="1"/>
    <xf numFmtId="0" fontId="51" fillId="0" borderId="17" xfId="0" applyFont="1" applyBorder="1"/>
    <xf numFmtId="0" fontId="51" fillId="0" borderId="5" xfId="0" applyFont="1" applyBorder="1"/>
    <xf numFmtId="0" fontId="51" fillId="0" borderId="5" xfId="0" applyFont="1" applyBorder="1" applyAlignment="1">
      <alignment horizontal="left" indent="2"/>
    </xf>
    <xf numFmtId="0" fontId="51" fillId="0" borderId="0" xfId="0" applyFont="1" applyBorder="1" applyAlignment="1">
      <alignment horizontal="left" indent="2"/>
    </xf>
    <xf numFmtId="0" fontId="51" fillId="0" borderId="17" xfId="0" applyFont="1" applyBorder="1" applyAlignment="1">
      <alignment horizontal="left" vertical="center" indent="2"/>
    </xf>
    <xf numFmtId="0" fontId="28" fillId="0" borderId="5" xfId="0" applyFont="1" applyBorder="1"/>
    <xf numFmtId="0" fontId="51" fillId="0" borderId="0" xfId="0" applyFont="1" applyBorder="1"/>
    <xf numFmtId="0" fontId="16" fillId="9" borderId="17" xfId="0" applyFont="1" applyFill="1" applyBorder="1"/>
    <xf numFmtId="0" fontId="26" fillId="10" borderId="0" xfId="52" applyFont="1" applyFill="1" applyBorder="1" applyAlignment="1">
      <alignment horizontal="center" wrapText="1"/>
    </xf>
    <xf numFmtId="0" fontId="17" fillId="3" borderId="0" xfId="0" applyFont="1" applyFill="1" applyAlignment="1" applyProtection="1"/>
    <xf numFmtId="0" fontId="5" fillId="0" borderId="0" xfId="0" applyFont="1"/>
    <xf numFmtId="0" fontId="49" fillId="3" borderId="0" xfId="0" applyFont="1" applyFill="1" applyAlignment="1">
      <alignment horizontal="left" vertical="top" wrapText="1"/>
    </xf>
    <xf numFmtId="0" fontId="5" fillId="3" borderId="0" xfId="0" applyFont="1" applyFill="1" applyAlignment="1">
      <alignment horizontal="left" vertical="top" wrapText="1"/>
    </xf>
    <xf numFmtId="0" fontId="5" fillId="0" borderId="0" xfId="55" applyNumberFormat="1" applyFont="1" applyFill="1" applyBorder="1" applyAlignment="1">
      <alignment horizontal="center"/>
    </xf>
    <xf numFmtId="0" fontId="5" fillId="0" borderId="0" xfId="0" applyFont="1" applyBorder="1"/>
    <xf numFmtId="3" fontId="61" fillId="0" borderId="0" xfId="53" applyNumberFormat="1" applyFont="1" applyFill="1" applyBorder="1" applyAlignment="1"/>
    <xf numFmtId="0" fontId="61" fillId="0" borderId="0" xfId="53" applyNumberFormat="1" applyFont="1" applyFill="1" applyBorder="1" applyAlignment="1"/>
    <xf numFmtId="195" fontId="26" fillId="11" borderId="0" xfId="52" applyNumberFormat="1" applyFont="1" applyFill="1" applyBorder="1"/>
    <xf numFmtId="0" fontId="26" fillId="0" borderId="0" xfId="52" applyNumberFormat="1" applyFont="1" applyFill="1" applyBorder="1"/>
    <xf numFmtId="0" fontId="56" fillId="3" borderId="11" xfId="0" applyFont="1" applyFill="1" applyBorder="1"/>
    <xf numFmtId="0" fontId="55" fillId="0" borderId="7" xfId="0" applyFont="1" applyFill="1" applyBorder="1" applyAlignment="1">
      <alignment horizontal="left" indent="1"/>
    </xf>
    <xf numFmtId="195" fontId="26" fillId="12" borderId="0" xfId="52" applyNumberFormat="1" applyFont="1" applyFill="1" applyBorder="1"/>
    <xf numFmtId="0" fontId="52" fillId="9" borderId="0" xfId="0" applyFont="1" applyFill="1" applyBorder="1"/>
    <xf numFmtId="0" fontId="55" fillId="0" borderId="0" xfId="0" applyFont="1" applyBorder="1" applyAlignment="1">
      <alignment horizontal="left" indent="1"/>
    </xf>
    <xf numFmtId="195" fontId="4" fillId="3" borderId="1" xfId="28" applyNumberFormat="1" applyFont="1" applyFill="1" applyBorder="1" applyAlignment="1" applyProtection="1">
      <alignment horizontal="center"/>
    </xf>
    <xf numFmtId="195" fontId="15" fillId="3" borderId="1" xfId="0" applyNumberFormat="1" applyFont="1" applyFill="1" applyBorder="1" applyAlignment="1" applyProtection="1">
      <alignment horizontal="center"/>
    </xf>
    <xf numFmtId="195" fontId="0" fillId="10" borderId="0" xfId="0" applyNumberFormat="1" applyFill="1"/>
    <xf numFmtId="0" fontId="51" fillId="13" borderId="5" xfId="0" applyFont="1" applyFill="1" applyBorder="1"/>
    <xf numFmtId="195" fontId="26" fillId="13" borderId="0" xfId="52" applyNumberFormat="1" applyFont="1" applyFill="1" applyBorder="1"/>
    <xf numFmtId="0" fontId="0" fillId="13" borderId="0" xfId="0" applyFill="1"/>
    <xf numFmtId="0" fontId="51" fillId="13" borderId="18" xfId="0" applyFont="1" applyFill="1" applyBorder="1"/>
    <xf numFmtId="0" fontId="51" fillId="13" borderId="17" xfId="0" applyFont="1" applyFill="1" applyBorder="1"/>
    <xf numFmtId="0" fontId="51" fillId="13" borderId="5" xfId="0" applyFont="1" applyFill="1" applyBorder="1" applyAlignment="1">
      <alignment horizontal="left" indent="2"/>
    </xf>
    <xf numFmtId="0" fontId="55" fillId="13" borderId="0" xfId="52" applyFont="1" applyFill="1" applyBorder="1" applyAlignment="1">
      <alignment horizontal="left" indent="1"/>
    </xf>
    <xf numFmtId="0" fontId="23" fillId="13" borderId="5" xfId="0" applyFont="1" applyFill="1" applyBorder="1"/>
    <xf numFmtId="0" fontId="25" fillId="3" borderId="0" xfId="52" applyFont="1" applyFill="1" applyBorder="1" applyAlignment="1">
      <alignment horizontal="right" wrapText="1"/>
    </xf>
    <xf numFmtId="0" fontId="54" fillId="8" borderId="0" xfId="52" applyFont="1" applyFill="1" applyBorder="1" applyAlignment="1">
      <alignment horizontal="center" wrapText="1"/>
    </xf>
    <xf numFmtId="0" fontId="26" fillId="9" borderId="0" xfId="52" applyFont="1" applyFill="1" applyBorder="1" applyAlignment="1">
      <alignment horizontal="center"/>
    </xf>
    <xf numFmtId="4" fontId="26" fillId="11" borderId="0" xfId="28" applyNumberFormat="1" applyFont="1" applyFill="1" applyBorder="1"/>
    <xf numFmtId="4" fontId="26" fillId="0" borderId="0" xfId="28" applyNumberFormat="1" applyFont="1" applyFill="1" applyBorder="1"/>
    <xf numFmtId="4" fontId="0" fillId="0" borderId="0" xfId="28" applyNumberFormat="1" applyFont="1" applyFill="1"/>
    <xf numFmtId="194" fontId="26" fillId="0" borderId="0" xfId="28" applyNumberFormat="1" applyFont="1" applyFill="1" applyBorder="1"/>
    <xf numFmtId="187" fontId="26" fillId="9" borderId="0" xfId="58" applyNumberFormat="1" applyFont="1" applyFill="1" applyBorder="1"/>
    <xf numFmtId="187" fontId="26" fillId="11" borderId="0" xfId="58" applyNumberFormat="1" applyFont="1" applyFill="1" applyBorder="1"/>
    <xf numFmtId="2" fontId="0" fillId="0" borderId="0" xfId="0" applyNumberFormat="1"/>
    <xf numFmtId="2" fontId="26" fillId="0" borderId="0" xfId="28" applyNumberFormat="1" applyFont="1" applyFill="1" applyBorder="1"/>
    <xf numFmtId="0" fontId="40" fillId="0" borderId="0" xfId="0" applyFont="1" applyFill="1"/>
    <xf numFmtId="3" fontId="15" fillId="0" borderId="0" xfId="53" applyNumberFormat="1" applyFont="1" applyFill="1" applyBorder="1" applyAlignment="1"/>
    <xf numFmtId="0" fontId="44" fillId="3" borderId="0" xfId="0" applyFont="1" applyFill="1" applyAlignment="1" applyProtection="1"/>
    <xf numFmtId="174" fontId="44" fillId="3" borderId="0" xfId="0" applyNumberFormat="1" applyFont="1" applyFill="1" applyProtection="1"/>
    <xf numFmtId="0" fontId="17" fillId="3" borderId="0" xfId="0" applyFont="1" applyFill="1" applyAlignment="1" applyProtection="1">
      <alignment horizontal="right"/>
    </xf>
    <xf numFmtId="0" fontId="44" fillId="3" borderId="0" xfId="0" applyFont="1" applyFill="1" applyAlignment="1" applyProtection="1">
      <alignment horizontal="right"/>
    </xf>
    <xf numFmtId="0" fontId="44" fillId="3" borderId="0" xfId="0" applyFont="1" applyFill="1" applyAlignment="1" applyProtection="1">
      <alignment horizontal="center" vertical="center" wrapText="1"/>
    </xf>
    <xf numFmtId="39" fontId="44" fillId="3" borderId="0" xfId="0" applyNumberFormat="1" applyFont="1" applyFill="1" applyBorder="1" applyProtection="1"/>
    <xf numFmtId="0" fontId="44" fillId="3" borderId="0" xfId="0" applyFont="1" applyFill="1" applyAlignment="1" applyProtection="1">
      <alignment horizontal="center"/>
    </xf>
    <xf numFmtId="3" fontId="44" fillId="3" borderId="0" xfId="0" applyNumberFormat="1" applyFont="1" applyFill="1" applyBorder="1" applyProtection="1"/>
    <xf numFmtId="3" fontId="44" fillId="3" borderId="1" xfId="0" applyNumberFormat="1" applyFont="1" applyFill="1" applyBorder="1" applyProtection="1"/>
    <xf numFmtId="4" fontId="44" fillId="3" borderId="0" xfId="0" applyNumberFormat="1" applyFont="1" applyFill="1" applyBorder="1" applyProtection="1"/>
    <xf numFmtId="0" fontId="44" fillId="3" borderId="0" xfId="0" applyFont="1" applyFill="1" applyBorder="1" applyAlignment="1" applyProtection="1">
      <alignment horizontal="left"/>
    </xf>
    <xf numFmtId="0" fontId="44" fillId="3" borderId="0" xfId="0" applyFont="1" applyFill="1" applyBorder="1" applyAlignment="1" applyProtection="1">
      <alignment horizontal="right"/>
    </xf>
    <xf numFmtId="174" fontId="44" fillId="3" borderId="0" xfId="0" applyNumberFormat="1" applyFont="1" applyFill="1" applyBorder="1" applyAlignment="1" applyProtection="1">
      <alignment horizontal="right"/>
    </xf>
    <xf numFmtId="174" fontId="63" fillId="2" borderId="1" xfId="35" applyFont="1" applyProtection="1">
      <alignment horizontal="right" vertical="top"/>
    </xf>
    <xf numFmtId="0" fontId="44" fillId="3" borderId="0" xfId="0" applyFont="1" applyFill="1" applyAlignment="1" applyProtection="1">
      <alignment horizontal="center" vertical="center"/>
    </xf>
    <xf numFmtId="0" fontId="17" fillId="3" borderId="0" xfId="0" applyFont="1" applyFill="1" applyAlignment="1" applyProtection="1">
      <alignment horizontal="left"/>
    </xf>
    <xf numFmtId="0" fontId="44" fillId="3" borderId="0" xfId="0" applyFont="1" applyFill="1" applyAlignment="1" applyProtection="1">
      <alignment horizontal="right" vertical="top"/>
    </xf>
    <xf numFmtId="0" fontId="44" fillId="3" borderId="0" xfId="0" applyFont="1" applyFill="1" applyAlignment="1" applyProtection="1">
      <alignment horizontal="right" wrapText="1"/>
    </xf>
    <xf numFmtId="2" fontId="44" fillId="3" borderId="0" xfId="28" applyNumberFormat="1" applyFont="1" applyFill="1" applyAlignment="1" applyProtection="1">
      <alignment horizontal="right"/>
    </xf>
    <xf numFmtId="195" fontId="44" fillId="3" borderId="0" xfId="0" applyNumberFormat="1" applyFont="1" applyFill="1" applyAlignment="1" applyProtection="1">
      <alignment horizontal="center" vertical="center"/>
    </xf>
    <xf numFmtId="0" fontId="44" fillId="3" borderId="0" xfId="0" applyFont="1" applyFill="1" applyAlignment="1" applyProtection="1">
      <alignment horizontal="left"/>
    </xf>
    <xf numFmtId="173" fontId="44" fillId="3" borderId="0" xfId="0" applyNumberFormat="1" applyFont="1" applyFill="1" applyAlignment="1" applyProtection="1">
      <alignment horizontal="center" vertical="center"/>
    </xf>
    <xf numFmtId="174" fontId="44" fillId="3" borderId="0" xfId="0" applyNumberFormat="1" applyFont="1" applyFill="1" applyAlignment="1" applyProtection="1"/>
    <xf numFmtId="0" fontId="44" fillId="3" borderId="0" xfId="0" applyFont="1" applyFill="1" applyAlignment="1" applyProtection="1">
      <alignment horizontal="left" vertical="top"/>
    </xf>
    <xf numFmtId="2" fontId="17" fillId="3" borderId="0" xfId="28" applyNumberFormat="1" applyFont="1" applyFill="1" applyAlignment="1" applyProtection="1">
      <alignment horizontal="right"/>
    </xf>
    <xf numFmtId="0" fontId="44" fillId="3" borderId="0" xfId="0" applyFont="1" applyFill="1" applyAlignment="1" applyProtection="1">
      <alignment vertical="top" wrapText="1"/>
    </xf>
    <xf numFmtId="0" fontId="44" fillId="3" borderId="0" xfId="0" applyFont="1" applyFill="1" applyBorder="1" applyAlignment="1" applyProtection="1">
      <alignment horizontal="center" wrapText="1"/>
    </xf>
    <xf numFmtId="175" fontId="17" fillId="3" borderId="0" xfId="28" applyNumberFormat="1" applyFont="1" applyFill="1" applyAlignment="1" applyProtection="1">
      <alignment horizontal="right"/>
    </xf>
    <xf numFmtId="0" fontId="44" fillId="3" borderId="0" xfId="0" applyFont="1" applyFill="1" applyBorder="1" applyAlignment="1" applyProtection="1">
      <alignment horizontal="center"/>
    </xf>
    <xf numFmtId="176" fontId="17" fillId="3" borderId="0" xfId="0" applyNumberFormat="1" applyFont="1" applyFill="1" applyAlignment="1" applyProtection="1">
      <alignment horizontal="right"/>
    </xf>
    <xf numFmtId="2" fontId="44" fillId="3" borderId="0" xfId="0" applyNumberFormat="1" applyFont="1" applyFill="1" applyBorder="1" applyAlignment="1" applyProtection="1">
      <alignment horizontal="right"/>
    </xf>
    <xf numFmtId="169" fontId="44" fillId="3" borderId="0" xfId="28" applyNumberFormat="1" applyFont="1" applyFill="1" applyProtection="1"/>
    <xf numFmtId="2" fontId="44" fillId="3" borderId="0" xfId="28" applyNumberFormat="1" applyFont="1" applyFill="1" applyBorder="1" applyAlignment="1" applyProtection="1">
      <alignment horizontal="right"/>
    </xf>
    <xf numFmtId="37" fontId="44" fillId="3" borderId="1" xfId="28" applyNumberFormat="1" applyFont="1" applyFill="1" applyBorder="1" applyProtection="1"/>
    <xf numFmtId="37" fontId="44" fillId="3" borderId="0" xfId="28" applyNumberFormat="1" applyFont="1" applyFill="1" applyBorder="1" applyProtection="1"/>
    <xf numFmtId="37" fontId="44" fillId="3" borderId="0" xfId="0" applyNumberFormat="1" applyFont="1" applyFill="1" applyProtection="1"/>
    <xf numFmtId="37" fontId="44" fillId="3" borderId="0" xfId="28" applyNumberFormat="1" applyFont="1" applyFill="1" applyProtection="1"/>
    <xf numFmtId="174" fontId="63" fillId="2" borderId="10" xfId="35" applyFont="1" applyBorder="1" applyProtection="1">
      <alignment horizontal="right" vertical="top"/>
    </xf>
    <xf numFmtId="174" fontId="63" fillId="3" borderId="0" xfId="35" applyFont="1" applyFill="1" applyBorder="1" applyProtection="1">
      <alignment horizontal="right" vertical="top"/>
    </xf>
    <xf numFmtId="173" fontId="44" fillId="3" borderId="0" xfId="0" applyNumberFormat="1" applyFont="1" applyFill="1" applyAlignment="1" applyProtection="1">
      <alignment horizontal="left"/>
    </xf>
    <xf numFmtId="0" fontId="44" fillId="3" borderId="0" xfId="0" applyFont="1" applyFill="1" applyBorder="1" applyProtection="1"/>
    <xf numFmtId="173" fontId="64" fillId="3" borderId="0" xfId="0" applyNumberFormat="1" applyFont="1" applyFill="1" applyAlignment="1" applyProtection="1">
      <alignment horizontal="left"/>
    </xf>
    <xf numFmtId="39" fontId="44" fillId="3" borderId="0" xfId="28" applyNumberFormat="1" applyFont="1" applyFill="1" applyBorder="1" applyProtection="1"/>
    <xf numFmtId="176" fontId="17" fillId="3" borderId="0" xfId="0" applyNumberFormat="1" applyFont="1" applyFill="1" applyBorder="1" applyAlignment="1" applyProtection="1">
      <alignment horizontal="right"/>
    </xf>
    <xf numFmtId="3" fontId="44" fillId="3" borderId="1" xfId="28" applyNumberFormat="1" applyFont="1" applyFill="1" applyBorder="1" applyProtection="1"/>
    <xf numFmtId="174" fontId="63" fillId="2" borderId="1" xfId="35" applyFont="1" applyBorder="1" applyProtection="1">
      <alignment horizontal="right" vertical="top"/>
    </xf>
    <xf numFmtId="37" fontId="65" fillId="3" borderId="0" xfId="0" applyNumberFormat="1" applyFont="1" applyFill="1" applyBorder="1" applyProtection="1"/>
    <xf numFmtId="39" fontId="17" fillId="3" borderId="0" xfId="0" applyNumberFormat="1" applyFont="1" applyFill="1" applyBorder="1" applyAlignment="1" applyProtection="1">
      <alignment horizontal="right"/>
    </xf>
    <xf numFmtId="37" fontId="44" fillId="3" borderId="7" xfId="28" applyNumberFormat="1" applyFont="1" applyFill="1" applyBorder="1" applyProtection="1"/>
    <xf numFmtId="39" fontId="17" fillId="3" borderId="0" xfId="0" applyNumberFormat="1" applyFont="1" applyFill="1" applyAlignment="1" applyProtection="1">
      <alignment horizontal="right"/>
    </xf>
    <xf numFmtId="37" fontId="44" fillId="3" borderId="0" xfId="0" applyNumberFormat="1" applyFont="1" applyFill="1" applyBorder="1" applyProtection="1"/>
    <xf numFmtId="39" fontId="44" fillId="3" borderId="0" xfId="0" applyNumberFormat="1" applyFont="1" applyFill="1" applyAlignment="1" applyProtection="1">
      <alignment horizontal="right"/>
    </xf>
    <xf numFmtId="37" fontId="44" fillId="3" borderId="0" xfId="28" applyNumberFormat="1" applyFont="1" applyFill="1" applyAlignment="1" applyProtection="1">
      <alignment horizontal="center"/>
    </xf>
    <xf numFmtId="0" fontId="44" fillId="3" borderId="0" xfId="0" applyFont="1" applyFill="1" applyAlignment="1" applyProtection="1">
      <alignment vertical="top"/>
    </xf>
    <xf numFmtId="0" fontId="44" fillId="3" borderId="0" xfId="0" applyFont="1" applyFill="1" applyBorder="1" applyAlignment="1" applyProtection="1">
      <alignment vertical="top"/>
    </xf>
    <xf numFmtId="37" fontId="64" fillId="3" borderId="0" xfId="28" applyNumberFormat="1" applyFont="1" applyFill="1" applyAlignment="1" applyProtection="1">
      <alignment wrapText="1"/>
    </xf>
    <xf numFmtId="0" fontId="44" fillId="3" borderId="0" xfId="0" applyFont="1" applyFill="1" applyAlignment="1" applyProtection="1">
      <alignment vertical="center"/>
    </xf>
    <xf numFmtId="191" fontId="44" fillId="3" borderId="1" xfId="0" applyNumberFormat="1" applyFont="1" applyFill="1" applyBorder="1" applyProtection="1"/>
    <xf numFmtId="191" fontId="44" fillId="3" borderId="0" xfId="0" applyNumberFormat="1" applyFont="1" applyFill="1" applyProtection="1"/>
    <xf numFmtId="191" fontId="44" fillId="3" borderId="0" xfId="0" applyNumberFormat="1" applyFont="1" applyFill="1" applyBorder="1" applyProtection="1"/>
    <xf numFmtId="191" fontId="44" fillId="3" borderId="0" xfId="28" applyNumberFormat="1" applyFont="1" applyFill="1" applyProtection="1"/>
    <xf numFmtId="191" fontId="44" fillId="3" borderId="0" xfId="28" applyNumberFormat="1" applyFont="1" applyFill="1" applyBorder="1" applyProtection="1"/>
    <xf numFmtId="10" fontId="44" fillId="3" borderId="0" xfId="0" applyNumberFormat="1" applyFont="1" applyFill="1" applyAlignment="1" applyProtection="1">
      <alignment horizontal="center"/>
    </xf>
    <xf numFmtId="37" fontId="44" fillId="3" borderId="11" xfId="28" applyNumberFormat="1" applyFont="1" applyFill="1" applyBorder="1" applyProtection="1"/>
    <xf numFmtId="0" fontId="17" fillId="3" borderId="0" xfId="0" applyFont="1" applyFill="1" applyBorder="1" applyProtection="1"/>
    <xf numFmtId="193" fontId="44" fillId="3" borderId="0" xfId="37" applyNumberFormat="1" applyFont="1" applyFill="1" applyBorder="1" applyProtection="1"/>
    <xf numFmtId="195" fontId="44" fillId="3" borderId="0" xfId="0" applyNumberFormat="1" applyFont="1" applyFill="1" applyAlignment="1" applyProtection="1">
      <alignment horizontal="center"/>
    </xf>
    <xf numFmtId="189" fontId="44" fillId="3" borderId="0" xfId="37" applyNumberFormat="1" applyFont="1" applyFill="1" applyAlignment="1" applyProtection="1">
      <alignment horizontal="center"/>
    </xf>
    <xf numFmtId="189" fontId="44" fillId="3" borderId="0" xfId="0" applyNumberFormat="1" applyFont="1" applyFill="1" applyProtection="1"/>
    <xf numFmtId="189" fontId="44" fillId="3" borderId="0" xfId="0" applyNumberFormat="1" applyFont="1" applyFill="1" applyAlignment="1" applyProtection="1">
      <alignment horizontal="center" vertical="center"/>
    </xf>
    <xf numFmtId="189" fontId="44" fillId="3" borderId="0" xfId="0" applyNumberFormat="1" applyFont="1" applyFill="1" applyAlignment="1" applyProtection="1"/>
    <xf numFmtId="195" fontId="44" fillId="3" borderId="0" xfId="0" applyNumberFormat="1" applyFont="1" applyFill="1" applyAlignment="1" applyProtection="1">
      <alignment horizontal="left"/>
    </xf>
    <xf numFmtId="0" fontId="17" fillId="3" borderId="0" xfId="0" applyFont="1" applyFill="1" applyAlignment="1" applyProtection="1">
      <alignment horizontal="left" vertical="top"/>
    </xf>
    <xf numFmtId="2" fontId="17" fillId="3" borderId="0" xfId="0" applyNumberFormat="1" applyFont="1" applyFill="1" applyAlignment="1" applyProtection="1">
      <alignment horizontal="left"/>
    </xf>
    <xf numFmtId="0" fontId="17" fillId="3" borderId="0" xfId="0" applyFont="1" applyFill="1" applyBorder="1" applyAlignment="1" applyProtection="1">
      <alignment horizontal="left"/>
    </xf>
    <xf numFmtId="175" fontId="17" fillId="3" borderId="0" xfId="0" applyNumberFormat="1" applyFont="1" applyFill="1" applyAlignment="1" applyProtection="1">
      <alignment horizontal="left"/>
    </xf>
    <xf numFmtId="2" fontId="17" fillId="3" borderId="0" xfId="0" applyNumberFormat="1" applyFont="1" applyFill="1" applyBorder="1" applyAlignment="1" applyProtection="1">
      <alignment horizontal="left"/>
    </xf>
    <xf numFmtId="0" fontId="15" fillId="3" borderId="0" xfId="0" applyFont="1" applyFill="1" applyAlignment="1">
      <alignment horizontal="left"/>
    </xf>
    <xf numFmtId="0" fontId="15" fillId="3" borderId="0" xfId="0" applyFont="1" applyFill="1" applyBorder="1"/>
    <xf numFmtId="0" fontId="5" fillId="3" borderId="0" xfId="0" applyFont="1" applyFill="1" applyAlignment="1">
      <alignment horizontal="left"/>
    </xf>
    <xf numFmtId="0" fontId="0" fillId="3" borderId="0" xfId="0" applyFill="1" applyAlignment="1">
      <alignment horizontal="left"/>
    </xf>
    <xf numFmtId="0" fontId="0" fillId="3" borderId="0" xfId="0" applyFill="1" applyAlignment="1">
      <alignment horizontal="left" vertical="top"/>
    </xf>
    <xf numFmtId="0" fontId="0" fillId="3" borderId="0" xfId="0" quotePrefix="1" applyFill="1" applyAlignment="1">
      <alignment horizontal="left"/>
    </xf>
    <xf numFmtId="49" fontId="15" fillId="3" borderId="0" xfId="0" applyNumberFormat="1" applyFont="1" applyFill="1" applyAlignment="1">
      <alignment horizontal="left"/>
    </xf>
    <xf numFmtId="0" fontId="15" fillId="3" borderId="0" xfId="0" applyFont="1" applyFill="1" applyBorder="1" applyAlignment="1">
      <alignment horizontal="left"/>
    </xf>
    <xf numFmtId="0" fontId="15" fillId="3" borderId="0" xfId="0" applyFont="1" applyFill="1" applyAlignment="1">
      <alignment horizontal="left" wrapText="1"/>
    </xf>
    <xf numFmtId="169" fontId="40" fillId="0" borderId="0" xfId="28" applyNumberFormat="1" applyFont="1"/>
    <xf numFmtId="3" fontId="44" fillId="3" borderId="0" xfId="0" applyNumberFormat="1" applyFont="1" applyFill="1" applyProtection="1"/>
    <xf numFmtId="39" fontId="44" fillId="3" borderId="1" xfId="0" applyNumberFormat="1" applyFont="1" applyFill="1" applyBorder="1" applyProtection="1"/>
    <xf numFmtId="3" fontId="44" fillId="3" borderId="1" xfId="28" applyNumberFormat="1" applyFont="1" applyFill="1" applyBorder="1" applyAlignment="1" applyProtection="1">
      <alignment horizontal="right"/>
    </xf>
    <xf numFmtId="2" fontId="44" fillId="3" borderId="1" xfId="0" applyNumberFormat="1" applyFont="1" applyFill="1" applyBorder="1" applyAlignment="1" applyProtection="1">
      <alignment horizontal="right"/>
    </xf>
    <xf numFmtId="193" fontId="44" fillId="3" borderId="1" xfId="37" applyNumberFormat="1" applyFont="1" applyFill="1" applyBorder="1" applyProtection="1"/>
    <xf numFmtId="2" fontId="44" fillId="3" borderId="1" xfId="37" applyNumberFormat="1" applyFont="1" applyFill="1" applyBorder="1" applyProtection="1"/>
    <xf numFmtId="182" fontId="44" fillId="3" borderId="1" xfId="0" applyNumberFormat="1" applyFont="1" applyFill="1" applyBorder="1" applyProtection="1"/>
    <xf numFmtId="0" fontId="44" fillId="3" borderId="0" xfId="0" applyFont="1" applyFill="1" applyAlignment="1" applyProtection="1">
      <alignment horizontal="left" wrapText="1"/>
    </xf>
    <xf numFmtId="169" fontId="5" fillId="0" borderId="0" xfId="28" applyNumberFormat="1" applyFont="1" applyAlignment="1">
      <alignment horizontal="center"/>
    </xf>
    <xf numFmtId="169" fontId="44" fillId="3" borderId="1" xfId="28" applyNumberFormat="1" applyFont="1" applyFill="1" applyBorder="1" applyProtection="1"/>
    <xf numFmtId="3" fontId="4" fillId="0" borderId="0" xfId="0" applyNumberFormat="1" applyFont="1" applyFill="1"/>
    <xf numFmtId="0" fontId="9" fillId="3" borderId="0" xfId="0" applyFont="1" applyFill="1" applyAlignment="1" applyProtection="1">
      <alignment horizontal="left" vertical="center"/>
    </xf>
    <xf numFmtId="0" fontId="9" fillId="3" borderId="0" xfId="0" applyFont="1" applyFill="1" applyAlignment="1" applyProtection="1">
      <alignment horizontal="left"/>
    </xf>
    <xf numFmtId="0" fontId="9" fillId="3" borderId="0" xfId="0" applyFont="1" applyFill="1" applyAlignment="1" applyProtection="1">
      <alignment horizontal="right"/>
    </xf>
    <xf numFmtId="2" fontId="9" fillId="3" borderId="0" xfId="28" applyNumberFormat="1" applyFont="1" applyFill="1" applyAlignment="1" applyProtection="1">
      <alignment horizontal="right"/>
    </xf>
    <xf numFmtId="10" fontId="26" fillId="11" borderId="0" xfId="58" applyNumberFormat="1" applyFont="1" applyFill="1" applyBorder="1"/>
    <xf numFmtId="10" fontId="26" fillId="0" borderId="0" xfId="58" applyNumberFormat="1" applyFont="1" applyFill="1" applyBorder="1"/>
    <xf numFmtId="195" fontId="0" fillId="0" borderId="0" xfId="0" applyNumberFormat="1" applyFill="1"/>
    <xf numFmtId="0" fontId="51" fillId="0" borderId="5" xfId="0" applyFont="1" applyFill="1" applyBorder="1"/>
    <xf numFmtId="0" fontId="25" fillId="0" borderId="0" xfId="52" applyFont="1" applyFill="1" applyBorder="1" applyAlignment="1">
      <alignment horizontal="right" wrapText="1"/>
    </xf>
    <xf numFmtId="190" fontId="26" fillId="0" borderId="0" xfId="28" applyNumberFormat="1" applyFont="1" applyFill="1" applyBorder="1"/>
    <xf numFmtId="0" fontId="21" fillId="3" borderId="0" xfId="0" applyFont="1" applyFill="1" applyAlignment="1" applyProtection="1">
      <alignment horizontal="left" wrapText="1"/>
    </xf>
    <xf numFmtId="2" fontId="21" fillId="3" borderId="0" xfId="0" applyNumberFormat="1" applyFont="1" applyFill="1" applyAlignment="1" applyProtection="1"/>
    <xf numFmtId="0" fontId="66" fillId="3" borderId="0" xfId="0" applyFont="1" applyFill="1" applyAlignment="1" applyProtection="1">
      <alignment wrapText="1"/>
    </xf>
    <xf numFmtId="3" fontId="66" fillId="3" borderId="0" xfId="28" applyNumberFormat="1" applyFont="1" applyFill="1" applyAlignment="1" applyProtection="1">
      <alignment horizontal="right"/>
    </xf>
    <xf numFmtId="2" fontId="4" fillId="3" borderId="0" xfId="28" applyNumberFormat="1" applyFont="1" applyFill="1" applyAlignment="1" applyProtection="1">
      <alignment horizontal="right"/>
    </xf>
    <xf numFmtId="3" fontId="66" fillId="3" borderId="6" xfId="28" applyNumberFormat="1" applyFont="1" applyFill="1" applyBorder="1" applyAlignment="1" applyProtection="1">
      <alignment horizontal="left"/>
    </xf>
    <xf numFmtId="3" fontId="66" fillId="3" borderId="19" xfId="28" applyNumberFormat="1" applyFont="1" applyFill="1" applyBorder="1" applyAlignment="1" applyProtection="1">
      <alignment horizontal="right"/>
    </xf>
    <xf numFmtId="2" fontId="20" fillId="3" borderId="0" xfId="0" applyNumberFormat="1" applyFont="1" applyFill="1" applyAlignment="1" applyProtection="1"/>
    <xf numFmtId="0" fontId="67" fillId="3" borderId="0" xfId="0" applyFont="1" applyFill="1" applyAlignment="1" applyProtection="1">
      <alignment horizontal="left"/>
    </xf>
    <xf numFmtId="1" fontId="66" fillId="3" borderId="1" xfId="28" applyNumberFormat="1" applyFont="1" applyFill="1" applyBorder="1" applyAlignment="1" applyProtection="1">
      <alignment horizontal="center"/>
    </xf>
    <xf numFmtId="0" fontId="66" fillId="3" borderId="1" xfId="0" applyFont="1" applyFill="1" applyBorder="1" applyAlignment="1" applyProtection="1">
      <alignment horizontal="left" wrapText="1"/>
    </xf>
    <xf numFmtId="0" fontId="68" fillId="3" borderId="1" xfId="0" applyFont="1" applyFill="1" applyBorder="1" applyAlignment="1" applyProtection="1">
      <alignment vertical="center" wrapText="1"/>
    </xf>
    <xf numFmtId="3" fontId="66" fillId="3" borderId="1" xfId="28" applyNumberFormat="1" applyFont="1" applyFill="1" applyBorder="1" applyAlignment="1" applyProtection="1">
      <alignment horizontal="center" vertical="center" wrapText="1"/>
    </xf>
    <xf numFmtId="3" fontId="66" fillId="3" borderId="1" xfId="0" applyNumberFormat="1" applyFont="1" applyFill="1" applyBorder="1" applyAlignment="1" applyProtection="1">
      <alignment horizontal="center" vertical="center" wrapText="1"/>
    </xf>
    <xf numFmtId="3" fontId="66" fillId="3" borderId="1" xfId="28" applyNumberFormat="1" applyFont="1" applyFill="1" applyBorder="1" applyAlignment="1" applyProtection="1">
      <alignment horizontal="center" wrapText="1"/>
    </xf>
    <xf numFmtId="3" fontId="66" fillId="3" borderId="0" xfId="28" applyNumberFormat="1" applyFont="1" applyFill="1" applyBorder="1" applyAlignment="1" applyProtection="1">
      <alignment horizontal="center" wrapText="1"/>
    </xf>
    <xf numFmtId="0" fontId="66" fillId="3" borderId="1" xfId="0" applyFont="1" applyFill="1" applyBorder="1" applyAlignment="1" applyProtection="1">
      <alignment vertical="center" wrapText="1"/>
    </xf>
    <xf numFmtId="0" fontId="67" fillId="3" borderId="6" xfId="0" applyFont="1" applyFill="1" applyBorder="1" applyAlignment="1" applyProtection="1">
      <alignment vertical="center" wrapText="1"/>
    </xf>
    <xf numFmtId="0" fontId="12" fillId="3" borderId="11" xfId="0" applyFont="1" applyFill="1" applyBorder="1" applyAlignment="1" applyProtection="1"/>
    <xf numFmtId="0" fontId="12" fillId="3" borderId="19" xfId="0" applyFont="1" applyFill="1" applyBorder="1" applyAlignment="1" applyProtection="1"/>
    <xf numFmtId="0" fontId="12" fillId="3" borderId="0" xfId="0" applyFont="1" applyFill="1" applyBorder="1" applyAlignment="1" applyProtection="1"/>
    <xf numFmtId="0" fontId="66" fillId="3" borderId="6" xfId="0" applyFont="1" applyFill="1" applyBorder="1" applyAlignment="1" applyProtection="1">
      <alignment horizontal="left" wrapText="1"/>
    </xf>
    <xf numFmtId="0" fontId="12" fillId="3" borderId="11" xfId="0" applyFont="1" applyFill="1" applyBorder="1" applyAlignment="1" applyProtection="1">
      <alignment wrapText="1"/>
    </xf>
    <xf numFmtId="3" fontId="67" fillId="3" borderId="0" xfId="28" applyNumberFormat="1" applyFont="1" applyFill="1" applyBorder="1" applyAlignment="1" applyProtection="1">
      <alignment horizontal="right"/>
    </xf>
    <xf numFmtId="0" fontId="66" fillId="3" borderId="1" xfId="0" applyFont="1" applyFill="1" applyBorder="1" applyAlignment="1" applyProtection="1">
      <alignment horizontal="left"/>
    </xf>
    <xf numFmtId="0" fontId="66" fillId="3" borderId="19" xfId="0" applyFont="1" applyFill="1" applyBorder="1" applyAlignment="1" applyProtection="1">
      <alignment wrapText="1"/>
    </xf>
    <xf numFmtId="3" fontId="66" fillId="3" borderId="1" xfId="28" applyNumberFormat="1" applyFont="1" applyFill="1" applyBorder="1" applyAlignment="1" applyProtection="1">
      <alignment horizontal="right"/>
    </xf>
    <xf numFmtId="3" fontId="66" fillId="3" borderId="1" xfId="28" quotePrefix="1" applyNumberFormat="1" applyFont="1" applyFill="1" applyBorder="1" applyAlignment="1" applyProtection="1">
      <alignment horizontal="right" wrapText="1"/>
    </xf>
    <xf numFmtId="3" fontId="66" fillId="3" borderId="0" xfId="28" quotePrefix="1" applyNumberFormat="1" applyFont="1" applyFill="1" applyBorder="1" applyAlignment="1" applyProtection="1">
      <alignment horizontal="right" wrapText="1"/>
    </xf>
    <xf numFmtId="3" fontId="66" fillId="0" borderId="1" xfId="28" applyNumberFormat="1" applyFont="1" applyFill="1" applyBorder="1" applyAlignment="1" applyProtection="1">
      <alignment horizontal="right"/>
      <protection locked="0"/>
    </xf>
    <xf numFmtId="3" fontId="66" fillId="0" borderId="19" xfId="28" applyNumberFormat="1" applyFont="1" applyFill="1" applyBorder="1" applyAlignment="1" applyProtection="1">
      <alignment horizontal="right"/>
      <protection locked="0"/>
    </xf>
    <xf numFmtId="3" fontId="66" fillId="3" borderId="1" xfId="28" applyNumberFormat="1" applyFont="1" applyFill="1" applyBorder="1" applyAlignment="1" applyProtection="1">
      <alignment horizontal="right" wrapText="1"/>
    </xf>
    <xf numFmtId="0" fontId="45" fillId="3" borderId="0" xfId="0" applyFont="1" applyFill="1" applyProtection="1"/>
    <xf numFmtId="0" fontId="67" fillId="3" borderId="1" xfId="0" applyFont="1" applyFill="1" applyBorder="1" applyAlignment="1" applyProtection="1">
      <alignment horizontal="left"/>
    </xf>
    <xf numFmtId="0" fontId="67" fillId="3" borderId="11" xfId="0" applyFont="1" applyFill="1" applyBorder="1" applyAlignment="1" applyProtection="1">
      <alignment wrapText="1"/>
    </xf>
    <xf numFmtId="3" fontId="67" fillId="3" borderId="1" xfId="28" applyNumberFormat="1" applyFont="1" applyFill="1" applyBorder="1" applyAlignment="1" applyProtection="1">
      <alignment horizontal="right"/>
    </xf>
    <xf numFmtId="175" fontId="66" fillId="3" borderId="1" xfId="0" applyNumberFormat="1" applyFont="1" applyFill="1" applyBorder="1" applyAlignment="1" applyProtection="1">
      <alignment horizontal="left"/>
    </xf>
    <xf numFmtId="0" fontId="66" fillId="3" borderId="11" xfId="0" applyFont="1" applyFill="1" applyBorder="1" applyAlignment="1" applyProtection="1">
      <alignment wrapText="1"/>
    </xf>
    <xf numFmtId="2" fontId="66" fillId="3" borderId="1" xfId="0" applyNumberFormat="1" applyFont="1" applyFill="1" applyBorder="1" applyAlignment="1" applyProtection="1">
      <alignment horizontal="left"/>
    </xf>
    <xf numFmtId="2" fontId="67" fillId="3" borderId="1" xfId="0" applyNumberFormat="1" applyFont="1" applyFill="1" applyBorder="1" applyAlignment="1" applyProtection="1">
      <alignment horizontal="left"/>
    </xf>
    <xf numFmtId="3" fontId="66" fillId="3" borderId="0" xfId="28" applyNumberFormat="1" applyFont="1" applyFill="1" applyBorder="1" applyAlignment="1" applyProtection="1">
      <alignment horizontal="right"/>
    </xf>
    <xf numFmtId="0" fontId="12" fillId="3" borderId="19" xfId="0" applyFont="1" applyFill="1" applyBorder="1" applyAlignment="1" applyProtection="1">
      <alignment wrapText="1"/>
    </xf>
    <xf numFmtId="0" fontId="12" fillId="3" borderId="0" xfId="0" applyFont="1" applyFill="1" applyBorder="1" applyAlignment="1" applyProtection="1">
      <alignment wrapText="1"/>
    </xf>
    <xf numFmtId="0" fontId="66" fillId="4" borderId="11" xfId="0" applyFont="1" applyFill="1" applyBorder="1" applyAlignment="1" applyProtection="1">
      <alignment wrapText="1"/>
      <protection locked="0"/>
    </xf>
    <xf numFmtId="2" fontId="66" fillId="3" borderId="1" xfId="0" applyNumberFormat="1" applyFont="1" applyFill="1" applyBorder="1" applyAlignment="1" applyProtection="1">
      <alignment horizontal="left" wrapText="1"/>
    </xf>
    <xf numFmtId="0" fontId="66" fillId="0" borderId="11" xfId="0" applyFont="1" applyFill="1" applyBorder="1" applyAlignment="1" applyProtection="1">
      <alignment wrapText="1"/>
      <protection locked="0"/>
    </xf>
    <xf numFmtId="0" fontId="66" fillId="3" borderId="11" xfId="0" applyFont="1" applyFill="1" applyBorder="1" applyAlignment="1" applyProtection="1">
      <alignment horizontal="left" vertical="top" wrapText="1"/>
    </xf>
    <xf numFmtId="3" fontId="67" fillId="3" borderId="1" xfId="28" applyNumberFormat="1" applyFont="1" applyFill="1" applyBorder="1" applyAlignment="1" applyProtection="1">
      <alignment horizontal="right" wrapText="1"/>
    </xf>
    <xf numFmtId="0" fontId="67" fillId="3" borderId="1" xfId="0" applyFont="1" applyFill="1" applyBorder="1" applyAlignment="1" applyProtection="1">
      <alignment horizontal="left" wrapText="1"/>
    </xf>
    <xf numFmtId="0" fontId="67" fillId="3" borderId="11" xfId="0" applyFont="1" applyFill="1" applyBorder="1" applyAlignment="1" applyProtection="1">
      <alignment vertical="center" wrapText="1"/>
    </xf>
    <xf numFmtId="0" fontId="67" fillId="3" borderId="19" xfId="0" applyFont="1" applyFill="1" applyBorder="1" applyAlignment="1" applyProtection="1">
      <alignment vertical="center" wrapText="1"/>
    </xf>
    <xf numFmtId="0" fontId="67" fillId="3" borderId="0" xfId="0" applyFont="1" applyFill="1" applyBorder="1" applyAlignment="1" applyProtection="1">
      <alignment vertical="center" wrapText="1"/>
    </xf>
    <xf numFmtId="0" fontId="21" fillId="3" borderId="1" xfId="0" applyFont="1" applyFill="1" applyBorder="1" applyAlignment="1" applyProtection="1">
      <alignment horizontal="left"/>
    </xf>
    <xf numFmtId="0" fontId="21" fillId="3" borderId="1" xfId="0" applyFont="1" applyFill="1" applyBorder="1" applyProtection="1"/>
    <xf numFmtId="0" fontId="21" fillId="3" borderId="18" xfId="0" applyFont="1" applyFill="1" applyBorder="1" applyAlignment="1" applyProtection="1">
      <alignment horizontal="left"/>
    </xf>
    <xf numFmtId="0" fontId="21" fillId="0" borderId="1" xfId="0" applyFont="1" applyFill="1" applyBorder="1" applyProtection="1">
      <protection locked="0"/>
    </xf>
    <xf numFmtId="2" fontId="21" fillId="3" borderId="18" xfId="0" applyNumberFormat="1" applyFont="1" applyFill="1" applyBorder="1" applyAlignment="1" applyProtection="1">
      <alignment horizontal="left"/>
    </xf>
    <xf numFmtId="2" fontId="66" fillId="3" borderId="18" xfId="0" applyNumberFormat="1" applyFont="1" applyFill="1" applyBorder="1" applyAlignment="1" applyProtection="1">
      <alignment horizontal="left"/>
    </xf>
    <xf numFmtId="0" fontId="67" fillId="0" borderId="1" xfId="0" applyFont="1" applyFill="1" applyBorder="1" applyAlignment="1" applyProtection="1">
      <alignment wrapText="1"/>
      <protection locked="0"/>
    </xf>
    <xf numFmtId="3" fontId="66" fillId="3" borderId="11" xfId="28" applyNumberFormat="1" applyFont="1" applyFill="1" applyBorder="1" applyAlignment="1" applyProtection="1">
      <alignment horizontal="right"/>
    </xf>
    <xf numFmtId="3" fontId="66" fillId="3" borderId="1" xfId="0" applyNumberFormat="1" applyFont="1" applyFill="1" applyBorder="1" applyAlignment="1" applyProtection="1">
      <alignment horizontal="right"/>
    </xf>
    <xf numFmtId="0" fontId="69" fillId="3" borderId="0" xfId="0" applyFont="1" applyFill="1" applyProtection="1"/>
    <xf numFmtId="0" fontId="67" fillId="3" borderId="0" xfId="0" applyFont="1" applyFill="1" applyBorder="1" applyAlignment="1" applyProtection="1">
      <alignment horizontal="left" wrapText="1"/>
    </xf>
    <xf numFmtId="0" fontId="67" fillId="3" borderId="0" xfId="0" applyFont="1" applyFill="1" applyBorder="1" applyAlignment="1" applyProtection="1">
      <alignment wrapText="1"/>
    </xf>
    <xf numFmtId="3" fontId="70" fillId="3" borderId="0" xfId="28" applyNumberFormat="1" applyFont="1" applyFill="1" applyBorder="1" applyAlignment="1" applyProtection="1">
      <alignment horizontal="right"/>
    </xf>
    <xf numFmtId="2" fontId="21" fillId="3" borderId="0" xfId="0" applyNumberFormat="1" applyFont="1" applyFill="1" applyProtection="1"/>
    <xf numFmtId="0" fontId="21" fillId="3" borderId="0" xfId="0" applyFont="1" applyFill="1" applyAlignment="1" applyProtection="1">
      <alignment wrapText="1"/>
    </xf>
    <xf numFmtId="3" fontId="21" fillId="3" borderId="0" xfId="0" applyNumberFormat="1" applyFont="1" applyFill="1" applyAlignment="1" applyProtection="1">
      <alignment horizontal="right"/>
    </xf>
    <xf numFmtId="2" fontId="21" fillId="3" borderId="0" xfId="0" applyNumberFormat="1" applyFont="1" applyFill="1" applyAlignment="1" applyProtection="1">
      <alignment horizontal="left"/>
    </xf>
    <xf numFmtId="0" fontId="45" fillId="3" borderId="0" xfId="0" applyFont="1" applyFill="1" applyAlignment="1" applyProtection="1">
      <alignment wrapText="1"/>
    </xf>
    <xf numFmtId="3" fontId="45" fillId="3" borderId="0" xfId="0" applyNumberFormat="1" applyFont="1" applyFill="1" applyAlignment="1" applyProtection="1">
      <alignment horizontal="right"/>
    </xf>
    <xf numFmtId="0" fontId="45" fillId="3" borderId="0" xfId="0" applyFont="1" applyFill="1" applyAlignment="1" applyProtection="1">
      <alignment vertical="top"/>
    </xf>
    <xf numFmtId="0" fontId="45" fillId="3" borderId="0" xfId="0" applyFont="1" applyFill="1" applyAlignment="1" applyProtection="1"/>
    <xf numFmtId="0" fontId="45" fillId="3" borderId="0" xfId="0" applyFont="1" applyFill="1" applyAlignment="1" applyProtection="1">
      <alignment horizontal="left" vertical="top"/>
    </xf>
    <xf numFmtId="0" fontId="21" fillId="3" borderId="0" xfId="0" applyFont="1" applyFill="1" applyAlignment="1" applyProtection="1">
      <alignment horizontal="left" vertical="top"/>
    </xf>
    <xf numFmtId="3" fontId="21" fillId="3" borderId="0" xfId="0" applyNumberFormat="1" applyFont="1" applyFill="1" applyAlignment="1" applyProtection="1">
      <alignment horizontal="left"/>
    </xf>
    <xf numFmtId="0" fontId="71" fillId="3" borderId="0" xfId="0" applyFont="1" applyFill="1" applyAlignment="1" applyProtection="1"/>
    <xf numFmtId="0" fontId="0" fillId="0" borderId="0" xfId="0" applyFill="1" applyBorder="1"/>
    <xf numFmtId="195" fontId="26" fillId="14" borderId="0" xfId="52" applyNumberFormat="1" applyFont="1" applyFill="1" applyBorder="1"/>
    <xf numFmtId="0" fontId="26" fillId="14" borderId="0" xfId="58" applyNumberFormat="1" applyFont="1" applyFill="1" applyBorder="1"/>
    <xf numFmtId="0" fontId="26" fillId="14" borderId="0" xfId="52" applyNumberFormat="1" applyFont="1" applyFill="1" applyBorder="1"/>
    <xf numFmtId="2" fontId="26" fillId="14" borderId="0" xfId="52" applyNumberFormat="1" applyFont="1" applyFill="1" applyBorder="1"/>
    <xf numFmtId="181" fontId="26" fillId="14" borderId="0" xfId="52" applyNumberFormat="1" applyFont="1" applyFill="1" applyBorder="1"/>
    <xf numFmtId="0" fontId="42" fillId="3" borderId="0" xfId="0" applyFont="1" applyFill="1" applyAlignment="1" applyProtection="1">
      <alignment horizontal="center" wrapText="1"/>
    </xf>
    <xf numFmtId="49" fontId="30" fillId="7" borderId="1" xfId="0" applyNumberFormat="1" applyFont="1" applyFill="1" applyBorder="1" applyAlignment="1" applyProtection="1">
      <alignment horizontal="center" wrapText="1"/>
    </xf>
    <xf numFmtId="0" fontId="0" fillId="3" borderId="1" xfId="0" applyFill="1" applyBorder="1" applyAlignment="1" applyProtection="1">
      <alignment horizontal="left" wrapText="1"/>
    </xf>
    <xf numFmtId="191" fontId="0" fillId="4" borderId="1" xfId="0" applyNumberFormat="1" applyFill="1" applyBorder="1" applyProtection="1">
      <protection locked="0"/>
    </xf>
    <xf numFmtId="49" fontId="30" fillId="7" borderId="20" xfId="0" applyNumberFormat="1" applyFont="1" applyFill="1" applyBorder="1" applyAlignment="1" applyProtection="1">
      <alignment horizontal="center" wrapText="1"/>
    </xf>
    <xf numFmtId="0" fontId="0" fillId="3" borderId="6" xfId="0" applyFill="1" applyBorder="1" applyAlignment="1" applyProtection="1">
      <alignment horizontal="left" wrapText="1"/>
    </xf>
    <xf numFmtId="191" fontId="0" fillId="4" borderId="20" xfId="0" applyNumberFormat="1" applyFill="1" applyBorder="1" applyProtection="1">
      <protection locked="0"/>
    </xf>
    <xf numFmtId="191" fontId="0" fillId="4" borderId="21" xfId="0" applyNumberFormat="1" applyFill="1" applyBorder="1" applyProtection="1">
      <protection locked="0"/>
    </xf>
    <xf numFmtId="191" fontId="0" fillId="3" borderId="22" xfId="0" applyNumberFormat="1" applyFill="1" applyBorder="1" applyProtection="1"/>
    <xf numFmtId="0" fontId="0" fillId="0" borderId="1" xfId="0" applyFill="1" applyBorder="1" applyProtection="1">
      <protection locked="0"/>
    </xf>
    <xf numFmtId="0" fontId="0" fillId="3" borderId="0" xfId="0" applyFill="1" applyBorder="1" applyAlignment="1" applyProtection="1">
      <alignment horizontal="left" wrapText="1"/>
    </xf>
    <xf numFmtId="0" fontId="0" fillId="3" borderId="1" xfId="0" applyFill="1" applyBorder="1" applyAlignment="1" applyProtection="1">
      <alignment horizontal="left" vertical="center" wrapText="1"/>
    </xf>
    <xf numFmtId="191" fontId="0" fillId="0" borderId="1" xfId="0" applyNumberFormat="1" applyFill="1" applyBorder="1" applyProtection="1">
      <protection locked="0"/>
    </xf>
    <xf numFmtId="191" fontId="0" fillId="3" borderId="20" xfId="0" applyNumberFormat="1" applyFill="1" applyBorder="1" applyProtection="1"/>
    <xf numFmtId="191" fontId="0" fillId="3" borderId="21" xfId="0" applyNumberFormat="1" applyFill="1" applyBorder="1" applyProtection="1"/>
    <xf numFmtId="0" fontId="0" fillId="3" borderId="1" xfId="0" applyFill="1" applyBorder="1" applyAlignment="1" applyProtection="1">
      <alignment vertical="center" wrapText="1"/>
    </xf>
    <xf numFmtId="191" fontId="0" fillId="3" borderId="20" xfId="0" applyNumberFormat="1" applyFill="1" applyBorder="1" applyAlignment="1" applyProtection="1">
      <alignment vertical="center"/>
    </xf>
    <xf numFmtId="0" fontId="29" fillId="3" borderId="0" xfId="0" applyFont="1" applyFill="1" applyBorder="1" applyAlignment="1" applyProtection="1">
      <alignment horizontal="center"/>
    </xf>
    <xf numFmtId="0" fontId="23" fillId="3" borderId="0" xfId="0" applyFont="1" applyFill="1" applyBorder="1" applyAlignment="1" applyProtection="1">
      <alignment horizontal="center"/>
    </xf>
    <xf numFmtId="3" fontId="23" fillId="3" borderId="0" xfId="36" applyNumberFormat="1" applyFont="1" applyFill="1" applyBorder="1" applyAlignment="1" applyProtection="1">
      <alignment horizontal="center" vertical="center"/>
    </xf>
    <xf numFmtId="0" fontId="44" fillId="3" borderId="0" xfId="0" applyFont="1" applyFill="1" applyAlignment="1" applyProtection="1">
      <alignment horizontal="center" wrapText="1"/>
    </xf>
    <xf numFmtId="0" fontId="44" fillId="3" borderId="0" xfId="0" applyFont="1" applyFill="1" applyAlignment="1" applyProtection="1">
      <alignment horizontal="center" vertical="top" wrapText="1"/>
    </xf>
    <xf numFmtId="0" fontId="44" fillId="3" borderId="0" xfId="0" applyFont="1" applyFill="1" applyAlignment="1" applyProtection="1">
      <alignment horizontal="left" vertical="top" wrapText="1"/>
    </xf>
    <xf numFmtId="0" fontId="72" fillId="3" borderId="0" xfId="0" applyFont="1" applyFill="1" applyProtection="1"/>
    <xf numFmtId="0" fontId="72" fillId="3" borderId="0" xfId="0" applyFont="1" applyFill="1" applyAlignment="1" applyProtection="1">
      <alignment horizontal="center" wrapText="1"/>
    </xf>
    <xf numFmtId="3" fontId="44" fillId="3" borderId="0" xfId="0" applyNumberFormat="1" applyFont="1" applyFill="1" applyBorder="1" applyAlignment="1" applyProtection="1">
      <alignment horizontal="right" vertical="top" wrapText="1"/>
    </xf>
    <xf numFmtId="0" fontId="44" fillId="3" borderId="0" xfId="0" applyFont="1" applyFill="1" applyBorder="1" applyAlignment="1" applyProtection="1">
      <alignment horizontal="right" vertical="top" wrapText="1"/>
    </xf>
    <xf numFmtId="3" fontId="44" fillId="3" borderId="1" xfId="0" applyNumberFormat="1" applyFont="1" applyFill="1" applyBorder="1" applyAlignment="1" applyProtection="1">
      <alignment horizontal="right" vertical="top" wrapText="1"/>
    </xf>
    <xf numFmtId="37" fontId="44" fillId="3" borderId="1" xfId="0" applyNumberFormat="1" applyFont="1" applyFill="1" applyBorder="1" applyAlignment="1" applyProtection="1">
      <alignment horizontal="right" vertical="top" wrapText="1"/>
    </xf>
    <xf numFmtId="4" fontId="44" fillId="3" borderId="1" xfId="0" applyNumberFormat="1" applyFont="1" applyFill="1" applyBorder="1" applyAlignment="1" applyProtection="1">
      <alignment horizontal="right" vertical="top" wrapText="1"/>
    </xf>
    <xf numFmtId="39" fontId="44" fillId="3" borderId="1" xfId="0" applyNumberFormat="1" applyFont="1" applyFill="1" applyBorder="1" applyAlignment="1" applyProtection="1">
      <alignment horizontal="right" vertical="top" wrapText="1"/>
    </xf>
    <xf numFmtId="0" fontId="44" fillId="3" borderId="0" xfId="0" applyFont="1" applyFill="1" applyAlignment="1" applyProtection="1">
      <alignment wrapText="1"/>
    </xf>
    <xf numFmtId="3" fontId="44" fillId="3" borderId="1" xfId="0" applyNumberFormat="1" applyFont="1" applyFill="1" applyBorder="1" applyAlignment="1" applyProtection="1">
      <alignment horizontal="right" vertical="center" wrapText="1"/>
    </xf>
    <xf numFmtId="0" fontId="44" fillId="3" borderId="0" xfId="0" applyFont="1" applyFill="1" applyBorder="1" applyAlignment="1" applyProtection="1">
      <alignment horizontal="right" vertical="center" wrapText="1"/>
    </xf>
    <xf numFmtId="4" fontId="44" fillId="3" borderId="0" xfId="0" applyNumberFormat="1" applyFont="1" applyFill="1" applyAlignment="1" applyProtection="1">
      <alignment horizontal="right" vertical="top" wrapText="1"/>
    </xf>
    <xf numFmtId="4" fontId="44" fillId="3" borderId="1" xfId="0" applyNumberFormat="1" applyFont="1" applyFill="1" applyBorder="1" applyAlignment="1" applyProtection="1">
      <alignment horizontal="center" wrapText="1"/>
    </xf>
    <xf numFmtId="3" fontId="44" fillId="3" borderId="0" xfId="0" applyNumberFormat="1" applyFont="1" applyFill="1" applyAlignment="1" applyProtection="1">
      <alignment horizontal="right" vertical="top" wrapText="1"/>
    </xf>
    <xf numFmtId="0" fontId="44" fillId="3" borderId="0" xfId="0" applyFont="1" applyFill="1" applyAlignment="1" applyProtection="1">
      <alignment horizontal="right" vertical="top" wrapText="1"/>
    </xf>
    <xf numFmtId="0" fontId="16" fillId="3" borderId="0" xfId="0" applyFont="1" applyFill="1" applyAlignment="1" applyProtection="1">
      <alignment horizontal="left" vertical="top"/>
    </xf>
    <xf numFmtId="0" fontId="44" fillId="3" borderId="0" xfId="0" applyFont="1" applyFill="1" applyBorder="1" applyAlignment="1" applyProtection="1">
      <alignment horizontal="center" vertical="top" wrapText="1"/>
    </xf>
    <xf numFmtId="0" fontId="62" fillId="3" borderId="0" xfId="0" applyFont="1" applyFill="1" applyAlignment="1" applyProtection="1">
      <alignment horizontal="center" vertical="center" wrapText="1"/>
    </xf>
    <xf numFmtId="189" fontId="62" fillId="3" borderId="0" xfId="0" applyNumberFormat="1" applyFont="1" applyFill="1" applyAlignment="1" applyProtection="1">
      <alignment horizontal="center" vertical="center" wrapText="1"/>
    </xf>
    <xf numFmtId="0" fontId="16" fillId="3" borderId="0" xfId="0" applyFont="1" applyFill="1" applyAlignment="1" applyProtection="1">
      <alignment horizontal="center" wrapText="1"/>
    </xf>
    <xf numFmtId="2" fontId="16" fillId="3" borderId="0" xfId="0" applyNumberFormat="1" applyFont="1" applyFill="1" applyAlignment="1" applyProtection="1">
      <alignment horizontal="left"/>
    </xf>
    <xf numFmtId="2" fontId="16" fillId="3" borderId="0" xfId="0" applyNumberFormat="1" applyFont="1" applyFill="1" applyProtection="1"/>
    <xf numFmtId="2" fontId="44" fillId="0" borderId="1" xfId="0" applyNumberFormat="1" applyFont="1" applyFill="1" applyBorder="1" applyAlignment="1" applyProtection="1">
      <alignment horizontal="right" vertical="top" wrapText="1"/>
      <protection locked="0"/>
    </xf>
    <xf numFmtId="0" fontId="40" fillId="11" borderId="0" xfId="0" applyFont="1" applyFill="1" applyAlignment="1">
      <alignment horizontal="center"/>
    </xf>
    <xf numFmtId="0" fontId="40" fillId="15" borderId="24" xfId="0" applyFont="1" applyFill="1" applyBorder="1"/>
    <xf numFmtId="0" fontId="40" fillId="15" borderId="16" xfId="0" applyFont="1" applyFill="1" applyBorder="1"/>
    <xf numFmtId="0" fontId="40" fillId="15" borderId="16" xfId="0" applyFont="1" applyFill="1" applyBorder="1" applyAlignment="1">
      <alignment horizontal="center"/>
    </xf>
    <xf numFmtId="0" fontId="40" fillId="15" borderId="0" xfId="0" applyFont="1" applyFill="1" applyBorder="1"/>
    <xf numFmtId="2" fontId="40" fillId="15" borderId="0" xfId="0" applyNumberFormat="1" applyFont="1" applyFill="1" applyBorder="1"/>
    <xf numFmtId="169" fontId="40" fillId="15" borderId="0" xfId="28" applyNumberFormat="1" applyFont="1" applyFill="1" applyBorder="1"/>
    <xf numFmtId="169" fontId="40" fillId="15" borderId="7" xfId="28" applyNumberFormat="1" applyFont="1" applyFill="1" applyBorder="1"/>
    <xf numFmtId="0" fontId="40" fillId="15" borderId="18" xfId="0" applyFont="1" applyFill="1" applyBorder="1"/>
    <xf numFmtId="0" fontId="40" fillId="15" borderId="7" xfId="0" applyFont="1" applyFill="1" applyBorder="1"/>
    <xf numFmtId="169" fontId="40" fillId="15" borderId="7" xfId="0" applyNumberFormat="1" applyFont="1" applyFill="1" applyBorder="1"/>
    <xf numFmtId="0" fontId="40" fillId="16" borderId="24" xfId="0" applyFont="1" applyFill="1" applyBorder="1" applyAlignment="1">
      <alignment horizontal="left"/>
    </xf>
    <xf numFmtId="0" fontId="40" fillId="16" borderId="16" xfId="0" applyFont="1" applyFill="1" applyBorder="1"/>
    <xf numFmtId="0" fontId="40" fillId="16" borderId="25" xfId="0" applyFont="1" applyFill="1" applyBorder="1"/>
    <xf numFmtId="0" fontId="40" fillId="16" borderId="17" xfId="0" applyFont="1" applyFill="1" applyBorder="1"/>
    <xf numFmtId="0" fontId="40" fillId="16" borderId="0" xfId="0" applyFont="1" applyFill="1" applyBorder="1"/>
    <xf numFmtId="0" fontId="40" fillId="16" borderId="9" xfId="0" applyFont="1" applyFill="1" applyBorder="1"/>
    <xf numFmtId="0" fontId="40" fillId="16" borderId="17" xfId="0" applyFont="1" applyFill="1" applyBorder="1" applyAlignment="1">
      <alignment horizontal="center"/>
    </xf>
    <xf numFmtId="0" fontId="40" fillId="16" borderId="0" xfId="0" applyFont="1" applyFill="1" applyBorder="1" applyAlignment="1">
      <alignment horizontal="center"/>
    </xf>
    <xf numFmtId="0" fontId="40" fillId="16" borderId="18" xfId="0" applyFont="1" applyFill="1" applyBorder="1"/>
    <xf numFmtId="0" fontId="40" fillId="16" borderId="7" xfId="0" applyFont="1" applyFill="1" applyBorder="1"/>
    <xf numFmtId="0" fontId="40" fillId="17" borderId="24" xfId="0" applyFont="1" applyFill="1" applyBorder="1"/>
    <xf numFmtId="0" fontId="40" fillId="17" borderId="16" xfId="0" applyFont="1" applyFill="1" applyBorder="1"/>
    <xf numFmtId="0" fontId="40" fillId="17" borderId="16" xfId="0" applyFont="1" applyFill="1" applyBorder="1" applyAlignment="1">
      <alignment horizontal="center"/>
    </xf>
    <xf numFmtId="0" fontId="40" fillId="17" borderId="25" xfId="0" applyFont="1" applyFill="1" applyBorder="1" applyAlignment="1">
      <alignment horizontal="center"/>
    </xf>
    <xf numFmtId="0" fontId="40" fillId="17" borderId="17" xfId="0" applyFont="1" applyFill="1" applyBorder="1"/>
    <xf numFmtId="0" fontId="40" fillId="17" borderId="0" xfId="0" applyFont="1" applyFill="1" applyBorder="1"/>
    <xf numFmtId="0" fontId="40" fillId="17" borderId="9" xfId="0" applyFont="1" applyFill="1" applyBorder="1"/>
    <xf numFmtId="166" fontId="40" fillId="17" borderId="0" xfId="37" applyFont="1" applyFill="1" applyBorder="1"/>
    <xf numFmtId="169" fontId="40" fillId="17" borderId="9" xfId="28" applyNumberFormat="1" applyFont="1" applyFill="1" applyBorder="1"/>
    <xf numFmtId="0" fontId="40" fillId="17" borderId="18" xfId="0" applyFont="1" applyFill="1" applyBorder="1"/>
    <xf numFmtId="0" fontId="40" fillId="17" borderId="7" xfId="0" applyFont="1" applyFill="1" applyBorder="1"/>
    <xf numFmtId="0" fontId="40" fillId="17" borderId="23" xfId="0" applyFont="1" applyFill="1" applyBorder="1"/>
    <xf numFmtId="0" fontId="40" fillId="18" borderId="24" xfId="0" applyFont="1" applyFill="1" applyBorder="1"/>
    <xf numFmtId="0" fontId="40" fillId="18" borderId="16" xfId="0" applyFont="1" applyFill="1" applyBorder="1"/>
    <xf numFmtId="0" fontId="40" fillId="18" borderId="25" xfId="0" applyFont="1" applyFill="1" applyBorder="1"/>
    <xf numFmtId="0" fontId="40" fillId="18" borderId="0" xfId="0" applyFont="1" applyFill="1" applyBorder="1"/>
    <xf numFmtId="166" fontId="40" fillId="18" borderId="0" xfId="37" applyFont="1" applyFill="1" applyBorder="1"/>
    <xf numFmtId="169" fontId="40" fillId="18" borderId="9" xfId="28" applyNumberFormat="1" applyFont="1" applyFill="1" applyBorder="1"/>
    <xf numFmtId="0" fontId="40" fillId="18" borderId="18" xfId="0" applyFont="1" applyFill="1" applyBorder="1"/>
    <xf numFmtId="0" fontId="40" fillId="18" borderId="7" xfId="0" applyFont="1" applyFill="1" applyBorder="1"/>
    <xf numFmtId="0" fontId="40" fillId="18" borderId="23" xfId="0" applyFont="1" applyFill="1" applyBorder="1"/>
    <xf numFmtId="0" fontId="40" fillId="12" borderId="24" xfId="0" applyFont="1" applyFill="1" applyBorder="1"/>
    <xf numFmtId="0" fontId="40" fillId="12" borderId="16" xfId="0" applyFont="1" applyFill="1" applyBorder="1"/>
    <xf numFmtId="0" fontId="40" fillId="12" borderId="25" xfId="0" applyFont="1" applyFill="1" applyBorder="1"/>
    <xf numFmtId="0" fontId="40" fillId="12" borderId="17" xfId="0" applyFont="1" applyFill="1" applyBorder="1"/>
    <xf numFmtId="0" fontId="40" fillId="12" borderId="0" xfId="0" applyFont="1" applyFill="1" applyBorder="1"/>
    <xf numFmtId="0" fontId="40" fillId="12" borderId="9" xfId="0" applyFont="1" applyFill="1" applyBorder="1"/>
    <xf numFmtId="2" fontId="40" fillId="12" borderId="0" xfId="0" applyNumberFormat="1" applyFont="1" applyFill="1" applyBorder="1"/>
    <xf numFmtId="2" fontId="40" fillId="12" borderId="9" xfId="0" applyNumberFormat="1" applyFont="1" applyFill="1" applyBorder="1"/>
    <xf numFmtId="2" fontId="40" fillId="12" borderId="7" xfId="0" applyNumberFormat="1" applyFont="1" applyFill="1" applyBorder="1"/>
    <xf numFmtId="2" fontId="40" fillId="12" borderId="23" xfId="0" applyNumberFormat="1" applyFont="1" applyFill="1" applyBorder="1"/>
    <xf numFmtId="0" fontId="40" fillId="12" borderId="18" xfId="0" applyFont="1" applyFill="1" applyBorder="1"/>
    <xf numFmtId="0" fontId="40" fillId="12" borderId="7" xfId="0" applyFont="1" applyFill="1" applyBorder="1"/>
    <xf numFmtId="2" fontId="40" fillId="16" borderId="17" xfId="0" applyNumberFormat="1" applyFont="1" applyFill="1" applyBorder="1"/>
    <xf numFmtId="169" fontId="40" fillId="16" borderId="0" xfId="28" applyNumberFormat="1" applyFont="1" applyFill="1" applyBorder="1"/>
    <xf numFmtId="2" fontId="40" fillId="17" borderId="0" xfId="0" applyNumberFormat="1" applyFont="1" applyFill="1" applyBorder="1"/>
    <xf numFmtId="2" fontId="40" fillId="18" borderId="0" xfId="0" applyNumberFormat="1" applyFont="1" applyFill="1" applyBorder="1"/>
    <xf numFmtId="2" fontId="40" fillId="0" borderId="0" xfId="0" applyNumberFormat="1" applyFont="1" applyFill="1" applyBorder="1" applyProtection="1"/>
    <xf numFmtId="2" fontId="40" fillId="0" borderId="7" xfId="0" applyNumberFormat="1" applyFont="1" applyFill="1" applyBorder="1" applyProtection="1"/>
    <xf numFmtId="3" fontId="73" fillId="0" borderId="0" xfId="53" applyNumberFormat="1" applyFont="1" applyFill="1" applyBorder="1" applyAlignment="1">
      <alignment horizontal="center"/>
    </xf>
    <xf numFmtId="0" fontId="34" fillId="0" borderId="0" xfId="0" applyFont="1" applyAlignment="1">
      <alignment horizontal="center"/>
    </xf>
    <xf numFmtId="169" fontId="0" fillId="0" borderId="0" xfId="28" applyNumberFormat="1" applyFont="1" applyFill="1" applyBorder="1"/>
    <xf numFmtId="0" fontId="40" fillId="0" borderId="0" xfId="0" applyFont="1" applyFill="1" applyBorder="1"/>
    <xf numFmtId="0" fontId="34" fillId="0" borderId="0" xfId="0" applyFont="1" applyFill="1" applyBorder="1" applyAlignment="1">
      <alignment horizontal="center"/>
    </xf>
    <xf numFmtId="169" fontId="40" fillId="0" borderId="0" xfId="28" applyNumberFormat="1" applyFont="1" applyFill="1" applyBorder="1"/>
    <xf numFmtId="3" fontId="74" fillId="0" borderId="0" xfId="53" applyNumberFormat="1" applyFont="1" applyFill="1" applyBorder="1" applyAlignment="1">
      <alignment horizontal="center"/>
    </xf>
    <xf numFmtId="169" fontId="0" fillId="0" borderId="0" xfId="0" applyNumberFormat="1" applyFill="1" applyBorder="1"/>
    <xf numFmtId="0" fontId="0" fillId="0" borderId="0" xfId="0" applyAlignment="1">
      <alignment wrapText="1"/>
    </xf>
    <xf numFmtId="0" fontId="34" fillId="3" borderId="0" xfId="0" applyFont="1" applyFill="1" applyAlignment="1">
      <alignment horizontal="center"/>
    </xf>
    <xf numFmtId="0" fontId="15" fillId="3" borderId="0" xfId="0" applyFont="1" applyFill="1" applyBorder="1" applyAlignment="1">
      <alignment horizontal="center"/>
    </xf>
    <xf numFmtId="0" fontId="15" fillId="3" borderId="26" xfId="0" applyFont="1" applyFill="1" applyBorder="1" applyAlignment="1">
      <alignment horizontal="center"/>
    </xf>
    <xf numFmtId="0" fontId="15" fillId="3" borderId="27" xfId="0" applyFont="1" applyFill="1" applyBorder="1" applyAlignment="1">
      <alignment horizontal="center"/>
    </xf>
    <xf numFmtId="0" fontId="5" fillId="3" borderId="0" xfId="0" applyFont="1" applyFill="1" applyAlignment="1">
      <alignment horizontal="center"/>
    </xf>
    <xf numFmtId="0" fontId="0" fillId="3" borderId="26" xfId="0" applyFill="1" applyBorder="1" applyAlignment="1">
      <alignment horizontal="center"/>
    </xf>
    <xf numFmtId="0" fontId="0" fillId="3" borderId="27" xfId="0" applyFill="1" applyBorder="1" applyAlignment="1">
      <alignment horizontal="center" wrapText="1"/>
    </xf>
    <xf numFmtId="0" fontId="0" fillId="3" borderId="0" xfId="0" applyFill="1" applyBorder="1" applyAlignment="1">
      <alignment horizontal="center"/>
    </xf>
    <xf numFmtId="0" fontId="5" fillId="3" borderId="0" xfId="0" applyFont="1" applyFill="1" applyBorder="1" applyAlignment="1">
      <alignment horizontal="center"/>
    </xf>
    <xf numFmtId="0" fontId="0" fillId="0" borderId="0" xfId="0" applyAlignment="1">
      <alignment horizontal="center"/>
    </xf>
    <xf numFmtId="0" fontId="15" fillId="0" borderId="0" xfId="0" applyFont="1"/>
    <xf numFmtId="195" fontId="26" fillId="51" borderId="0" xfId="52" applyNumberFormat="1" applyFont="1" applyFill="1" applyBorder="1"/>
    <xf numFmtId="0" fontId="0" fillId="51" borderId="0" xfId="0" applyFill="1"/>
    <xf numFmtId="195" fontId="26" fillId="52" borderId="0" xfId="52" applyNumberFormat="1" applyFont="1" applyFill="1" applyBorder="1"/>
    <xf numFmtId="0" fontId="26" fillId="52" borderId="0" xfId="58" applyNumberFormat="1" applyFont="1" applyFill="1" applyBorder="1"/>
    <xf numFmtId="0" fontId="26" fillId="52" borderId="0" xfId="52" applyNumberFormat="1" applyFont="1" applyFill="1" applyBorder="1"/>
    <xf numFmtId="2" fontId="26" fillId="52" borderId="0" xfId="52" applyNumberFormat="1" applyFont="1" applyFill="1" applyBorder="1"/>
    <xf numFmtId="181" fontId="26" fillId="52" borderId="0" xfId="52" applyNumberFormat="1" applyFont="1" applyFill="1" applyBorder="1"/>
    <xf numFmtId="0" fontId="15" fillId="3" borderId="28" xfId="0" applyFont="1" applyFill="1" applyBorder="1" applyAlignment="1" applyProtection="1">
      <alignment horizontal="center" wrapText="1"/>
    </xf>
    <xf numFmtId="0" fontId="15" fillId="3" borderId="29" xfId="0" applyFont="1" applyFill="1" applyBorder="1" applyAlignment="1" applyProtection="1">
      <alignment horizontal="center" wrapText="1"/>
    </xf>
    <xf numFmtId="0" fontId="116" fillId="8" borderId="0" xfId="52" applyFont="1" applyFill="1" applyBorder="1" applyAlignment="1">
      <alignment horizontal="center" wrapText="1"/>
    </xf>
    <xf numFmtId="0" fontId="117" fillId="51" borderId="0" xfId="52" applyFont="1" applyFill="1" applyBorder="1" applyAlignment="1">
      <alignment horizontal="center" wrapText="1"/>
    </xf>
    <xf numFmtId="0" fontId="5" fillId="3" borderId="25" xfId="0" applyFont="1" applyFill="1" applyBorder="1" applyAlignment="1" applyProtection="1">
      <alignment horizontal="center" wrapText="1"/>
    </xf>
    <xf numFmtId="0" fontId="9" fillId="3" borderId="0" xfId="0" applyFont="1" applyFill="1" applyAlignment="1" applyProtection="1">
      <alignment horizontal="center" vertical="top" wrapText="1"/>
    </xf>
    <xf numFmtId="0" fontId="9" fillId="3" borderId="0" xfId="0" applyFont="1" applyFill="1" applyAlignment="1" applyProtection="1">
      <alignment horizontal="left" vertical="top" wrapText="1"/>
    </xf>
    <xf numFmtId="0" fontId="9" fillId="3" borderId="0" xfId="0" applyFont="1" applyFill="1" applyAlignment="1" applyProtection="1"/>
    <xf numFmtId="0" fontId="6" fillId="6" borderId="0" xfId="0" applyNumberFormat="1" applyFont="1" applyFill="1" applyProtection="1"/>
    <xf numFmtId="0" fontId="15" fillId="6" borderId="1" xfId="0" applyNumberFormat="1" applyFont="1" applyFill="1" applyBorder="1" applyAlignment="1" applyProtection="1">
      <alignment horizontal="right"/>
    </xf>
    <xf numFmtId="0" fontId="15" fillId="11" borderId="0" xfId="0" applyFont="1" applyFill="1" applyAlignment="1">
      <alignment horizontal="center"/>
    </xf>
    <xf numFmtId="0" fontId="15" fillId="0" borderId="0" xfId="0" applyFont="1" applyFill="1" applyBorder="1"/>
    <xf numFmtId="0" fontId="15" fillId="0" borderId="0" xfId="0" applyFont="1" applyFill="1" applyBorder="1" applyAlignment="1">
      <alignment horizontal="center"/>
    </xf>
    <xf numFmtId="49" fontId="22" fillId="7" borderId="1" xfId="0" applyNumberFormat="1" applyFont="1" applyFill="1" applyBorder="1" applyAlignment="1" applyProtection="1">
      <alignment horizontal="center" wrapText="1"/>
    </xf>
    <xf numFmtId="0" fontId="0" fillId="0" borderId="0" xfId="0" applyNumberFormat="1"/>
    <xf numFmtId="169" fontId="99" fillId="0" borderId="0" xfId="28" applyNumberFormat="1" applyFont="1"/>
    <xf numFmtId="2" fontId="5" fillId="0" borderId="0" xfId="0" applyNumberFormat="1" applyFont="1"/>
    <xf numFmtId="169" fontId="5" fillId="0" borderId="0" xfId="28" applyNumberFormat="1" applyFont="1" applyFill="1"/>
    <xf numFmtId="169" fontId="5" fillId="0" borderId="0" xfId="28" applyNumberFormat="1" applyFont="1"/>
    <xf numFmtId="175" fontId="37" fillId="3" borderId="0" xfId="0" applyNumberFormat="1" applyFont="1" applyFill="1" applyProtection="1"/>
    <xf numFmtId="0" fontId="0" fillId="53" borderId="73" xfId="0" applyFill="1" applyBorder="1" applyAlignment="1">
      <alignment horizontal="center" vertical="top" wrapText="1"/>
    </xf>
    <xf numFmtId="181" fontId="0" fillId="53" borderId="73" xfId="0" applyNumberFormat="1" applyFill="1" applyBorder="1" applyAlignment="1">
      <alignment horizontal="center" vertical="top" wrapText="1"/>
    </xf>
    <xf numFmtId="175" fontId="21" fillId="0" borderId="1" xfId="0" applyNumberFormat="1" applyFont="1" applyFill="1" applyBorder="1" applyProtection="1">
      <protection locked="0"/>
    </xf>
    <xf numFmtId="175" fontId="39" fillId="3" borderId="0" xfId="0" applyNumberFormat="1" applyFont="1" applyFill="1" applyProtection="1"/>
    <xf numFmtId="175" fontId="20" fillId="3" borderId="0" xfId="0" applyNumberFormat="1" applyFont="1" applyFill="1" applyProtection="1"/>
    <xf numFmtId="175" fontId="21" fillId="3" borderId="0" xfId="0" applyNumberFormat="1" applyFont="1" applyFill="1" applyAlignment="1" applyProtection="1">
      <alignment horizontal="center"/>
    </xf>
    <xf numFmtId="0" fontId="39" fillId="3" borderId="0" xfId="0" applyFont="1" applyFill="1" applyProtection="1"/>
    <xf numFmtId="199" fontId="20" fillId="3" borderId="0" xfId="0" applyNumberFormat="1" applyFont="1" applyFill="1" applyProtection="1"/>
    <xf numFmtId="0" fontId="37" fillId="3" borderId="0" xfId="0" applyFont="1" applyFill="1" applyAlignment="1" applyProtection="1">
      <alignment horizontal="left"/>
    </xf>
    <xf numFmtId="0" fontId="37" fillId="3" borderId="0" xfId="0" applyFont="1" applyFill="1" applyAlignment="1" applyProtection="1"/>
    <xf numFmtId="181" fontId="20" fillId="3" borderId="0" xfId="0" applyNumberFormat="1" applyFont="1" applyFill="1" applyProtection="1"/>
    <xf numFmtId="167" fontId="20" fillId="3" borderId="0" xfId="28" applyFont="1" applyFill="1" applyProtection="1"/>
    <xf numFmtId="3" fontId="12" fillId="54" borderId="0" xfId="53" applyNumberFormat="1" applyFont="1" applyFill="1" applyBorder="1" applyAlignment="1"/>
    <xf numFmtId="0" fontId="40" fillId="54" borderId="0" xfId="0" applyFont="1" applyFill="1" applyBorder="1"/>
    <xf numFmtId="3" fontId="61" fillId="54" borderId="0" xfId="53" applyNumberFormat="1" applyFont="1" applyFill="1" applyBorder="1" applyAlignment="1"/>
    <xf numFmtId="0" fontId="15" fillId="54" borderId="0" xfId="0" applyFont="1" applyFill="1" applyAlignment="1">
      <alignment horizontal="center"/>
    </xf>
    <xf numFmtId="0" fontId="20" fillId="3" borderId="0" xfId="0" applyFont="1" applyFill="1" applyAlignment="1" applyProtection="1">
      <alignment horizontal="left" vertical="top" wrapText="1"/>
    </xf>
    <xf numFmtId="0" fontId="21" fillId="3" borderId="0" xfId="0" applyFont="1" applyFill="1" applyAlignment="1" applyProtection="1">
      <alignment horizontal="left" vertical="top" wrapText="1"/>
    </xf>
    <xf numFmtId="169" fontId="15" fillId="3" borderId="0" xfId="32" applyNumberFormat="1" applyFont="1" applyFill="1" applyProtection="1"/>
    <xf numFmtId="175" fontId="0" fillId="3" borderId="0" xfId="0" applyNumberFormat="1" applyFill="1" applyBorder="1" applyAlignment="1" applyProtection="1">
      <alignment horizontal="right"/>
    </xf>
    <xf numFmtId="0" fontId="15" fillId="3" borderId="0" xfId="0" applyFont="1" applyFill="1" applyBorder="1" applyAlignment="1" applyProtection="1">
      <alignment horizontal="left" vertical="center" indent="2"/>
    </xf>
    <xf numFmtId="3" fontId="15" fillId="3" borderId="0" xfId="32" applyNumberFormat="1" applyFont="1" applyFill="1" applyBorder="1" applyAlignment="1" applyProtection="1">
      <alignment horizontal="right"/>
    </xf>
    <xf numFmtId="4" fontId="0" fillId="3" borderId="1" xfId="28" applyNumberFormat="1" applyFont="1" applyFill="1" applyBorder="1" applyAlignment="1" applyProtection="1">
      <alignment horizontal="right"/>
    </xf>
    <xf numFmtId="169" fontId="0" fillId="0" borderId="0" xfId="28" applyNumberFormat="1" applyFont="1"/>
    <xf numFmtId="169" fontId="15" fillId="0" borderId="0" xfId="28" applyNumberFormat="1" applyFont="1"/>
    <xf numFmtId="0" fontId="20" fillId="3" borderId="0" xfId="0" applyFont="1" applyFill="1" applyBorder="1" applyAlignment="1" applyProtection="1">
      <alignment horizontal="left" vertical="center" wrapText="1"/>
    </xf>
    <xf numFmtId="175" fontId="20" fillId="3" borderId="0" xfId="0" applyNumberFormat="1" applyFont="1" applyFill="1" applyBorder="1" applyAlignment="1" applyProtection="1">
      <alignment horizontal="center" vertical="top"/>
    </xf>
    <xf numFmtId="3" fontId="26" fillId="52" borderId="0" xfId="52" applyNumberFormat="1" applyFont="1" applyFill="1" applyBorder="1"/>
    <xf numFmtId="3" fontId="15" fillId="3" borderId="1" xfId="28" applyNumberFormat="1" applyFont="1" applyFill="1" applyBorder="1" applyAlignment="1" applyProtection="1">
      <alignment horizontal="right"/>
    </xf>
    <xf numFmtId="3" fontId="15" fillId="3" borderId="1" xfId="28" quotePrefix="1" applyNumberFormat="1" applyFont="1" applyFill="1" applyBorder="1" applyAlignment="1" applyProtection="1">
      <alignment horizontal="right"/>
    </xf>
    <xf numFmtId="39" fontId="44" fillId="3" borderId="1" xfId="28" applyNumberFormat="1" applyFont="1" applyFill="1" applyBorder="1" applyProtection="1"/>
    <xf numFmtId="2" fontId="5" fillId="16" borderId="0" xfId="0" applyNumberFormat="1" applyFont="1" applyFill="1" applyBorder="1"/>
    <xf numFmtId="0" fontId="5" fillId="16" borderId="0" xfId="0" applyFont="1" applyFill="1" applyBorder="1"/>
    <xf numFmtId="2" fontId="5" fillId="55" borderId="0" xfId="0" applyNumberFormat="1" applyFont="1" applyFill="1" applyBorder="1"/>
    <xf numFmtId="0" fontId="16" fillId="3" borderId="0" xfId="0" applyFont="1" applyFill="1" applyAlignment="1" applyProtection="1">
      <alignment horizontal="left" vertical="top" wrapText="1"/>
    </xf>
    <xf numFmtId="0" fontId="9" fillId="3" borderId="0" xfId="0" applyFont="1" applyFill="1" applyAlignment="1" applyProtection="1">
      <alignment horizontal="left" vertical="top"/>
    </xf>
    <xf numFmtId="1" fontId="26" fillId="14" borderId="0" xfId="37" applyNumberFormat="1" applyFont="1" applyFill="1" applyBorder="1"/>
    <xf numFmtId="1" fontId="26" fillId="14" borderId="0" xfId="52" applyNumberFormat="1" applyFont="1" applyFill="1" applyBorder="1"/>
    <xf numFmtId="3" fontId="16" fillId="3" borderId="1" xfId="0" applyNumberFormat="1" applyFont="1" applyFill="1" applyBorder="1" applyAlignment="1" applyProtection="1">
      <alignment horizontal="right" vertical="top" wrapText="1"/>
    </xf>
    <xf numFmtId="195" fontId="15" fillId="10" borderId="0" xfId="0" applyNumberFormat="1" applyFont="1" applyFill="1"/>
    <xf numFmtId="39" fontId="15" fillId="3" borderId="0" xfId="32" applyNumberFormat="1" applyFont="1" applyFill="1" applyBorder="1" applyAlignment="1" applyProtection="1">
      <alignment horizontal="right"/>
    </xf>
    <xf numFmtId="0" fontId="0" fillId="3" borderId="0" xfId="0" quotePrefix="1" applyFill="1" applyBorder="1" applyAlignment="1" applyProtection="1">
      <alignment horizontal="center"/>
    </xf>
    <xf numFmtId="0" fontId="21" fillId="3" borderId="0" xfId="0" applyFont="1" applyFill="1" applyAlignment="1" applyProtection="1">
      <alignment horizontal="right"/>
    </xf>
    <xf numFmtId="0" fontId="21" fillId="0" borderId="0" xfId="0" applyFont="1"/>
    <xf numFmtId="0" fontId="20" fillId="3" borderId="0" xfId="0" applyFont="1" applyFill="1" applyAlignment="1" applyProtection="1">
      <alignment horizontal="left"/>
      <protection hidden="1"/>
    </xf>
    <xf numFmtId="175" fontId="20" fillId="3" borderId="0" xfId="0" applyNumberFormat="1" applyFont="1" applyFill="1" applyProtection="1">
      <protection hidden="1"/>
    </xf>
    <xf numFmtId="0" fontId="21" fillId="3" borderId="0" xfId="0" applyFont="1" applyFill="1" applyProtection="1">
      <protection hidden="1"/>
    </xf>
    <xf numFmtId="0" fontId="21" fillId="3" borderId="3" xfId="0" applyFont="1" applyFill="1" applyBorder="1" applyProtection="1">
      <protection hidden="1"/>
    </xf>
    <xf numFmtId="0" fontId="21" fillId="3" borderId="5" xfId="0" applyFont="1" applyFill="1" applyBorder="1" applyProtection="1">
      <protection hidden="1"/>
    </xf>
    <xf numFmtId="0" fontId="21" fillId="3" borderId="0" xfId="0" applyFont="1" applyFill="1" applyBorder="1" applyProtection="1">
      <protection hidden="1"/>
    </xf>
    <xf numFmtId="0" fontId="21" fillId="3" borderId="0" xfId="0" applyNumberFormat="1" applyFont="1" applyFill="1" applyProtection="1">
      <protection hidden="1"/>
    </xf>
    <xf numFmtId="0" fontId="50" fillId="3" borderId="0" xfId="0" applyFont="1" applyFill="1" applyAlignment="1" applyProtection="1">
      <alignment horizontal="left"/>
      <protection hidden="1"/>
    </xf>
    <xf numFmtId="175" fontId="21" fillId="3" borderId="0" xfId="0" applyNumberFormat="1" applyFont="1" applyFill="1" applyProtection="1">
      <protection hidden="1"/>
    </xf>
    <xf numFmtId="0" fontId="21" fillId="3" borderId="0" xfId="0" applyFont="1" applyFill="1" applyAlignment="1" applyProtection="1"/>
    <xf numFmtId="175" fontId="46" fillId="3" borderId="0" xfId="0" applyNumberFormat="1" applyFont="1" applyFill="1" applyProtection="1">
      <protection hidden="1"/>
    </xf>
    <xf numFmtId="0" fontId="20" fillId="3" borderId="0" xfId="0" applyFont="1" applyFill="1" applyAlignment="1" applyProtection="1">
      <alignment horizontal="right"/>
    </xf>
    <xf numFmtId="0" fontId="21" fillId="3" borderId="0" xfId="0" applyFont="1" applyFill="1" applyAlignment="1" applyProtection="1">
      <protection hidden="1"/>
    </xf>
    <xf numFmtId="0" fontId="21" fillId="3" borderId="7" xfId="0" applyFont="1" applyFill="1" applyBorder="1" applyAlignment="1" applyProtection="1">
      <alignment horizontal="right"/>
    </xf>
    <xf numFmtId="0" fontId="21" fillId="3" borderId="7" xfId="0" applyFont="1" applyFill="1" applyBorder="1" applyAlignment="1" applyProtection="1">
      <alignment horizontal="center"/>
    </xf>
    <xf numFmtId="0" fontId="21" fillId="3" borderId="11" xfId="0" applyFont="1" applyFill="1" applyBorder="1" applyProtection="1">
      <protection hidden="1"/>
    </xf>
    <xf numFmtId="0" fontId="21" fillId="3" borderId="11" xfId="0" applyFont="1" applyFill="1" applyBorder="1" applyAlignment="1" applyProtection="1">
      <protection hidden="1"/>
    </xf>
    <xf numFmtId="0" fontId="21" fillId="3" borderId="11" xfId="0" applyFont="1" applyFill="1" applyBorder="1" applyAlignment="1" applyProtection="1"/>
    <xf numFmtId="174" fontId="21" fillId="3" borderId="11" xfId="0" applyNumberFormat="1" applyFont="1" applyFill="1" applyBorder="1" applyAlignment="1" applyProtection="1">
      <alignment horizontal="left"/>
      <protection hidden="1"/>
    </xf>
    <xf numFmtId="170" fontId="21" fillId="3" borderId="6" xfId="0" applyNumberFormat="1" applyFont="1" applyFill="1" applyBorder="1" applyAlignment="1" applyProtection="1">
      <alignment horizontal="centerContinuous"/>
    </xf>
    <xf numFmtId="0" fontId="39" fillId="3" borderId="6" xfId="0" applyFont="1" applyFill="1" applyBorder="1" applyAlignment="1" applyProtection="1">
      <alignment horizontal="centerContinuous"/>
    </xf>
    <xf numFmtId="0" fontId="39" fillId="3" borderId="11" xfId="0" applyFont="1" applyFill="1" applyBorder="1" applyAlignment="1" applyProtection="1">
      <alignment horizontal="centerContinuous"/>
    </xf>
    <xf numFmtId="0" fontId="39" fillId="3" borderId="19" xfId="0" applyFont="1" applyFill="1" applyBorder="1" applyAlignment="1" applyProtection="1"/>
    <xf numFmtId="170" fontId="21" fillId="3" borderId="11" xfId="0" applyNumberFormat="1" applyFont="1" applyFill="1" applyBorder="1" applyAlignment="1" applyProtection="1">
      <alignment horizontal="centerContinuous"/>
    </xf>
    <xf numFmtId="170" fontId="21" fillId="3" borderId="19" xfId="0" applyNumberFormat="1" applyFont="1" applyFill="1" applyBorder="1" applyAlignment="1" applyProtection="1">
      <alignment horizontal="centerContinuous"/>
    </xf>
    <xf numFmtId="170" fontId="21" fillId="3" borderId="0" xfId="0" applyNumberFormat="1" applyFont="1" applyFill="1" applyBorder="1" applyAlignment="1" applyProtection="1">
      <alignment horizontal="centerContinuous"/>
    </xf>
    <xf numFmtId="0" fontId="21" fillId="3" borderId="6" xfId="0" applyFont="1" applyFill="1" applyBorder="1" applyAlignment="1" applyProtection="1">
      <alignment horizontal="centerContinuous"/>
    </xf>
    <xf numFmtId="37" fontId="21" fillId="3" borderId="19" xfId="0" applyNumberFormat="1" applyFont="1" applyFill="1" applyBorder="1" applyAlignment="1" applyProtection="1">
      <alignment horizontal="right" wrapText="1"/>
    </xf>
    <xf numFmtId="37" fontId="21" fillId="3" borderId="6" xfId="0" applyNumberFormat="1" applyFont="1" applyFill="1" applyBorder="1" applyAlignment="1" applyProtection="1">
      <alignment horizontal="center"/>
    </xf>
    <xf numFmtId="37" fontId="21" fillId="3" borderId="19" xfId="0" applyNumberFormat="1" applyFont="1" applyFill="1" applyBorder="1" applyAlignment="1" applyProtection="1">
      <alignment horizontal="center" wrapText="1"/>
    </xf>
    <xf numFmtId="0" fontId="21" fillId="3" borderId="1" xfId="0" applyFont="1" applyFill="1" applyBorder="1" applyAlignment="1" applyProtection="1">
      <alignment horizontal="center" wrapText="1"/>
    </xf>
    <xf numFmtId="0" fontId="21" fillId="3" borderId="0" xfId="0" applyFont="1" applyFill="1" applyBorder="1" applyAlignment="1" applyProtection="1">
      <alignment horizontal="center" wrapText="1"/>
    </xf>
    <xf numFmtId="174" fontId="27" fillId="2" borderId="1" xfId="35" applyFont="1" applyProtection="1">
      <alignment horizontal="right" vertical="top"/>
    </xf>
    <xf numFmtId="39" fontId="21" fillId="0" borderId="1" xfId="0" applyNumberFormat="1" applyFont="1" applyBorder="1" applyAlignment="1" applyProtection="1">
      <protection locked="0"/>
    </xf>
    <xf numFmtId="37" fontId="21" fillId="56" borderId="1" xfId="0" applyNumberFormat="1" applyFont="1" applyFill="1" applyBorder="1" applyAlignment="1" applyProtection="1"/>
    <xf numFmtId="37" fontId="21" fillId="4" borderId="1" xfId="45" applyNumberFormat="1" applyFont="1" applyBorder="1" applyAlignment="1" applyProtection="1">
      <protection locked="0"/>
    </xf>
    <xf numFmtId="37" fontId="21" fillId="0" borderId="1" xfId="0" applyNumberFormat="1" applyFont="1" applyBorder="1" applyAlignment="1" applyProtection="1">
      <protection locked="0"/>
    </xf>
    <xf numFmtId="37" fontId="21" fillId="19" borderId="0" xfId="0" applyNumberFormat="1" applyFont="1" applyFill="1" applyAlignment="1" applyProtection="1"/>
    <xf numFmtId="174" fontId="27" fillId="2" borderId="19" xfId="35" applyFont="1" applyBorder="1" applyProtection="1">
      <alignment horizontal="right" vertical="top"/>
    </xf>
    <xf numFmtId="39" fontId="21" fillId="3" borderId="1" xfId="0" applyNumberFormat="1" applyFont="1" applyFill="1" applyBorder="1" applyAlignment="1" applyProtection="1"/>
    <xf numFmtId="0" fontId="21" fillId="3" borderId="0" xfId="0" applyFont="1" applyFill="1" applyBorder="1" applyAlignment="1" applyProtection="1">
      <alignment vertical="top"/>
    </xf>
    <xf numFmtId="37" fontId="21" fillId="3" borderId="0" xfId="0" applyNumberFormat="1" applyFont="1" applyFill="1" applyBorder="1" applyAlignment="1" applyProtection="1">
      <alignment horizontal="right"/>
    </xf>
    <xf numFmtId="0" fontId="20" fillId="3" borderId="0" xfId="0" applyFont="1" applyFill="1" applyBorder="1" applyAlignment="1" applyProtection="1">
      <alignment horizontal="right"/>
    </xf>
    <xf numFmtId="37" fontId="21" fillId="3" borderId="0" xfId="0" applyNumberFormat="1" applyFont="1" applyFill="1" applyAlignment="1" applyProtection="1"/>
    <xf numFmtId="0" fontId="21" fillId="19" borderId="1" xfId="0" applyFont="1" applyFill="1" applyBorder="1" applyProtection="1"/>
    <xf numFmtId="37" fontId="21" fillId="56" borderId="1" xfId="45" applyNumberFormat="1" applyFont="1" applyFill="1" applyBorder="1" applyAlignment="1" applyProtection="1"/>
    <xf numFmtId="0" fontId="21" fillId="19" borderId="1" xfId="0" applyFont="1" applyFill="1" applyBorder="1" applyAlignment="1" applyProtection="1"/>
    <xf numFmtId="0" fontId="21" fillId="19" borderId="0" xfId="0" applyFont="1" applyFill="1" applyAlignment="1" applyProtection="1"/>
    <xf numFmtId="0" fontId="27" fillId="2" borderId="1" xfId="0" applyFont="1" applyFill="1" applyBorder="1" applyProtection="1"/>
    <xf numFmtId="37" fontId="21" fillId="19" borderId="31" xfId="0" applyNumberFormat="1" applyFont="1" applyFill="1" applyBorder="1" applyAlignment="1" applyProtection="1"/>
    <xf numFmtId="39" fontId="21" fillId="3" borderId="0" xfId="0" applyNumberFormat="1" applyFont="1" applyFill="1" applyBorder="1" applyAlignment="1" applyProtection="1"/>
    <xf numFmtId="0" fontId="21" fillId="3" borderId="6" xfId="0" applyFont="1" applyFill="1" applyBorder="1" applyAlignment="1" applyProtection="1"/>
    <xf numFmtId="0" fontId="21" fillId="3" borderId="19" xfId="0" applyFont="1" applyFill="1" applyBorder="1" applyAlignment="1" applyProtection="1"/>
    <xf numFmtId="0" fontId="21" fillId="3" borderId="0" xfId="0" applyFont="1" applyFill="1" applyAlignment="1" applyProtection="1">
      <alignment horizontal="center"/>
    </xf>
    <xf numFmtId="0" fontId="21" fillId="3" borderId="11" xfId="0" applyFont="1" applyFill="1" applyBorder="1" applyAlignment="1" applyProtection="1">
      <alignment horizontal="centerContinuous"/>
    </xf>
    <xf numFmtId="0" fontId="21" fillId="3" borderId="19" xfId="0" applyFont="1" applyFill="1" applyBorder="1" applyAlignment="1" applyProtection="1">
      <alignment horizontal="centerContinuous"/>
    </xf>
    <xf numFmtId="0" fontId="21" fillId="3" borderId="6" xfId="0" applyFont="1" applyFill="1" applyBorder="1" applyAlignment="1" applyProtection="1">
      <alignment horizontal="center"/>
    </xf>
    <xf numFmtId="0" fontId="21" fillId="3" borderId="11" xfId="0" applyFont="1" applyFill="1" applyBorder="1" applyAlignment="1" applyProtection="1">
      <alignment horizontal="center"/>
    </xf>
    <xf numFmtId="0" fontId="21" fillId="3" borderId="11" xfId="0" applyFont="1" applyFill="1" applyBorder="1" applyAlignment="1" applyProtection="1">
      <alignment horizontal="center"/>
      <protection hidden="1"/>
    </xf>
    <xf numFmtId="0" fontId="21" fillId="3" borderId="11" xfId="0" applyFont="1" applyFill="1" applyBorder="1" applyAlignment="1" applyProtection="1">
      <alignment horizontal="centerContinuous"/>
      <protection hidden="1"/>
    </xf>
    <xf numFmtId="0" fontId="21" fillId="3" borderId="0" xfId="0" applyFont="1" applyFill="1" applyBorder="1" applyAlignment="1" applyProtection="1">
      <alignment horizontal="centerContinuous"/>
    </xf>
    <xf numFmtId="0" fontId="21" fillId="3" borderId="19" xfId="0" applyFont="1" applyFill="1" applyBorder="1" applyAlignment="1" applyProtection="1">
      <alignment wrapText="1"/>
    </xf>
    <xf numFmtId="0" fontId="21" fillId="3" borderId="19" xfId="0" applyFont="1" applyFill="1" applyBorder="1" applyAlignment="1" applyProtection="1">
      <alignment horizontal="center"/>
    </xf>
    <xf numFmtId="0" fontId="21" fillId="3" borderId="6" xfId="0" applyFont="1" applyFill="1" applyBorder="1" applyAlignment="1" applyProtection="1">
      <alignment horizontal="center" vertical="center"/>
    </xf>
    <xf numFmtId="0" fontId="21" fillId="3" borderId="19" xfId="0" applyFont="1" applyFill="1" applyBorder="1" applyAlignment="1" applyProtection="1">
      <alignment horizontal="center" vertical="center"/>
    </xf>
    <xf numFmtId="0" fontId="21" fillId="3" borderId="6" xfId="0" applyFont="1" applyFill="1" applyBorder="1" applyProtection="1"/>
    <xf numFmtId="0" fontId="21" fillId="3" borderId="6" xfId="0" applyFont="1" applyFill="1" applyBorder="1" applyProtection="1">
      <protection hidden="1"/>
    </xf>
    <xf numFmtId="39" fontId="21" fillId="3" borderId="1" xfId="45" applyNumberFormat="1" applyFont="1" applyFill="1" applyBorder="1" applyAlignment="1" applyProtection="1"/>
    <xf numFmtId="0" fontId="21" fillId="3" borderId="24" xfId="0" applyFont="1" applyFill="1" applyBorder="1" applyAlignment="1" applyProtection="1">
      <alignment horizontal="center" vertical="center"/>
    </xf>
    <xf numFmtId="0" fontId="21" fillId="3" borderId="25" xfId="0" applyFont="1" applyFill="1" applyBorder="1" applyAlignment="1" applyProtection="1">
      <alignment horizontal="center" vertical="center"/>
    </xf>
    <xf numFmtId="39" fontId="21" fillId="3" borderId="1" xfId="0" applyNumberFormat="1" applyFont="1" applyFill="1" applyBorder="1" applyAlignment="1" applyProtection="1">
      <protection hidden="1"/>
    </xf>
    <xf numFmtId="39" fontId="21" fillId="3" borderId="0" xfId="0" applyNumberFormat="1" applyFont="1" applyFill="1" applyBorder="1" applyAlignment="1" applyProtection="1">
      <protection hidden="1"/>
    </xf>
    <xf numFmtId="0" fontId="21" fillId="3" borderId="17" xfId="0" applyFont="1" applyFill="1" applyBorder="1" applyAlignment="1" applyProtection="1">
      <alignment horizontal="center" vertical="center"/>
    </xf>
    <xf numFmtId="0" fontId="21" fillId="3" borderId="9" xfId="0" applyFont="1" applyFill="1" applyBorder="1" applyAlignment="1" applyProtection="1">
      <alignment horizontal="center" vertical="center"/>
    </xf>
    <xf numFmtId="0" fontId="21" fillId="3" borderId="0" xfId="0" applyFont="1" applyFill="1" applyBorder="1" applyAlignment="1" applyProtection="1">
      <protection hidden="1"/>
    </xf>
    <xf numFmtId="39" fontId="21" fillId="3" borderId="16" xfId="0" applyNumberFormat="1" applyFont="1" applyFill="1" applyBorder="1" applyAlignment="1" applyProtection="1"/>
    <xf numFmtId="0" fontId="21" fillId="3" borderId="7" xfId="0" applyFont="1" applyFill="1" applyBorder="1" applyAlignment="1" applyProtection="1"/>
    <xf numFmtId="0" fontId="21" fillId="3" borderId="6" xfId="0" applyFont="1" applyFill="1" applyBorder="1" applyAlignment="1" applyProtection="1">
      <protection hidden="1"/>
    </xf>
    <xf numFmtId="15" fontId="21" fillId="3" borderId="0" xfId="0" quotePrefix="1" applyNumberFormat="1" applyFont="1" applyFill="1" applyAlignment="1" applyProtection="1">
      <alignment horizontal="left"/>
    </xf>
    <xf numFmtId="15" fontId="21" fillId="3" borderId="0" xfId="0" quotePrefix="1" applyNumberFormat="1" applyFont="1" applyFill="1" applyBorder="1" applyAlignment="1" applyProtection="1">
      <alignment horizontal="left"/>
    </xf>
    <xf numFmtId="15" fontId="21" fillId="3" borderId="9" xfId="0" quotePrefix="1" applyNumberFormat="1" applyFont="1" applyFill="1" applyBorder="1" applyAlignment="1" applyProtection="1">
      <alignment horizontal="left"/>
    </xf>
    <xf numFmtId="198" fontId="21" fillId="0" borderId="1" xfId="45" applyNumberFormat="1" applyFont="1" applyFill="1" applyBorder="1" applyAlignment="1" applyProtection="1">
      <protection locked="0"/>
    </xf>
    <xf numFmtId="39" fontId="21" fillId="0" borderId="1" xfId="45" applyNumberFormat="1" applyFont="1" applyFill="1" applyBorder="1" applyAlignment="1" applyProtection="1">
      <protection locked="0"/>
    </xf>
    <xf numFmtId="0" fontId="21" fillId="19" borderId="1" xfId="0" applyFont="1" applyFill="1" applyBorder="1" applyAlignment="1" applyProtection="1">
      <protection hidden="1"/>
    </xf>
    <xf numFmtId="170" fontId="21" fillId="3" borderId="0" xfId="0" quotePrefix="1" applyNumberFormat="1" applyFont="1" applyFill="1" applyAlignment="1" applyProtection="1"/>
    <xf numFmtId="39" fontId="21" fillId="3" borderId="0" xfId="0" applyNumberFormat="1" applyFont="1" applyFill="1" applyAlignment="1" applyProtection="1"/>
    <xf numFmtId="39" fontId="21" fillId="3" borderId="0" xfId="0" applyNumberFormat="1" applyFont="1" applyFill="1" applyAlignment="1" applyProtection="1">
      <protection hidden="1"/>
    </xf>
    <xf numFmtId="39" fontId="21" fillId="4" borderId="1" xfId="45" applyNumberFormat="1" applyFont="1" applyBorder="1" applyAlignment="1" applyProtection="1">
      <protection locked="0"/>
    </xf>
    <xf numFmtId="39" fontId="21" fillId="3" borderId="11" xfId="0" applyNumberFormat="1" applyFont="1" applyFill="1" applyBorder="1" applyAlignment="1" applyProtection="1"/>
    <xf numFmtId="0" fontId="20" fillId="3" borderId="0" xfId="0" applyFont="1" applyFill="1" applyAlignment="1" applyProtection="1">
      <alignment horizontal="center"/>
    </xf>
    <xf numFmtId="0" fontId="75" fillId="3" borderId="0" xfId="0" applyFont="1" applyFill="1" applyAlignment="1" applyProtection="1"/>
    <xf numFmtId="4" fontId="21" fillId="0" borderId="1" xfId="0" applyNumberFormat="1" applyFont="1" applyFill="1" applyBorder="1" applyAlignment="1" applyProtection="1">
      <protection locked="0"/>
    </xf>
    <xf numFmtId="4" fontId="21" fillId="3" borderId="1" xfId="0" applyNumberFormat="1" applyFont="1" applyFill="1" applyBorder="1" applyAlignment="1" applyProtection="1"/>
    <xf numFmtId="0" fontId="76" fillId="3" borderId="0" xfId="0" applyFont="1" applyFill="1" applyAlignment="1" applyProtection="1"/>
    <xf numFmtId="174" fontId="20" fillId="3" borderId="0" xfId="0" applyNumberFormat="1" applyFont="1" applyFill="1" applyAlignment="1" applyProtection="1">
      <alignment horizontal="center"/>
    </xf>
    <xf numFmtId="0" fontId="21" fillId="3" borderId="0" xfId="0" applyFont="1" applyFill="1" applyAlignment="1" applyProtection="1">
      <alignment horizontal="center"/>
      <protection hidden="1"/>
    </xf>
    <xf numFmtId="0" fontId="37" fillId="3" borderId="0" xfId="0" applyFont="1" applyFill="1" applyAlignment="1" applyProtection="1">
      <alignment horizontal="center"/>
    </xf>
    <xf numFmtId="4" fontId="20" fillId="3" borderId="1" xfId="0" applyNumberFormat="1" applyFont="1" applyFill="1" applyBorder="1" applyAlignment="1" applyProtection="1"/>
    <xf numFmtId="0" fontId="21" fillId="3" borderId="0" xfId="0" quotePrefix="1" applyFont="1" applyFill="1" applyAlignment="1" applyProtection="1"/>
    <xf numFmtId="39" fontId="21" fillId="0" borderId="1" xfId="0" applyNumberFormat="1" applyFont="1" applyFill="1" applyBorder="1" applyAlignment="1" applyProtection="1">
      <protection locked="0"/>
    </xf>
    <xf numFmtId="0" fontId="21" fillId="3" borderId="1" xfId="0" applyFont="1" applyFill="1" applyBorder="1" applyAlignment="1" applyProtection="1"/>
    <xf numFmtId="0" fontId="21" fillId="3" borderId="1" xfId="0" applyFont="1" applyFill="1" applyBorder="1" applyAlignment="1" applyProtection="1">
      <protection hidden="1"/>
    </xf>
    <xf numFmtId="39" fontId="21" fillId="3" borderId="0" xfId="45" applyNumberFormat="1" applyFont="1" applyFill="1" applyBorder="1" applyAlignment="1" applyProtection="1"/>
    <xf numFmtId="0" fontId="21" fillId="0" borderId="0" xfId="0" applyFont="1" applyProtection="1"/>
    <xf numFmtId="169" fontId="21" fillId="3" borderId="0" xfId="28" applyNumberFormat="1" applyFont="1" applyFill="1" applyAlignment="1" applyProtection="1">
      <alignment horizontal="right"/>
    </xf>
    <xf numFmtId="0" fontId="20" fillId="3" borderId="0" xfId="0" applyFont="1" applyFill="1" applyAlignment="1" applyProtection="1">
      <alignment vertical="top" wrapText="1"/>
    </xf>
    <xf numFmtId="2" fontId="20" fillId="3" borderId="0" xfId="0" applyNumberFormat="1" applyFont="1" applyFill="1" applyAlignment="1" applyProtection="1">
      <alignment horizontal="left"/>
    </xf>
    <xf numFmtId="0" fontId="39" fillId="3" borderId="0" xfId="0" applyFont="1" applyFill="1" applyBorder="1" applyProtection="1"/>
    <xf numFmtId="3" fontId="37" fillId="3" borderId="0" xfId="30" applyNumberFormat="1" applyFont="1" applyFill="1" applyBorder="1" applyProtection="1"/>
    <xf numFmtId="0" fontId="77" fillId="3" borderId="0" xfId="0" applyFont="1" applyFill="1" applyProtection="1"/>
    <xf numFmtId="3" fontId="39" fillId="3" borderId="0" xfId="30" applyNumberFormat="1" applyFont="1" applyFill="1" applyBorder="1" applyProtection="1"/>
    <xf numFmtId="0" fontId="37" fillId="3" borderId="0" xfId="0" applyFont="1" applyFill="1" applyAlignment="1" applyProtection="1">
      <alignment horizontal="right"/>
    </xf>
    <xf numFmtId="0" fontId="16" fillId="3" borderId="0" xfId="0" applyFont="1" applyFill="1" applyBorder="1" applyAlignment="1" applyProtection="1">
      <alignment horizontal="left" vertical="top"/>
    </xf>
    <xf numFmtId="0" fontId="15" fillId="3" borderId="31" xfId="0" applyFont="1" applyFill="1" applyBorder="1" applyProtection="1"/>
    <xf numFmtId="0" fontId="12" fillId="3" borderId="35" xfId="0" applyFont="1" applyFill="1" applyBorder="1" applyAlignment="1" applyProtection="1">
      <alignment horizontal="center" wrapText="1"/>
    </xf>
    <xf numFmtId="0" fontId="12" fillId="3" borderId="36" xfId="0" applyFont="1" applyFill="1" applyBorder="1" applyAlignment="1" applyProtection="1">
      <alignment horizontal="center" wrapText="1"/>
    </xf>
    <xf numFmtId="0" fontId="16" fillId="3" borderId="0" xfId="0" applyFont="1" applyFill="1"/>
    <xf numFmtId="0" fontId="12" fillId="3" borderId="6" xfId="0" applyFont="1" applyFill="1" applyBorder="1" applyAlignment="1">
      <alignment horizontal="left"/>
    </xf>
    <xf numFmtId="196" fontId="15" fillId="3" borderId="19" xfId="28" applyNumberFormat="1" applyFont="1" applyFill="1" applyBorder="1"/>
    <xf numFmtId="0" fontId="15" fillId="3" borderId="0" xfId="0" applyFont="1" applyFill="1" applyAlignment="1">
      <alignment horizontal="center" wrapText="1"/>
    </xf>
    <xf numFmtId="196" fontId="15" fillId="3" borderId="0" xfId="28" applyNumberFormat="1" applyFont="1" applyFill="1" applyAlignment="1">
      <alignment horizontal="center" wrapText="1"/>
    </xf>
    <xf numFmtId="0" fontId="15" fillId="3" borderId="40" xfId="0" applyFont="1" applyFill="1" applyBorder="1"/>
    <xf numFmtId="0" fontId="6" fillId="3" borderId="0" xfId="0" applyFont="1" applyFill="1" applyAlignment="1" applyProtection="1">
      <alignment horizontal="center"/>
    </xf>
    <xf numFmtId="37" fontId="16" fillId="3" borderId="0" xfId="0" applyNumberFormat="1" applyFont="1" applyFill="1" applyAlignment="1" applyProtection="1">
      <alignment horizontal="left"/>
    </xf>
    <xf numFmtId="169" fontId="16" fillId="3" borderId="0" xfId="29" applyNumberFormat="1" applyFont="1" applyFill="1" applyAlignment="1" applyProtection="1">
      <alignment horizontal="center" wrapText="1"/>
    </xf>
    <xf numFmtId="0" fontId="9" fillId="3" borderId="0" xfId="0" applyNumberFormat="1" applyFont="1" applyFill="1" applyProtection="1"/>
    <xf numFmtId="37" fontId="9" fillId="3" borderId="0" xfId="0" applyNumberFormat="1" applyFont="1" applyFill="1" applyProtection="1"/>
    <xf numFmtId="0" fontId="16" fillId="3" borderId="6" xfId="0" applyFont="1" applyFill="1" applyBorder="1" applyAlignment="1" applyProtection="1">
      <alignment horizontal="center"/>
    </xf>
    <xf numFmtId="0" fontId="9" fillId="3" borderId="1" xfId="0" applyNumberFormat="1" applyFont="1" applyFill="1" applyBorder="1" applyAlignment="1" applyProtection="1">
      <alignment horizontal="left" wrapText="1"/>
    </xf>
    <xf numFmtId="0" fontId="9" fillId="3" borderId="1" xfId="0" applyNumberFormat="1" applyFont="1" applyFill="1" applyBorder="1" applyAlignment="1" applyProtection="1">
      <alignment horizontal="center" wrapText="1"/>
    </xf>
    <xf numFmtId="0" fontId="9" fillId="3" borderId="0" xfId="0" applyNumberFormat="1" applyFont="1" applyFill="1" applyBorder="1" applyAlignment="1" applyProtection="1">
      <alignment horizontal="center" wrapText="1"/>
    </xf>
    <xf numFmtId="0" fontId="16" fillId="9" borderId="1" xfId="0" applyNumberFormat="1" applyFont="1" applyFill="1" applyBorder="1" applyAlignment="1" applyProtection="1">
      <alignment horizontal="left"/>
    </xf>
    <xf numFmtId="185" fontId="63" fillId="7" borderId="1" xfId="36" applyFont="1" applyFill="1" applyProtection="1">
      <alignment horizontal="center" vertical="top"/>
    </xf>
    <xf numFmtId="0" fontId="9" fillId="3" borderId="1" xfId="0" applyNumberFormat="1" applyFont="1" applyFill="1" applyBorder="1" applyAlignment="1" applyProtection="1">
      <alignment horizontal="left"/>
    </xf>
    <xf numFmtId="0" fontId="63" fillId="7" borderId="1" xfId="0" applyNumberFormat="1" applyFont="1" applyFill="1" applyBorder="1" applyAlignment="1" applyProtection="1">
      <alignment horizontal="center"/>
    </xf>
    <xf numFmtId="37" fontId="9" fillId="4" borderId="1" xfId="29" applyNumberFormat="1" applyFont="1" applyFill="1" applyBorder="1" applyProtection="1">
      <protection locked="0"/>
    </xf>
    <xf numFmtId="37" fontId="9" fillId="9" borderId="1" xfId="29" applyNumberFormat="1" applyFont="1" applyFill="1" applyBorder="1" applyAlignment="1" applyProtection="1"/>
    <xf numFmtId="37" fontId="9" fillId="3" borderId="1" xfId="29" applyNumberFormat="1" applyFont="1" applyFill="1" applyBorder="1" applyProtection="1"/>
    <xf numFmtId="0" fontId="63" fillId="7" borderId="1" xfId="0" applyNumberFormat="1" applyFont="1" applyFill="1" applyBorder="1" applyAlignment="1" applyProtection="1">
      <alignment horizontal="center" wrapText="1"/>
    </xf>
    <xf numFmtId="37" fontId="9" fillId="9" borderId="1" xfId="29" applyNumberFormat="1" applyFont="1" applyFill="1" applyBorder="1" applyProtection="1"/>
    <xf numFmtId="37" fontId="9" fillId="9" borderId="10" xfId="29" applyNumberFormat="1" applyFont="1" applyFill="1" applyBorder="1" applyAlignment="1" applyProtection="1"/>
    <xf numFmtId="169" fontId="9" fillId="0" borderId="0" xfId="28" applyNumberFormat="1" applyFont="1" applyProtection="1">
      <protection locked="0"/>
    </xf>
    <xf numFmtId="0" fontId="9" fillId="3" borderId="6" xfId="0" applyNumberFormat="1" applyFont="1" applyFill="1" applyBorder="1" applyAlignment="1" applyProtection="1">
      <alignment horizontal="left" wrapText="1"/>
    </xf>
    <xf numFmtId="0" fontId="63" fillId="7" borderId="11" xfId="0" applyNumberFormat="1" applyFont="1" applyFill="1" applyBorder="1" applyAlignment="1" applyProtection="1">
      <alignment horizontal="center" wrapText="1"/>
    </xf>
    <xf numFmtId="0" fontId="16" fillId="3" borderId="6" xfId="0" applyNumberFormat="1" applyFont="1" applyFill="1" applyBorder="1" applyAlignment="1" applyProtection="1">
      <alignment horizontal="left" wrapText="1"/>
    </xf>
    <xf numFmtId="0" fontId="16" fillId="9" borderId="6" xfId="0" applyNumberFormat="1" applyFont="1" applyFill="1" applyBorder="1" applyAlignment="1" applyProtection="1">
      <alignment horizontal="left"/>
    </xf>
    <xf numFmtId="0" fontId="16" fillId="9" borderId="11" xfId="0" applyNumberFormat="1" applyFont="1" applyFill="1" applyBorder="1" applyAlignment="1" applyProtection="1">
      <alignment horizontal="left"/>
    </xf>
    <xf numFmtId="185" fontId="16" fillId="9" borderId="11" xfId="36" applyFont="1" applyFill="1" applyBorder="1" applyProtection="1">
      <alignment horizontal="center" vertical="top"/>
    </xf>
    <xf numFmtId="185" fontId="16" fillId="9" borderId="19" xfId="36" applyFont="1" applyFill="1" applyBorder="1" applyProtection="1">
      <alignment horizontal="center" vertical="top"/>
    </xf>
    <xf numFmtId="37" fontId="9" fillId="0" borderId="1" xfId="29" applyNumberFormat="1" applyFont="1" applyFill="1" applyBorder="1" applyProtection="1">
      <protection locked="0"/>
    </xf>
    <xf numFmtId="37" fontId="9" fillId="0" borderId="1" xfId="29" applyNumberFormat="1" applyFont="1" applyFill="1" applyBorder="1" applyAlignment="1" applyProtection="1">
      <protection locked="0"/>
    </xf>
    <xf numFmtId="0" fontId="63" fillId="7" borderId="11" xfId="0" applyNumberFormat="1" applyFont="1" applyFill="1" applyBorder="1" applyAlignment="1" applyProtection="1">
      <alignment horizontal="center"/>
    </xf>
    <xf numFmtId="37" fontId="9" fillId="9" borderId="1" xfId="29" applyNumberFormat="1" applyFont="1" applyFill="1" applyBorder="1" applyProtection="1">
      <protection locked="0"/>
    </xf>
    <xf numFmtId="0" fontId="16" fillId="3" borderId="6" xfId="0" applyNumberFormat="1" applyFont="1" applyFill="1" applyBorder="1" applyAlignment="1" applyProtection="1">
      <alignment horizontal="left"/>
    </xf>
    <xf numFmtId="0" fontId="9" fillId="3" borderId="6" xfId="0" applyNumberFormat="1" applyFont="1" applyFill="1" applyBorder="1" applyAlignment="1" applyProtection="1">
      <alignment horizontal="left"/>
    </xf>
    <xf numFmtId="185" fontId="16" fillId="9" borderId="1" xfId="36" applyFont="1" applyFill="1" applyBorder="1" applyProtection="1">
      <alignment horizontal="center" vertical="top"/>
    </xf>
    <xf numFmtId="1" fontId="9" fillId="3" borderId="1" xfId="36" applyNumberFormat="1" applyFont="1" applyFill="1" applyBorder="1" applyAlignment="1" applyProtection="1">
      <alignment horizontal="right" vertical="top"/>
    </xf>
    <xf numFmtId="1" fontId="16" fillId="9" borderId="1" xfId="36" applyNumberFormat="1" applyFont="1" applyFill="1" applyBorder="1" applyAlignment="1" applyProtection="1">
      <alignment horizontal="right" vertical="top"/>
    </xf>
    <xf numFmtId="3" fontId="9" fillId="9" borderId="1" xfId="29" applyNumberFormat="1" applyFont="1" applyFill="1" applyBorder="1" applyAlignment="1" applyProtection="1"/>
    <xf numFmtId="0" fontId="16" fillId="3" borderId="1" xfId="0" applyNumberFormat="1" applyFont="1" applyFill="1" applyBorder="1" applyAlignment="1" applyProtection="1">
      <alignment horizontal="left"/>
    </xf>
    <xf numFmtId="37" fontId="16" fillId="3" borderId="1" xfId="29" applyNumberFormat="1" applyFont="1" applyFill="1" applyBorder="1" applyProtection="1"/>
    <xf numFmtId="0" fontId="9" fillId="3" borderId="2" xfId="28" applyNumberFormat="1" applyFont="1" applyFill="1" applyBorder="1" applyAlignment="1" applyProtection="1"/>
    <xf numFmtId="0" fontId="9" fillId="3" borderId="8" xfId="0" applyFont="1" applyFill="1" applyBorder="1" applyAlignment="1" applyProtection="1">
      <alignment horizontal="center"/>
    </xf>
    <xf numFmtId="37" fontId="16" fillId="3" borderId="0" xfId="0" applyNumberFormat="1" applyFont="1" applyFill="1" applyAlignment="1" applyProtection="1"/>
    <xf numFmtId="37" fontId="9" fillId="3" borderId="0" xfId="0" applyNumberFormat="1" applyFont="1" applyFill="1" applyAlignment="1" applyProtection="1"/>
    <xf numFmtId="37" fontId="6" fillId="3" borderId="0" xfId="0" applyNumberFormat="1" applyFont="1" applyFill="1" applyAlignment="1" applyProtection="1">
      <alignment horizontal="left"/>
    </xf>
    <xf numFmtId="37" fontId="6" fillId="3" borderId="0" xfId="0" applyNumberFormat="1" applyFont="1" applyFill="1" applyAlignment="1" applyProtection="1">
      <alignment horizontal="center"/>
    </xf>
    <xf numFmtId="37" fontId="16" fillId="3" borderId="0" xfId="0" applyNumberFormat="1" applyFont="1" applyFill="1" applyProtection="1"/>
    <xf numFmtId="37" fontId="9" fillId="3" borderId="1" xfId="0" applyNumberFormat="1" applyFont="1" applyFill="1" applyBorder="1" applyAlignment="1" applyProtection="1">
      <alignment horizontal="left" wrapText="1"/>
    </xf>
    <xf numFmtId="37" fontId="9" fillId="3" borderId="1" xfId="0" applyNumberFormat="1" applyFont="1" applyFill="1" applyBorder="1" applyAlignment="1" applyProtection="1">
      <alignment horizontal="center" wrapText="1"/>
    </xf>
    <xf numFmtId="37" fontId="9" fillId="3" borderId="0" xfId="0" applyNumberFormat="1" applyFont="1" applyFill="1" applyBorder="1" applyAlignment="1" applyProtection="1">
      <alignment horizontal="center" wrapText="1"/>
    </xf>
    <xf numFmtId="37" fontId="9" fillId="3" borderId="10" xfId="0" applyNumberFormat="1" applyFont="1" applyFill="1" applyBorder="1" applyAlignment="1" applyProtection="1">
      <alignment horizontal="left" wrapText="1"/>
    </xf>
    <xf numFmtId="37" fontId="9" fillId="3" borderId="10" xfId="0" applyNumberFormat="1" applyFont="1" applyFill="1" applyBorder="1" applyAlignment="1" applyProtection="1">
      <alignment horizontal="center" wrapText="1"/>
    </xf>
    <xf numFmtId="37" fontId="63" fillId="7" borderId="10" xfId="0" applyNumberFormat="1" applyFont="1" applyFill="1" applyBorder="1" applyAlignment="1" applyProtection="1">
      <alignment horizontal="center" wrapText="1"/>
    </xf>
    <xf numFmtId="37" fontId="9" fillId="3" borderId="0" xfId="0" applyNumberFormat="1" applyFont="1" applyFill="1" applyBorder="1" applyProtection="1"/>
    <xf numFmtId="37" fontId="63" fillId="9" borderId="1" xfId="36" applyNumberFormat="1" applyFont="1" applyFill="1" applyBorder="1" applyProtection="1">
      <alignment horizontal="center" vertical="top"/>
    </xf>
    <xf numFmtId="37" fontId="16" fillId="3" borderId="0" xfId="0" applyNumberFormat="1" applyFont="1" applyFill="1" applyBorder="1" applyAlignment="1" applyProtection="1">
      <alignment horizontal="center" wrapText="1"/>
    </xf>
    <xf numFmtId="37" fontId="16" fillId="9" borderId="1" xfId="36" applyNumberFormat="1" applyFont="1" applyFill="1" applyBorder="1" applyProtection="1">
      <alignment horizontal="center" vertical="top"/>
    </xf>
    <xf numFmtId="37" fontId="78" fillId="9" borderId="1" xfId="36" applyNumberFormat="1" applyFont="1" applyFill="1" applyBorder="1" applyProtection="1">
      <alignment horizontal="center" vertical="top"/>
    </xf>
    <xf numFmtId="0" fontId="63" fillId="7" borderId="6" xfId="0" applyNumberFormat="1" applyFont="1" applyFill="1" applyBorder="1" applyAlignment="1" applyProtection="1">
      <alignment horizontal="center"/>
    </xf>
    <xf numFmtId="3" fontId="9" fillId="3" borderId="1" xfId="29" applyNumberFormat="1" applyFont="1" applyFill="1" applyBorder="1" applyAlignment="1" applyProtection="1">
      <alignment vertical="center"/>
    </xf>
    <xf numFmtId="3" fontId="9" fillId="3" borderId="0" xfId="0" applyNumberFormat="1" applyFont="1" applyFill="1" applyBorder="1" applyAlignment="1" applyProtection="1">
      <alignment vertical="center" wrapText="1"/>
    </xf>
    <xf numFmtId="3" fontId="9" fillId="0" borderId="1" xfId="28" applyNumberFormat="1" applyFont="1" applyFill="1" applyBorder="1" applyAlignment="1" applyProtection="1">
      <alignment vertical="center"/>
      <protection locked="0"/>
    </xf>
    <xf numFmtId="3" fontId="9" fillId="3" borderId="1" xfId="36" applyNumberFormat="1" applyFont="1" applyFill="1" applyBorder="1" applyAlignment="1" applyProtection="1">
      <alignment vertical="center"/>
    </xf>
    <xf numFmtId="3" fontId="9" fillId="3" borderId="0" xfId="0" applyNumberFormat="1" applyFont="1" applyFill="1" applyBorder="1" applyAlignment="1" applyProtection="1">
      <alignment vertical="center"/>
    </xf>
    <xf numFmtId="0" fontId="63" fillId="7" borderId="6" xfId="0" applyNumberFormat="1" applyFont="1" applyFill="1" applyBorder="1" applyAlignment="1" applyProtection="1">
      <alignment horizontal="center" wrapText="1"/>
    </xf>
    <xf numFmtId="3" fontId="9" fillId="3" borderId="1" xfId="28" applyNumberFormat="1" applyFont="1" applyFill="1" applyBorder="1" applyAlignment="1" applyProtection="1">
      <alignment vertical="center"/>
    </xf>
    <xf numFmtId="3" fontId="9" fillId="9" borderId="1" xfId="29" applyNumberFormat="1" applyFont="1" applyFill="1" applyBorder="1" applyAlignment="1" applyProtection="1">
      <alignment vertical="center"/>
    </xf>
    <xf numFmtId="3" fontId="9" fillId="9" borderId="1" xfId="28" applyNumberFormat="1" applyFont="1" applyFill="1" applyBorder="1" applyAlignment="1" applyProtection="1">
      <alignment vertical="center"/>
    </xf>
    <xf numFmtId="3" fontId="16" fillId="3" borderId="0" xfId="0" applyNumberFormat="1" applyFont="1" applyFill="1" applyBorder="1" applyAlignment="1" applyProtection="1">
      <alignment vertical="center" wrapText="1"/>
    </xf>
    <xf numFmtId="3" fontId="9" fillId="3" borderId="0" xfId="29" applyNumberFormat="1" applyFont="1" applyFill="1" applyBorder="1" applyAlignment="1" applyProtection="1">
      <alignment vertical="center"/>
    </xf>
    <xf numFmtId="3" fontId="9" fillId="9" borderId="1" xfId="0" applyNumberFormat="1" applyFont="1" applyFill="1" applyBorder="1" applyAlignment="1" applyProtection="1">
      <alignment vertical="center"/>
    </xf>
    <xf numFmtId="0" fontId="16" fillId="3" borderId="10" xfId="0" applyNumberFormat="1" applyFont="1" applyFill="1" applyBorder="1" applyAlignment="1" applyProtection="1">
      <alignment horizontal="left"/>
    </xf>
    <xf numFmtId="0" fontId="63" fillId="7" borderId="24" xfId="0" applyNumberFormat="1" applyFont="1" applyFill="1" applyBorder="1" applyAlignment="1" applyProtection="1">
      <alignment horizontal="center"/>
    </xf>
    <xf numFmtId="3" fontId="9" fillId="3" borderId="10" xfId="28" applyNumberFormat="1" applyFont="1" applyFill="1" applyBorder="1" applyAlignment="1" applyProtection="1">
      <alignment vertical="center"/>
    </xf>
    <xf numFmtId="3" fontId="9" fillId="3" borderId="1" xfId="0" applyNumberFormat="1" applyFont="1" applyFill="1" applyBorder="1" applyAlignment="1" applyProtection="1">
      <alignment vertical="center"/>
    </xf>
    <xf numFmtId="0" fontId="78" fillId="3" borderId="0" xfId="0" applyFont="1" applyFill="1" applyBorder="1" applyAlignment="1" applyProtection="1">
      <alignment horizontal="center"/>
    </xf>
    <xf numFmtId="0" fontId="9" fillId="3" borderId="0" xfId="0" applyFont="1" applyFill="1" applyBorder="1" applyAlignment="1" applyProtection="1">
      <alignment horizontal="center"/>
    </xf>
    <xf numFmtId="2" fontId="21" fillId="3" borderId="0" xfId="28" applyNumberFormat="1" applyFont="1" applyFill="1" applyProtection="1"/>
    <xf numFmtId="0" fontId="16" fillId="3" borderId="0" xfId="0" applyNumberFormat="1" applyFont="1" applyFill="1" applyAlignment="1" applyProtection="1"/>
    <xf numFmtId="0" fontId="9" fillId="3" borderId="0" xfId="0" applyNumberFormat="1" applyFont="1" applyFill="1" applyBorder="1" applyAlignment="1" applyProtection="1">
      <alignment horizontal="left"/>
    </xf>
    <xf numFmtId="37" fontId="9" fillId="3" borderId="11" xfId="29" applyNumberFormat="1" applyFont="1" applyFill="1" applyBorder="1" applyProtection="1"/>
    <xf numFmtId="37" fontId="9" fillId="3" borderId="11" xfId="29" applyNumberFormat="1" applyFont="1" applyFill="1" applyBorder="1" applyAlignment="1" applyProtection="1"/>
    <xf numFmtId="37" fontId="9" fillId="3" borderId="19" xfId="29" applyNumberFormat="1" applyFont="1" applyFill="1" applyBorder="1" applyAlignment="1" applyProtection="1"/>
    <xf numFmtId="37" fontId="9" fillId="3" borderId="0" xfId="29" applyNumberFormat="1" applyFont="1" applyFill="1" applyBorder="1" applyAlignment="1" applyProtection="1"/>
    <xf numFmtId="0" fontId="16" fillId="3" borderId="1" xfId="0" applyNumberFormat="1" applyFont="1" applyFill="1" applyBorder="1" applyAlignment="1" applyProtection="1">
      <alignment horizontal="center" wrapText="1"/>
    </xf>
    <xf numFmtId="0" fontId="63" fillId="7" borderId="0" xfId="0" applyFont="1" applyFill="1" applyAlignment="1" applyProtection="1">
      <alignment horizontal="center"/>
    </xf>
    <xf numFmtId="37" fontId="9" fillId="3" borderId="1" xfId="29" applyNumberFormat="1" applyFont="1" applyFill="1" applyBorder="1" applyAlignment="1" applyProtection="1"/>
    <xf numFmtId="37" fontId="9" fillId="3" borderId="23" xfId="29" applyNumberFormat="1" applyFont="1" applyFill="1" applyBorder="1" applyProtection="1"/>
    <xf numFmtId="0" fontId="9" fillId="0" borderId="0" xfId="0" applyFont="1" applyFill="1" applyProtection="1"/>
    <xf numFmtId="49" fontId="9" fillId="3" borderId="0" xfId="0" applyNumberFormat="1" applyFont="1" applyFill="1" applyProtection="1"/>
    <xf numFmtId="0" fontId="16" fillId="3" borderId="4" xfId="0" applyFont="1" applyFill="1" applyBorder="1" applyAlignment="1" applyProtection="1">
      <alignment horizontal="center"/>
    </xf>
    <xf numFmtId="0" fontId="9" fillId="3" borderId="0" xfId="0" applyFont="1" applyFill="1" applyAlignment="1" applyProtection="1">
      <alignment horizontal="center"/>
    </xf>
    <xf numFmtId="0" fontId="16" fillId="3" borderId="0" xfId="0" applyFont="1" applyFill="1" applyBorder="1" applyAlignment="1" applyProtection="1">
      <alignment horizontal="center"/>
    </xf>
    <xf numFmtId="0" fontId="9" fillId="3" borderId="6" xfId="0" applyFont="1" applyFill="1" applyBorder="1" applyAlignment="1" applyProtection="1">
      <alignment horizontal="center"/>
    </xf>
    <xf numFmtId="0" fontId="9" fillId="3" borderId="1" xfId="0" applyFont="1" applyFill="1" applyBorder="1" applyAlignment="1" applyProtection="1">
      <alignment horizontal="center"/>
    </xf>
    <xf numFmtId="0" fontId="16" fillId="3" borderId="1" xfId="0" applyFont="1" applyFill="1" applyBorder="1" applyProtection="1"/>
    <xf numFmtId="0" fontId="16" fillId="3" borderId="1" xfId="0" applyFont="1" applyFill="1" applyBorder="1" applyAlignment="1" applyProtection="1">
      <alignment horizontal="center" wrapText="1"/>
    </xf>
    <xf numFmtId="0" fontId="9" fillId="3" borderId="1" xfId="0" applyFont="1" applyFill="1" applyBorder="1" applyProtection="1"/>
    <xf numFmtId="169" fontId="9" fillId="0" borderId="19" xfId="28" applyNumberFormat="1" applyFont="1" applyBorder="1" applyAlignment="1" applyProtection="1">
      <protection locked="0"/>
    </xf>
    <xf numFmtId="3" fontId="9" fillId="3" borderId="1" xfId="0" applyNumberFormat="1" applyFont="1" applyFill="1" applyBorder="1" applyProtection="1"/>
    <xf numFmtId="169" fontId="9" fillId="0" borderId="19" xfId="28" applyNumberFormat="1" applyFont="1" applyFill="1" applyBorder="1" applyAlignment="1" applyProtection="1">
      <alignment horizontal="right"/>
      <protection locked="0"/>
    </xf>
    <xf numFmtId="0" fontId="16" fillId="3" borderId="1" xfId="0" applyFont="1" applyFill="1" applyBorder="1" applyAlignment="1" applyProtection="1">
      <alignment wrapText="1"/>
    </xf>
    <xf numFmtId="0" fontId="16" fillId="3" borderId="10" xfId="0" applyFont="1" applyFill="1" applyBorder="1" applyProtection="1"/>
    <xf numFmtId="0" fontId="9" fillId="3" borderId="10" xfId="0" applyFont="1" applyFill="1" applyBorder="1" applyProtection="1"/>
    <xf numFmtId="3" fontId="9" fillId="3" borderId="10" xfId="0" applyNumberFormat="1" applyFont="1" applyFill="1" applyBorder="1" applyProtection="1"/>
    <xf numFmtId="0" fontId="16" fillId="3" borderId="41" xfId="0" applyFont="1" applyFill="1" applyBorder="1" applyProtection="1"/>
    <xf numFmtId="0" fontId="9" fillId="3" borderId="42" xfId="0" applyFont="1" applyFill="1" applyBorder="1" applyProtection="1"/>
    <xf numFmtId="3" fontId="16" fillId="3" borderId="43" xfId="0" applyNumberFormat="1" applyFont="1" applyFill="1" applyBorder="1" applyProtection="1"/>
    <xf numFmtId="0" fontId="16" fillId="3" borderId="7" xfId="0" applyFont="1" applyFill="1" applyBorder="1" applyAlignment="1" applyProtection="1">
      <alignment horizontal="center"/>
    </xf>
    <xf numFmtId="3" fontId="20" fillId="3" borderId="1" xfId="0" applyNumberFormat="1" applyFont="1" applyFill="1" applyBorder="1" applyAlignment="1" applyProtection="1">
      <alignment horizontal="right"/>
    </xf>
    <xf numFmtId="0" fontId="9" fillId="3" borderId="44" xfId="0" applyFont="1" applyFill="1" applyBorder="1" applyAlignment="1" applyProtection="1">
      <alignment horizontal="center"/>
    </xf>
    <xf numFmtId="0" fontId="15" fillId="3" borderId="0" xfId="0" applyNumberFormat="1" applyFont="1" applyFill="1" applyBorder="1" applyAlignment="1" applyProtection="1">
      <alignment horizontal="left"/>
    </xf>
    <xf numFmtId="0" fontId="15" fillId="3" borderId="0" xfId="0" applyNumberFormat="1" applyFont="1" applyFill="1" applyBorder="1" applyAlignment="1" applyProtection="1">
      <alignment horizontal="left" wrapText="1"/>
    </xf>
    <xf numFmtId="0" fontId="26" fillId="3" borderId="31" xfId="0" applyNumberFormat="1" applyFont="1" applyFill="1" applyBorder="1" applyAlignment="1" applyProtection="1">
      <alignment horizontal="left" wrapText="1"/>
    </xf>
    <xf numFmtId="0" fontId="26" fillId="3" borderId="1" xfId="0" applyNumberFormat="1" applyFont="1" applyFill="1" applyBorder="1" applyAlignment="1" applyProtection="1">
      <alignment horizontal="left" wrapText="1"/>
    </xf>
    <xf numFmtId="0" fontId="26" fillId="3" borderId="0" xfId="0" applyNumberFormat="1" applyFont="1" applyFill="1" applyBorder="1" applyAlignment="1" applyProtection="1">
      <alignment horizontal="left" wrapText="1"/>
    </xf>
    <xf numFmtId="0" fontId="26" fillId="3" borderId="0" xfId="0" applyNumberFormat="1" applyFont="1" applyFill="1" applyBorder="1" applyAlignment="1" applyProtection="1">
      <alignment horizontal="left"/>
    </xf>
    <xf numFmtId="0" fontId="26" fillId="3" borderId="0" xfId="0" applyNumberFormat="1" applyFont="1" applyFill="1" applyBorder="1" applyAlignment="1" applyProtection="1">
      <alignment horizontal="left" indent="1"/>
    </xf>
    <xf numFmtId="185" fontId="20" fillId="3" borderId="0" xfId="36" applyFont="1" applyFill="1" applyBorder="1" applyProtection="1">
      <alignment horizontal="center" vertical="top"/>
    </xf>
    <xf numFmtId="0" fontId="21" fillId="3" borderId="0" xfId="0" applyNumberFormat="1" applyFont="1" applyFill="1" applyBorder="1" applyAlignment="1" applyProtection="1">
      <alignment horizontal="left" indent="1"/>
    </xf>
    <xf numFmtId="0" fontId="21" fillId="3" borderId="44" xfId="0" applyFont="1" applyFill="1" applyBorder="1" applyAlignment="1" applyProtection="1">
      <alignment horizontal="center"/>
    </xf>
    <xf numFmtId="186" fontId="15" fillId="3" borderId="3" xfId="0" applyNumberFormat="1" applyFont="1" applyFill="1" applyBorder="1" applyProtection="1"/>
    <xf numFmtId="169" fontId="15" fillId="3" borderId="5" xfId="28" applyNumberFormat="1" applyFont="1" applyFill="1" applyBorder="1" applyProtection="1"/>
    <xf numFmtId="0" fontId="15" fillId="3" borderId="0" xfId="28" applyNumberFormat="1" applyFont="1" applyFill="1" applyProtection="1"/>
    <xf numFmtId="186" fontId="15" fillId="3" borderId="0" xfId="0" applyNumberFormat="1" applyFont="1" applyFill="1" applyProtection="1"/>
    <xf numFmtId="0" fontId="20" fillId="3" borderId="0" xfId="0" quotePrefix="1" applyFont="1" applyFill="1" applyAlignment="1" applyProtection="1">
      <alignment horizontal="left"/>
    </xf>
    <xf numFmtId="0" fontId="9" fillId="3" borderId="2" xfId="0" applyFont="1" applyFill="1" applyBorder="1" applyProtection="1"/>
    <xf numFmtId="0" fontId="20" fillId="3" borderId="0" xfId="0" applyFont="1" applyFill="1" applyAlignment="1" applyProtection="1">
      <alignment horizontal="left" vertical="top"/>
    </xf>
    <xf numFmtId="0" fontId="21" fillId="3" borderId="0" xfId="0" applyFont="1" applyFill="1" applyAlignment="1" applyProtection="1">
      <alignment vertical="top"/>
    </xf>
    <xf numFmtId="0" fontId="21" fillId="3" borderId="0" xfId="0" applyFont="1" applyFill="1" applyAlignment="1" applyProtection="1">
      <alignment horizontal="center" vertical="top"/>
    </xf>
    <xf numFmtId="0" fontId="21" fillId="0" borderId="0" xfId="0" applyFont="1" applyAlignment="1" applyProtection="1">
      <alignment horizontal="right"/>
    </xf>
    <xf numFmtId="169" fontId="9" fillId="3" borderId="0" xfId="28" applyNumberFormat="1" applyFont="1" applyFill="1" applyProtection="1"/>
    <xf numFmtId="1" fontId="9" fillId="3" borderId="2" xfId="28" applyNumberFormat="1" applyFont="1" applyFill="1" applyBorder="1" applyProtection="1"/>
    <xf numFmtId="0" fontId="9" fillId="3" borderId="3" xfId="0" applyFont="1" applyFill="1" applyBorder="1" applyProtection="1"/>
    <xf numFmtId="0" fontId="9" fillId="3" borderId="4" xfId="0" applyFont="1" applyFill="1" applyBorder="1" applyProtection="1"/>
    <xf numFmtId="2" fontId="9" fillId="3" borderId="5" xfId="28" applyNumberFormat="1" applyFont="1" applyFill="1" applyBorder="1" applyAlignment="1" applyProtection="1">
      <alignment horizontal="right"/>
    </xf>
    <xf numFmtId="1" fontId="9" fillId="3" borderId="8" xfId="28" applyNumberFormat="1" applyFont="1" applyFill="1" applyBorder="1" applyAlignment="1" applyProtection="1">
      <alignment horizontal="center"/>
    </xf>
    <xf numFmtId="0" fontId="9" fillId="3" borderId="0" xfId="0" applyNumberFormat="1" applyFont="1" applyFill="1" applyBorder="1" applyProtection="1"/>
    <xf numFmtId="2" fontId="9" fillId="3" borderId="0" xfId="28" applyNumberFormat="1" applyFont="1" applyFill="1" applyBorder="1" applyAlignment="1" applyProtection="1">
      <alignment horizontal="right"/>
    </xf>
    <xf numFmtId="0" fontId="9" fillId="3" borderId="0" xfId="0" applyFont="1" applyFill="1" applyBorder="1" applyAlignment="1" applyProtection="1">
      <alignment horizontal="right"/>
    </xf>
    <xf numFmtId="176" fontId="16" fillId="3" borderId="0" xfId="0" applyNumberFormat="1" applyFont="1" applyFill="1" applyAlignment="1" applyProtection="1">
      <alignment horizontal="right"/>
    </xf>
    <xf numFmtId="4" fontId="9" fillId="3" borderId="1" xfId="0" applyNumberFormat="1" applyFont="1" applyFill="1" applyBorder="1" applyAlignment="1" applyProtection="1">
      <alignment horizontal="right"/>
    </xf>
    <xf numFmtId="2" fontId="9" fillId="3" borderId="0" xfId="0" applyNumberFormat="1" applyFont="1" applyFill="1" applyBorder="1" applyAlignment="1" applyProtection="1">
      <alignment horizontal="right"/>
    </xf>
    <xf numFmtId="193" fontId="9" fillId="3" borderId="1" xfId="37" applyNumberFormat="1" applyFont="1" applyFill="1" applyBorder="1" applyProtection="1"/>
    <xf numFmtId="37" fontId="9" fillId="3" borderId="1" xfId="28" applyNumberFormat="1" applyFont="1" applyFill="1" applyBorder="1" applyProtection="1"/>
    <xf numFmtId="173" fontId="9" fillId="3" borderId="0" xfId="0" applyNumberFormat="1" applyFont="1" applyFill="1" applyAlignment="1" applyProtection="1">
      <alignment horizontal="left"/>
    </xf>
    <xf numFmtId="37" fontId="9" fillId="3" borderId="0" xfId="28" applyNumberFormat="1" applyFont="1" applyFill="1" applyBorder="1" applyProtection="1"/>
    <xf numFmtId="37" fontId="9" fillId="3" borderId="0" xfId="28" applyNumberFormat="1" applyFont="1" applyFill="1" applyProtection="1"/>
    <xf numFmtId="0" fontId="35" fillId="3" borderId="0" xfId="0" applyFont="1" applyFill="1" applyProtection="1"/>
    <xf numFmtId="3" fontId="9" fillId="3" borderId="0" xfId="0" applyNumberFormat="1" applyFont="1" applyFill="1" applyBorder="1" applyProtection="1"/>
    <xf numFmtId="2" fontId="9" fillId="3" borderId="1" xfId="37" applyNumberFormat="1" applyFont="1" applyFill="1" applyBorder="1" applyProtection="1"/>
    <xf numFmtId="0" fontId="16" fillId="3" borderId="0" xfId="0" applyFont="1" applyFill="1" applyBorder="1" applyAlignment="1" applyProtection="1">
      <alignment horizontal="left"/>
    </xf>
    <xf numFmtId="39" fontId="9" fillId="3" borderId="0" xfId="28" applyNumberFormat="1" applyFont="1" applyFill="1" applyBorder="1" applyProtection="1"/>
    <xf numFmtId="175" fontId="16" fillId="3" borderId="0" xfId="0" applyNumberFormat="1" applyFont="1" applyFill="1" applyAlignment="1" applyProtection="1">
      <alignment horizontal="left"/>
    </xf>
    <xf numFmtId="3" fontId="9" fillId="3" borderId="1" xfId="28" applyNumberFormat="1" applyFont="1" applyFill="1" applyBorder="1" applyProtection="1"/>
    <xf numFmtId="2" fontId="16" fillId="3" borderId="0" xfId="0" applyNumberFormat="1" applyFont="1" applyFill="1" applyBorder="1" applyAlignment="1" applyProtection="1">
      <alignment horizontal="left"/>
    </xf>
    <xf numFmtId="37" fontId="9" fillId="3" borderId="1" xfId="0" applyNumberFormat="1" applyFont="1" applyFill="1" applyBorder="1" applyProtection="1"/>
    <xf numFmtId="39" fontId="16" fillId="3" borderId="0" xfId="0" applyNumberFormat="1" applyFont="1" applyFill="1" applyAlignment="1" applyProtection="1">
      <alignment horizontal="right"/>
    </xf>
    <xf numFmtId="39" fontId="9" fillId="3" borderId="0" xfId="0" applyNumberFormat="1" applyFont="1" applyFill="1" applyAlignment="1" applyProtection="1">
      <alignment horizontal="right"/>
    </xf>
    <xf numFmtId="0" fontId="9" fillId="3" borderId="0" xfId="0" applyFont="1" applyFill="1" applyAlignment="1" applyProtection="1">
      <alignment vertical="top"/>
    </xf>
    <xf numFmtId="173" fontId="9" fillId="3" borderId="0" xfId="0" applyNumberFormat="1" applyFont="1" applyFill="1" applyAlignment="1" applyProtection="1">
      <alignment horizontal="center" vertical="center"/>
    </xf>
    <xf numFmtId="0" fontId="9" fillId="3" borderId="0" xfId="0" applyFont="1" applyFill="1" applyBorder="1" applyAlignment="1" applyProtection="1">
      <alignment vertical="top"/>
    </xf>
    <xf numFmtId="195" fontId="9" fillId="3" borderId="0" xfId="0" applyNumberFormat="1" applyFont="1" applyFill="1" applyAlignment="1" applyProtection="1">
      <alignment horizontal="center" vertical="center"/>
    </xf>
    <xf numFmtId="191" fontId="9" fillId="3" borderId="1" xfId="0" applyNumberFormat="1" applyFont="1" applyFill="1" applyBorder="1" applyProtection="1"/>
    <xf numFmtId="193" fontId="9" fillId="3" borderId="0" xfId="37" applyNumberFormat="1" applyFont="1" applyFill="1" applyBorder="1" applyProtection="1"/>
    <xf numFmtId="37" fontId="16" fillId="3" borderId="8" xfId="28" applyNumberFormat="1" applyFont="1" applyFill="1" applyBorder="1" applyProtection="1"/>
    <xf numFmtId="0" fontId="9" fillId="0" borderId="0" xfId="0" applyFont="1"/>
    <xf numFmtId="0" fontId="16" fillId="3" borderId="0" xfId="0" applyNumberFormat="1" applyFont="1" applyFill="1" applyAlignment="1" applyProtection="1">
      <alignment horizontal="left"/>
    </xf>
    <xf numFmtId="39" fontId="9" fillId="3" borderId="2" xfId="0" applyNumberFormat="1" applyFont="1" applyFill="1" applyBorder="1" applyProtection="1"/>
    <xf numFmtId="39" fontId="9" fillId="3" borderId="4" xfId="0" applyNumberFormat="1" applyFont="1" applyFill="1" applyBorder="1" applyProtection="1"/>
    <xf numFmtId="0" fontId="9" fillId="3" borderId="8" xfId="0" applyNumberFormat="1" applyFont="1" applyFill="1" applyBorder="1" applyAlignment="1" applyProtection="1">
      <alignment horizontal="center"/>
    </xf>
    <xf numFmtId="0" fontId="9" fillId="3" borderId="0" xfId="0" applyNumberFormat="1" applyFont="1" applyFill="1" applyAlignment="1" applyProtection="1">
      <alignment horizontal="left"/>
    </xf>
    <xf numFmtId="39" fontId="9" fillId="3" borderId="0" xfId="0" applyNumberFormat="1" applyFont="1" applyFill="1" applyProtection="1"/>
    <xf numFmtId="37" fontId="9" fillId="3" borderId="0" xfId="0" applyNumberFormat="1" applyFont="1" applyFill="1" applyAlignment="1" applyProtection="1">
      <alignment horizontal="right"/>
    </xf>
    <xf numFmtId="0" fontId="16" fillId="3" borderId="0" xfId="0" applyNumberFormat="1" applyFont="1" applyFill="1" applyAlignment="1" applyProtection="1">
      <alignment horizontal="center"/>
    </xf>
    <xf numFmtId="0" fontId="9" fillId="3" borderId="0" xfId="0" applyNumberFormat="1" applyFont="1" applyFill="1" applyAlignment="1" applyProtection="1">
      <alignment horizontal="center"/>
    </xf>
    <xf numFmtId="0" fontId="16" fillId="3" borderId="0" xfId="47" applyNumberFormat="1" applyFont="1" applyFill="1" applyProtection="1">
      <alignment horizontal="left" vertical="top"/>
    </xf>
    <xf numFmtId="4" fontId="9" fillId="3" borderId="1" xfId="37" applyNumberFormat="1" applyFont="1" applyFill="1" applyBorder="1" applyProtection="1"/>
    <xf numFmtId="0" fontId="16" fillId="3" borderId="0" xfId="59" applyNumberFormat="1" applyFont="1" applyFill="1" applyProtection="1">
      <alignment horizontal="right"/>
    </xf>
    <xf numFmtId="0" fontId="9" fillId="3" borderId="0" xfId="0" applyFont="1" applyFill="1" applyAlignment="1" applyProtection="1">
      <alignment wrapText="1"/>
    </xf>
    <xf numFmtId="0" fontId="9" fillId="3" borderId="16" xfId="0" applyFont="1" applyFill="1" applyBorder="1" applyProtection="1"/>
    <xf numFmtId="39" fontId="9" fillId="3" borderId="0" xfId="0" applyNumberFormat="1" applyFont="1" applyFill="1" applyBorder="1" applyAlignment="1" applyProtection="1">
      <alignment horizontal="right"/>
    </xf>
    <xf numFmtId="3" fontId="9" fillId="3" borderId="1" xfId="45" applyNumberFormat="1" applyFont="1" applyFill="1" applyBorder="1" applyAlignment="1" applyProtection="1">
      <alignment horizontal="right" vertical="top"/>
    </xf>
    <xf numFmtId="0" fontId="9" fillId="3" borderId="0" xfId="0" applyFont="1" applyFill="1" applyAlignment="1" applyProtection="1">
      <alignment horizontal="left" wrapText="1"/>
    </xf>
    <xf numFmtId="39" fontId="9" fillId="3" borderId="0" xfId="45" applyNumberFormat="1" applyFont="1" applyFill="1" applyBorder="1" applyAlignment="1" applyProtection="1">
      <alignment horizontal="right" vertical="top"/>
    </xf>
    <xf numFmtId="39" fontId="9" fillId="3" borderId="1" xfId="0" applyNumberFormat="1" applyFont="1" applyFill="1" applyBorder="1" applyAlignment="1" applyProtection="1">
      <alignment horizontal="right" vertical="top"/>
    </xf>
    <xf numFmtId="39" fontId="9" fillId="3" borderId="7" xfId="0" applyNumberFormat="1" applyFont="1" applyFill="1" applyBorder="1" applyAlignment="1" applyProtection="1">
      <alignment horizontal="right" vertical="top"/>
    </xf>
    <xf numFmtId="3" fontId="9" fillId="3" borderId="1" xfId="0" applyNumberFormat="1" applyFont="1" applyFill="1" applyBorder="1" applyAlignment="1" applyProtection="1">
      <alignment horizontal="right" vertical="top"/>
    </xf>
    <xf numFmtId="3" fontId="9" fillId="3" borderId="0" xfId="0" applyNumberFormat="1" applyFont="1" applyFill="1" applyBorder="1" applyAlignment="1" applyProtection="1">
      <alignment horizontal="right" vertical="top"/>
    </xf>
    <xf numFmtId="174" fontId="63" fillId="3" borderId="9" xfId="35" applyFont="1" applyFill="1" applyBorder="1" applyProtection="1">
      <alignment horizontal="right" vertical="top"/>
    </xf>
    <xf numFmtId="37" fontId="9" fillId="3" borderId="1" xfId="0" applyNumberFormat="1" applyFont="1" applyFill="1" applyBorder="1" applyAlignment="1" applyProtection="1">
      <alignment horizontal="right" vertical="top"/>
    </xf>
    <xf numFmtId="39" fontId="9" fillId="3" borderId="0" xfId="0" applyNumberFormat="1" applyFont="1" applyFill="1" applyBorder="1" applyAlignment="1" applyProtection="1">
      <alignment horizontal="right" vertical="top"/>
    </xf>
    <xf numFmtId="37" fontId="9" fillId="3" borderId="0" xfId="0" applyNumberFormat="1" applyFont="1" applyFill="1" applyBorder="1" applyAlignment="1" applyProtection="1">
      <alignment horizontal="right" vertical="top"/>
    </xf>
    <xf numFmtId="2" fontId="16" fillId="3" borderId="0" xfId="47" quotePrefix="1" applyNumberFormat="1" applyFont="1" applyFill="1" applyProtection="1">
      <alignment horizontal="left" vertical="top"/>
    </xf>
    <xf numFmtId="4" fontId="9" fillId="3" borderId="1" xfId="28" applyNumberFormat="1" applyFont="1" applyFill="1" applyBorder="1" applyProtection="1"/>
    <xf numFmtId="0" fontId="62" fillId="3" borderId="0" xfId="0" applyFont="1" applyFill="1" applyAlignment="1" applyProtection="1">
      <alignment horizontal="center"/>
    </xf>
    <xf numFmtId="164" fontId="9" fillId="3" borderId="0" xfId="0" applyNumberFormat="1" applyFont="1" applyFill="1" applyProtection="1"/>
    <xf numFmtId="2" fontId="9" fillId="3" borderId="0" xfId="0" applyNumberFormat="1" applyFont="1" applyFill="1" applyAlignment="1" applyProtection="1">
      <alignment horizontal="center"/>
    </xf>
    <xf numFmtId="37" fontId="9" fillId="3" borderId="1" xfId="0" applyNumberFormat="1" applyFont="1" applyFill="1" applyBorder="1" applyAlignment="1" applyProtection="1">
      <alignment horizontal="right"/>
    </xf>
    <xf numFmtId="37" fontId="9" fillId="3" borderId="0" xfId="0" applyNumberFormat="1" applyFont="1" applyFill="1" applyBorder="1" applyAlignment="1" applyProtection="1">
      <alignment horizontal="right"/>
    </xf>
    <xf numFmtId="39" fontId="9" fillId="3" borderId="0" xfId="0" applyNumberFormat="1" applyFont="1" applyFill="1" applyAlignment="1" applyProtection="1">
      <alignment horizontal="right" vertical="top"/>
    </xf>
    <xf numFmtId="49" fontId="16" fillId="3" borderId="0" xfId="47" applyNumberFormat="1" applyFont="1" applyFill="1" applyProtection="1">
      <alignment horizontal="left" vertical="top"/>
    </xf>
    <xf numFmtId="174" fontId="63" fillId="3" borderId="16" xfId="35" applyFont="1" applyFill="1" applyBorder="1" applyProtection="1">
      <alignment horizontal="right" vertical="top"/>
    </xf>
    <xf numFmtId="39" fontId="9" fillId="3" borderId="0" xfId="0" applyNumberFormat="1" applyFont="1" applyFill="1" applyAlignment="1" applyProtection="1">
      <alignment horizontal="right" vertical="top" wrapText="1"/>
    </xf>
    <xf numFmtId="3" fontId="9" fillId="0" borderId="1" xfId="0" applyNumberFormat="1" applyFont="1" applyFill="1" applyBorder="1" applyProtection="1">
      <protection locked="0"/>
    </xf>
    <xf numFmtId="0" fontId="16" fillId="3" borderId="0" xfId="47" applyNumberFormat="1" applyFont="1" applyFill="1" applyAlignment="1" applyProtection="1">
      <alignment horizontal="right" vertical="top"/>
    </xf>
    <xf numFmtId="39" fontId="9" fillId="3" borderId="3" xfId="0" applyNumberFormat="1" applyFont="1" applyFill="1" applyBorder="1" applyProtection="1"/>
    <xf numFmtId="37" fontId="9" fillId="3" borderId="4" xfId="0" applyNumberFormat="1" applyFont="1" applyFill="1" applyBorder="1" applyAlignment="1" applyProtection="1">
      <alignment horizontal="right"/>
    </xf>
    <xf numFmtId="0" fontId="16" fillId="3" borderId="5" xfId="0" applyFont="1" applyFill="1" applyBorder="1" applyAlignment="1" applyProtection="1">
      <alignment horizontal="right"/>
    </xf>
    <xf numFmtId="0" fontId="9" fillId="3" borderId="0" xfId="28" applyNumberFormat="1" applyFont="1" applyFill="1" applyProtection="1"/>
    <xf numFmtId="0" fontId="16" fillId="3" borderId="0" xfId="0" applyFont="1" applyFill="1" applyBorder="1" applyAlignment="1" applyProtection="1">
      <alignment horizontal="right"/>
    </xf>
    <xf numFmtId="0" fontId="16" fillId="3" borderId="0" xfId="0" applyFont="1" applyFill="1" applyAlignment="1" applyProtection="1">
      <alignment horizontal="right"/>
    </xf>
    <xf numFmtId="37" fontId="16" fillId="3" borderId="0" xfId="0" applyNumberFormat="1" applyFont="1" applyFill="1" applyAlignment="1" applyProtection="1">
      <alignment horizontal="right"/>
    </xf>
    <xf numFmtId="3" fontId="9" fillId="3" borderId="1" xfId="0" applyNumberFormat="1" applyFont="1" applyFill="1" applyBorder="1" applyAlignment="1" applyProtection="1">
      <alignment horizontal="right"/>
    </xf>
    <xf numFmtId="3" fontId="9" fillId="3" borderId="0" xfId="0" applyNumberFormat="1" applyFont="1" applyFill="1" applyBorder="1" applyAlignment="1" applyProtection="1">
      <alignment horizontal="right"/>
    </xf>
    <xf numFmtId="3" fontId="9" fillId="4" borderId="1" xfId="0" applyNumberFormat="1" applyFont="1" applyFill="1" applyBorder="1" applyAlignment="1" applyProtection="1">
      <alignment horizontal="center"/>
      <protection locked="0"/>
    </xf>
    <xf numFmtId="3" fontId="9" fillId="3" borderId="0" xfId="0" applyNumberFormat="1" applyFont="1" applyFill="1" applyAlignment="1" applyProtection="1">
      <alignment horizontal="center"/>
    </xf>
    <xf numFmtId="3" fontId="9" fillId="3" borderId="0" xfId="0" applyNumberFormat="1" applyFont="1" applyFill="1" applyAlignment="1" applyProtection="1"/>
    <xf numFmtId="0" fontId="9" fillId="4" borderId="1" xfId="0" applyFont="1" applyFill="1" applyBorder="1" applyAlignment="1" applyProtection="1">
      <alignment wrapText="1"/>
      <protection locked="0"/>
    </xf>
    <xf numFmtId="3" fontId="9" fillId="3" borderId="1" xfId="0" applyNumberFormat="1" applyFont="1" applyFill="1" applyBorder="1" applyAlignment="1" applyProtection="1">
      <alignment horizontal="center"/>
    </xf>
    <xf numFmtId="0" fontId="79" fillId="3" borderId="0" xfId="0" applyFont="1" applyFill="1" applyProtection="1"/>
    <xf numFmtId="168" fontId="9" fillId="3" borderId="0" xfId="0" applyNumberFormat="1" applyFont="1" applyFill="1" applyAlignment="1" applyProtection="1">
      <alignment horizontal="left"/>
    </xf>
    <xf numFmtId="169" fontId="9" fillId="3" borderId="0" xfId="28" applyNumberFormat="1" applyFont="1" applyFill="1" applyBorder="1" applyAlignment="1" applyProtection="1">
      <alignment horizontal="center"/>
    </xf>
    <xf numFmtId="169" fontId="9" fillId="3" borderId="0" xfId="28" applyNumberFormat="1" applyFont="1" applyFill="1" applyBorder="1" applyProtection="1"/>
    <xf numFmtId="0" fontId="9" fillId="0" borderId="44" xfId="45" applyNumberFormat="1" applyFont="1" applyFill="1" applyBorder="1" applyAlignment="1" applyProtection="1">
      <alignment horizontal="center"/>
      <protection locked="0"/>
    </xf>
    <xf numFmtId="169" fontId="9" fillId="3" borderId="0" xfId="28" applyNumberFormat="1" applyFont="1" applyFill="1" applyAlignment="1" applyProtection="1">
      <alignment horizontal="right"/>
    </xf>
    <xf numFmtId="0" fontId="9" fillId="3" borderId="8" xfId="45" applyNumberFormat="1" applyFont="1" applyFill="1" applyBorder="1" applyAlignment="1" applyProtection="1">
      <alignment horizontal="center"/>
    </xf>
    <xf numFmtId="0" fontId="63" fillId="19" borderId="0" xfId="0" applyFont="1" applyFill="1" applyAlignment="1" applyProtection="1">
      <alignment horizontal="center" wrapText="1"/>
    </xf>
    <xf numFmtId="0" fontId="63" fillId="3" borderId="0" xfId="0" applyFont="1" applyFill="1" applyAlignment="1" applyProtection="1">
      <alignment horizontal="center" wrapText="1"/>
    </xf>
    <xf numFmtId="0" fontId="63" fillId="3" borderId="0" xfId="0" applyFont="1" applyFill="1" applyBorder="1" applyAlignment="1" applyProtection="1">
      <alignment horizontal="right" wrapText="1"/>
    </xf>
    <xf numFmtId="171" fontId="16" fillId="3" borderId="0" xfId="28" applyNumberFormat="1" applyFont="1" applyFill="1" applyProtection="1"/>
    <xf numFmtId="0" fontId="16" fillId="3" borderId="0" xfId="0" applyFont="1" applyFill="1" applyAlignment="1" applyProtection="1">
      <alignment vertical="top" wrapText="1"/>
    </xf>
    <xf numFmtId="171" fontId="9" fillId="3" borderId="0" xfId="0" applyNumberFormat="1" applyFont="1" applyFill="1" applyProtection="1"/>
    <xf numFmtId="171" fontId="9" fillId="3" borderId="0" xfId="0" applyNumberFormat="1" applyFont="1" applyFill="1" applyAlignment="1" applyProtection="1">
      <alignment horizontal="right"/>
    </xf>
    <xf numFmtId="171" fontId="9" fillId="3" borderId="0" xfId="28" applyNumberFormat="1" applyFont="1" applyFill="1" applyProtection="1"/>
    <xf numFmtId="168" fontId="16" fillId="3" borderId="0" xfId="0" applyNumberFormat="1" applyFont="1" applyFill="1" applyAlignment="1" applyProtection="1">
      <alignment horizontal="left" vertical="top" wrapText="1"/>
    </xf>
    <xf numFmtId="174" fontId="63" fillId="2" borderId="23" xfId="35" applyFont="1" applyBorder="1" applyProtection="1">
      <alignment horizontal="right" vertical="top"/>
    </xf>
    <xf numFmtId="168" fontId="16" fillId="3" borderId="0" xfId="0" applyNumberFormat="1" applyFont="1" applyFill="1" applyAlignment="1" applyProtection="1">
      <alignment horizontal="right" vertical="top" wrapText="1"/>
    </xf>
    <xf numFmtId="0" fontId="16" fillId="3" borderId="0" xfId="0" applyFont="1" applyFill="1" applyAlignment="1" applyProtection="1">
      <alignment vertical="top"/>
    </xf>
    <xf numFmtId="0" fontId="16" fillId="3" borderId="0" xfId="28" applyNumberFormat="1" applyFont="1" applyFill="1" applyBorder="1" applyProtection="1"/>
    <xf numFmtId="175" fontId="16" fillId="3" borderId="0" xfId="0" quotePrefix="1" applyNumberFormat="1" applyFont="1" applyFill="1" applyAlignment="1" applyProtection="1">
      <alignment horizontal="left"/>
    </xf>
    <xf numFmtId="174" fontId="63" fillId="2" borderId="19" xfId="35" applyFont="1" applyBorder="1" applyProtection="1">
      <alignment horizontal="right" vertical="top"/>
    </xf>
    <xf numFmtId="0" fontId="16" fillId="3" borderId="0" xfId="0" applyNumberFormat="1" applyFont="1" applyFill="1" applyAlignment="1" applyProtection="1">
      <alignment horizontal="left" vertical="top" wrapText="1"/>
    </xf>
    <xf numFmtId="0" fontId="29" fillId="3" borderId="0" xfId="0" applyFont="1" applyFill="1" applyBorder="1" applyProtection="1"/>
    <xf numFmtId="37" fontId="9" fillId="3" borderId="1" xfId="28" applyNumberFormat="1" applyFont="1" applyFill="1" applyBorder="1" applyAlignment="1" applyProtection="1">
      <alignment horizontal="right"/>
    </xf>
    <xf numFmtId="0" fontId="16" fillId="3" borderId="0" xfId="0" quotePrefix="1" applyNumberFormat="1" applyFont="1" applyFill="1" applyAlignment="1" applyProtection="1">
      <alignment horizontal="left" vertical="top" wrapText="1"/>
    </xf>
    <xf numFmtId="2" fontId="16" fillId="3" borderId="0" xfId="0" quotePrefix="1" applyNumberFormat="1" applyFont="1" applyFill="1" applyAlignment="1" applyProtection="1">
      <alignment horizontal="left"/>
    </xf>
    <xf numFmtId="4" fontId="16" fillId="3" borderId="0" xfId="0" applyNumberFormat="1" applyFont="1" applyFill="1" applyAlignment="1" applyProtection="1">
      <alignment horizontal="left" vertical="top" wrapText="1"/>
    </xf>
    <xf numFmtId="4" fontId="16" fillId="3" borderId="0" xfId="0" applyNumberFormat="1" applyFont="1" applyFill="1" applyAlignment="1" applyProtection="1">
      <alignment horizontal="right" vertical="top" wrapText="1"/>
    </xf>
    <xf numFmtId="4" fontId="16" fillId="3" borderId="0" xfId="0" applyNumberFormat="1" applyFont="1" applyFill="1" applyAlignment="1" applyProtection="1">
      <alignment horizontal="left" vertical="top"/>
    </xf>
    <xf numFmtId="4" fontId="16" fillId="3" borderId="0" xfId="0" applyNumberFormat="1" applyFont="1" applyFill="1" applyAlignment="1" applyProtection="1">
      <alignment horizontal="left"/>
    </xf>
    <xf numFmtId="0" fontId="16" fillId="3" borderId="0" xfId="0" applyFont="1" applyFill="1" applyAlignment="1" applyProtection="1">
      <alignment wrapText="1"/>
    </xf>
    <xf numFmtId="0" fontId="16" fillId="3" borderId="0" xfId="0" applyNumberFormat="1" applyFont="1" applyFill="1" applyProtection="1"/>
    <xf numFmtId="0" fontId="9" fillId="0" borderId="0" xfId="0" applyFont="1" applyFill="1"/>
    <xf numFmtId="0" fontId="35" fillId="3" borderId="0" xfId="0" applyFont="1" applyFill="1" applyBorder="1" applyProtection="1"/>
    <xf numFmtId="174" fontId="29" fillId="2" borderId="19" xfId="35" applyFont="1" applyBorder="1" applyProtection="1">
      <alignment horizontal="right" vertical="top"/>
    </xf>
    <xf numFmtId="37" fontId="9" fillId="3" borderId="1" xfId="45" applyNumberFormat="1" applyFont="1" applyFill="1" applyBorder="1" applyProtection="1"/>
    <xf numFmtId="37" fontId="65" fillId="3" borderId="0" xfId="0" applyNumberFormat="1" applyFont="1" applyFill="1" applyProtection="1"/>
    <xf numFmtId="4" fontId="16" fillId="3" borderId="0" xfId="0" applyNumberFormat="1" applyFont="1" applyFill="1" applyBorder="1" applyAlignment="1" applyProtection="1">
      <alignment horizontal="left" vertical="top"/>
    </xf>
    <xf numFmtId="0" fontId="16" fillId="3" borderId="0" xfId="0" applyFont="1" applyFill="1" applyBorder="1" applyAlignment="1" applyProtection="1">
      <alignment vertical="top" wrapText="1"/>
    </xf>
    <xf numFmtId="37" fontId="9" fillId="3" borderId="0" xfId="45" applyNumberFormat="1" applyFont="1" applyFill="1" applyBorder="1" applyProtection="1"/>
    <xf numFmtId="37" fontId="16" fillId="3" borderId="0" xfId="0" applyNumberFormat="1" applyFont="1" applyFill="1" applyBorder="1" applyProtection="1"/>
    <xf numFmtId="0" fontId="16" fillId="3" borderId="0" xfId="0" applyFont="1" applyFill="1" applyAlignment="1" applyProtection="1">
      <alignment vertical="center"/>
    </xf>
    <xf numFmtId="168" fontId="16" fillId="3" borderId="0" xfId="0" applyNumberFormat="1" applyFont="1" applyFill="1" applyAlignment="1" applyProtection="1">
      <alignment horizontal="left"/>
    </xf>
    <xf numFmtId="174" fontId="9" fillId="3" borderId="0" xfId="0" applyNumberFormat="1" applyFont="1" applyFill="1" applyBorder="1" applyAlignment="1" applyProtection="1">
      <alignment horizontal="right" vertical="top"/>
    </xf>
    <xf numFmtId="0" fontId="9" fillId="0" borderId="1" xfId="0" applyFont="1" applyFill="1" applyBorder="1" applyAlignment="1" applyProtection="1">
      <alignment wrapText="1"/>
      <protection locked="0"/>
    </xf>
    <xf numFmtId="37" fontId="9" fillId="14" borderId="1" xfId="28" applyNumberFormat="1" applyFont="1" applyFill="1" applyBorder="1" applyProtection="1">
      <protection locked="0"/>
    </xf>
    <xf numFmtId="0" fontId="9" fillId="3" borderId="0" xfId="0" applyFont="1" applyFill="1" applyAlignment="1" applyProtection="1">
      <alignment horizontal="center" vertical="center" wrapText="1"/>
    </xf>
    <xf numFmtId="0" fontId="0" fillId="58" borderId="0" xfId="0" applyNumberFormat="1" applyFill="1"/>
    <xf numFmtId="169" fontId="99" fillId="58" borderId="0" xfId="28" applyNumberFormat="1" applyFont="1" applyFill="1"/>
    <xf numFmtId="0" fontId="5" fillId="58" borderId="0" xfId="0" applyFont="1" applyFill="1"/>
    <xf numFmtId="0" fontId="0" fillId="58" borderId="0" xfId="0" applyFill="1"/>
    <xf numFmtId="0" fontId="15" fillId="58" borderId="0" xfId="0" applyFont="1" applyFill="1" applyAlignment="1">
      <alignment horizontal="center"/>
    </xf>
    <xf numFmtId="0" fontId="0" fillId="3" borderId="0" xfId="0" applyFill="1" applyAlignment="1" applyProtection="1">
      <alignment horizontal="center" vertical="top" wrapText="1"/>
    </xf>
    <xf numFmtId="0" fontId="5" fillId="3" borderId="0" xfId="0" applyFont="1" applyFill="1" applyAlignment="1" applyProtection="1">
      <alignment horizontal="center" vertical="top" wrapText="1"/>
    </xf>
    <xf numFmtId="0" fontId="38" fillId="3" borderId="0" xfId="0" applyFont="1" applyFill="1" applyAlignment="1" applyProtection="1">
      <alignment horizontal="left"/>
    </xf>
    <xf numFmtId="0" fontId="38" fillId="3" borderId="0" xfId="0" applyFont="1" applyFill="1" applyProtection="1"/>
    <xf numFmtId="0" fontId="16" fillId="3" borderId="0" xfId="0" applyFont="1" applyFill="1" applyAlignment="1" applyProtection="1">
      <alignment horizontal="center" vertical="top" wrapText="1"/>
    </xf>
    <xf numFmtId="0" fontId="5" fillId="0" borderId="0" xfId="0" applyFont="1" applyProtection="1"/>
    <xf numFmtId="175" fontId="16" fillId="3" borderId="0" xfId="28" applyNumberFormat="1" applyFont="1" applyFill="1" applyAlignment="1" applyProtection="1">
      <alignment horizontal="right"/>
    </xf>
    <xf numFmtId="171" fontId="16" fillId="3" borderId="0" xfId="0" applyNumberFormat="1" applyFont="1" applyFill="1" applyProtection="1"/>
    <xf numFmtId="169" fontId="16" fillId="3" borderId="0" xfId="28" applyNumberFormat="1" applyFont="1" applyFill="1" applyProtection="1"/>
    <xf numFmtId="0" fontId="9" fillId="3" borderId="7" xfId="0" applyFont="1" applyFill="1" applyBorder="1" applyAlignment="1" applyProtection="1">
      <alignment horizontal="center"/>
    </xf>
    <xf numFmtId="171" fontId="9" fillId="3" borderId="7" xfId="0" applyNumberFormat="1" applyFont="1" applyFill="1" applyBorder="1" applyProtection="1"/>
    <xf numFmtId="171" fontId="9" fillId="3" borderId="7" xfId="28" applyNumberFormat="1" applyFont="1" applyFill="1" applyBorder="1" applyAlignment="1" applyProtection="1">
      <alignment horizontal="center"/>
    </xf>
    <xf numFmtId="171" fontId="9" fillId="3" borderId="7" xfId="28" applyNumberFormat="1" applyFont="1" applyFill="1" applyBorder="1" applyAlignment="1" applyProtection="1">
      <alignment horizontal="right"/>
    </xf>
    <xf numFmtId="169" fontId="9" fillId="3" borderId="7" xfId="28" applyNumberFormat="1" applyFont="1" applyFill="1" applyBorder="1" applyAlignment="1" applyProtection="1">
      <alignment horizontal="center"/>
    </xf>
    <xf numFmtId="175" fontId="16" fillId="3" borderId="0" xfId="28" applyNumberFormat="1" applyFont="1" applyFill="1" applyBorder="1" applyAlignment="1" applyProtection="1">
      <alignment horizontal="right"/>
    </xf>
    <xf numFmtId="0" fontId="9" fillId="3" borderId="0" xfId="0" applyFont="1" applyFill="1" applyAlignment="1" applyProtection="1">
      <alignment horizontal="center" wrapText="1"/>
    </xf>
    <xf numFmtId="171" fontId="9" fillId="3" borderId="0" xfId="0" applyNumberFormat="1" applyFont="1" applyFill="1" applyBorder="1" applyProtection="1"/>
    <xf numFmtId="171" fontId="9" fillId="3" borderId="0" xfId="28" applyNumberFormat="1" applyFont="1" applyFill="1" applyBorder="1" applyAlignment="1" applyProtection="1">
      <alignment horizontal="center"/>
    </xf>
    <xf numFmtId="171" fontId="9" fillId="3" borderId="0" xfId="28" applyNumberFormat="1" applyFont="1" applyFill="1" applyBorder="1" applyAlignment="1" applyProtection="1">
      <alignment horizontal="right"/>
    </xf>
    <xf numFmtId="39" fontId="9" fillId="3" borderId="1" xfId="0" applyNumberFormat="1" applyFont="1" applyFill="1" applyBorder="1" applyProtection="1"/>
    <xf numFmtId="172" fontId="9" fillId="3" borderId="1" xfId="0" applyNumberFormat="1" applyFont="1" applyFill="1" applyBorder="1" applyProtection="1"/>
    <xf numFmtId="174" fontId="63" fillId="3" borderId="17" xfId="35" applyFont="1" applyFill="1" applyBorder="1" applyProtection="1">
      <alignment horizontal="right" vertical="top"/>
    </xf>
    <xf numFmtId="171" fontId="9" fillId="3" borderId="0" xfId="28" applyNumberFormat="1" applyFont="1" applyFill="1" applyBorder="1" applyProtection="1"/>
    <xf numFmtId="172" fontId="9" fillId="3" borderId="0" xfId="0" applyNumberFormat="1" applyFont="1" applyFill="1" applyBorder="1" applyProtection="1"/>
    <xf numFmtId="195" fontId="9" fillId="3" borderId="0" xfId="28" applyNumberFormat="1" applyFont="1" applyFill="1" applyAlignment="1" applyProtection="1">
      <alignment horizontal="center"/>
    </xf>
    <xf numFmtId="173" fontId="9" fillId="3" borderId="0" xfId="28" applyNumberFormat="1" applyFont="1" applyFill="1" applyAlignment="1" applyProtection="1">
      <alignment horizontal="center"/>
    </xf>
    <xf numFmtId="173" fontId="9" fillId="3" borderId="0" xfId="28" applyNumberFormat="1" applyFont="1" applyFill="1" applyProtection="1"/>
    <xf numFmtId="173" fontId="9" fillId="3" borderId="0" xfId="0" applyNumberFormat="1" applyFont="1" applyFill="1" applyProtection="1"/>
    <xf numFmtId="171" fontId="9" fillId="3" borderId="1" xfId="28" applyNumberFormat="1" applyFont="1" applyFill="1" applyBorder="1" applyProtection="1"/>
    <xf numFmtId="171" fontId="9" fillId="3" borderId="45" xfId="28" applyNumberFormat="1" applyFont="1" applyFill="1" applyBorder="1" applyProtection="1"/>
    <xf numFmtId="171" fontId="9" fillId="0" borderId="1" xfId="45" applyNumberFormat="1" applyFont="1" applyFill="1" applyBorder="1" applyProtection="1">
      <protection locked="0"/>
    </xf>
    <xf numFmtId="171" fontId="9" fillId="3" borderId="0" xfId="45" applyNumberFormat="1" applyFont="1" applyFill="1" applyBorder="1" applyProtection="1"/>
    <xf numFmtId="173" fontId="9" fillId="3" borderId="0" xfId="28" applyNumberFormat="1" applyFont="1" applyFill="1" applyBorder="1" applyAlignment="1" applyProtection="1">
      <alignment horizontal="center"/>
    </xf>
    <xf numFmtId="169" fontId="9" fillId="3" borderId="0" xfId="28" applyNumberFormat="1" applyFont="1" applyFill="1" applyBorder="1" applyAlignment="1" applyProtection="1">
      <alignment horizontal="center" vertical="center"/>
    </xf>
    <xf numFmtId="171" fontId="9" fillId="3" borderId="1" xfId="45" applyNumberFormat="1" applyFont="1" applyFill="1" applyBorder="1" applyProtection="1"/>
    <xf numFmtId="0" fontId="9" fillId="3" borderId="0" xfId="0" quotePrefix="1" applyFont="1" applyFill="1" applyAlignment="1" applyProtection="1"/>
    <xf numFmtId="171" fontId="9" fillId="3" borderId="0" xfId="45" applyNumberFormat="1" applyFont="1" applyFill="1" applyBorder="1" applyProtection="1">
      <protection locked="0"/>
    </xf>
    <xf numFmtId="0" fontId="9" fillId="3" borderId="0" xfId="0" applyNumberFormat="1" applyFont="1" applyFill="1" applyBorder="1" applyAlignment="1"/>
    <xf numFmtId="174" fontId="63" fillId="2" borderId="1" xfId="0" applyNumberFormat="1" applyFont="1" applyFill="1" applyBorder="1" applyAlignment="1" applyProtection="1">
      <alignment horizontal="right" vertical="top"/>
    </xf>
    <xf numFmtId="171" fontId="9" fillId="3" borderId="1" xfId="0" applyNumberFormat="1" applyFont="1" applyFill="1" applyBorder="1"/>
    <xf numFmtId="0" fontId="63" fillId="7" borderId="1" xfId="28" applyNumberFormat="1" applyFont="1" applyFill="1" applyBorder="1" applyProtection="1"/>
    <xf numFmtId="0" fontId="9" fillId="3" borderId="0" xfId="0" applyFont="1" applyFill="1" applyAlignment="1">
      <alignment horizontal="left"/>
    </xf>
    <xf numFmtId="0" fontId="9" fillId="3" borderId="0" xfId="0" applyFont="1" applyFill="1" applyAlignment="1" applyProtection="1">
      <alignment horizontal="right" wrapText="1"/>
    </xf>
    <xf numFmtId="171" fontId="9" fillId="3" borderId="0" xfId="28" applyNumberFormat="1" applyFont="1" applyFill="1" applyAlignment="1" applyProtection="1">
      <alignment horizontal="right" wrapText="1"/>
    </xf>
    <xf numFmtId="169" fontId="9" fillId="3" borderId="0" xfId="28" applyNumberFormat="1" applyFont="1" applyFill="1" applyAlignment="1" applyProtection="1">
      <alignment horizontal="right" wrapText="1"/>
    </xf>
    <xf numFmtId="2" fontId="16" fillId="3" borderId="0" xfId="28" applyNumberFormat="1" applyFont="1" applyFill="1" applyAlignment="1" applyProtection="1">
      <alignment horizontal="right"/>
    </xf>
    <xf numFmtId="37" fontId="9" fillId="4" borderId="1" xfId="0" applyNumberFormat="1" applyFont="1" applyFill="1" applyBorder="1" applyProtection="1">
      <protection locked="0"/>
    </xf>
    <xf numFmtId="175" fontId="16" fillId="3" borderId="0" xfId="0" applyNumberFormat="1" applyFont="1" applyFill="1" applyBorder="1" applyAlignment="1" applyProtection="1">
      <alignment horizontal="right"/>
    </xf>
    <xf numFmtId="175" fontId="9" fillId="3" borderId="0" xfId="0" applyNumberFormat="1" applyFont="1" applyFill="1" applyProtection="1"/>
    <xf numFmtId="2" fontId="16" fillId="3" borderId="0" xfId="0" applyNumberFormat="1" applyFont="1" applyFill="1" applyBorder="1" applyAlignment="1" applyProtection="1">
      <alignment horizontal="right"/>
    </xf>
    <xf numFmtId="169" fontId="9" fillId="3" borderId="1" xfId="28" applyNumberFormat="1" applyFont="1" applyFill="1" applyBorder="1" applyAlignment="1" applyProtection="1"/>
    <xf numFmtId="0" fontId="9" fillId="3" borderId="0" xfId="0" applyFont="1" applyFill="1" applyBorder="1" applyAlignment="1" applyProtection="1"/>
    <xf numFmtId="0" fontId="9" fillId="3" borderId="0" xfId="0" applyFont="1" applyFill="1" applyAlignment="1" applyProtection="1">
      <alignment horizontal="left" indent="2"/>
    </xf>
    <xf numFmtId="0" fontId="9" fillId="3" borderId="0" xfId="0" applyFont="1" applyFill="1" applyAlignment="1" applyProtection="1">
      <alignment horizontal="left" indent="1"/>
    </xf>
    <xf numFmtId="4" fontId="9" fillId="3" borderId="0" xfId="28" applyNumberFormat="1" applyFont="1" applyFill="1" applyBorder="1" applyProtection="1"/>
    <xf numFmtId="3" fontId="9" fillId="3" borderId="0" xfId="28" applyNumberFormat="1" applyFont="1" applyFill="1" applyBorder="1" applyProtection="1"/>
    <xf numFmtId="169" fontId="9" fillId="3" borderId="1" xfId="28" applyNumberFormat="1" applyFont="1" applyFill="1" applyBorder="1" applyProtection="1"/>
    <xf numFmtId="3" fontId="9" fillId="3" borderId="1" xfId="0" applyNumberFormat="1" applyFont="1" applyFill="1" applyBorder="1" applyAlignment="1" applyProtection="1"/>
    <xf numFmtId="171" fontId="9" fillId="3" borderId="3" xfId="0" applyNumberFormat="1" applyFont="1" applyFill="1" applyBorder="1" applyProtection="1"/>
    <xf numFmtId="171" fontId="9" fillId="3" borderId="3" xfId="28" applyNumberFormat="1" applyFont="1" applyFill="1" applyBorder="1" applyProtection="1"/>
    <xf numFmtId="0" fontId="9" fillId="3" borderId="44" xfId="0" applyNumberFormat="1" applyFont="1" applyFill="1" applyBorder="1" applyAlignment="1" applyProtection="1">
      <alignment horizontal="center"/>
    </xf>
    <xf numFmtId="0" fontId="16" fillId="3" borderId="0" xfId="60" applyFont="1" applyProtection="1">
      <alignment horizontal="left"/>
    </xf>
    <xf numFmtId="0" fontId="16" fillId="3" borderId="0" xfId="0" applyNumberFormat="1" applyFont="1" applyFill="1" applyAlignment="1" applyProtection="1">
      <alignment horizontal="right"/>
    </xf>
    <xf numFmtId="0" fontId="9" fillId="3" borderId="0" xfId="0" applyNumberFormat="1" applyFont="1" applyFill="1" applyAlignment="1" applyProtection="1">
      <alignment horizontal="right"/>
    </xf>
    <xf numFmtId="0" fontId="9" fillId="3" borderId="7" xfId="0" applyFont="1" applyFill="1" applyBorder="1" applyAlignment="1" applyProtection="1">
      <alignment horizontal="right"/>
    </xf>
    <xf numFmtId="0" fontId="9" fillId="3" borderId="0" xfId="0" applyFont="1" applyFill="1" applyAlignment="1" applyProtection="1">
      <alignment horizontal="centerContinuous" wrapText="1"/>
    </xf>
    <xf numFmtId="169" fontId="9" fillId="3" borderId="0" xfId="28" applyNumberFormat="1" applyFont="1" applyFill="1" applyAlignment="1" applyProtection="1">
      <alignment horizontal="right" vertical="center"/>
    </xf>
    <xf numFmtId="169" fontId="9" fillId="3" borderId="0" xfId="28" applyNumberFormat="1" applyFont="1" applyFill="1" applyAlignment="1" applyProtection="1">
      <alignment horizontal="center" wrapText="1"/>
    </xf>
    <xf numFmtId="169" fontId="9" fillId="4" borderId="1" xfId="45" applyNumberFormat="1" applyFont="1" applyBorder="1" applyProtection="1">
      <protection locked="0"/>
    </xf>
    <xf numFmtId="165" fontId="9" fillId="3" borderId="0" xfId="28" applyNumberFormat="1" applyFont="1" applyFill="1" applyAlignment="1" applyProtection="1">
      <alignment horizontal="right"/>
    </xf>
    <xf numFmtId="164" fontId="9" fillId="3" borderId="0" xfId="28" applyNumberFormat="1" applyFont="1" applyFill="1" applyProtection="1"/>
    <xf numFmtId="177" fontId="9" fillId="3" borderId="1" xfId="28" applyNumberFormat="1" applyFont="1" applyFill="1" applyBorder="1" applyProtection="1"/>
    <xf numFmtId="177" fontId="9" fillId="3" borderId="0" xfId="28" applyNumberFormat="1" applyFont="1" applyFill="1" applyBorder="1" applyProtection="1"/>
    <xf numFmtId="169" fontId="9" fillId="3" borderId="0" xfId="28" applyNumberFormat="1" applyFont="1" applyFill="1" applyBorder="1" applyAlignment="1" applyProtection="1">
      <alignment horizontal="right"/>
    </xf>
    <xf numFmtId="0" fontId="9" fillId="3" borderId="7" xfId="0" applyFont="1" applyFill="1" applyBorder="1" applyProtection="1"/>
    <xf numFmtId="0" fontId="9" fillId="3" borderId="7" xfId="0" applyFont="1" applyFill="1" applyBorder="1" applyAlignment="1" applyProtection="1">
      <alignment horizontal="centerContinuous" wrapText="1"/>
    </xf>
    <xf numFmtId="0" fontId="9" fillId="3" borderId="0" xfId="0" applyFont="1" applyFill="1" applyBorder="1" applyAlignment="1" applyProtection="1">
      <alignment horizontal="centerContinuous" wrapText="1"/>
    </xf>
    <xf numFmtId="169" fontId="9" fillId="4" borderId="1" xfId="45" applyNumberFormat="1" applyFont="1" applyBorder="1" applyAlignment="1" applyProtection="1">
      <alignment horizontal="center"/>
      <protection locked="0"/>
    </xf>
    <xf numFmtId="195" fontId="9" fillId="3" borderId="0" xfId="28" applyNumberFormat="1" applyFont="1" applyFill="1" applyAlignment="1" applyProtection="1">
      <alignment horizontal="right"/>
    </xf>
    <xf numFmtId="164" fontId="9" fillId="3" borderId="0" xfId="28" applyNumberFormat="1" applyFont="1" applyFill="1" applyBorder="1" applyProtection="1"/>
    <xf numFmtId="195" fontId="35" fillId="3" borderId="0" xfId="28" applyNumberFormat="1" applyFont="1" applyFill="1" applyProtection="1"/>
    <xf numFmtId="0" fontId="16" fillId="3" borderId="0" xfId="0" quotePrefix="1" applyFont="1" applyFill="1" applyAlignment="1" applyProtection="1">
      <alignment horizontal="left"/>
    </xf>
    <xf numFmtId="171" fontId="9" fillId="3" borderId="7" xfId="0" applyNumberFormat="1" applyFont="1" applyFill="1" applyBorder="1" applyAlignment="1" applyProtection="1">
      <alignment horizontal="center"/>
    </xf>
    <xf numFmtId="2" fontId="16" fillId="3" borderId="0" xfId="0" applyNumberFormat="1" applyFont="1" applyFill="1" applyAlignment="1" applyProtection="1">
      <alignment horizontal="right"/>
    </xf>
    <xf numFmtId="2" fontId="9" fillId="3" borderId="0" xfId="0" applyNumberFormat="1" applyFont="1" applyFill="1" applyProtection="1"/>
    <xf numFmtId="0" fontId="29" fillId="3" borderId="0" xfId="0" applyFont="1" applyFill="1" applyAlignment="1" applyProtection="1">
      <alignment horizontal="centerContinuous" wrapText="1"/>
    </xf>
    <xf numFmtId="171" fontId="9" fillId="3" borderId="0" xfId="28" applyNumberFormat="1" applyFont="1" applyFill="1" applyAlignment="1" applyProtection="1">
      <alignment horizontal="center" wrapText="1"/>
    </xf>
    <xf numFmtId="2" fontId="9" fillId="3" borderId="0" xfId="0" applyNumberFormat="1" applyFont="1" applyFill="1" applyAlignment="1" applyProtection="1">
      <alignment horizontal="right"/>
    </xf>
    <xf numFmtId="171" fontId="9" fillId="3" borderId="0" xfId="28" applyNumberFormat="1" applyFont="1" applyFill="1" applyAlignment="1" applyProtection="1">
      <alignment horizontal="right"/>
    </xf>
    <xf numFmtId="3" fontId="9" fillId="4" borderId="1" xfId="28" applyNumberFormat="1" applyFont="1" applyFill="1" applyBorder="1" applyProtection="1">
      <protection locked="0"/>
    </xf>
    <xf numFmtId="39" fontId="35" fillId="3" borderId="0" xfId="28" applyNumberFormat="1" applyFont="1" applyFill="1" applyBorder="1" applyProtection="1"/>
    <xf numFmtId="195" fontId="9" fillId="3" borderId="0" xfId="28" applyNumberFormat="1" applyFont="1" applyFill="1" applyBorder="1" applyProtection="1"/>
    <xf numFmtId="179" fontId="9" fillId="3" borderId="0" xfId="37" applyNumberFormat="1" applyFont="1" applyFill="1" applyBorder="1" applyProtection="1"/>
    <xf numFmtId="39" fontId="9" fillId="3" borderId="1" xfId="28" applyNumberFormat="1" applyFont="1" applyFill="1" applyBorder="1" applyProtection="1">
      <protection locked="0"/>
    </xf>
    <xf numFmtId="171" fontId="35" fillId="3" borderId="0" xfId="0" applyNumberFormat="1" applyFont="1" applyFill="1" applyBorder="1" applyProtection="1"/>
    <xf numFmtId="0" fontId="16" fillId="3" borderId="0" xfId="0" quotePrefix="1" applyFont="1" applyFill="1" applyProtection="1"/>
    <xf numFmtId="0" fontId="9" fillId="3" borderId="7" xfId="0" applyFont="1" applyFill="1" applyBorder="1" applyAlignment="1" applyProtection="1">
      <alignment wrapText="1"/>
    </xf>
    <xf numFmtId="169" fontId="9" fillId="3" borderId="7" xfId="28" applyNumberFormat="1" applyFont="1" applyFill="1" applyBorder="1" applyAlignment="1" applyProtection="1">
      <alignment horizontal="right"/>
    </xf>
    <xf numFmtId="2" fontId="16" fillId="3" borderId="0" xfId="0" quotePrefix="1" applyNumberFormat="1" applyFont="1" applyFill="1" applyAlignment="1" applyProtection="1">
      <alignment horizontal="left" vertical="top"/>
    </xf>
    <xf numFmtId="0" fontId="9" fillId="3" borderId="0" xfId="0" applyFont="1" applyFill="1" applyBorder="1" applyAlignment="1" applyProtection="1">
      <alignment vertical="top" wrapText="1"/>
    </xf>
    <xf numFmtId="0" fontId="9" fillId="3" borderId="0" xfId="0" applyFont="1" applyFill="1" applyBorder="1" applyAlignment="1" applyProtection="1">
      <alignment horizontal="center" wrapText="1"/>
    </xf>
    <xf numFmtId="0" fontId="9" fillId="3" borderId="0" xfId="0" applyFont="1" applyFill="1" applyBorder="1" applyAlignment="1" applyProtection="1">
      <alignment horizontal="right" wrapText="1"/>
    </xf>
    <xf numFmtId="0" fontId="16" fillId="3" borderId="0" xfId="0" applyNumberFormat="1" applyFont="1" applyFill="1" applyAlignment="1" applyProtection="1">
      <alignment horizontal="right" vertical="top"/>
    </xf>
    <xf numFmtId="179" fontId="9" fillId="3" borderId="0" xfId="37" applyNumberFormat="1" applyFont="1" applyFill="1" applyProtection="1"/>
    <xf numFmtId="3" fontId="9" fillId="4" borderId="1" xfId="28" applyNumberFormat="1" applyFont="1" applyFill="1" applyBorder="1" applyAlignment="1" applyProtection="1">
      <protection locked="0"/>
    </xf>
    <xf numFmtId="3" fontId="9" fillId="4" borderId="1" xfId="28" applyNumberFormat="1" applyFont="1" applyFill="1" applyBorder="1" applyAlignment="1" applyProtection="1">
      <alignment horizontal="right"/>
      <protection locked="0"/>
    </xf>
    <xf numFmtId="178" fontId="9" fillId="3" borderId="0" xfId="28" applyNumberFormat="1" applyFont="1" applyFill="1" applyAlignment="1" applyProtection="1">
      <alignment horizontal="center"/>
    </xf>
    <xf numFmtId="178" fontId="9" fillId="3" borderId="1" xfId="28" applyNumberFormat="1" applyFont="1" applyFill="1" applyBorder="1" applyProtection="1"/>
    <xf numFmtId="178" fontId="9" fillId="3" borderId="0" xfId="28" applyNumberFormat="1" applyFont="1" applyFill="1" applyBorder="1" applyProtection="1"/>
    <xf numFmtId="178" fontId="9" fillId="3" borderId="0" xfId="0" applyNumberFormat="1" applyFont="1" applyFill="1" applyBorder="1" applyAlignment="1" applyProtection="1">
      <alignment horizontal="center"/>
    </xf>
    <xf numFmtId="3" fontId="9" fillId="3" borderId="1" xfId="28" applyNumberFormat="1" applyFont="1" applyFill="1" applyBorder="1" applyAlignment="1" applyProtection="1">
      <alignment horizontal="right"/>
    </xf>
    <xf numFmtId="178" fontId="9" fillId="3" borderId="0" xfId="0" applyNumberFormat="1" applyFont="1" applyFill="1" applyProtection="1"/>
    <xf numFmtId="178" fontId="80" fillId="3" borderId="0" xfId="0" applyNumberFormat="1" applyFont="1" applyFill="1" applyBorder="1" applyAlignment="1" applyProtection="1">
      <alignment horizontal="center"/>
    </xf>
    <xf numFmtId="173" fontId="9" fillId="3" borderId="0" xfId="0" applyNumberFormat="1" applyFont="1" applyFill="1" applyBorder="1" applyAlignment="1" applyProtection="1">
      <alignment horizontal="center"/>
    </xf>
    <xf numFmtId="2" fontId="16" fillId="3" borderId="0" xfId="0" quotePrefix="1" applyNumberFormat="1" applyFont="1" applyFill="1" applyAlignment="1" applyProtection="1">
      <alignment horizontal="right"/>
    </xf>
    <xf numFmtId="0" fontId="9" fillId="3" borderId="0" xfId="0" applyFont="1" applyFill="1" applyBorder="1" applyAlignment="1" applyProtection="1">
      <alignment horizontal="left"/>
    </xf>
    <xf numFmtId="2" fontId="16" fillId="3" borderId="0" xfId="0" applyNumberFormat="1" applyFont="1" applyFill="1" applyAlignment="1" applyProtection="1">
      <alignment horizontal="left" vertical="top"/>
    </xf>
    <xf numFmtId="1" fontId="9" fillId="4" borderId="1" xfId="28" applyNumberFormat="1" applyFont="1" applyFill="1" applyBorder="1" applyAlignment="1" applyProtection="1">
      <protection locked="0"/>
    </xf>
    <xf numFmtId="2" fontId="9" fillId="3" borderId="1" xfId="0" applyNumberFormat="1" applyFont="1" applyFill="1" applyBorder="1" applyProtection="1"/>
    <xf numFmtId="2" fontId="9" fillId="3" borderId="45" xfId="0" applyNumberFormat="1" applyFont="1" applyFill="1" applyBorder="1" applyProtection="1"/>
    <xf numFmtId="167" fontId="16" fillId="3" borderId="0" xfId="28" applyFont="1" applyFill="1" applyAlignment="1" applyProtection="1">
      <alignment horizontal="left"/>
    </xf>
    <xf numFmtId="171" fontId="9" fillId="3" borderId="0" xfId="28" applyNumberFormat="1" applyFont="1" applyFill="1" applyAlignment="1" applyProtection="1">
      <alignment horizontal="center"/>
    </xf>
    <xf numFmtId="0" fontId="16" fillId="3" borderId="0" xfId="0" quotePrefix="1" applyFont="1" applyFill="1" applyAlignment="1" applyProtection="1">
      <alignment horizontal="right"/>
    </xf>
    <xf numFmtId="171" fontId="80" fillId="3" borderId="0" xfId="28" applyNumberFormat="1" applyFont="1" applyFill="1" applyAlignment="1" applyProtection="1">
      <alignment horizontal="center"/>
    </xf>
    <xf numFmtId="0" fontId="16" fillId="3" borderId="0" xfId="60" applyFont="1" applyFill="1" applyProtection="1">
      <alignment horizontal="left"/>
    </xf>
    <xf numFmtId="171" fontId="9" fillId="3" borderId="0" xfId="28" applyNumberFormat="1" applyFont="1" applyFill="1" applyBorder="1" applyAlignment="1" applyProtection="1">
      <alignment horizontal="center" vertical="center" wrapText="1"/>
    </xf>
    <xf numFmtId="0" fontId="16" fillId="3" borderId="0" xfId="0" quotePrefix="1" applyFont="1" applyFill="1" applyAlignment="1" applyProtection="1">
      <alignment vertical="center"/>
    </xf>
    <xf numFmtId="171" fontId="9" fillId="3" borderId="1" xfId="0" applyNumberFormat="1" applyFont="1" applyFill="1" applyBorder="1" applyProtection="1"/>
    <xf numFmtId="39" fontId="9" fillId="3" borderId="0" xfId="28" applyNumberFormat="1" applyFont="1" applyFill="1" applyBorder="1" applyProtection="1">
      <protection locked="0"/>
    </xf>
    <xf numFmtId="171" fontId="16" fillId="3" borderId="1" xfId="28" applyNumberFormat="1" applyFont="1" applyFill="1" applyBorder="1" applyProtection="1"/>
    <xf numFmtId="37" fontId="16" fillId="3" borderId="1" xfId="0" applyNumberFormat="1" applyFont="1" applyFill="1" applyBorder="1" applyProtection="1"/>
    <xf numFmtId="169" fontId="9" fillId="3" borderId="0" xfId="30" applyNumberFormat="1" applyFont="1" applyFill="1" applyProtection="1"/>
    <xf numFmtId="171" fontId="35" fillId="3" borderId="4" xfId="0" applyNumberFormat="1" applyFont="1" applyFill="1" applyBorder="1" applyProtection="1"/>
    <xf numFmtId="171" fontId="9" fillId="3" borderId="0" xfId="30" applyNumberFormat="1" applyFont="1" applyFill="1" applyBorder="1" applyProtection="1"/>
    <xf numFmtId="171" fontId="35" fillId="3" borderId="0" xfId="0" applyNumberFormat="1" applyFont="1" applyFill="1" applyProtection="1"/>
    <xf numFmtId="171" fontId="9" fillId="3" borderId="0" xfId="30" applyNumberFormat="1" applyFont="1" applyFill="1" applyProtection="1"/>
    <xf numFmtId="0" fontId="81" fillId="3" borderId="0" xfId="0" applyFont="1" applyFill="1" applyAlignment="1" applyProtection="1">
      <alignment horizontal="center" vertical="center" wrapText="1"/>
    </xf>
    <xf numFmtId="4" fontId="9" fillId="3" borderId="0" xfId="30" applyNumberFormat="1" applyFont="1" applyFill="1" applyBorder="1" applyProtection="1"/>
    <xf numFmtId="4" fontId="9" fillId="3" borderId="1" xfId="28" applyNumberFormat="1" applyFont="1" applyFill="1" applyBorder="1" applyAlignment="1" applyProtection="1">
      <alignment horizontal="center"/>
    </xf>
    <xf numFmtId="39" fontId="9" fillId="3" borderId="0" xfId="0" applyNumberFormat="1" applyFont="1" applyFill="1" applyAlignment="1" applyProtection="1">
      <alignment horizontal="center"/>
    </xf>
    <xf numFmtId="195" fontId="9" fillId="3" borderId="1" xfId="28" applyNumberFormat="1" applyFont="1" applyFill="1" applyBorder="1" applyAlignment="1" applyProtection="1">
      <alignment horizontal="center"/>
    </xf>
    <xf numFmtId="3" fontId="9" fillId="3" borderId="1" xfId="30" applyNumberFormat="1" applyFont="1" applyFill="1" applyBorder="1" applyProtection="1"/>
    <xf numFmtId="3" fontId="9" fillId="3" borderId="0" xfId="30" applyNumberFormat="1" applyFont="1" applyFill="1" applyBorder="1" applyProtection="1"/>
    <xf numFmtId="172" fontId="9" fillId="3" borderId="0" xfId="28" applyNumberFormat="1" applyFont="1" applyFill="1" applyBorder="1" applyProtection="1"/>
    <xf numFmtId="172" fontId="9" fillId="3" borderId="0" xfId="28" applyNumberFormat="1" applyFont="1" applyFill="1" applyBorder="1" applyAlignment="1" applyProtection="1"/>
    <xf numFmtId="0" fontId="82" fillId="3" borderId="0" xfId="0" applyFont="1" applyFill="1" applyAlignment="1" applyProtection="1">
      <alignment horizontal="left"/>
    </xf>
    <xf numFmtId="0" fontId="29" fillId="3" borderId="0" xfId="0" applyFont="1" applyFill="1" applyAlignment="1" applyProtection="1"/>
    <xf numFmtId="3" fontId="29" fillId="3" borderId="0" xfId="30" applyNumberFormat="1" applyFont="1" applyFill="1" applyBorder="1" applyProtection="1"/>
    <xf numFmtId="0" fontId="29" fillId="3" borderId="0" xfId="0" applyFont="1" applyFill="1" applyAlignment="1" applyProtection="1">
      <alignment horizontal="left"/>
    </xf>
    <xf numFmtId="3" fontId="16" fillId="3" borderId="1" xfId="30" applyNumberFormat="1" applyFont="1" applyFill="1" applyBorder="1" applyProtection="1"/>
    <xf numFmtId="0" fontId="81" fillId="3" borderId="0" xfId="0" applyFont="1" applyFill="1" applyBorder="1" applyAlignment="1" applyProtection="1">
      <alignment horizontal="center" vertical="center" wrapText="1"/>
    </xf>
    <xf numFmtId="0" fontId="9" fillId="3" borderId="1" xfId="0" applyFont="1" applyFill="1" applyBorder="1" applyAlignment="1" applyProtection="1">
      <alignment horizontal="right"/>
    </xf>
    <xf numFmtId="39" fontId="9" fillId="3" borderId="0" xfId="0" applyNumberFormat="1" applyFont="1" applyFill="1" applyBorder="1" applyAlignment="1" applyProtection="1">
      <alignment horizontal="center"/>
    </xf>
    <xf numFmtId="4" fontId="9" fillId="3" borderId="1" xfId="30" applyNumberFormat="1" applyFont="1" applyFill="1" applyBorder="1" applyProtection="1"/>
    <xf numFmtId="0" fontId="62" fillId="3" borderId="0" xfId="0" applyFont="1" applyFill="1" applyBorder="1" applyAlignment="1" applyProtection="1">
      <alignment horizontal="center"/>
    </xf>
    <xf numFmtId="0" fontId="16" fillId="3" borderId="0" xfId="0" applyFont="1" applyFill="1" applyBorder="1" applyAlignment="1" applyProtection="1"/>
    <xf numFmtId="195" fontId="9" fillId="3" borderId="0" xfId="28" applyNumberFormat="1" applyFont="1" applyFill="1" applyBorder="1" applyAlignment="1" applyProtection="1">
      <alignment horizontal="right"/>
    </xf>
    <xf numFmtId="0" fontId="29" fillId="3" borderId="0" xfId="0" applyFont="1" applyFill="1" applyBorder="1" applyAlignment="1" applyProtection="1"/>
    <xf numFmtId="0" fontId="29" fillId="3" borderId="0" xfId="0" applyFont="1" applyFill="1" applyAlignment="1" applyProtection="1">
      <alignment horizontal="right"/>
    </xf>
    <xf numFmtId="0" fontId="83" fillId="3" borderId="0" xfId="0" applyFont="1" applyFill="1" applyProtection="1"/>
    <xf numFmtId="3" fontId="35" fillId="3" borderId="0" xfId="30" applyNumberFormat="1" applyFont="1" applyFill="1" applyBorder="1" applyProtection="1"/>
    <xf numFmtId="2" fontId="9" fillId="3" borderId="5" xfId="28" applyNumberFormat="1" applyFont="1" applyFill="1" applyBorder="1" applyProtection="1"/>
    <xf numFmtId="2" fontId="9" fillId="3" borderId="0" xfId="28" applyNumberFormat="1" applyFont="1" applyFill="1" applyProtection="1"/>
    <xf numFmtId="174" fontId="9" fillId="3" borderId="0" xfId="0" applyNumberFormat="1" applyFont="1" applyFill="1" applyProtection="1"/>
    <xf numFmtId="0" fontId="16" fillId="3" borderId="0" xfId="0" applyFont="1" applyFill="1" applyAlignment="1" applyProtection="1">
      <alignment horizontal="left" vertical="center"/>
    </xf>
    <xf numFmtId="39" fontId="9" fillId="3" borderId="0" xfId="0" applyNumberFormat="1" applyFont="1" applyFill="1" applyBorder="1" applyProtection="1"/>
    <xf numFmtId="0" fontId="62" fillId="3" borderId="0" xfId="0" applyFont="1" applyFill="1" applyAlignment="1">
      <alignment horizontal="center" vertical="center" wrapText="1"/>
    </xf>
    <xf numFmtId="195" fontId="9" fillId="3" borderId="0" xfId="0" applyNumberFormat="1" applyFont="1" applyFill="1" applyAlignment="1" applyProtection="1">
      <alignment horizontal="center"/>
    </xf>
    <xf numFmtId="197" fontId="9" fillId="3" borderId="0" xfId="0" applyNumberFormat="1" applyFont="1" applyFill="1" applyAlignment="1" applyProtection="1">
      <alignment horizontal="center"/>
    </xf>
    <xf numFmtId="4" fontId="9" fillId="3" borderId="0" xfId="0" applyNumberFormat="1" applyFont="1" applyFill="1" applyBorder="1" applyProtection="1"/>
    <xf numFmtId="174" fontId="9" fillId="3" borderId="0" xfId="0" applyNumberFormat="1" applyFont="1" applyFill="1" applyBorder="1" applyAlignment="1" applyProtection="1">
      <alignment horizontal="right"/>
    </xf>
    <xf numFmtId="175" fontId="16" fillId="3" borderId="0" xfId="28" applyNumberFormat="1" applyFont="1" applyFill="1" applyProtection="1"/>
    <xf numFmtId="0" fontId="9" fillId="3" borderId="0" xfId="0" applyFont="1" applyFill="1" applyAlignment="1" applyProtection="1">
      <alignment horizontal="center" vertical="center"/>
    </xf>
    <xf numFmtId="182" fontId="9" fillId="3" borderId="1" xfId="0" applyNumberFormat="1" applyFont="1" applyFill="1" applyBorder="1" applyProtection="1"/>
    <xf numFmtId="0" fontId="9" fillId="3" borderId="0" xfId="0" applyFont="1" applyFill="1" applyAlignment="1" applyProtection="1">
      <alignment horizontal="right" vertical="top"/>
    </xf>
    <xf numFmtId="197" fontId="9" fillId="3" borderId="0" xfId="0" applyNumberFormat="1" applyFont="1" applyFill="1" applyAlignment="1" applyProtection="1">
      <alignment horizontal="center" vertical="center"/>
    </xf>
    <xf numFmtId="0" fontId="9" fillId="3" borderId="0" xfId="0" applyFont="1" applyFill="1" applyAlignment="1" applyProtection="1">
      <alignment horizontal="left" vertical="center" wrapText="1"/>
    </xf>
    <xf numFmtId="174" fontId="9" fillId="3" borderId="0" xfId="0" applyNumberFormat="1" applyFont="1" applyFill="1" applyAlignment="1" applyProtection="1"/>
    <xf numFmtId="0" fontId="9" fillId="3" borderId="0" xfId="0" applyFont="1" applyFill="1" applyAlignment="1" applyProtection="1">
      <alignment vertical="top" wrapText="1"/>
    </xf>
    <xf numFmtId="167" fontId="9" fillId="3" borderId="0" xfId="0" applyNumberFormat="1" applyFont="1" applyFill="1" applyBorder="1" applyProtection="1"/>
    <xf numFmtId="37" fontId="9" fillId="3" borderId="0" xfId="0" applyNumberFormat="1" applyFont="1" applyFill="1" applyAlignment="1" applyProtection="1">
      <alignment horizontal="center"/>
    </xf>
    <xf numFmtId="0" fontId="9" fillId="3" borderId="0" xfId="0" applyFont="1" applyFill="1"/>
    <xf numFmtId="39" fontId="9" fillId="3" borderId="1" xfId="0" applyNumberFormat="1" applyFont="1" applyFill="1" applyBorder="1" applyAlignment="1" applyProtection="1"/>
    <xf numFmtId="175" fontId="16" fillId="3" borderId="0" xfId="0" applyNumberFormat="1" applyFont="1" applyFill="1" applyAlignment="1" applyProtection="1">
      <alignment horizontal="right"/>
    </xf>
    <xf numFmtId="39" fontId="9" fillId="3" borderId="0" xfId="0" applyNumberFormat="1" applyFont="1" applyFill="1" applyBorder="1" applyAlignment="1" applyProtection="1"/>
    <xf numFmtId="3" fontId="9" fillId="0" borderId="1" xfId="0" applyNumberFormat="1" applyFont="1" applyFill="1" applyBorder="1" applyAlignment="1" applyProtection="1">
      <protection locked="0"/>
    </xf>
    <xf numFmtId="175" fontId="9" fillId="3" borderId="1" xfId="0" applyNumberFormat="1" applyFont="1" applyFill="1" applyBorder="1" applyAlignment="1" applyProtection="1"/>
    <xf numFmtId="3" fontId="9" fillId="3" borderId="0" xfId="0" applyNumberFormat="1" applyFont="1" applyFill="1" applyBorder="1" applyAlignment="1" applyProtection="1"/>
    <xf numFmtId="37" fontId="62" fillId="3" borderId="0" xfId="0" applyNumberFormat="1" applyFont="1" applyFill="1" applyAlignment="1" applyProtection="1">
      <alignment horizontal="center"/>
    </xf>
    <xf numFmtId="173" fontId="78" fillId="3" borderId="0" xfId="0" applyNumberFormat="1" applyFont="1" applyFill="1" applyAlignment="1" applyProtection="1">
      <alignment horizontal="center"/>
    </xf>
    <xf numFmtId="174" fontId="78" fillId="7" borderId="1" xfId="0" applyNumberFormat="1" applyFont="1" applyFill="1" applyBorder="1" applyAlignment="1" applyProtection="1">
      <alignment horizontal="center"/>
    </xf>
    <xf numFmtId="174" fontId="9" fillId="3" borderId="0" xfId="0" applyNumberFormat="1" applyFont="1" applyFill="1" applyAlignment="1" applyProtection="1">
      <alignment horizontal="center"/>
    </xf>
    <xf numFmtId="3" fontId="16" fillId="3" borderId="1" xfId="0" applyNumberFormat="1" applyFont="1" applyFill="1" applyBorder="1" applyAlignment="1" applyProtection="1"/>
    <xf numFmtId="0" fontId="9" fillId="3" borderId="12" xfId="0" applyFont="1" applyFill="1" applyBorder="1" applyProtection="1"/>
    <xf numFmtId="2" fontId="9" fillId="3" borderId="4" xfId="28" applyNumberFormat="1" applyFont="1" applyFill="1" applyBorder="1" applyProtection="1"/>
    <xf numFmtId="181" fontId="9" fillId="3" borderId="0" xfId="28" applyNumberFormat="1" applyFont="1" applyFill="1" applyProtection="1"/>
    <xf numFmtId="0" fontId="85" fillId="3" borderId="0" xfId="0" applyFont="1" applyFill="1" applyAlignment="1" applyProtection="1">
      <alignment horizontal="left"/>
    </xf>
    <xf numFmtId="0" fontId="85" fillId="3" borderId="0" xfId="0" applyFont="1" applyFill="1" applyAlignment="1" applyProtection="1"/>
    <xf numFmtId="0" fontId="9" fillId="4" borderId="1" xfId="0" applyFont="1" applyFill="1" applyBorder="1" applyProtection="1">
      <protection locked="0"/>
    </xf>
    <xf numFmtId="0" fontId="84" fillId="3" borderId="0" xfId="0" applyFont="1" applyFill="1" applyAlignment="1" applyProtection="1">
      <alignment horizontal="left"/>
    </xf>
    <xf numFmtId="2" fontId="9" fillId="3" borderId="7" xfId="28" applyNumberFormat="1" applyFont="1" applyFill="1" applyBorder="1" applyAlignment="1" applyProtection="1">
      <alignment horizontal="center"/>
    </xf>
    <xf numFmtId="181" fontId="9" fillId="3" borderId="7" xfId="28" applyNumberFormat="1" applyFont="1" applyFill="1" applyBorder="1" applyAlignment="1" applyProtection="1">
      <alignment horizontal="center"/>
    </xf>
    <xf numFmtId="169" fontId="86" fillId="3" borderId="0" xfId="28" applyNumberFormat="1" applyFont="1" applyFill="1" applyAlignment="1" applyProtection="1"/>
    <xf numFmtId="169" fontId="86" fillId="3" borderId="0" xfId="28" applyNumberFormat="1" applyFont="1" applyFill="1" applyAlignment="1" applyProtection="1">
      <alignment horizontal="centerContinuous"/>
    </xf>
    <xf numFmtId="0" fontId="63" fillId="3" borderId="0" xfId="0" applyFont="1" applyFill="1" applyAlignment="1" applyProtection="1">
      <alignment horizontal="centerContinuous"/>
    </xf>
    <xf numFmtId="0" fontId="29" fillId="3" borderId="0" xfId="0" applyFont="1" applyFill="1" applyAlignment="1" applyProtection="1">
      <alignment horizontal="centerContinuous"/>
    </xf>
    <xf numFmtId="2" fontId="63" fillId="3" borderId="0" xfId="28" applyNumberFormat="1" applyFont="1" applyFill="1" applyAlignment="1" applyProtection="1">
      <alignment horizontal="centerContinuous"/>
    </xf>
    <xf numFmtId="181" fontId="63" fillId="3" borderId="0" xfId="28" applyNumberFormat="1" applyFont="1" applyFill="1" applyAlignment="1" applyProtection="1">
      <alignment horizontal="centerContinuous"/>
    </xf>
    <xf numFmtId="0" fontId="9" fillId="3" borderId="1" xfId="0" applyFont="1" applyFill="1" applyBorder="1" applyAlignment="1" applyProtection="1">
      <alignment horizontal="centerContinuous" wrapText="1"/>
    </xf>
    <xf numFmtId="169" fontId="9" fillId="3" borderId="1" xfId="28" applyNumberFormat="1" applyFont="1" applyFill="1" applyBorder="1" applyAlignment="1" applyProtection="1">
      <alignment horizontal="right"/>
    </xf>
    <xf numFmtId="2" fontId="9" fillId="3" borderId="1" xfId="28" applyNumberFormat="1" applyFont="1" applyFill="1" applyBorder="1" applyAlignment="1" applyProtection="1">
      <alignment horizontal="right"/>
    </xf>
    <xf numFmtId="181" fontId="9" fillId="3" borderId="1" xfId="28" applyNumberFormat="1" applyFont="1" applyFill="1" applyBorder="1" applyAlignment="1" applyProtection="1">
      <alignment horizontal="right"/>
    </xf>
    <xf numFmtId="188" fontId="63" fillId="2" borderId="1" xfId="35" applyNumberFormat="1" applyFont="1" applyProtection="1">
      <alignment horizontal="right" vertical="top"/>
    </xf>
    <xf numFmtId="176" fontId="9" fillId="4" borderId="1" xfId="28" applyNumberFormat="1" applyFont="1" applyFill="1" applyBorder="1" applyProtection="1">
      <protection locked="0"/>
    </xf>
    <xf numFmtId="0" fontId="9" fillId="3" borderId="6" xfId="0" applyFont="1" applyFill="1" applyBorder="1" applyAlignment="1" applyProtection="1">
      <alignment horizontal="left"/>
    </xf>
    <xf numFmtId="174" fontId="63" fillId="3" borderId="11" xfId="35" applyFont="1" applyFill="1" applyBorder="1" applyProtection="1">
      <alignment horizontal="right" vertical="top"/>
    </xf>
    <xf numFmtId="176" fontId="9" fillId="3" borderId="11" xfId="28" applyNumberFormat="1" applyFont="1" applyFill="1" applyBorder="1" applyProtection="1"/>
    <xf numFmtId="176" fontId="9" fillId="3" borderId="19" xfId="28" applyNumberFormat="1" applyFont="1" applyFill="1" applyBorder="1" applyProtection="1"/>
    <xf numFmtId="176" fontId="9" fillId="3" borderId="1" xfId="28" applyNumberFormat="1" applyFont="1" applyFill="1" applyBorder="1" applyProtection="1"/>
    <xf numFmtId="168" fontId="9" fillId="3" borderId="0" xfId="28" applyNumberFormat="1" applyFont="1" applyFill="1" applyProtection="1"/>
    <xf numFmtId="168" fontId="9" fillId="3" borderId="0" xfId="0" applyNumberFormat="1" applyFont="1" applyFill="1" applyProtection="1"/>
    <xf numFmtId="168" fontId="63" fillId="3" borderId="0" xfId="0" applyNumberFormat="1" applyFont="1" applyFill="1" applyAlignment="1" applyProtection="1">
      <alignment horizontal="centerContinuous"/>
    </xf>
    <xf numFmtId="169" fontId="86" fillId="3" borderId="0" xfId="28" applyNumberFormat="1" applyFont="1" applyFill="1" applyAlignment="1" applyProtection="1">
      <alignment horizontal="left"/>
    </xf>
    <xf numFmtId="168" fontId="63" fillId="3" borderId="0" xfId="28" applyNumberFormat="1" applyFont="1" applyFill="1" applyAlignment="1" applyProtection="1">
      <alignment horizontal="centerContinuous"/>
    </xf>
    <xf numFmtId="168" fontId="9" fillId="3" borderId="1" xfId="28" applyNumberFormat="1" applyFont="1" applyFill="1" applyBorder="1" applyAlignment="1" applyProtection="1">
      <alignment horizontal="right"/>
    </xf>
    <xf numFmtId="168" fontId="9" fillId="3" borderId="1" xfId="0" applyNumberFormat="1" applyFont="1" applyFill="1" applyBorder="1" applyAlignment="1" applyProtection="1">
      <alignment horizontal="right"/>
    </xf>
    <xf numFmtId="176" fontId="9" fillId="3" borderId="0" xfId="28" applyNumberFormat="1" applyFont="1" applyFill="1" applyBorder="1" applyProtection="1"/>
    <xf numFmtId="180" fontId="9" fillId="3" borderId="1" xfId="28" applyNumberFormat="1" applyFont="1" applyFill="1" applyBorder="1" applyProtection="1"/>
    <xf numFmtId="180" fontId="9" fillId="3" borderId="1" xfId="0" applyNumberFormat="1" applyFont="1" applyFill="1" applyBorder="1" applyProtection="1"/>
    <xf numFmtId="180" fontId="9" fillId="3" borderId="0" xfId="28" applyNumberFormat="1" applyFont="1" applyFill="1" applyBorder="1" applyProtection="1"/>
    <xf numFmtId="180" fontId="9" fillId="3" borderId="0" xfId="0" applyNumberFormat="1" applyFont="1" applyFill="1" applyBorder="1" applyProtection="1"/>
    <xf numFmtId="180" fontId="9" fillId="3" borderId="0" xfId="28" applyNumberFormat="1" applyFont="1" applyFill="1" applyBorder="1" applyAlignment="1" applyProtection="1">
      <alignment horizontal="right" wrapText="1"/>
    </xf>
    <xf numFmtId="183" fontId="9" fillId="3" borderId="1" xfId="28" applyNumberFormat="1" applyFont="1" applyFill="1" applyBorder="1" applyProtection="1"/>
    <xf numFmtId="39" fontId="16" fillId="3" borderId="0" xfId="28" applyNumberFormat="1" applyFont="1" applyFill="1" applyProtection="1"/>
    <xf numFmtId="39" fontId="9" fillId="3" borderId="24" xfId="0" applyNumberFormat="1" applyFont="1" applyFill="1" applyBorder="1" applyProtection="1"/>
    <xf numFmtId="39" fontId="9" fillId="3" borderId="16" xfId="0" applyNumberFormat="1" applyFont="1" applyFill="1" applyBorder="1" applyProtection="1"/>
    <xf numFmtId="39" fontId="9" fillId="3" borderId="16" xfId="28" applyNumberFormat="1" applyFont="1" applyFill="1" applyBorder="1" applyProtection="1"/>
    <xf numFmtId="0" fontId="9" fillId="3" borderId="25" xfId="0" applyFont="1" applyFill="1" applyBorder="1" applyProtection="1"/>
    <xf numFmtId="0" fontId="9" fillId="3" borderId="17" xfId="0" applyFont="1" applyFill="1" applyBorder="1" applyProtection="1"/>
    <xf numFmtId="0" fontId="9" fillId="3" borderId="9" xfId="0" applyFont="1" applyFill="1" applyBorder="1" applyAlignment="1" applyProtection="1">
      <alignment horizontal="center"/>
    </xf>
    <xf numFmtId="0" fontId="9" fillId="3" borderId="6" xfId="0" applyFont="1" applyFill="1" applyBorder="1" applyAlignment="1" applyProtection="1">
      <alignment horizontal="right"/>
    </xf>
    <xf numFmtId="169" fontId="9" fillId="3" borderId="11" xfId="28" applyNumberFormat="1" applyFont="1" applyFill="1" applyBorder="1" applyAlignment="1" applyProtection="1">
      <alignment horizontal="right" wrapText="1"/>
    </xf>
    <xf numFmtId="0" fontId="9" fillId="3" borderId="19" xfId="0" applyFont="1" applyFill="1" applyBorder="1" applyAlignment="1" applyProtection="1">
      <alignment horizontal="right"/>
    </xf>
    <xf numFmtId="0" fontId="9" fillId="3" borderId="9" xfId="0" applyFont="1" applyFill="1" applyBorder="1" applyAlignment="1" applyProtection="1">
      <alignment horizontal="right"/>
    </xf>
    <xf numFmtId="169" fontId="9" fillId="3" borderId="0" xfId="28" applyNumberFormat="1" applyFont="1" applyFill="1" applyBorder="1" applyAlignment="1" applyProtection="1">
      <alignment horizontal="right" wrapText="1"/>
    </xf>
    <xf numFmtId="188" fontId="63" fillId="2" borderId="1" xfId="35" applyNumberFormat="1" applyFont="1" applyBorder="1" applyProtection="1">
      <alignment horizontal="right" vertical="top"/>
    </xf>
    <xf numFmtId="183" fontId="9" fillId="3" borderId="1" xfId="0" applyNumberFormat="1" applyFont="1" applyFill="1" applyBorder="1" applyAlignment="1" applyProtection="1"/>
    <xf numFmtId="183" fontId="9" fillId="3" borderId="6" xfId="0" applyNumberFormat="1" applyFont="1" applyFill="1" applyBorder="1" applyAlignment="1" applyProtection="1"/>
    <xf numFmtId="188" fontId="63" fillId="3" borderId="0" xfId="35" applyNumberFormat="1" applyFont="1" applyFill="1" applyBorder="1" applyProtection="1">
      <alignment horizontal="right" vertical="top"/>
    </xf>
    <xf numFmtId="183" fontId="9" fillId="3" borderId="9" xfId="0" applyNumberFormat="1" applyFont="1" applyFill="1" applyBorder="1" applyAlignment="1" applyProtection="1"/>
    <xf numFmtId="183" fontId="9" fillId="3" borderId="0" xfId="0" applyNumberFormat="1" applyFont="1" applyFill="1" applyBorder="1" applyAlignment="1" applyProtection="1"/>
    <xf numFmtId="39" fontId="9" fillId="3" borderId="0" xfId="0" applyNumberFormat="1" applyFont="1" applyFill="1" applyAlignment="1" applyProtection="1"/>
    <xf numFmtId="176" fontId="16" fillId="3" borderId="0" xfId="28" applyNumberFormat="1" applyFont="1" applyFill="1" applyAlignment="1" applyProtection="1"/>
    <xf numFmtId="174" fontId="9" fillId="3" borderId="0" xfId="28" applyNumberFormat="1" applyFont="1" applyFill="1" applyBorder="1" applyProtection="1"/>
    <xf numFmtId="183" fontId="9" fillId="3" borderId="0" xfId="28" applyNumberFormat="1" applyFont="1" applyFill="1" applyBorder="1" applyAlignment="1" applyProtection="1"/>
    <xf numFmtId="0" fontId="9" fillId="3" borderId="9" xfId="0" applyFont="1" applyFill="1" applyBorder="1" applyProtection="1"/>
    <xf numFmtId="176" fontId="16" fillId="3" borderId="0" xfId="28" applyNumberFormat="1" applyFont="1" applyFill="1" applyBorder="1" applyAlignment="1" applyProtection="1"/>
    <xf numFmtId="0" fontId="9" fillId="3" borderId="17" xfId="0" applyFont="1" applyFill="1" applyBorder="1" applyAlignment="1" applyProtection="1">
      <alignment wrapText="1"/>
    </xf>
    <xf numFmtId="176" fontId="9" fillId="3" borderId="1" xfId="0" applyNumberFormat="1" applyFont="1" applyFill="1" applyBorder="1" applyProtection="1"/>
    <xf numFmtId="176" fontId="9" fillId="3" borderId="9" xfId="28" applyNumberFormat="1" applyFont="1" applyFill="1" applyBorder="1" applyProtection="1"/>
    <xf numFmtId="176" fontId="9" fillId="3" borderId="0" xfId="0" applyNumberFormat="1" applyFont="1" applyFill="1" applyBorder="1" applyProtection="1"/>
    <xf numFmtId="0" fontId="9" fillId="3" borderId="18" xfId="0" applyFont="1" applyFill="1" applyBorder="1" applyProtection="1"/>
    <xf numFmtId="183" fontId="9" fillId="3" borderId="1" xfId="28" applyNumberFormat="1" applyFont="1" applyFill="1" applyBorder="1" applyAlignment="1" applyProtection="1">
      <alignment horizontal="right"/>
    </xf>
    <xf numFmtId="183" fontId="9" fillId="3" borderId="7" xfId="28" applyNumberFormat="1" applyFont="1" applyFill="1" applyBorder="1" applyAlignment="1" applyProtection="1">
      <alignment horizontal="right"/>
    </xf>
    <xf numFmtId="167" fontId="9" fillId="3" borderId="7" xfId="28" applyFont="1" applyFill="1" applyBorder="1" applyAlignment="1" applyProtection="1">
      <alignment horizontal="right"/>
    </xf>
    <xf numFmtId="183" fontId="9" fillId="3" borderId="23" xfId="28" applyNumberFormat="1" applyFont="1" applyFill="1" applyBorder="1" applyAlignment="1" applyProtection="1">
      <alignment horizontal="right"/>
    </xf>
    <xf numFmtId="183" fontId="9" fillId="3" borderId="0" xfId="28" applyNumberFormat="1" applyFont="1" applyFill="1" applyBorder="1" applyAlignment="1" applyProtection="1">
      <alignment horizontal="right"/>
    </xf>
    <xf numFmtId="167" fontId="9" fillId="3" borderId="0" xfId="28" applyFont="1" applyFill="1" applyBorder="1" applyAlignment="1" applyProtection="1">
      <alignment horizontal="right"/>
    </xf>
    <xf numFmtId="183" fontId="9" fillId="3" borderId="45" xfId="28" applyNumberFormat="1" applyFont="1" applyFill="1" applyBorder="1" applyAlignment="1" applyProtection="1">
      <alignment horizontal="right"/>
    </xf>
    <xf numFmtId="39" fontId="9" fillId="3" borderId="1" xfId="0" applyNumberFormat="1" applyFont="1" applyFill="1" applyBorder="1" applyAlignment="1" applyProtection="1">
      <alignment horizontal="center"/>
    </xf>
    <xf numFmtId="166" fontId="9" fillId="3" borderId="0" xfId="37" applyFont="1" applyFill="1" applyProtection="1"/>
    <xf numFmtId="173" fontId="9" fillId="3" borderId="0" xfId="0" applyNumberFormat="1" applyFont="1" applyFill="1" applyBorder="1" applyProtection="1"/>
    <xf numFmtId="173" fontId="9" fillId="3" borderId="1" xfId="0" applyNumberFormat="1" applyFont="1" applyFill="1" applyBorder="1" applyProtection="1"/>
    <xf numFmtId="39" fontId="16" fillId="3" borderId="0" xfId="28" applyNumberFormat="1" applyFont="1" applyFill="1" applyBorder="1" applyAlignment="1" applyProtection="1"/>
    <xf numFmtId="195" fontId="9" fillId="3" borderId="0" xfId="0" applyNumberFormat="1" applyFont="1" applyFill="1" applyBorder="1" applyProtection="1"/>
    <xf numFmtId="2" fontId="16" fillId="3" borderId="0" xfId="0" applyNumberFormat="1" applyFont="1" applyFill="1" applyBorder="1" applyAlignment="1" applyProtection="1">
      <alignment horizontal="left" vertical="top"/>
    </xf>
    <xf numFmtId="173" fontId="9" fillId="3" borderId="0" xfId="0" applyNumberFormat="1" applyFont="1" applyFill="1" applyBorder="1" applyAlignment="1" applyProtection="1">
      <alignment vertical="top"/>
    </xf>
    <xf numFmtId="173" fontId="9" fillId="3" borderId="10" xfId="0" applyNumberFormat="1" applyFont="1" applyFill="1" applyBorder="1" applyAlignment="1" applyProtection="1">
      <alignment vertical="top"/>
    </xf>
    <xf numFmtId="39" fontId="16" fillId="3" borderId="0" xfId="28" applyNumberFormat="1" applyFont="1" applyFill="1" applyBorder="1" applyAlignment="1" applyProtection="1">
      <alignment vertical="top"/>
    </xf>
    <xf numFmtId="173" fontId="9" fillId="3" borderId="1" xfId="0" applyNumberFormat="1" applyFont="1" applyFill="1" applyBorder="1" applyAlignment="1" applyProtection="1">
      <alignment vertical="center"/>
    </xf>
    <xf numFmtId="37" fontId="9" fillId="3" borderId="0" xfId="0" applyNumberFormat="1" applyFont="1" applyFill="1" applyBorder="1" applyAlignment="1" applyProtection="1">
      <alignment horizontal="center"/>
    </xf>
    <xf numFmtId="39" fontId="9" fillId="3" borderId="1" xfId="0" applyNumberFormat="1" applyFont="1" applyFill="1" applyBorder="1" applyAlignment="1" applyProtection="1">
      <alignment horizontal="right" wrapText="1"/>
    </xf>
    <xf numFmtId="39" fontId="16" fillId="3" borderId="0" xfId="28" applyNumberFormat="1" applyFont="1" applyFill="1" applyAlignment="1" applyProtection="1"/>
    <xf numFmtId="176" fontId="9" fillId="3" borderId="0" xfId="0" applyNumberFormat="1" applyFont="1" applyFill="1" applyBorder="1" applyAlignment="1" applyProtection="1"/>
    <xf numFmtId="176" fontId="9" fillId="3" borderId="0" xfId="0" applyNumberFormat="1" applyFont="1" applyFill="1" applyBorder="1" applyAlignment="1" applyProtection="1">
      <alignment horizontal="center"/>
    </xf>
    <xf numFmtId="176" fontId="9" fillId="3" borderId="0" xfId="28" applyNumberFormat="1" applyFont="1" applyFill="1" applyBorder="1" applyAlignment="1" applyProtection="1">
      <alignment horizontal="center"/>
    </xf>
    <xf numFmtId="188" fontId="63" fillId="7" borderId="0" xfId="35" applyNumberFormat="1" applyFont="1" applyFill="1" applyBorder="1" applyProtection="1">
      <alignment horizontal="right" vertical="top"/>
    </xf>
    <xf numFmtId="174" fontId="9" fillId="3" borderId="0" xfId="28" applyNumberFormat="1" applyFont="1" applyFill="1" applyBorder="1" applyAlignment="1" applyProtection="1">
      <alignment horizontal="center"/>
    </xf>
    <xf numFmtId="37" fontId="9" fillId="3" borderId="0" xfId="28" applyNumberFormat="1" applyFont="1" applyFill="1" applyBorder="1" applyAlignment="1" applyProtection="1">
      <alignment horizontal="center"/>
    </xf>
    <xf numFmtId="174" fontId="35" fillId="3" borderId="0" xfId="28" applyNumberFormat="1" applyFont="1" applyFill="1" applyBorder="1" applyProtection="1"/>
    <xf numFmtId="37" fontId="35" fillId="3" borderId="0" xfId="28" applyNumberFormat="1" applyFont="1" applyFill="1" applyBorder="1" applyProtection="1"/>
    <xf numFmtId="3" fontId="9" fillId="3" borderId="0" xfId="28" applyNumberFormat="1" applyFont="1" applyFill="1" applyBorder="1" applyAlignment="1" applyProtection="1">
      <alignment horizontal="right"/>
    </xf>
    <xf numFmtId="2" fontId="9" fillId="3" borderId="0" xfId="28" applyNumberFormat="1" applyFont="1" applyFill="1" applyBorder="1" applyProtection="1"/>
    <xf numFmtId="3" fontId="29" fillId="3" borderId="0" xfId="0" applyNumberFormat="1" applyFont="1" applyFill="1" applyProtection="1"/>
    <xf numFmtId="3" fontId="5" fillId="3" borderId="1" xfId="30" applyNumberFormat="1" applyFont="1" applyFill="1" applyBorder="1" applyProtection="1"/>
    <xf numFmtId="169" fontId="20" fillId="3" borderId="1" xfId="28" applyNumberFormat="1" applyFont="1" applyFill="1" applyBorder="1" applyProtection="1"/>
    <xf numFmtId="169" fontId="9" fillId="3" borderId="0" xfId="31" applyNumberFormat="1" applyFont="1" applyFill="1" applyProtection="1"/>
    <xf numFmtId="37" fontId="9" fillId="3" borderId="4" xfId="0" applyNumberFormat="1" applyFont="1" applyFill="1" applyBorder="1" applyProtection="1"/>
    <xf numFmtId="0" fontId="16" fillId="3" borderId="5" xfId="31" applyNumberFormat="1" applyFont="1" applyFill="1" applyBorder="1" applyAlignment="1" applyProtection="1">
      <alignment horizontal="right"/>
    </xf>
    <xf numFmtId="0" fontId="16" fillId="3" borderId="0" xfId="31" applyNumberFormat="1" applyFont="1" applyFill="1" applyAlignment="1" applyProtection="1">
      <alignment horizontal="right"/>
    </xf>
    <xf numFmtId="184" fontId="9" fillId="3" borderId="0" xfId="0" applyNumberFormat="1" applyFont="1" applyFill="1" applyBorder="1" applyProtection="1"/>
    <xf numFmtId="169" fontId="9" fillId="3" borderId="0" xfId="31" applyNumberFormat="1" applyFont="1" applyFill="1" applyBorder="1" applyProtection="1"/>
    <xf numFmtId="0" fontId="78" fillId="3" borderId="0" xfId="0" applyFont="1" applyFill="1" applyAlignment="1" applyProtection="1"/>
    <xf numFmtId="37" fontId="9" fillId="0" borderId="1" xfId="0" applyNumberFormat="1" applyFont="1" applyFill="1" applyBorder="1" applyProtection="1">
      <protection locked="0"/>
    </xf>
    <xf numFmtId="169" fontId="78" fillId="3" borderId="0" xfId="31" applyNumberFormat="1" applyFont="1" applyFill="1" applyProtection="1"/>
    <xf numFmtId="0" fontId="9" fillId="3" borderId="0" xfId="0" applyNumberFormat="1" applyFont="1" applyFill="1" applyAlignment="1" applyProtection="1"/>
    <xf numFmtId="0" fontId="78" fillId="3" borderId="0" xfId="0" applyFont="1" applyFill="1" applyProtection="1"/>
    <xf numFmtId="6" fontId="9" fillId="3" borderId="0" xfId="0" applyNumberFormat="1" applyFont="1" applyFill="1" applyAlignment="1" applyProtection="1">
      <alignment horizontal="left"/>
    </xf>
    <xf numFmtId="0" fontId="9" fillId="3" borderId="0" xfId="0" quotePrefix="1" applyFont="1" applyFill="1" applyProtection="1"/>
    <xf numFmtId="198" fontId="9" fillId="0" borderId="1" xfId="0" applyNumberFormat="1" applyFont="1" applyFill="1" applyBorder="1" applyProtection="1">
      <protection locked="0"/>
    </xf>
    <xf numFmtId="169" fontId="9" fillId="3" borderId="0" xfId="31" applyNumberFormat="1" applyFont="1" applyFill="1" applyAlignment="1" applyProtection="1">
      <alignment horizontal="center"/>
    </xf>
    <xf numFmtId="3" fontId="9" fillId="3" borderId="1" xfId="0" applyNumberFormat="1" applyFont="1" applyFill="1" applyBorder="1" applyProtection="1">
      <protection locked="0"/>
    </xf>
    <xf numFmtId="3" fontId="9" fillId="3" borderId="0" xfId="0" applyNumberFormat="1" applyFont="1" applyFill="1" applyBorder="1" applyProtection="1">
      <protection locked="0"/>
    </xf>
    <xf numFmtId="37" fontId="16" fillId="3" borderId="1" xfId="0" applyNumberFormat="1" applyFont="1" applyFill="1" applyBorder="1" applyAlignment="1" applyProtection="1">
      <alignment horizontal="right"/>
    </xf>
    <xf numFmtId="37" fontId="16" fillId="3" borderId="1" xfId="0" applyNumberFormat="1" applyFont="1" applyFill="1" applyBorder="1" applyAlignment="1" applyProtection="1">
      <alignment horizontal="right" vertical="top"/>
    </xf>
    <xf numFmtId="39" fontId="16" fillId="3" borderId="0" xfId="0" applyNumberFormat="1" applyFont="1" applyFill="1" applyBorder="1" applyAlignment="1" applyProtection="1">
      <alignment horizontal="right" vertical="top"/>
    </xf>
    <xf numFmtId="3" fontId="16" fillId="3" borderId="1" xfId="0" applyNumberFormat="1" applyFont="1" applyFill="1" applyBorder="1" applyAlignment="1" applyProtection="1">
      <alignment horizontal="right"/>
    </xf>
    <xf numFmtId="2" fontId="9" fillId="3" borderId="4" xfId="28" applyNumberFormat="1" applyFont="1" applyFill="1" applyBorder="1" applyAlignment="1" applyProtection="1">
      <alignment horizontal="left"/>
    </xf>
    <xf numFmtId="2" fontId="9" fillId="3" borderId="0" xfId="28" applyNumberFormat="1" applyFont="1" applyFill="1" applyAlignment="1" applyProtection="1">
      <alignment horizontal="left"/>
    </xf>
    <xf numFmtId="4" fontId="9" fillId="3" borderId="0" xfId="28" applyNumberFormat="1" applyFont="1" applyFill="1" applyProtection="1"/>
    <xf numFmtId="166" fontId="9" fillId="3" borderId="0" xfId="37" applyFont="1" applyFill="1" applyBorder="1" applyProtection="1"/>
    <xf numFmtId="173" fontId="78" fillId="3" borderId="0" xfId="0" applyNumberFormat="1" applyFont="1" applyFill="1" applyProtection="1"/>
    <xf numFmtId="173" fontId="9" fillId="3" borderId="0" xfId="0" applyNumberFormat="1" applyFont="1" applyFill="1" applyAlignment="1" applyProtection="1">
      <alignment horizontal="center"/>
    </xf>
    <xf numFmtId="3" fontId="9" fillId="0" borderId="1" xfId="28" applyNumberFormat="1" applyFont="1" applyFill="1" applyBorder="1" applyProtection="1">
      <protection locked="0"/>
    </xf>
    <xf numFmtId="3" fontId="9" fillId="3" borderId="1" xfId="28" applyNumberFormat="1" applyFont="1" applyFill="1" applyBorder="1" applyProtection="1">
      <protection locked="0"/>
    </xf>
    <xf numFmtId="3" fontId="9" fillId="3" borderId="0" xfId="28" applyNumberFormat="1" applyFont="1" applyFill="1" applyBorder="1" applyProtection="1">
      <protection locked="0"/>
    </xf>
    <xf numFmtId="3" fontId="9" fillId="3" borderId="1" xfId="37" applyNumberFormat="1" applyFont="1" applyFill="1" applyBorder="1" applyProtection="1"/>
    <xf numFmtId="37" fontId="9" fillId="3" borderId="0" xfId="28" applyNumberFormat="1" applyFont="1" applyFill="1" applyBorder="1" applyAlignment="1" applyProtection="1">
      <alignment horizontal="right"/>
    </xf>
    <xf numFmtId="0" fontId="9" fillId="3" borderId="1" xfId="0" applyFont="1" applyFill="1" applyBorder="1" applyAlignment="1" applyProtection="1">
      <alignment horizontal="center" vertical="center"/>
    </xf>
    <xf numFmtId="169" fontId="9" fillId="3" borderId="0" xfId="28" applyNumberFormat="1" applyFont="1" applyFill="1" applyAlignment="1" applyProtection="1">
      <alignment horizontal="center"/>
    </xf>
    <xf numFmtId="0" fontId="16" fillId="3" borderId="1" xfId="0" applyFont="1" applyFill="1" applyBorder="1" applyAlignment="1" applyProtection="1">
      <alignment horizontal="center" vertical="center" wrapText="1"/>
    </xf>
    <xf numFmtId="49" fontId="16" fillId="3" borderId="0" xfId="0" applyNumberFormat="1" applyFont="1" applyFill="1" applyBorder="1" applyProtection="1"/>
    <xf numFmtId="3" fontId="9" fillId="4" borderId="1" xfId="0" applyNumberFormat="1" applyFont="1" applyFill="1" applyBorder="1" applyProtection="1">
      <protection locked="0"/>
    </xf>
    <xf numFmtId="3" fontId="9" fillId="14" borderId="1" xfId="0" applyNumberFormat="1" applyFont="1" applyFill="1" applyBorder="1" applyProtection="1"/>
    <xf numFmtId="0" fontId="9" fillId="3" borderId="0" xfId="0" applyFont="1" applyFill="1" applyBorder="1" applyAlignment="1" applyProtection="1">
      <alignment wrapText="1"/>
    </xf>
    <xf numFmtId="38" fontId="9" fillId="3" borderId="1" xfId="28" applyNumberFormat="1" applyFont="1" applyFill="1" applyBorder="1" applyProtection="1"/>
    <xf numFmtId="38" fontId="9" fillId="3" borderId="0" xfId="0" applyNumberFormat="1" applyFont="1" applyFill="1" applyBorder="1" applyAlignment="1" applyProtection="1"/>
    <xf numFmtId="37" fontId="9" fillId="3" borderId="0" xfId="0" applyNumberFormat="1" applyFont="1" applyFill="1" applyBorder="1" applyAlignment="1" applyProtection="1">
      <alignment vertical="top"/>
    </xf>
    <xf numFmtId="0" fontId="16" fillId="3" borderId="0" xfId="0" applyNumberFormat="1" applyFont="1" applyFill="1" applyBorder="1" applyAlignment="1" applyProtection="1">
      <alignment horizontal="left" vertical="top"/>
    </xf>
    <xf numFmtId="37" fontId="9" fillId="3" borderId="0" xfId="0" applyNumberFormat="1" applyFont="1" applyFill="1" applyBorder="1" applyAlignment="1" applyProtection="1"/>
    <xf numFmtId="175" fontId="9" fillId="3" borderId="0" xfId="0" applyNumberFormat="1" applyFont="1" applyFill="1" applyAlignment="1" applyProtection="1">
      <alignment horizontal="left"/>
    </xf>
    <xf numFmtId="38" fontId="9" fillId="3" borderId="1" xfId="0" applyNumberFormat="1" applyFont="1" applyFill="1" applyBorder="1" applyAlignment="1" applyProtection="1"/>
    <xf numFmtId="0" fontId="83" fillId="3" borderId="0" xfId="0" applyFont="1" applyFill="1" applyAlignment="1" applyProtection="1">
      <alignment horizontal="left"/>
    </xf>
    <xf numFmtId="0" fontId="83" fillId="3" borderId="0" xfId="0" applyFont="1" applyFill="1" applyBorder="1" applyAlignment="1" applyProtection="1">
      <alignment horizontal="left"/>
    </xf>
    <xf numFmtId="0" fontId="83" fillId="3" borderId="0" xfId="0" applyFont="1" applyFill="1" applyBorder="1" applyAlignment="1" applyProtection="1"/>
    <xf numFmtId="0" fontId="87" fillId="3" borderId="0" xfId="0" applyFont="1" applyFill="1" applyProtection="1"/>
    <xf numFmtId="3" fontId="87" fillId="3" borderId="0" xfId="0" applyNumberFormat="1" applyFont="1" applyFill="1" applyBorder="1" applyAlignment="1" applyProtection="1"/>
    <xf numFmtId="0" fontId="87" fillId="3" borderId="0" xfId="0" applyFont="1" applyFill="1" applyBorder="1" applyAlignment="1" applyProtection="1">
      <alignment horizontal="center"/>
    </xf>
    <xf numFmtId="38" fontId="87" fillId="14" borderId="1" xfId="0" applyNumberFormat="1" applyFont="1" applyFill="1" applyBorder="1" applyAlignment="1" applyProtection="1"/>
    <xf numFmtId="0" fontId="87" fillId="3" borderId="0" xfId="0" applyFont="1" applyFill="1" applyBorder="1" applyAlignment="1" applyProtection="1"/>
    <xf numFmtId="175" fontId="83" fillId="3" borderId="0" xfId="0" applyNumberFormat="1" applyFont="1" applyFill="1" applyAlignment="1" applyProtection="1">
      <alignment horizontal="left"/>
    </xf>
    <xf numFmtId="38" fontId="9" fillId="4" borderId="1" xfId="0" applyNumberFormat="1" applyFont="1" applyFill="1" applyBorder="1" applyAlignment="1" applyProtection="1">
      <protection locked="0"/>
    </xf>
    <xf numFmtId="175" fontId="16" fillId="3" borderId="0" xfId="0" applyNumberFormat="1" applyFont="1" applyFill="1" applyBorder="1" applyAlignment="1" applyProtection="1">
      <alignment horizontal="left"/>
    </xf>
    <xf numFmtId="0" fontId="16" fillId="3" borderId="1" xfId="0" applyFont="1" applyFill="1" applyBorder="1" applyAlignment="1" applyProtection="1"/>
    <xf numFmtId="0" fontId="16" fillId="3" borderId="0" xfId="0" quotePrefix="1" applyFont="1" applyFill="1" applyBorder="1" applyAlignment="1" applyProtection="1"/>
    <xf numFmtId="0" fontId="9" fillId="4" borderId="1" xfId="0" applyFont="1" applyFill="1" applyBorder="1" applyAlignment="1" applyProtection="1">
      <protection locked="0"/>
    </xf>
    <xf numFmtId="3" fontId="9" fillId="4" borderId="1" xfId="0" applyNumberFormat="1" applyFont="1" applyFill="1" applyBorder="1" applyAlignment="1" applyProtection="1">
      <protection locked="0"/>
    </xf>
    <xf numFmtId="3" fontId="9" fillId="14" borderId="1" xfId="0" applyNumberFormat="1" applyFont="1" applyFill="1" applyBorder="1" applyAlignment="1" applyProtection="1"/>
    <xf numFmtId="0" fontId="35" fillId="3" borderId="0" xfId="0" applyFont="1" applyFill="1" applyBorder="1" applyAlignment="1" applyProtection="1">
      <alignment horizontal="left"/>
    </xf>
    <xf numFmtId="0" fontId="16" fillId="3" borderId="0" xfId="0" quotePrefix="1" applyFont="1" applyFill="1" applyBorder="1" applyAlignment="1" applyProtection="1">
      <alignment horizontal="left"/>
    </xf>
    <xf numFmtId="174" fontId="16" fillId="2" borderId="1" xfId="35" applyFont="1" applyProtection="1">
      <alignment horizontal="right" vertical="top"/>
    </xf>
    <xf numFmtId="38" fontId="16" fillId="3" borderId="1" xfId="0" applyNumberFormat="1" applyFont="1" applyFill="1" applyBorder="1" applyAlignment="1" applyProtection="1"/>
    <xf numFmtId="39" fontId="9" fillId="3" borderId="12" xfId="0" applyNumberFormat="1" applyFont="1" applyFill="1" applyBorder="1" applyProtection="1"/>
    <xf numFmtId="169" fontId="9" fillId="3" borderId="4" xfId="28" applyNumberFormat="1" applyFont="1" applyFill="1" applyBorder="1" applyProtection="1"/>
    <xf numFmtId="169" fontId="79" fillId="3" borderId="0" xfId="28" applyNumberFormat="1" applyFont="1" applyFill="1" applyProtection="1"/>
    <xf numFmtId="0" fontId="62" fillId="3" borderId="0" xfId="0" applyFont="1" applyFill="1"/>
    <xf numFmtId="195" fontId="9" fillId="3" borderId="0" xfId="28" applyNumberFormat="1" applyFont="1" applyFill="1" applyProtection="1"/>
    <xf numFmtId="169" fontId="9" fillId="3" borderId="0" xfId="45" applyNumberFormat="1" applyFont="1" applyFill="1" applyBorder="1" applyAlignment="1" applyProtection="1">
      <alignment horizontal="center"/>
      <protection locked="0"/>
    </xf>
    <xf numFmtId="177" fontId="9" fillId="3" borderId="0" xfId="0" applyNumberFormat="1" applyFont="1" applyFill="1" applyProtection="1"/>
    <xf numFmtId="0" fontId="16" fillId="3" borderId="0" xfId="60" applyFont="1" applyFill="1" applyBorder="1" applyProtection="1">
      <alignment horizontal="left"/>
    </xf>
    <xf numFmtId="0" fontId="16" fillId="3" borderId="0" xfId="0" quotePrefix="1" applyFont="1" applyFill="1" applyBorder="1" applyAlignment="1" applyProtection="1">
      <alignment horizontal="right"/>
    </xf>
    <xf numFmtId="171" fontId="9" fillId="3" borderId="0" xfId="0" applyNumberFormat="1" applyFont="1" applyFill="1" applyBorder="1" applyAlignment="1" applyProtection="1">
      <alignment horizontal="center"/>
    </xf>
    <xf numFmtId="2" fontId="9" fillId="3" borderId="0" xfId="0" applyNumberFormat="1" applyFont="1" applyFill="1" applyBorder="1" applyProtection="1"/>
    <xf numFmtId="0" fontId="29" fillId="3" borderId="0" xfId="0" applyFont="1" applyFill="1" applyBorder="1" applyAlignment="1" applyProtection="1">
      <alignment horizontal="centerContinuous" wrapText="1"/>
    </xf>
    <xf numFmtId="171" fontId="9" fillId="3" borderId="0" xfId="28" applyNumberFormat="1" applyFont="1" applyFill="1" applyBorder="1" applyAlignment="1" applyProtection="1">
      <alignment horizontal="right" wrapText="1"/>
    </xf>
    <xf numFmtId="169" fontId="9" fillId="3" borderId="0" xfId="28" applyNumberFormat="1" applyFont="1" applyFill="1" applyBorder="1" applyAlignment="1" applyProtection="1">
      <alignment horizontal="center" vertical="center" wrapText="1"/>
    </xf>
    <xf numFmtId="2" fontId="16" fillId="3" borderId="0" xfId="0" applyNumberFormat="1" applyFont="1" applyFill="1" applyBorder="1" applyProtection="1"/>
    <xf numFmtId="0" fontId="16" fillId="3" borderId="0" xfId="0" applyNumberFormat="1" applyFont="1" applyFill="1" applyBorder="1" applyAlignment="1" applyProtection="1">
      <alignment horizontal="left"/>
    </xf>
    <xf numFmtId="0" fontId="16" fillId="3" borderId="0" xfId="0" applyNumberFormat="1" applyFont="1" applyFill="1" applyBorder="1" applyAlignment="1" applyProtection="1">
      <alignment horizontal="right"/>
    </xf>
    <xf numFmtId="4" fontId="9" fillId="0" borderId="1" xfId="28" applyNumberFormat="1" applyFont="1" applyFill="1" applyBorder="1" applyProtection="1">
      <protection locked="0"/>
    </xf>
    <xf numFmtId="194" fontId="9" fillId="3" borderId="1" xfId="28" applyNumberFormat="1" applyFont="1" applyFill="1" applyBorder="1" applyProtection="1"/>
    <xf numFmtId="0" fontId="9" fillId="3" borderId="1" xfId="28" applyNumberFormat="1" applyFont="1" applyFill="1" applyBorder="1" applyProtection="1"/>
    <xf numFmtId="167" fontId="16" fillId="3" borderId="0" xfId="28" applyFont="1" applyFill="1" applyBorder="1" applyProtection="1"/>
    <xf numFmtId="0" fontId="16" fillId="3" borderId="0" xfId="0" quotePrefix="1" applyFont="1" applyFill="1" applyBorder="1" applyProtection="1"/>
    <xf numFmtId="2" fontId="16" fillId="3" borderId="0" xfId="0" quotePrefix="1" applyNumberFormat="1" applyFont="1" applyFill="1" applyBorder="1" applyAlignment="1" applyProtection="1">
      <alignment horizontal="left"/>
    </xf>
    <xf numFmtId="2" fontId="16" fillId="3" borderId="0" xfId="0" quotePrefix="1" applyNumberFormat="1" applyFont="1" applyFill="1" applyBorder="1" applyAlignment="1" applyProtection="1">
      <alignment horizontal="right"/>
    </xf>
    <xf numFmtId="0" fontId="24" fillId="3" borderId="0" xfId="0" applyFont="1" applyFill="1" applyProtection="1"/>
    <xf numFmtId="0" fontId="81" fillId="3" borderId="0" xfId="60" applyFont="1" applyProtection="1">
      <alignment horizontal="left"/>
    </xf>
    <xf numFmtId="0" fontId="85" fillId="3" borderId="0" xfId="0" applyFont="1" applyFill="1" applyProtection="1"/>
    <xf numFmtId="4" fontId="9" fillId="3" borderId="0" xfId="0" applyNumberFormat="1" applyFont="1" applyFill="1" applyAlignment="1" applyProtection="1">
      <alignment horizontal="center"/>
    </xf>
    <xf numFmtId="177" fontId="16" fillId="3" borderId="1" xfId="28" applyNumberFormat="1" applyFont="1" applyFill="1" applyBorder="1" applyProtection="1"/>
    <xf numFmtId="0" fontId="16" fillId="3" borderId="0" xfId="59" applyFont="1" applyFill="1" applyProtection="1">
      <alignment horizontal="right"/>
    </xf>
    <xf numFmtId="0" fontId="9" fillId="3" borderId="2" xfId="0" applyNumberFormat="1" applyFont="1" applyFill="1" applyBorder="1" applyProtection="1"/>
    <xf numFmtId="0" fontId="16" fillId="3" borderId="0" xfId="40" applyFont="1" applyFill="1" applyProtection="1"/>
    <xf numFmtId="39" fontId="9" fillId="3" borderId="1" xfId="0" applyNumberFormat="1" applyFont="1" applyFill="1" applyBorder="1" applyAlignment="1" applyProtection="1">
      <alignment horizontal="right"/>
    </xf>
    <xf numFmtId="0" fontId="35" fillId="3" borderId="0" xfId="0" applyFont="1" applyFill="1" applyAlignment="1" applyProtection="1">
      <alignment horizontal="left" indent="1"/>
    </xf>
    <xf numFmtId="39" fontId="16" fillId="3" borderId="8" xfId="0" applyNumberFormat="1" applyFont="1" applyFill="1" applyBorder="1" applyAlignment="1" applyProtection="1">
      <alignment horizontal="right"/>
    </xf>
    <xf numFmtId="0" fontId="35" fillId="3" borderId="0" xfId="0" applyFont="1" applyFill="1" applyBorder="1" applyAlignment="1" applyProtection="1"/>
    <xf numFmtId="174" fontId="29" fillId="3" borderId="0" xfId="35" applyFont="1" applyFill="1" applyBorder="1" applyProtection="1">
      <alignment horizontal="right" vertical="top"/>
    </xf>
    <xf numFmtId="39" fontId="35" fillId="3" borderId="0" xfId="0" applyNumberFormat="1" applyFont="1" applyFill="1" applyBorder="1" applyAlignment="1" applyProtection="1">
      <alignment wrapText="1"/>
    </xf>
    <xf numFmtId="37" fontId="35" fillId="3" borderId="0" xfId="0" applyNumberFormat="1" applyFont="1" applyFill="1" applyBorder="1" applyAlignment="1" applyProtection="1">
      <alignment wrapText="1"/>
    </xf>
    <xf numFmtId="37" fontId="9" fillId="3" borderId="0" xfId="0" applyNumberFormat="1" applyFont="1" applyFill="1" applyBorder="1" applyAlignment="1" applyProtection="1">
      <alignment wrapText="1"/>
    </xf>
    <xf numFmtId="0" fontId="24" fillId="3" borderId="0" xfId="0" applyFont="1" applyFill="1" applyAlignment="1" applyProtection="1">
      <alignment wrapText="1"/>
    </xf>
    <xf numFmtId="0" fontId="6" fillId="3" borderId="0" xfId="40" applyFont="1" applyFill="1" applyProtection="1"/>
    <xf numFmtId="0" fontId="16" fillId="3" borderId="0" xfId="59" applyFont="1" applyFill="1" applyBorder="1" applyProtection="1">
      <alignment horizontal="right"/>
    </xf>
    <xf numFmtId="0" fontId="16" fillId="3" borderId="0" xfId="47" applyFont="1" applyFill="1" applyBorder="1" applyProtection="1">
      <alignment horizontal="left" vertical="top"/>
    </xf>
    <xf numFmtId="0" fontId="29" fillId="3" borderId="0" xfId="0" applyFont="1" applyFill="1" applyAlignment="1" applyProtection="1">
      <alignment vertical="top"/>
    </xf>
    <xf numFmtId="0" fontId="9" fillId="3" borderId="7" xfId="0" applyFont="1" applyFill="1" applyBorder="1" applyAlignment="1" applyProtection="1">
      <alignment horizontal="left"/>
    </xf>
    <xf numFmtId="0" fontId="9" fillId="3" borderId="7" xfId="0" applyFont="1" applyFill="1" applyBorder="1" applyAlignment="1" applyProtection="1">
      <alignment horizontal="center" wrapText="1"/>
    </xf>
    <xf numFmtId="0" fontId="9" fillId="3" borderId="6" xfId="0" applyFont="1" applyFill="1" applyBorder="1" applyAlignment="1" applyProtection="1">
      <alignment horizontal="centerContinuous"/>
    </xf>
    <xf numFmtId="0" fontId="9" fillId="3" borderId="11" xfId="0" applyFont="1" applyFill="1" applyBorder="1" applyAlignment="1" applyProtection="1">
      <alignment horizontal="centerContinuous"/>
    </xf>
    <xf numFmtId="0" fontId="9" fillId="3" borderId="19" xfId="0" applyFont="1" applyFill="1" applyBorder="1" applyAlignment="1" applyProtection="1">
      <alignment horizontal="centerContinuous"/>
    </xf>
    <xf numFmtId="0" fontId="9" fillId="3" borderId="10" xfId="0" applyFont="1" applyFill="1" applyBorder="1" applyAlignment="1" applyProtection="1">
      <alignment horizontal="center"/>
    </xf>
    <xf numFmtId="0" fontId="9" fillId="3" borderId="31" xfId="0" applyFont="1" applyFill="1" applyBorder="1" applyAlignment="1" applyProtection="1">
      <alignment horizontal="center"/>
    </xf>
    <xf numFmtId="0" fontId="9" fillId="3" borderId="6" xfId="0" applyFont="1" applyFill="1" applyBorder="1" applyAlignment="1" applyProtection="1"/>
    <xf numFmtId="0" fontId="9" fillId="3" borderId="19" xfId="0" applyFont="1" applyFill="1" applyBorder="1" applyAlignment="1" applyProtection="1"/>
    <xf numFmtId="39" fontId="9" fillId="4" borderId="1" xfId="45" applyNumberFormat="1" applyFont="1" applyBorder="1" applyAlignment="1" applyProtection="1">
      <alignment horizontal="right"/>
      <protection locked="0"/>
    </xf>
    <xf numFmtId="3" fontId="9" fillId="4" borderId="1" xfId="45" applyNumberFormat="1" applyFont="1" applyBorder="1" applyAlignment="1" applyProtection="1">
      <alignment horizontal="right"/>
      <protection locked="0"/>
    </xf>
    <xf numFmtId="37" fontId="9" fillId="3" borderId="1" xfId="0" applyNumberFormat="1" applyFont="1" applyFill="1" applyBorder="1" applyAlignment="1" applyProtection="1">
      <alignment wrapText="1"/>
    </xf>
    <xf numFmtId="0" fontId="9" fillId="3" borderId="24" xfId="0" applyFont="1" applyFill="1" applyBorder="1" applyAlignment="1" applyProtection="1"/>
    <xf numFmtId="0" fontId="9" fillId="3" borderId="25" xfId="0" applyFont="1" applyFill="1" applyBorder="1" applyAlignment="1" applyProtection="1"/>
    <xf numFmtId="0" fontId="9" fillId="3" borderId="18" xfId="0" applyFont="1" applyFill="1" applyBorder="1" applyAlignment="1" applyProtection="1"/>
    <xf numFmtId="0" fontId="9" fillId="3" borderId="23" xfId="0" applyFont="1" applyFill="1" applyBorder="1" applyAlignment="1" applyProtection="1"/>
    <xf numFmtId="39" fontId="9" fillId="3" borderId="1" xfId="0" applyNumberFormat="1" applyFont="1" applyFill="1" applyBorder="1" applyAlignment="1" applyProtection="1">
      <alignment wrapText="1"/>
    </xf>
    <xf numFmtId="39" fontId="9" fillId="3" borderId="0" xfId="45" applyNumberFormat="1" applyFont="1" applyFill="1" applyBorder="1" applyAlignment="1" applyProtection="1">
      <alignment horizontal="right"/>
    </xf>
    <xf numFmtId="39" fontId="9" fillId="3" borderId="1" xfId="45" applyNumberFormat="1" applyFont="1" applyFill="1" applyBorder="1" applyAlignment="1" applyProtection="1">
      <alignment horizontal="right"/>
    </xf>
    <xf numFmtId="3" fontId="9" fillId="4" borderId="1" xfId="0" applyNumberFormat="1" applyFont="1" applyFill="1" applyBorder="1" applyAlignment="1" applyProtection="1">
      <alignment wrapText="1"/>
      <protection locked="0"/>
    </xf>
    <xf numFmtId="39" fontId="9" fillId="3" borderId="0" xfId="0" applyNumberFormat="1" applyFont="1" applyFill="1" applyBorder="1" applyAlignment="1" applyProtection="1">
      <alignment wrapText="1"/>
    </xf>
    <xf numFmtId="39" fontId="9" fillId="3" borderId="9" xfId="0" applyNumberFormat="1" applyFont="1" applyFill="1" applyBorder="1" applyAlignment="1" applyProtection="1">
      <alignment wrapText="1"/>
    </xf>
    <xf numFmtId="3" fontId="9" fillId="3" borderId="0" xfId="0" applyNumberFormat="1" applyFont="1" applyFill="1" applyProtection="1"/>
    <xf numFmtId="0" fontId="16" fillId="3" borderId="0" xfId="0" applyFont="1" applyFill="1" applyAlignment="1" applyProtection="1">
      <alignment horizontal="right" vertical="top"/>
    </xf>
    <xf numFmtId="0" fontId="9" fillId="3" borderId="0" xfId="0" applyFont="1" applyFill="1" applyBorder="1" applyAlignment="1" applyProtection="1">
      <alignment horizontal="left" indent="1"/>
    </xf>
    <xf numFmtId="0" fontId="9" fillId="3" borderId="8" xfId="0" applyFont="1" applyFill="1" applyBorder="1" applyAlignment="1" applyProtection="1">
      <alignment horizontal="center" wrapText="1"/>
    </xf>
    <xf numFmtId="0" fontId="9" fillId="0" borderId="0" xfId="0" applyNumberFormat="1" applyFont="1" applyFill="1" applyProtection="1"/>
    <xf numFmtId="0" fontId="35" fillId="0" borderId="0" xfId="0" applyFont="1" applyProtection="1"/>
    <xf numFmtId="0" fontId="9" fillId="3" borderId="46" xfId="0" applyFont="1" applyFill="1" applyBorder="1" applyAlignment="1" applyProtection="1">
      <alignment horizontal="center" vertical="center" wrapText="1"/>
    </xf>
    <xf numFmtId="0" fontId="9" fillId="3" borderId="47" xfId="0" applyFont="1" applyFill="1" applyBorder="1" applyAlignment="1" applyProtection="1">
      <alignment horizontal="center" vertical="center" wrapText="1"/>
    </xf>
    <xf numFmtId="0" fontId="16" fillId="3" borderId="8" xfId="0" applyFont="1" applyFill="1" applyBorder="1" applyAlignment="1" applyProtection="1">
      <alignment horizontal="center" vertical="center" wrapText="1"/>
    </xf>
    <xf numFmtId="0" fontId="16" fillId="3" borderId="41" xfId="0" applyFont="1" applyFill="1" applyBorder="1" applyAlignment="1" applyProtection="1">
      <alignment horizontal="center" vertical="center"/>
    </xf>
    <xf numFmtId="0" fontId="16" fillId="3" borderId="43" xfId="0" applyFont="1" applyFill="1" applyBorder="1" applyAlignment="1" applyProtection="1">
      <alignment horizontal="center" vertical="center"/>
    </xf>
    <xf numFmtId="0" fontId="16" fillId="3" borderId="3" xfId="0" applyFont="1" applyFill="1" applyBorder="1" applyAlignment="1" applyProtection="1">
      <alignment horizontal="center" vertical="center"/>
    </xf>
    <xf numFmtId="0" fontId="16" fillId="3" borderId="42" xfId="0" applyFont="1" applyFill="1" applyBorder="1" applyAlignment="1" applyProtection="1">
      <alignment horizontal="center" vertical="center"/>
    </xf>
    <xf numFmtId="0" fontId="16" fillId="3" borderId="48" xfId="0" applyFont="1" applyFill="1" applyBorder="1" applyAlignment="1" applyProtection="1">
      <alignment horizontal="center" vertical="center"/>
    </xf>
    <xf numFmtId="0" fontId="16" fillId="3" borderId="8" xfId="0" applyFont="1" applyFill="1" applyBorder="1" applyAlignment="1" applyProtection="1">
      <alignment horizontal="center" vertical="center"/>
    </xf>
    <xf numFmtId="0" fontId="16" fillId="3" borderId="0" xfId="0" quotePrefix="1" applyFont="1" applyFill="1" applyBorder="1" applyAlignment="1" applyProtection="1">
      <alignment horizontal="center"/>
    </xf>
    <xf numFmtId="0" fontId="9" fillId="0" borderId="49" xfId="0" applyFont="1" applyFill="1" applyBorder="1" applyAlignment="1" applyProtection="1">
      <alignment horizontal="left" vertical="center"/>
      <protection locked="0"/>
    </xf>
    <xf numFmtId="0" fontId="9" fillId="0" borderId="29" xfId="0" applyFont="1" applyFill="1" applyBorder="1" applyAlignment="1" applyProtection="1">
      <alignment horizontal="center" vertical="center"/>
      <protection locked="0"/>
    </xf>
    <xf numFmtId="0" fontId="9" fillId="0" borderId="28" xfId="0" applyFont="1" applyFill="1" applyBorder="1" applyAlignment="1" applyProtection="1">
      <alignment horizontal="center" vertical="center"/>
      <protection locked="0"/>
    </xf>
    <xf numFmtId="4" fontId="9" fillId="3" borderId="50" xfId="0" applyNumberFormat="1" applyFont="1" applyFill="1" applyBorder="1" applyAlignment="1" applyProtection="1">
      <alignment horizontal="right" vertical="center"/>
    </xf>
    <xf numFmtId="0" fontId="9" fillId="0" borderId="1" xfId="0" applyFont="1" applyFill="1" applyBorder="1" applyAlignment="1" applyProtection="1">
      <alignment horizontal="left" vertical="center"/>
      <protection locked="0"/>
    </xf>
    <xf numFmtId="0" fontId="9" fillId="0" borderId="21" xfId="0" applyFont="1" applyFill="1" applyBorder="1" applyAlignment="1" applyProtection="1">
      <alignment horizontal="center" vertical="center"/>
      <protection locked="0"/>
    </xf>
    <xf numFmtId="0" fontId="9" fillId="0" borderId="20" xfId="0" applyFont="1" applyFill="1" applyBorder="1" applyAlignment="1" applyProtection="1">
      <alignment horizontal="center" vertical="center"/>
      <protection locked="0"/>
    </xf>
    <xf numFmtId="3" fontId="9" fillId="3" borderId="0" xfId="0" applyNumberFormat="1" applyFont="1" applyFill="1" applyBorder="1" applyAlignment="1" applyProtection="1">
      <alignment horizontal="center"/>
    </xf>
    <xf numFmtId="0" fontId="9" fillId="0" borderId="22" xfId="0" applyFont="1" applyFill="1" applyBorder="1" applyAlignment="1" applyProtection="1">
      <alignment vertical="center"/>
      <protection locked="0"/>
    </xf>
    <xf numFmtId="0" fontId="9" fillId="0" borderId="21" xfId="0" applyFont="1" applyFill="1" applyBorder="1" applyAlignment="1" applyProtection="1">
      <alignment horizontal="left" vertical="center"/>
      <protection locked="0"/>
    </xf>
    <xf numFmtId="0" fontId="9" fillId="0" borderId="22" xfId="0" applyFont="1" applyFill="1" applyBorder="1" applyAlignment="1" applyProtection="1">
      <alignment horizontal="center" vertical="center"/>
      <protection locked="0"/>
    </xf>
    <xf numFmtId="0" fontId="9" fillId="0" borderId="51" xfId="0" applyFont="1" applyFill="1" applyBorder="1" applyAlignment="1" applyProtection="1">
      <alignment horizontal="center" vertical="center"/>
      <protection locked="0"/>
    </xf>
    <xf numFmtId="0" fontId="9" fillId="0" borderId="52" xfId="0" applyFont="1" applyFill="1" applyBorder="1" applyAlignment="1" applyProtection="1">
      <alignment horizontal="center" vertical="center"/>
      <protection locked="0"/>
    </xf>
    <xf numFmtId="0" fontId="9" fillId="0" borderId="52" xfId="0" applyFont="1" applyFill="1" applyBorder="1" applyAlignment="1" applyProtection="1">
      <alignment horizontal="left" vertical="center"/>
      <protection locked="0"/>
    </xf>
    <xf numFmtId="9" fontId="9" fillId="0" borderId="51" xfId="0" applyNumberFormat="1" applyFont="1" applyFill="1" applyBorder="1" applyAlignment="1" applyProtection="1">
      <alignment horizontal="center" vertical="center"/>
      <protection locked="0"/>
    </xf>
    <xf numFmtId="3" fontId="35" fillId="0" borderId="53" xfId="0" applyNumberFormat="1" applyFont="1" applyFill="1" applyBorder="1" applyAlignment="1" applyProtection="1">
      <alignment horizontal="right" vertical="center"/>
      <protection locked="0"/>
    </xf>
    <xf numFmtId="3" fontId="9" fillId="0" borderId="51" xfId="0" applyNumberFormat="1" applyFont="1" applyFill="1" applyBorder="1" applyAlignment="1" applyProtection="1">
      <alignment horizontal="right" vertical="center"/>
      <protection locked="0"/>
    </xf>
    <xf numFmtId="0" fontId="16" fillId="3" borderId="0" xfId="0" applyFont="1" applyFill="1" applyBorder="1" applyAlignment="1" applyProtection="1">
      <alignment horizontal="left" vertical="center"/>
    </xf>
    <xf numFmtId="3" fontId="9" fillId="3" borderId="44" xfId="0" applyNumberFormat="1" applyFont="1" applyFill="1" applyBorder="1" applyAlignment="1" applyProtection="1">
      <alignment horizontal="right"/>
    </xf>
    <xf numFmtId="3" fontId="9" fillId="3" borderId="8" xfId="0" applyNumberFormat="1" applyFont="1" applyFill="1" applyBorder="1" applyAlignment="1" applyProtection="1">
      <alignment horizontal="right"/>
    </xf>
    <xf numFmtId="0" fontId="16" fillId="3" borderId="5" xfId="28" applyNumberFormat="1" applyFont="1" applyFill="1" applyBorder="1" applyAlignment="1" applyProtection="1">
      <alignment horizontal="right"/>
    </xf>
    <xf numFmtId="0" fontId="16" fillId="3" borderId="0" xfId="28" applyNumberFormat="1" applyFont="1" applyFill="1" applyAlignment="1" applyProtection="1">
      <alignment horizontal="right"/>
    </xf>
    <xf numFmtId="174" fontId="16" fillId="3" borderId="0" xfId="35" applyFont="1" applyFill="1" applyBorder="1" applyProtection="1">
      <alignment horizontal="right" vertical="top"/>
    </xf>
    <xf numFmtId="0" fontId="9" fillId="3" borderId="0" xfId="0" applyFont="1" applyFill="1" applyBorder="1" applyAlignment="1" applyProtection="1">
      <alignment vertical="center"/>
    </xf>
    <xf numFmtId="0" fontId="16" fillId="3" borderId="1" xfId="0" applyFont="1" applyFill="1" applyBorder="1" applyAlignment="1" applyProtection="1">
      <alignment horizontal="center" vertical="center"/>
    </xf>
    <xf numFmtId="169" fontId="16" fillId="3" borderId="1" xfId="28" applyNumberFormat="1" applyFont="1" applyFill="1" applyBorder="1" applyAlignment="1" applyProtection="1">
      <alignment horizontal="center" vertical="center"/>
    </xf>
    <xf numFmtId="169" fontId="9" fillId="3" borderId="0" xfId="28" applyNumberFormat="1" applyFont="1" applyFill="1" applyBorder="1" applyAlignment="1" applyProtection="1">
      <alignment vertical="center"/>
    </xf>
    <xf numFmtId="174" fontId="16" fillId="3" borderId="0" xfId="35" applyFont="1" applyFill="1" applyBorder="1" applyAlignment="1" applyProtection="1">
      <alignment horizontal="right" vertical="center"/>
    </xf>
    <xf numFmtId="0" fontId="16" fillId="3" borderId="0" xfId="0" applyFont="1" applyFill="1" applyBorder="1" applyAlignment="1" applyProtection="1">
      <alignment vertical="center"/>
    </xf>
    <xf numFmtId="0" fontId="9" fillId="0" borderId="1" xfId="0" applyFont="1" applyFill="1" applyBorder="1" applyAlignment="1" applyProtection="1">
      <alignment vertical="center"/>
      <protection locked="0"/>
    </xf>
    <xf numFmtId="169" fontId="9" fillId="0" borderId="1" xfId="28" applyNumberFormat="1" applyFont="1" applyFill="1" applyBorder="1" applyAlignment="1" applyProtection="1">
      <alignment vertical="center"/>
      <protection locked="0"/>
    </xf>
    <xf numFmtId="0" fontId="9" fillId="0" borderId="1" xfId="0" applyFont="1" applyFill="1" applyBorder="1" applyAlignment="1" applyProtection="1">
      <alignment horizontal="center" vertical="center"/>
      <protection locked="0"/>
    </xf>
    <xf numFmtId="169" fontId="9" fillId="0" borderId="1" xfId="28" applyNumberFormat="1" applyFont="1" applyFill="1" applyBorder="1" applyAlignment="1" applyProtection="1">
      <alignment horizontal="center" vertical="center"/>
      <protection locked="0"/>
    </xf>
    <xf numFmtId="0" fontId="9" fillId="3" borderId="0" xfId="0" applyFont="1" applyFill="1" applyBorder="1" applyAlignment="1" applyProtection="1">
      <alignment horizontal="center" vertical="center"/>
    </xf>
    <xf numFmtId="3" fontId="9" fillId="0" borderId="1" xfId="0" applyNumberFormat="1" applyFont="1" applyFill="1" applyBorder="1" applyAlignment="1" applyProtection="1">
      <alignment vertical="center"/>
      <protection locked="0"/>
    </xf>
    <xf numFmtId="0" fontId="16" fillId="3" borderId="0" xfId="0" quotePrefix="1" applyFont="1" applyFill="1" applyBorder="1" applyAlignment="1" applyProtection="1">
      <alignment horizontal="left" vertical="center"/>
    </xf>
    <xf numFmtId="3" fontId="16" fillId="3" borderId="1" xfId="0" applyNumberFormat="1" applyFont="1" applyFill="1" applyBorder="1" applyAlignment="1" applyProtection="1">
      <alignment vertical="center"/>
    </xf>
    <xf numFmtId="3" fontId="16" fillId="3" borderId="44" xfId="0" applyNumberFormat="1" applyFont="1" applyFill="1" applyBorder="1" applyAlignment="1" applyProtection="1">
      <alignment horizontal="right"/>
    </xf>
    <xf numFmtId="3" fontId="16" fillId="3" borderId="8" xfId="0" applyNumberFormat="1" applyFont="1" applyFill="1" applyBorder="1" applyAlignment="1" applyProtection="1">
      <alignment horizontal="right"/>
    </xf>
    <xf numFmtId="0" fontId="16" fillId="3" borderId="0" xfId="0" applyFont="1" applyFill="1" applyAlignment="1" applyProtection="1">
      <alignment horizontal="left" indent="1"/>
    </xf>
    <xf numFmtId="0" fontId="9" fillId="0" borderId="1" xfId="0" applyFont="1" applyBorder="1" applyAlignment="1" applyProtection="1">
      <alignment wrapText="1"/>
      <protection locked="0"/>
    </xf>
    <xf numFmtId="0" fontId="9" fillId="0" borderId="1" xfId="0" applyFont="1" applyBorder="1" applyAlignment="1" applyProtection="1">
      <alignment horizontal="center" wrapText="1"/>
      <protection locked="0"/>
    </xf>
    <xf numFmtId="0" fontId="9" fillId="0" borderId="1" xfId="0" applyFont="1" applyBorder="1" applyAlignment="1" applyProtection="1">
      <alignment horizontal="left" wrapText="1"/>
      <protection locked="0"/>
    </xf>
    <xf numFmtId="0" fontId="9" fillId="3" borderId="16" xfId="0" applyFont="1" applyFill="1" applyBorder="1" applyAlignment="1" applyProtection="1">
      <alignment wrapText="1"/>
    </xf>
    <xf numFmtId="0" fontId="16" fillId="3" borderId="16" xfId="0" applyFont="1" applyFill="1" applyBorder="1" applyAlignment="1" applyProtection="1">
      <alignment horizontal="right" wrapText="1"/>
    </xf>
    <xf numFmtId="3" fontId="16" fillId="3" borderId="1" xfId="0" applyNumberFormat="1" applyFont="1" applyFill="1" applyBorder="1" applyAlignment="1" applyProtection="1">
      <alignment wrapText="1"/>
    </xf>
    <xf numFmtId="0" fontId="9" fillId="3" borderId="3" xfId="0" applyFont="1" applyFill="1" applyBorder="1"/>
    <xf numFmtId="2" fontId="9" fillId="3" borderId="3" xfId="28" applyNumberFormat="1" applyFont="1" applyFill="1" applyBorder="1" applyProtection="1"/>
    <xf numFmtId="2" fontId="9" fillId="3" borderId="0" xfId="28" applyNumberFormat="1" applyFont="1" applyFill="1" applyAlignment="1" applyProtection="1">
      <alignment horizontal="center"/>
    </xf>
    <xf numFmtId="0" fontId="9" fillId="3" borderId="0" xfId="0" applyFont="1" applyFill="1" applyAlignment="1" applyProtection="1">
      <alignment horizontal="left" indent="5"/>
    </xf>
    <xf numFmtId="0" fontId="9" fillId="4" borderId="1" xfId="45" applyNumberFormat="1" applyFont="1" applyFill="1" applyBorder="1" applyAlignment="1" applyProtection="1">
      <alignment horizontal="center" vertical="center"/>
      <protection locked="0"/>
    </xf>
    <xf numFmtId="169" fontId="9" fillId="3" borderId="0" xfId="28" applyNumberFormat="1" applyFont="1" applyFill="1" applyAlignment="1" applyProtection="1">
      <alignment horizontal="left"/>
    </xf>
    <xf numFmtId="169" fontId="9" fillId="3" borderId="0" xfId="28" applyNumberFormat="1" applyFont="1" applyFill="1" applyAlignment="1" applyProtection="1">
      <alignment horizontal="left" indent="5"/>
    </xf>
    <xf numFmtId="0" fontId="9" fillId="3" borderId="6" xfId="0" applyFont="1" applyFill="1" applyBorder="1" applyProtection="1"/>
    <xf numFmtId="169" fontId="86" fillId="3" borderId="0" xfId="28" applyNumberFormat="1" applyFont="1" applyFill="1" applyAlignment="1" applyProtection="1">
      <alignment horizontal="centerContinuous" wrapText="1"/>
    </xf>
    <xf numFmtId="0" fontId="63" fillId="3" borderId="19" xfId="0" applyFont="1" applyFill="1" applyBorder="1" applyAlignment="1" applyProtection="1">
      <alignment horizontal="centerContinuous"/>
    </xf>
    <xf numFmtId="2" fontId="9" fillId="3" borderId="1" xfId="28" applyNumberFormat="1" applyFont="1" applyFill="1" applyBorder="1" applyAlignment="1" applyProtection="1">
      <alignment horizontal="center" wrapText="1"/>
    </xf>
    <xf numFmtId="37" fontId="9" fillId="0" borderId="1" xfId="28" applyNumberFormat="1" applyFont="1" applyFill="1" applyBorder="1" applyProtection="1">
      <protection locked="0"/>
    </xf>
    <xf numFmtId="0" fontId="9" fillId="3" borderId="1" xfId="0" applyFont="1" applyFill="1" applyBorder="1" applyAlignment="1" applyProtection="1">
      <alignment horizontal="center" wrapText="1"/>
    </xf>
    <xf numFmtId="0" fontId="9" fillId="3" borderId="11" xfId="0" applyFont="1" applyFill="1" applyBorder="1" applyProtection="1"/>
    <xf numFmtId="169" fontId="86" fillId="3" borderId="11" xfId="28" applyNumberFormat="1" applyFont="1" applyFill="1" applyBorder="1" applyAlignment="1" applyProtection="1">
      <alignment horizontal="centerContinuous" wrapText="1"/>
    </xf>
    <xf numFmtId="169" fontId="86" fillId="3" borderId="11" xfId="28" applyNumberFormat="1" applyFont="1" applyFill="1" applyBorder="1" applyAlignment="1" applyProtection="1">
      <alignment horizontal="centerContinuous"/>
    </xf>
    <xf numFmtId="37" fontId="63" fillId="3" borderId="11" xfId="0" applyNumberFormat="1" applyFont="1" applyFill="1" applyBorder="1" applyAlignment="1" applyProtection="1">
      <alignment horizontal="centerContinuous"/>
    </xf>
    <xf numFmtId="168" fontId="63" fillId="3" borderId="11" xfId="0" applyNumberFormat="1" applyFont="1" applyFill="1" applyBorder="1" applyAlignment="1" applyProtection="1">
      <alignment horizontal="centerContinuous"/>
    </xf>
    <xf numFmtId="37" fontId="63" fillId="3" borderId="11" xfId="28" applyNumberFormat="1" applyFont="1" applyFill="1" applyBorder="1" applyAlignment="1" applyProtection="1">
      <alignment horizontal="centerContinuous"/>
    </xf>
    <xf numFmtId="168" fontId="63" fillId="3" borderId="11" xfId="28" applyNumberFormat="1" applyFont="1" applyFill="1" applyBorder="1" applyAlignment="1" applyProtection="1">
      <alignment horizontal="centerContinuous"/>
    </xf>
    <xf numFmtId="37" fontId="63" fillId="3" borderId="19" xfId="0" applyNumberFormat="1" applyFont="1" applyFill="1" applyBorder="1" applyAlignment="1" applyProtection="1">
      <alignment horizontal="centerContinuous"/>
    </xf>
    <xf numFmtId="0" fontId="16" fillId="6" borderId="0" xfId="0" applyNumberFormat="1" applyFont="1" applyFill="1" applyProtection="1"/>
    <xf numFmtId="169" fontId="9" fillId="3" borderId="0" xfId="34" applyNumberFormat="1" applyFont="1" applyFill="1" applyBorder="1" applyProtection="1"/>
    <xf numFmtId="0" fontId="9" fillId="6" borderId="0" xfId="0" applyNumberFormat="1" applyFont="1" applyFill="1" applyProtection="1"/>
    <xf numFmtId="0" fontId="9" fillId="5" borderId="1" xfId="0" applyNumberFormat="1" applyFont="1" applyFill="1" applyBorder="1" applyAlignment="1" applyProtection="1">
      <alignment horizontal="center" wrapText="1"/>
    </xf>
    <xf numFmtId="0" fontId="9" fillId="6" borderId="1" xfId="0" applyNumberFormat="1" applyFont="1" applyFill="1" applyBorder="1" applyAlignment="1" applyProtection="1">
      <alignment horizontal="center"/>
    </xf>
    <xf numFmtId="0" fontId="9" fillId="6" borderId="16" xfId="0" applyNumberFormat="1" applyFont="1" applyFill="1" applyBorder="1" applyAlignment="1" applyProtection="1">
      <alignment horizontal="right"/>
    </xf>
    <xf numFmtId="0" fontId="16" fillId="5" borderId="16" xfId="0" applyNumberFormat="1" applyFont="1" applyFill="1" applyBorder="1" applyAlignment="1" applyProtection="1">
      <alignment horizontal="left"/>
    </xf>
    <xf numFmtId="0" fontId="16" fillId="5" borderId="0" xfId="0" applyNumberFormat="1" applyFont="1" applyFill="1" applyBorder="1" applyAlignment="1" applyProtection="1">
      <alignment horizontal="left"/>
    </xf>
    <xf numFmtId="0" fontId="9" fillId="6" borderId="7" xfId="0" applyNumberFormat="1" applyFont="1" applyFill="1" applyBorder="1" applyAlignment="1" applyProtection="1">
      <alignment horizontal="right"/>
    </xf>
    <xf numFmtId="0" fontId="16" fillId="5" borderId="0" xfId="0" applyNumberFormat="1" applyFont="1" applyFill="1" applyBorder="1" applyProtection="1"/>
    <xf numFmtId="0" fontId="9" fillId="5" borderId="1" xfId="0" applyNumberFormat="1" applyFont="1" applyFill="1" applyBorder="1" applyAlignment="1" applyProtection="1">
      <alignment horizontal="left"/>
    </xf>
    <xf numFmtId="0" fontId="9" fillId="5" borderId="1" xfId="0" applyNumberFormat="1" applyFont="1" applyFill="1" applyBorder="1" applyAlignment="1" applyProtection="1">
      <alignment horizontal="left" wrapText="1"/>
    </xf>
    <xf numFmtId="2" fontId="16" fillId="3" borderId="0" xfId="35" applyNumberFormat="1" applyFont="1" applyFill="1" applyBorder="1" applyProtection="1">
      <alignment horizontal="right" vertical="top"/>
    </xf>
    <xf numFmtId="0" fontId="9" fillId="5" borderId="0" xfId="0" applyNumberFormat="1" applyFont="1" applyFill="1" applyAlignment="1" applyProtection="1">
      <alignment horizontal="left"/>
    </xf>
    <xf numFmtId="2" fontId="9" fillId="6" borderId="0" xfId="0" applyNumberFormat="1" applyFont="1" applyFill="1" applyAlignment="1" applyProtection="1">
      <alignment horizontal="right"/>
    </xf>
    <xf numFmtId="2" fontId="9" fillId="5" borderId="0" xfId="0" applyNumberFormat="1" applyFont="1" applyFill="1" applyAlignment="1" applyProtection="1">
      <alignment horizontal="right"/>
    </xf>
    <xf numFmtId="2" fontId="9" fillId="6" borderId="7" xfId="0" applyNumberFormat="1" applyFont="1" applyFill="1" applyBorder="1" applyAlignment="1" applyProtection="1">
      <alignment horizontal="right"/>
    </xf>
    <xf numFmtId="2" fontId="16" fillId="5" borderId="0" xfId="0" applyNumberFormat="1" applyFont="1" applyFill="1" applyBorder="1" applyAlignment="1" applyProtection="1">
      <alignment horizontal="right"/>
    </xf>
    <xf numFmtId="2" fontId="9" fillId="6" borderId="0" xfId="0" applyNumberFormat="1" applyFont="1" applyFill="1" applyBorder="1" applyAlignment="1" applyProtection="1">
      <alignment horizontal="right"/>
    </xf>
    <xf numFmtId="0" fontId="9" fillId="5" borderId="0" xfId="0" applyNumberFormat="1" applyFont="1" applyFill="1" applyAlignment="1" applyProtection="1">
      <alignment horizontal="left" wrapText="1"/>
    </xf>
    <xf numFmtId="2" fontId="9" fillId="5" borderId="0" xfId="0" applyNumberFormat="1" applyFont="1" applyFill="1" applyAlignment="1" applyProtection="1">
      <alignment horizontal="right" wrapText="1"/>
    </xf>
    <xf numFmtId="0" fontId="16" fillId="3" borderId="1" xfId="0" applyNumberFormat="1" applyFont="1" applyFill="1" applyBorder="1" applyAlignment="1" applyProtection="1">
      <alignment horizontal="left" wrapText="1"/>
    </xf>
    <xf numFmtId="0" fontId="16" fillId="5" borderId="18" xfId="0" applyNumberFormat="1" applyFont="1" applyFill="1" applyBorder="1" applyAlignment="1" applyProtection="1">
      <alignment horizontal="left" wrapText="1"/>
    </xf>
    <xf numFmtId="2" fontId="16" fillId="5" borderId="0" xfId="0" applyNumberFormat="1" applyFont="1" applyFill="1" applyBorder="1" applyProtection="1"/>
    <xf numFmtId="2" fontId="16" fillId="5" borderId="0" xfId="0" applyNumberFormat="1" applyFont="1" applyFill="1" applyAlignment="1" applyProtection="1">
      <alignment horizontal="right"/>
    </xf>
    <xf numFmtId="0" fontId="9" fillId="5" borderId="0" xfId="0" applyNumberFormat="1" applyFont="1" applyFill="1" applyBorder="1" applyAlignment="1" applyProtection="1">
      <alignment horizontal="left" wrapText="1"/>
    </xf>
    <xf numFmtId="0" fontId="16" fillId="5" borderId="1" xfId="0" applyNumberFormat="1" applyFont="1" applyFill="1" applyBorder="1" applyAlignment="1" applyProtection="1">
      <alignment horizontal="left" wrapText="1"/>
    </xf>
    <xf numFmtId="0" fontId="16" fillId="5" borderId="0" xfId="0" applyNumberFormat="1" applyFont="1" applyFill="1" applyBorder="1" applyAlignment="1" applyProtection="1">
      <alignment horizontal="left" wrapText="1"/>
    </xf>
    <xf numFmtId="2" fontId="16" fillId="5" borderId="0" xfId="0" applyNumberFormat="1" applyFont="1" applyFill="1" applyBorder="1" applyAlignment="1" applyProtection="1">
      <alignment horizontal="right" wrapText="1"/>
    </xf>
    <xf numFmtId="2" fontId="9" fillId="3" borderId="0" xfId="45" applyNumberFormat="1" applyFont="1" applyFill="1" applyBorder="1" applyAlignment="1" applyProtection="1">
      <alignment horizontal="right"/>
    </xf>
    <xf numFmtId="0" fontId="9" fillId="5" borderId="6" xfId="0" applyNumberFormat="1" applyFont="1" applyFill="1" applyBorder="1" applyAlignment="1" applyProtection="1">
      <alignment horizontal="left" wrapText="1"/>
    </xf>
    <xf numFmtId="0" fontId="16" fillId="5" borderId="18" xfId="0" applyNumberFormat="1" applyFont="1" applyFill="1" applyBorder="1" applyAlignment="1" applyProtection="1">
      <alignment horizontal="left"/>
    </xf>
    <xf numFmtId="2" fontId="9" fillId="6" borderId="0" xfId="0" applyNumberFormat="1" applyFont="1" applyFill="1" applyProtection="1"/>
    <xf numFmtId="0" fontId="16" fillId="5" borderId="6" xfId="0" applyNumberFormat="1" applyFont="1" applyFill="1" applyBorder="1" applyAlignment="1" applyProtection="1">
      <alignment horizontal="left" wrapText="1"/>
    </xf>
    <xf numFmtId="0" fontId="16" fillId="5" borderId="7" xfId="0" applyNumberFormat="1" applyFont="1" applyFill="1" applyBorder="1" applyAlignment="1" applyProtection="1">
      <alignment horizontal="left" wrapText="1"/>
    </xf>
    <xf numFmtId="0" fontId="9" fillId="6" borderId="1" xfId="0" applyNumberFormat="1" applyFont="1" applyFill="1" applyBorder="1" applyAlignment="1" applyProtection="1">
      <alignment wrapText="1"/>
    </xf>
    <xf numFmtId="0" fontId="9" fillId="3" borderId="0" xfId="0" applyFont="1" applyFill="1" applyAlignment="1">
      <alignment horizontal="center"/>
    </xf>
    <xf numFmtId="0" fontId="9" fillId="3" borderId="0" xfId="0" applyFont="1" applyFill="1" applyAlignment="1">
      <alignment wrapText="1"/>
    </xf>
    <xf numFmtId="3" fontId="9" fillId="3" borderId="0" xfId="0" applyNumberFormat="1" applyFont="1" applyFill="1" applyAlignment="1">
      <alignment horizontal="center" vertical="top"/>
    </xf>
    <xf numFmtId="0" fontId="9" fillId="3" borderId="0" xfId="0" applyFont="1" applyFill="1" applyAlignment="1">
      <alignment horizontal="center" vertical="top"/>
    </xf>
    <xf numFmtId="37" fontId="9" fillId="3" borderId="0" xfId="0" applyNumberFormat="1" applyFont="1" applyFill="1" applyAlignment="1">
      <alignment horizontal="center" vertical="top"/>
    </xf>
    <xf numFmtId="169" fontId="9" fillId="3" borderId="0" xfId="28" applyNumberFormat="1" applyFont="1" applyFill="1" applyAlignment="1" applyProtection="1">
      <alignment horizontal="left" indent="3"/>
    </xf>
    <xf numFmtId="186" fontId="9" fillId="3" borderId="4" xfId="0" applyNumberFormat="1" applyFont="1" applyFill="1" applyBorder="1" applyProtection="1"/>
    <xf numFmtId="0" fontId="9" fillId="3" borderId="0" xfId="0" applyFont="1" applyFill="1" applyBorder="1" applyAlignment="1" applyProtection="1">
      <alignment horizontal="center" vertical="top"/>
    </xf>
    <xf numFmtId="186" fontId="35" fillId="3" borderId="0" xfId="0" applyNumberFormat="1" applyFont="1" applyFill="1" applyBorder="1" applyAlignment="1" applyProtection="1">
      <alignment horizontal="center" vertical="top"/>
    </xf>
    <xf numFmtId="169" fontId="35" fillId="3" borderId="0" xfId="28" applyNumberFormat="1" applyFont="1" applyFill="1" applyAlignment="1" applyProtection="1">
      <alignment horizontal="center" vertical="top"/>
    </xf>
    <xf numFmtId="0" fontId="16" fillId="3" borderId="0" xfId="0" applyFont="1" applyFill="1" applyAlignment="1">
      <alignment horizontal="center"/>
    </xf>
    <xf numFmtId="184" fontId="29" fillId="3" borderId="0" xfId="0" applyNumberFormat="1" applyFont="1" applyFill="1" applyAlignment="1">
      <alignment horizontal="center" vertical="top"/>
    </xf>
    <xf numFmtId="0" fontId="16" fillId="3" borderId="0" xfId="0" applyFont="1" applyFill="1" applyAlignment="1">
      <alignment wrapText="1"/>
    </xf>
    <xf numFmtId="3" fontId="16" fillId="3" borderId="0" xfId="0" applyNumberFormat="1" applyFont="1" applyFill="1" applyAlignment="1">
      <alignment horizontal="center" vertical="top"/>
    </xf>
    <xf numFmtId="37" fontId="16" fillId="3" borderId="0" xfId="0" applyNumberFormat="1" applyFont="1" applyFill="1" applyAlignment="1">
      <alignment horizontal="center" vertical="top"/>
    </xf>
    <xf numFmtId="0" fontId="16" fillId="3" borderId="0" xfId="0" quotePrefix="1" applyFont="1" applyFill="1" applyAlignment="1">
      <alignment horizontal="left"/>
    </xf>
    <xf numFmtId="0" fontId="16" fillId="3" borderId="8" xfId="0" applyFont="1" applyFill="1" applyBorder="1" applyAlignment="1">
      <alignment horizontal="center" vertical="center"/>
    </xf>
    <xf numFmtId="0" fontId="16" fillId="3" borderId="0" xfId="0" applyFont="1" applyFill="1" applyAlignment="1">
      <alignment horizontal="center" vertical="center"/>
    </xf>
    <xf numFmtId="0" fontId="16" fillId="3" borderId="8" xfId="0" applyFont="1" applyFill="1" applyBorder="1" applyAlignment="1">
      <alignment horizontal="center" vertical="center" wrapText="1"/>
    </xf>
    <xf numFmtId="3" fontId="16" fillId="3" borderId="8" xfId="0" applyNumberFormat="1" applyFont="1" applyFill="1" applyBorder="1" applyAlignment="1">
      <alignment horizontal="center" vertical="top" wrapText="1"/>
    </xf>
    <xf numFmtId="0" fontId="16" fillId="3" borderId="54" xfId="0" applyFont="1" applyFill="1" applyBorder="1" applyAlignment="1">
      <alignment horizontal="center" vertical="top" wrapText="1"/>
    </xf>
    <xf numFmtId="37" fontId="16" fillId="3" borderId="8" xfId="0" applyNumberFormat="1" applyFont="1" applyFill="1" applyBorder="1" applyAlignment="1">
      <alignment horizontal="center" vertical="top" wrapText="1"/>
    </xf>
    <xf numFmtId="0" fontId="9" fillId="3" borderId="0" xfId="0" applyFont="1" applyFill="1" applyAlignment="1">
      <alignment vertical="top"/>
    </xf>
    <xf numFmtId="0" fontId="9" fillId="3" borderId="0" xfId="0" applyFont="1" applyFill="1" applyAlignment="1">
      <alignment horizontal="center" vertical="top" wrapText="1"/>
    </xf>
    <xf numFmtId="0" fontId="9" fillId="3" borderId="0" xfId="0" applyFont="1" applyFill="1" applyAlignment="1">
      <alignment vertical="top" wrapText="1"/>
    </xf>
    <xf numFmtId="3" fontId="9" fillId="3" borderId="0" xfId="0" applyNumberFormat="1" applyFont="1" applyFill="1" applyAlignment="1">
      <alignment horizontal="center" vertical="top" wrapText="1"/>
    </xf>
    <xf numFmtId="0" fontId="88" fillId="3" borderId="0" xfId="0" applyFont="1" applyFill="1" applyAlignment="1">
      <alignment horizontal="center" vertical="top" wrapText="1"/>
    </xf>
    <xf numFmtId="184" fontId="35" fillId="3" borderId="0" xfId="0" applyNumberFormat="1" applyFont="1" applyFill="1" applyAlignment="1">
      <alignment horizontal="center" vertical="top" wrapText="1"/>
    </xf>
    <xf numFmtId="37" fontId="9" fillId="3" borderId="0" xfId="0" applyNumberFormat="1" applyFont="1" applyFill="1" applyAlignment="1">
      <alignment horizontal="center" vertical="top" wrapText="1"/>
    </xf>
    <xf numFmtId="4" fontId="9" fillId="3" borderId="0" xfId="0" applyNumberFormat="1" applyFont="1" applyFill="1" applyAlignment="1">
      <alignment horizontal="center" vertical="top" wrapText="1"/>
    </xf>
    <xf numFmtId="0" fontId="16" fillId="3" borderId="0" xfId="0" applyFont="1" applyFill="1" applyBorder="1" applyAlignment="1">
      <alignment horizontal="center" vertical="center"/>
    </xf>
    <xf numFmtId="0" fontId="16" fillId="3" borderId="0" xfId="0" applyFont="1" applyFill="1" applyBorder="1" applyAlignment="1">
      <alignment horizontal="center" vertical="center" wrapText="1"/>
    </xf>
    <xf numFmtId="3" fontId="16" fillId="3" borderId="0" xfId="0" applyNumberFormat="1" applyFont="1" applyFill="1" applyBorder="1" applyAlignment="1">
      <alignment horizontal="center" vertical="top" wrapText="1"/>
    </xf>
    <xf numFmtId="0" fontId="16" fillId="3" borderId="0" xfId="0" applyFont="1" applyFill="1" applyBorder="1" applyAlignment="1">
      <alignment horizontal="center" vertical="top" wrapText="1"/>
    </xf>
    <xf numFmtId="37" fontId="16" fillId="3" borderId="0" xfId="0" applyNumberFormat="1" applyFont="1" applyFill="1" applyBorder="1" applyAlignment="1">
      <alignment horizontal="center" vertical="top" wrapText="1"/>
    </xf>
    <xf numFmtId="0" fontId="88" fillId="3" borderId="0" xfId="0" applyFont="1" applyFill="1" applyAlignment="1">
      <alignment horizontal="center" vertical="top"/>
    </xf>
    <xf numFmtId="4" fontId="9" fillId="3" borderId="0" xfId="0" applyNumberFormat="1" applyFont="1" applyFill="1" applyAlignment="1">
      <alignment horizontal="center" vertical="top"/>
    </xf>
    <xf numFmtId="184" fontId="9" fillId="3" borderId="0" xfId="0" applyNumberFormat="1" applyFont="1" applyFill="1" applyAlignment="1">
      <alignment horizontal="center" vertical="top" wrapText="1"/>
    </xf>
    <xf numFmtId="192" fontId="9" fillId="3" borderId="0" xfId="0" applyNumberFormat="1" applyFont="1" applyFill="1" applyAlignment="1">
      <alignment horizontal="center" vertical="top"/>
    </xf>
    <xf numFmtId="192" fontId="9" fillId="3" borderId="0" xfId="0" applyNumberFormat="1" applyFont="1" applyFill="1" applyAlignment="1">
      <alignment horizontal="center" vertical="top" wrapText="1"/>
    </xf>
    <xf numFmtId="0" fontId="9" fillId="3" borderId="0" xfId="0" applyFont="1" applyFill="1" applyAlignment="1">
      <alignment horizontal="left" vertical="top" wrapText="1"/>
    </xf>
    <xf numFmtId="3" fontId="9" fillId="3" borderId="0" xfId="0" applyNumberFormat="1" applyFont="1" applyFill="1" applyAlignment="1">
      <alignment vertical="top"/>
    </xf>
    <xf numFmtId="37" fontId="9" fillId="3" borderId="0" xfId="0" applyNumberFormat="1" applyFont="1" applyFill="1" applyAlignment="1">
      <alignment vertical="top"/>
    </xf>
    <xf numFmtId="186" fontId="9" fillId="3" borderId="0" xfId="0" applyNumberFormat="1" applyFont="1" applyFill="1" applyBorder="1" applyProtection="1"/>
    <xf numFmtId="0" fontId="16" fillId="3" borderId="0" xfId="0" applyFont="1" applyFill="1" applyAlignment="1">
      <alignment horizontal="center" vertical="top" wrapText="1"/>
    </xf>
    <xf numFmtId="3" fontId="16" fillId="3" borderId="0" xfId="0" applyNumberFormat="1" applyFont="1" applyFill="1" applyAlignment="1">
      <alignment vertical="top"/>
    </xf>
    <xf numFmtId="0" fontId="16" fillId="3" borderId="0" xfId="0" applyFont="1" applyFill="1" applyAlignment="1">
      <alignment vertical="top"/>
    </xf>
    <xf numFmtId="37" fontId="16" fillId="3" borderId="0" xfId="0" applyNumberFormat="1" applyFont="1" applyFill="1" applyAlignment="1">
      <alignment vertical="top"/>
    </xf>
    <xf numFmtId="0" fontId="16" fillId="3" borderId="0" xfId="0" applyFont="1" applyFill="1" applyAlignment="1">
      <alignment horizontal="left"/>
    </xf>
    <xf numFmtId="3" fontId="16" fillId="3" borderId="0" xfId="0" applyNumberFormat="1" applyFont="1" applyFill="1" applyBorder="1" applyAlignment="1">
      <alignment vertical="top"/>
    </xf>
    <xf numFmtId="3" fontId="9" fillId="3" borderId="0" xfId="0" applyNumberFormat="1" applyFont="1" applyFill="1" applyBorder="1" applyAlignment="1">
      <alignment vertical="top"/>
    </xf>
    <xf numFmtId="0" fontId="16" fillId="3" borderId="0" xfId="0" applyFont="1" applyFill="1" applyAlignment="1">
      <alignment vertical="center"/>
    </xf>
    <xf numFmtId="3" fontId="16" fillId="3" borderId="8" xfId="0" applyNumberFormat="1" applyFont="1" applyFill="1" applyBorder="1" applyAlignment="1">
      <alignment horizontal="center" vertical="center" wrapText="1"/>
    </xf>
    <xf numFmtId="37" fontId="16" fillId="3" borderId="8" xfId="0" applyNumberFormat="1" applyFont="1" applyFill="1" applyBorder="1" applyAlignment="1">
      <alignment horizontal="center" vertical="center" wrapText="1"/>
    </xf>
    <xf numFmtId="3" fontId="16" fillId="3" borderId="8" xfId="0" applyNumberFormat="1" applyFont="1" applyFill="1" applyBorder="1" applyAlignment="1">
      <alignment vertical="top" wrapText="1"/>
    </xf>
    <xf numFmtId="3" fontId="16" fillId="3" borderId="0" xfId="0" applyNumberFormat="1" applyFont="1" applyFill="1" applyBorder="1" applyAlignment="1">
      <alignment vertical="top" wrapText="1"/>
    </xf>
    <xf numFmtId="3" fontId="16" fillId="3" borderId="55" xfId="0" applyNumberFormat="1" applyFont="1" applyFill="1" applyBorder="1" applyAlignment="1">
      <alignment vertical="top"/>
    </xf>
    <xf numFmtId="0" fontId="16" fillId="3" borderId="1" xfId="0" applyFont="1" applyFill="1" applyBorder="1" applyAlignment="1" applyProtection="1">
      <alignment horizontal="center"/>
    </xf>
    <xf numFmtId="0" fontId="16" fillId="3" borderId="1" xfId="0" applyFont="1" applyFill="1" applyBorder="1" applyAlignment="1">
      <alignment horizontal="center"/>
    </xf>
    <xf numFmtId="0" fontId="9" fillId="3" borderId="0" xfId="0" applyFont="1" applyFill="1" applyAlignment="1">
      <alignment horizontal="left" vertical="top"/>
    </xf>
    <xf numFmtId="3" fontId="9" fillId="3" borderId="0" xfId="0" quotePrefix="1" applyNumberFormat="1" applyFont="1" applyFill="1" applyAlignment="1">
      <alignment vertical="top"/>
    </xf>
    <xf numFmtId="37" fontId="9" fillId="3" borderId="0" xfId="0" quotePrefix="1" applyNumberFormat="1" applyFont="1" applyFill="1" applyAlignment="1">
      <alignment vertical="top"/>
    </xf>
    <xf numFmtId="0" fontId="16" fillId="3" borderId="0" xfId="0" applyFont="1" applyFill="1" applyAlignment="1">
      <alignment horizontal="left" vertical="top"/>
    </xf>
    <xf numFmtId="0" fontId="9" fillId="3" borderId="0" xfId="0" applyFont="1" applyFill="1" applyAlignment="1">
      <alignment horizontal="center" wrapText="1"/>
    </xf>
    <xf numFmtId="0" fontId="16" fillId="3" borderId="0" xfId="0" applyFont="1" applyFill="1" applyAlignment="1">
      <alignment horizontal="center" wrapText="1"/>
    </xf>
    <xf numFmtId="3" fontId="9" fillId="3" borderId="0" xfId="0" applyNumberFormat="1" applyFont="1" applyFill="1" applyAlignment="1">
      <alignment vertical="top" wrapText="1"/>
    </xf>
    <xf numFmtId="176" fontId="9" fillId="3" borderId="0" xfId="0" applyNumberFormat="1" applyFont="1" applyFill="1" applyAlignment="1">
      <alignment vertical="top"/>
    </xf>
    <xf numFmtId="176" fontId="16" fillId="3" borderId="0" xfId="0" applyNumberFormat="1" applyFont="1" applyFill="1" applyAlignment="1">
      <alignment vertical="top"/>
    </xf>
    <xf numFmtId="4" fontId="9" fillId="3" borderId="0" xfId="0" applyNumberFormat="1" applyFont="1" applyFill="1" applyAlignment="1">
      <alignment vertical="top" wrapText="1"/>
    </xf>
    <xf numFmtId="4" fontId="9" fillId="3" borderId="0" xfId="0" applyNumberFormat="1" applyFont="1" applyFill="1" applyAlignment="1">
      <alignment vertical="top"/>
    </xf>
    <xf numFmtId="4" fontId="9" fillId="3" borderId="0" xfId="0" quotePrefix="1" applyNumberFormat="1" applyFont="1" applyFill="1" applyAlignment="1">
      <alignment vertical="top" wrapText="1"/>
    </xf>
    <xf numFmtId="0" fontId="6" fillId="3" borderId="0" xfId="0" applyFont="1" applyFill="1" applyAlignment="1">
      <alignment horizontal="left"/>
    </xf>
    <xf numFmtId="2" fontId="15" fillId="3" borderId="0" xfId="28" applyNumberFormat="1" applyFont="1" applyFill="1" applyAlignment="1" applyProtection="1">
      <alignment horizontal="right"/>
    </xf>
    <xf numFmtId="0" fontId="0" fillId="3" borderId="0" xfId="0" applyFill="1" applyBorder="1" applyAlignment="1"/>
    <xf numFmtId="196" fontId="4" fillId="3" borderId="0" xfId="28" applyNumberFormat="1" applyFill="1"/>
    <xf numFmtId="0" fontId="31" fillId="3" borderId="0" xfId="0" applyFont="1" applyFill="1"/>
    <xf numFmtId="0" fontId="12" fillId="3" borderId="0" xfId="0" applyFont="1" applyFill="1" applyAlignment="1">
      <alignment horizontal="center"/>
    </xf>
    <xf numFmtId="0" fontId="0" fillId="3" borderId="0" xfId="0" applyFill="1" applyAlignment="1">
      <alignment horizontal="center"/>
    </xf>
    <xf numFmtId="196" fontId="15" fillId="3" borderId="0" xfId="28" applyNumberFormat="1" applyFont="1" applyFill="1" applyAlignment="1">
      <alignment horizontal="center"/>
    </xf>
    <xf numFmtId="196" fontId="12" fillId="3" borderId="0" xfId="28" applyNumberFormat="1" applyFont="1" applyFill="1" applyAlignment="1">
      <alignment horizontal="center"/>
    </xf>
    <xf numFmtId="196" fontId="12" fillId="3" borderId="0" xfId="28" applyNumberFormat="1" applyFont="1" applyFill="1"/>
    <xf numFmtId="3" fontId="12" fillId="3" borderId="1" xfId="28" applyNumberFormat="1" applyFont="1" applyFill="1" applyBorder="1"/>
    <xf numFmtId="3" fontId="12" fillId="3" borderId="0" xfId="28" applyNumberFormat="1" applyFont="1" applyFill="1" applyBorder="1"/>
    <xf numFmtId="0" fontId="12" fillId="3" borderId="0" xfId="0" applyFont="1" applyFill="1"/>
    <xf numFmtId="0" fontId="28" fillId="3" borderId="0" xfId="0" applyFont="1" applyFill="1"/>
    <xf numFmtId="0" fontId="71" fillId="0" borderId="0" xfId="0" applyFont="1"/>
    <xf numFmtId="3" fontId="4" fillId="3" borderId="0" xfId="28" applyNumberFormat="1" applyFill="1"/>
    <xf numFmtId="0" fontId="89" fillId="3" borderId="0" xfId="0" applyFont="1" applyFill="1"/>
    <xf numFmtId="3" fontId="0" fillId="0" borderId="0" xfId="0" applyNumberFormat="1"/>
    <xf numFmtId="3" fontId="12" fillId="3" borderId="0" xfId="28" applyNumberFormat="1" applyFont="1" applyFill="1"/>
    <xf numFmtId="0" fontId="61" fillId="3" borderId="0" xfId="0" applyFont="1" applyFill="1"/>
    <xf numFmtId="196" fontId="0" fillId="0" borderId="0" xfId="0" applyNumberFormat="1"/>
    <xf numFmtId="0" fontId="89" fillId="3" borderId="0" xfId="0" applyFont="1" applyFill="1" applyAlignment="1">
      <alignment horizontal="left"/>
    </xf>
    <xf numFmtId="0" fontId="90" fillId="3" borderId="0" xfId="0" applyFont="1" applyFill="1"/>
    <xf numFmtId="3" fontId="36" fillId="3" borderId="0" xfId="28" applyNumberFormat="1" applyFont="1" applyFill="1" applyBorder="1"/>
    <xf numFmtId="196" fontId="15" fillId="3" borderId="0" xfId="28" applyNumberFormat="1" applyFont="1" applyFill="1"/>
    <xf numFmtId="196" fontId="4" fillId="3" borderId="11" xfId="28" applyNumberFormat="1" applyFill="1" applyBorder="1" applyProtection="1"/>
    <xf numFmtId="196" fontId="4" fillId="3" borderId="19" xfId="28" applyNumberFormat="1" applyFill="1" applyBorder="1" applyProtection="1"/>
    <xf numFmtId="0" fontId="0" fillId="59" borderId="0" xfId="0" applyFill="1"/>
    <xf numFmtId="196" fontId="4" fillId="3" borderId="0" xfId="28" applyNumberFormat="1" applyFill="1" applyProtection="1"/>
    <xf numFmtId="0" fontId="12" fillId="3" borderId="0" xfId="0" applyFont="1" applyFill="1" applyAlignment="1" applyProtection="1">
      <alignment horizontal="center"/>
    </xf>
    <xf numFmtId="0" fontId="12" fillId="3" borderId="0" xfId="0" applyFont="1" applyFill="1" applyProtection="1"/>
    <xf numFmtId="0" fontId="12" fillId="3" borderId="0" xfId="0" applyFont="1" applyFill="1" applyAlignment="1" applyProtection="1">
      <alignment horizontal="left"/>
    </xf>
    <xf numFmtId="196" fontId="12" fillId="3" borderId="0" xfId="28" applyNumberFormat="1" applyFont="1" applyFill="1" applyAlignment="1" applyProtection="1">
      <alignment horizontal="center"/>
    </xf>
    <xf numFmtId="196" fontId="12" fillId="3" borderId="1" xfId="28" applyNumberFormat="1" applyFont="1" applyFill="1" applyBorder="1" applyProtection="1"/>
    <xf numFmtId="196" fontId="15" fillId="3" borderId="1" xfId="28" applyNumberFormat="1" applyFont="1" applyFill="1" applyBorder="1" applyProtection="1"/>
    <xf numFmtId="196" fontId="0" fillId="3" borderId="0" xfId="0" applyNumberFormat="1" applyFill="1" applyProtection="1"/>
    <xf numFmtId="196" fontId="12" fillId="0" borderId="1" xfId="28" applyNumberFormat="1" applyFont="1" applyFill="1" applyBorder="1" applyProtection="1">
      <protection locked="0"/>
    </xf>
    <xf numFmtId="0" fontId="91" fillId="3" borderId="0" xfId="0" applyFont="1" applyFill="1" applyAlignment="1" applyProtection="1">
      <alignment horizontal="center"/>
    </xf>
    <xf numFmtId="2" fontId="12" fillId="3" borderId="0" xfId="0" applyNumberFormat="1" applyFont="1" applyFill="1" applyAlignment="1" applyProtection="1">
      <alignment horizontal="left"/>
    </xf>
    <xf numFmtId="0" fontId="61" fillId="3" borderId="0" xfId="0" applyFont="1" applyFill="1" applyAlignment="1" applyProtection="1">
      <alignment horizontal="left"/>
    </xf>
    <xf numFmtId="0" fontId="61" fillId="3" borderId="0" xfId="0" applyFont="1" applyFill="1" applyProtection="1"/>
    <xf numFmtId="3" fontId="61" fillId="3" borderId="1" xfId="28" applyNumberFormat="1" applyFont="1" applyFill="1" applyBorder="1" applyProtection="1"/>
    <xf numFmtId="196" fontId="12" fillId="3" borderId="0" xfId="28" applyNumberFormat="1" applyFont="1" applyFill="1" applyBorder="1" applyProtection="1"/>
    <xf numFmtId="196" fontId="12" fillId="3" borderId="0" xfId="28" applyNumberFormat="1" applyFont="1" applyFill="1" applyProtection="1"/>
    <xf numFmtId="3" fontId="12" fillId="3" borderId="1" xfId="28" applyNumberFormat="1" applyFont="1" applyFill="1" applyBorder="1" applyProtection="1"/>
    <xf numFmtId="3" fontId="12" fillId="0" borderId="1" xfId="28" applyNumberFormat="1" applyFont="1" applyFill="1" applyBorder="1" applyProtection="1">
      <protection locked="0"/>
    </xf>
    <xf numFmtId="3" fontId="12" fillId="3" borderId="0" xfId="28" applyNumberFormat="1" applyFont="1" applyFill="1" applyProtection="1"/>
    <xf numFmtId="0" fontId="36" fillId="3" borderId="0" xfId="0" applyFont="1" applyFill="1" applyAlignment="1" applyProtection="1">
      <alignment horizontal="right"/>
    </xf>
    <xf numFmtId="196" fontId="36" fillId="3" borderId="0" xfId="28" applyNumberFormat="1" applyFont="1" applyFill="1" applyProtection="1"/>
    <xf numFmtId="0" fontId="5" fillId="3" borderId="0" xfId="0" applyFont="1" applyFill="1" applyAlignment="1" applyProtection="1">
      <alignment wrapText="1"/>
    </xf>
    <xf numFmtId="3" fontId="5" fillId="3" borderId="0" xfId="0" applyNumberFormat="1" applyFont="1" applyFill="1" applyAlignment="1" applyProtection="1">
      <alignment horizontal="right"/>
    </xf>
    <xf numFmtId="0" fontId="5" fillId="3" borderId="0" xfId="0" applyFont="1" applyFill="1" applyAlignment="1" applyProtection="1">
      <alignment vertical="top"/>
    </xf>
    <xf numFmtId="3" fontId="23" fillId="3" borderId="0" xfId="0" applyNumberFormat="1" applyFont="1" applyFill="1" applyProtection="1"/>
    <xf numFmtId="0" fontId="5" fillId="3" borderId="0" xfId="0" applyFont="1" applyFill="1" applyAlignment="1" applyProtection="1">
      <alignment horizontal="left" vertical="top"/>
    </xf>
    <xf numFmtId="196" fontId="5" fillId="3" borderId="0" xfId="28" applyNumberFormat="1" applyFont="1" applyFill="1" applyProtection="1"/>
    <xf numFmtId="0" fontId="23" fillId="59" borderId="0" xfId="0" applyFont="1" applyFill="1"/>
    <xf numFmtId="0" fontId="5" fillId="59" borderId="0" xfId="0" applyFont="1" applyFill="1" applyAlignment="1">
      <alignment horizontal="left"/>
    </xf>
    <xf numFmtId="0" fontId="5" fillId="59" borderId="0" xfId="0" applyFont="1" applyFill="1"/>
    <xf numFmtId="196" fontId="5" fillId="59" borderId="0" xfId="28" applyNumberFormat="1" applyFont="1" applyFill="1"/>
    <xf numFmtId="3" fontId="23" fillId="59" borderId="0" xfId="0" applyNumberFormat="1" applyFont="1" applyFill="1"/>
    <xf numFmtId="0" fontId="5" fillId="59" borderId="0" xfId="0" applyFont="1" applyFill="1" applyAlignment="1">
      <alignment horizontal="left" vertical="top"/>
    </xf>
    <xf numFmtId="196" fontId="99" fillId="3" borderId="0" xfId="28" applyNumberFormat="1" applyFont="1" applyFill="1" applyBorder="1" applyProtection="1"/>
    <xf numFmtId="196" fontId="99" fillId="3" borderId="0" xfId="28" applyNumberFormat="1" applyFont="1" applyFill="1" applyProtection="1"/>
    <xf numFmtId="0" fontId="15" fillId="3" borderId="0" xfId="0" applyFont="1" applyFill="1" applyAlignment="1" applyProtection="1">
      <alignment horizontal="center"/>
    </xf>
    <xf numFmtId="196" fontId="15" fillId="3" borderId="0" xfId="28" applyNumberFormat="1" applyFont="1" applyFill="1" applyBorder="1" applyAlignment="1" applyProtection="1">
      <alignment horizontal="center"/>
    </xf>
    <xf numFmtId="196" fontId="15" fillId="3" borderId="0" xfId="28" applyNumberFormat="1" applyFont="1" applyFill="1" applyAlignment="1" applyProtection="1">
      <alignment horizontal="center"/>
    </xf>
    <xf numFmtId="3" fontId="15" fillId="3" borderId="0" xfId="28" applyNumberFormat="1" applyFont="1" applyFill="1" applyBorder="1" applyAlignment="1" applyProtection="1">
      <alignment horizontal="center"/>
    </xf>
    <xf numFmtId="196" fontId="15" fillId="3" borderId="1" xfId="28" applyNumberFormat="1" applyFont="1" applyFill="1" applyBorder="1" applyAlignment="1" applyProtection="1">
      <alignment horizontal="center"/>
    </xf>
    <xf numFmtId="196" fontId="91" fillId="3" borderId="0" xfId="28" applyNumberFormat="1" applyFont="1" applyFill="1" applyBorder="1" applyAlignment="1" applyProtection="1">
      <alignment horizontal="center"/>
    </xf>
    <xf numFmtId="3" fontId="15" fillId="3" borderId="1" xfId="28" applyNumberFormat="1" applyFont="1" applyFill="1" applyBorder="1" applyProtection="1"/>
    <xf numFmtId="3" fontId="15" fillId="4" borderId="1" xfId="28" applyNumberFormat="1" applyFont="1" applyFill="1" applyBorder="1" applyProtection="1">
      <protection locked="0"/>
    </xf>
    <xf numFmtId="3" fontId="15" fillId="0" borderId="1" xfId="28" applyNumberFormat="1" applyFont="1" applyFill="1" applyBorder="1" applyProtection="1">
      <protection locked="0"/>
    </xf>
    <xf numFmtId="3" fontId="15" fillId="3" borderId="0" xfId="28" applyNumberFormat="1" applyFont="1" applyFill="1" applyBorder="1" applyProtection="1"/>
    <xf numFmtId="2" fontId="15" fillId="3" borderId="0" xfId="0" applyNumberFormat="1" applyFont="1" applyFill="1" applyAlignment="1" applyProtection="1">
      <alignment horizontal="left"/>
    </xf>
    <xf numFmtId="3" fontId="15" fillId="3" borderId="0" xfId="28" applyNumberFormat="1" applyFont="1" applyFill="1" applyProtection="1"/>
    <xf numFmtId="3" fontId="15" fillId="3" borderId="7" xfId="28" applyNumberFormat="1" applyFont="1" applyFill="1" applyBorder="1" applyProtection="1"/>
    <xf numFmtId="0" fontId="15" fillId="3" borderId="0" xfId="0" applyFont="1" applyFill="1" applyBorder="1" applyAlignment="1" applyProtection="1">
      <alignment horizontal="left"/>
    </xf>
    <xf numFmtId="0" fontId="89" fillId="3" borderId="0" xfId="0" applyFont="1" applyFill="1" applyBorder="1" applyProtection="1"/>
    <xf numFmtId="0" fontId="92" fillId="3" borderId="0" xfId="0" applyFont="1" applyFill="1" applyAlignment="1" applyProtection="1">
      <alignment horizontal="right"/>
    </xf>
    <xf numFmtId="196" fontId="4" fillId="3" borderId="6" xfId="28" applyNumberFormat="1" applyFill="1" applyBorder="1" applyProtection="1"/>
    <xf numFmtId="0" fontId="0" fillId="3" borderId="19" xfId="0" applyFill="1" applyBorder="1" applyProtection="1"/>
    <xf numFmtId="0" fontId="0" fillId="60" borderId="0" xfId="0" applyFill="1"/>
    <xf numFmtId="1" fontId="4" fillId="3" borderId="1" xfId="28" applyNumberFormat="1" applyFill="1" applyBorder="1" applyAlignment="1" applyProtection="1">
      <alignment horizontal="center"/>
    </xf>
    <xf numFmtId="0" fontId="93" fillId="3" borderId="0" xfId="0" applyFont="1" applyFill="1" applyAlignment="1" applyProtection="1">
      <alignment horizontal="center"/>
    </xf>
    <xf numFmtId="196" fontId="12" fillId="4" borderId="1" xfId="28" applyNumberFormat="1" applyFont="1" applyFill="1" applyBorder="1" applyAlignment="1" applyProtection="1">
      <alignment horizontal="right"/>
      <protection locked="0"/>
    </xf>
    <xf numFmtId="196" fontId="15" fillId="0" borderId="1" xfId="28" applyNumberFormat="1" applyFont="1" applyFill="1" applyBorder="1" applyAlignment="1" applyProtection="1">
      <alignment horizontal="right"/>
      <protection locked="0"/>
    </xf>
    <xf numFmtId="0" fontId="93" fillId="3" borderId="0" xfId="0" applyFont="1" applyFill="1" applyProtection="1"/>
    <xf numFmtId="196" fontId="12" fillId="3" borderId="11" xfId="28" applyNumberFormat="1" applyFont="1" applyFill="1" applyBorder="1" applyAlignment="1" applyProtection="1">
      <alignment horizontal="right"/>
    </xf>
    <xf numFmtId="196" fontId="12" fillId="3" borderId="1" xfId="28" applyNumberFormat="1" applyFont="1" applyFill="1" applyBorder="1" applyAlignment="1" applyProtection="1">
      <alignment horizontal="right"/>
    </xf>
    <xf numFmtId="196" fontId="12" fillId="3" borderId="0" xfId="28" applyNumberFormat="1" applyFont="1" applyFill="1" applyAlignment="1" applyProtection="1">
      <alignment horizontal="right"/>
    </xf>
    <xf numFmtId="196" fontId="12" fillId="0" borderId="1" xfId="28" applyNumberFormat="1" applyFont="1" applyFill="1" applyBorder="1" applyAlignment="1" applyProtection="1">
      <alignment horizontal="right"/>
      <protection locked="0"/>
    </xf>
    <xf numFmtId="196" fontId="94" fillId="3" borderId="0" xfId="28" applyNumberFormat="1" applyFont="1" applyFill="1" applyAlignment="1" applyProtection="1">
      <alignment horizontal="right"/>
    </xf>
    <xf numFmtId="0" fontId="23" fillId="3" borderId="0" xfId="0" applyFont="1" applyFill="1" applyBorder="1" applyAlignment="1" applyProtection="1">
      <alignment horizontal="right" vertical="center" wrapText="1"/>
    </xf>
    <xf numFmtId="196" fontId="15" fillId="3" borderId="0" xfId="28" applyNumberFormat="1" applyFont="1" applyFill="1" applyProtection="1"/>
    <xf numFmtId="49" fontId="42" fillId="3" borderId="0" xfId="0" applyNumberFormat="1" applyFont="1" applyFill="1" applyProtection="1"/>
    <xf numFmtId="0" fontId="43" fillId="3" borderId="0" xfId="0" applyFont="1" applyFill="1" applyAlignment="1" applyProtection="1"/>
    <xf numFmtId="0" fontId="42" fillId="3" borderId="0" xfId="0" applyFont="1" applyFill="1" applyAlignment="1" applyProtection="1"/>
    <xf numFmtId="0" fontId="42" fillId="3" borderId="0" xfId="0" applyFont="1" applyFill="1" applyProtection="1"/>
    <xf numFmtId="49" fontId="43" fillId="3" borderId="0" xfId="0" applyNumberFormat="1" applyFont="1" applyFill="1" applyAlignment="1" applyProtection="1">
      <alignment horizontal="left"/>
    </xf>
    <xf numFmtId="0" fontId="43" fillId="3" borderId="0" xfId="0" applyFont="1" applyFill="1" applyAlignment="1" applyProtection="1">
      <alignment horizontal="left"/>
    </xf>
    <xf numFmtId="0" fontId="15" fillId="3" borderId="2" xfId="28" applyNumberFormat="1" applyFont="1" applyFill="1" applyBorder="1" applyAlignment="1" applyProtection="1"/>
    <xf numFmtId="0" fontId="0" fillId="3" borderId="4" xfId="0" applyFill="1" applyBorder="1" applyAlignment="1" applyProtection="1"/>
    <xf numFmtId="0" fontId="0" fillId="3" borderId="0" xfId="0" applyFill="1" applyBorder="1" applyAlignment="1" applyProtection="1"/>
    <xf numFmtId="0" fontId="0" fillId="3" borderId="44" xfId="0" applyFill="1" applyBorder="1" applyAlignment="1" applyProtection="1">
      <alignment horizontal="center"/>
    </xf>
    <xf numFmtId="37" fontId="43" fillId="3" borderId="0" xfId="0" applyNumberFormat="1" applyFont="1" applyFill="1" applyAlignment="1" applyProtection="1">
      <alignment horizontal="left"/>
    </xf>
    <xf numFmtId="49" fontId="43" fillId="3" borderId="0" xfId="0" applyNumberFormat="1" applyFont="1" applyFill="1" applyAlignment="1" applyProtection="1"/>
    <xf numFmtId="169" fontId="43" fillId="3" borderId="0" xfId="29" applyNumberFormat="1" applyFont="1" applyFill="1" applyAlignment="1" applyProtection="1">
      <alignment horizontal="center" wrapText="1"/>
    </xf>
    <xf numFmtId="0" fontId="43" fillId="3" borderId="1" xfId="0" applyFont="1" applyFill="1" applyBorder="1" applyAlignment="1" applyProtection="1"/>
    <xf numFmtId="0" fontId="42" fillId="3" borderId="1" xfId="0" applyFont="1" applyFill="1" applyBorder="1" applyProtection="1"/>
    <xf numFmtId="0" fontId="42" fillId="3" borderId="0" xfId="0" applyNumberFormat="1" applyFont="1" applyFill="1" applyBorder="1" applyAlignment="1" applyProtection="1">
      <alignment horizontal="center" wrapText="1"/>
    </xf>
    <xf numFmtId="0" fontId="42" fillId="3" borderId="31" xfId="0" applyFont="1" applyFill="1" applyBorder="1" applyAlignment="1" applyProtection="1">
      <alignment horizontal="left"/>
    </xf>
    <xf numFmtId="0" fontId="42" fillId="3" borderId="0" xfId="0" applyNumberFormat="1" applyFont="1" applyFill="1" applyBorder="1" applyAlignment="1" applyProtection="1">
      <alignment horizontal="left" wrapText="1"/>
    </xf>
    <xf numFmtId="0" fontId="42" fillId="3" borderId="0" xfId="0" applyFont="1" applyFill="1" applyBorder="1" applyProtection="1"/>
    <xf numFmtId="49" fontId="42" fillId="60" borderId="0" xfId="0" applyNumberFormat="1" applyFont="1" applyFill="1"/>
    <xf numFmtId="0" fontId="42" fillId="60" borderId="0" xfId="0" applyFont="1" applyFill="1"/>
    <xf numFmtId="0" fontId="42" fillId="60" borderId="0" xfId="0" applyNumberFormat="1" applyFont="1" applyFill="1" applyBorder="1" applyAlignment="1" applyProtection="1">
      <alignment horizontal="center" wrapText="1"/>
    </xf>
    <xf numFmtId="0" fontId="42" fillId="60" borderId="0" xfId="0" applyFont="1" applyFill="1" applyProtection="1"/>
    <xf numFmtId="49" fontId="42" fillId="60" borderId="0" xfId="0" applyNumberFormat="1" applyFont="1" applyFill="1" applyProtection="1"/>
    <xf numFmtId="49" fontId="42" fillId="0" borderId="0" xfId="0" applyNumberFormat="1" applyFont="1" applyFill="1" applyProtection="1"/>
    <xf numFmtId="0" fontId="42" fillId="0" borderId="0" xfId="0" applyFont="1" applyFill="1" applyProtection="1"/>
    <xf numFmtId="0" fontId="95" fillId="3" borderId="0" xfId="0" applyFont="1" applyFill="1" applyAlignment="1" applyProtection="1">
      <alignment vertical="top" wrapText="1"/>
    </xf>
    <xf numFmtId="2" fontId="26" fillId="3" borderId="0" xfId="28" applyNumberFormat="1" applyFont="1" applyFill="1" applyProtection="1"/>
    <xf numFmtId="0" fontId="15" fillId="3" borderId="4" xfId="28" applyNumberFormat="1" applyFont="1" applyFill="1" applyBorder="1" applyAlignment="1" applyProtection="1"/>
    <xf numFmtId="0" fontId="96" fillId="3" borderId="0" xfId="0" applyFont="1" applyFill="1" applyAlignment="1" applyProtection="1">
      <alignment vertical="top" wrapText="1"/>
    </xf>
    <xf numFmtId="0" fontId="26" fillId="3" borderId="0" xfId="0" applyFont="1" applyFill="1" applyProtection="1"/>
    <xf numFmtId="0" fontId="15" fillId="3" borderId="0" xfId="0" applyFont="1" applyFill="1" applyAlignment="1" applyProtection="1">
      <alignment vertical="top"/>
    </xf>
    <xf numFmtId="0" fontId="96" fillId="3" borderId="0" xfId="0" applyFont="1" applyFill="1" applyAlignment="1" applyProtection="1">
      <alignment vertical="top"/>
    </xf>
    <xf numFmtId="0" fontId="22" fillId="7" borderId="0" xfId="0" applyFont="1" applyFill="1" applyAlignment="1" applyProtection="1">
      <alignment vertical="top"/>
    </xf>
    <xf numFmtId="0" fontId="15" fillId="3" borderId="0" xfId="0" applyFont="1" applyFill="1" applyAlignment="1" applyProtection="1">
      <alignment vertical="top" wrapText="1"/>
    </xf>
    <xf numFmtId="0" fontId="5" fillId="3" borderId="1" xfId="0" applyFont="1" applyFill="1" applyBorder="1" applyAlignment="1" applyProtection="1">
      <alignment horizontal="left" vertical="top" wrapText="1"/>
    </xf>
    <xf numFmtId="0" fontId="5" fillId="3" borderId="1" xfId="0" applyFont="1" applyFill="1" applyBorder="1" applyAlignment="1" applyProtection="1">
      <alignment horizontal="center" vertical="top" wrapText="1"/>
    </xf>
    <xf numFmtId="0" fontId="15" fillId="3" borderId="1" xfId="0" applyFont="1" applyFill="1" applyBorder="1" applyAlignment="1" applyProtection="1">
      <alignment horizontal="center" vertical="top" wrapText="1"/>
    </xf>
    <xf numFmtId="0" fontId="15" fillId="3" borderId="1" xfId="0" applyFont="1" applyFill="1" applyBorder="1" applyAlignment="1" applyProtection="1">
      <alignment horizontal="left" vertical="top" wrapText="1"/>
    </xf>
    <xf numFmtId="3" fontId="15" fillId="0" borderId="1" xfId="0" applyNumberFormat="1" applyFont="1" applyFill="1" applyBorder="1" applyAlignment="1" applyProtection="1">
      <alignment horizontal="right" vertical="top" wrapText="1"/>
      <protection locked="0"/>
    </xf>
    <xf numFmtId="3" fontId="15" fillId="3" borderId="1" xfId="0" applyNumberFormat="1" applyFont="1" applyFill="1" applyBorder="1" applyAlignment="1" applyProtection="1">
      <alignment horizontal="right" vertical="top" wrapText="1"/>
    </xf>
    <xf numFmtId="3" fontId="15" fillId="3" borderId="1" xfId="0" applyNumberFormat="1" applyFont="1" applyFill="1" applyBorder="1" applyAlignment="1" applyProtection="1">
      <alignment horizontal="center" wrapText="1"/>
    </xf>
    <xf numFmtId="0" fontId="15" fillId="3" borderId="0" xfId="0" applyFont="1" applyFill="1" applyBorder="1" applyAlignment="1" applyProtection="1">
      <alignment horizontal="left" vertical="top" wrapText="1"/>
    </xf>
    <xf numFmtId="3" fontId="15" fillId="3" borderId="0" xfId="0" applyNumberFormat="1" applyFont="1" applyFill="1" applyBorder="1" applyAlignment="1" applyProtection="1">
      <alignment horizontal="right" vertical="top" wrapText="1"/>
    </xf>
    <xf numFmtId="3" fontId="15" fillId="3" borderId="1" xfId="0" applyNumberFormat="1" applyFont="1" applyFill="1" applyBorder="1" applyAlignment="1" applyProtection="1">
      <alignment horizontal="right" vertical="center" wrapText="1"/>
    </xf>
    <xf numFmtId="0" fontId="0" fillId="3" borderId="1" xfId="0" applyFill="1" applyBorder="1" applyAlignment="1" applyProtection="1">
      <alignment horizontal="center" vertical="top" wrapText="1"/>
    </xf>
    <xf numFmtId="0" fontId="0" fillId="3" borderId="1" xfId="0" applyFill="1" applyBorder="1" applyAlignment="1" applyProtection="1">
      <alignment horizontal="left" vertical="top" wrapText="1"/>
    </xf>
    <xf numFmtId="3" fontId="0" fillId="3" borderId="1" xfId="0" applyNumberFormat="1" applyFill="1" applyBorder="1" applyAlignment="1" applyProtection="1">
      <alignment horizontal="right" vertical="top" wrapText="1"/>
    </xf>
    <xf numFmtId="3" fontId="0" fillId="3" borderId="0" xfId="0" applyNumberFormat="1" applyFill="1" applyAlignment="1" applyProtection="1">
      <alignment horizontal="right" vertical="top" wrapText="1"/>
    </xf>
    <xf numFmtId="3" fontId="0" fillId="3" borderId="1" xfId="0" applyNumberFormat="1" applyFill="1" applyBorder="1" applyAlignment="1" applyProtection="1">
      <alignment horizontal="center" wrapText="1"/>
    </xf>
    <xf numFmtId="0" fontId="0" fillId="3" borderId="0" xfId="0" applyFill="1" applyAlignment="1" applyProtection="1">
      <alignment horizontal="center" wrapText="1"/>
    </xf>
    <xf numFmtId="0" fontId="0" fillId="3" borderId="0" xfId="0" applyFill="1" applyBorder="1" applyAlignment="1" applyProtection="1">
      <alignment horizontal="left" vertical="top" wrapText="1"/>
    </xf>
    <xf numFmtId="3" fontId="0" fillId="3" borderId="0" xfId="0" applyNumberFormat="1" applyFill="1" applyBorder="1" applyAlignment="1" applyProtection="1">
      <alignment horizontal="right" vertical="top" wrapText="1"/>
    </xf>
    <xf numFmtId="0" fontId="96" fillId="3" borderId="0" xfId="0" applyFont="1" applyFill="1" applyAlignment="1" applyProtection="1">
      <alignment horizontal="left" vertical="top" wrapText="1"/>
    </xf>
    <xf numFmtId="0" fontId="13" fillId="3" borderId="0" xfId="0" applyFont="1" applyFill="1" applyProtection="1"/>
    <xf numFmtId="49" fontId="22" fillId="7" borderId="20" xfId="0" applyNumberFormat="1" applyFont="1" applyFill="1" applyBorder="1" applyAlignment="1" applyProtection="1">
      <alignment horizontal="center" wrapText="1"/>
    </xf>
    <xf numFmtId="49" fontId="22" fillId="7" borderId="21" xfId="0" applyNumberFormat="1" applyFont="1" applyFill="1" applyBorder="1" applyAlignment="1" applyProtection="1">
      <alignment horizontal="center" wrapText="1"/>
    </xf>
    <xf numFmtId="49" fontId="22" fillId="3" borderId="0" xfId="0" applyNumberFormat="1" applyFont="1" applyFill="1" applyBorder="1" applyAlignment="1" applyProtection="1">
      <alignment horizontal="center" wrapText="1"/>
    </xf>
    <xf numFmtId="0" fontId="22" fillId="7" borderId="1" xfId="0" applyFont="1" applyFill="1" applyBorder="1" applyAlignment="1" applyProtection="1">
      <alignment horizontal="center"/>
    </xf>
    <xf numFmtId="0" fontId="0" fillId="3" borderId="2" xfId="0" applyFill="1" applyBorder="1" applyAlignment="1" applyProtection="1"/>
    <xf numFmtId="169" fontId="15" fillId="3" borderId="0" xfId="33" applyNumberFormat="1" applyFill="1" applyProtection="1"/>
    <xf numFmtId="186" fontId="0" fillId="3" borderId="0" xfId="0" applyNumberFormat="1" applyFill="1" applyProtection="1"/>
    <xf numFmtId="0" fontId="5" fillId="3" borderId="0" xfId="0" applyFont="1" applyFill="1" applyAlignment="1" applyProtection="1">
      <alignment horizontal="left" indent="2"/>
    </xf>
    <xf numFmtId="0" fontId="0" fillId="3" borderId="0" xfId="0" applyFill="1" applyAlignment="1" applyProtection="1">
      <alignment horizontal="left" indent="2"/>
    </xf>
    <xf numFmtId="0" fontId="15" fillId="3" borderId="0" xfId="0" applyFont="1" applyFill="1" applyAlignment="1" applyProtection="1">
      <alignment horizontal="left" indent="2"/>
    </xf>
    <xf numFmtId="37" fontId="0" fillId="3" borderId="0" xfId="0" applyNumberFormat="1" applyFill="1" applyProtection="1"/>
    <xf numFmtId="0" fontId="5" fillId="3" borderId="1" xfId="0" applyFont="1" applyFill="1" applyBorder="1" applyAlignment="1" applyProtection="1"/>
    <xf numFmtId="37" fontId="0" fillId="3" borderId="1" xfId="0" applyNumberFormat="1" applyFont="1" applyFill="1" applyBorder="1" applyAlignment="1" applyProtection="1"/>
    <xf numFmtId="0" fontId="19" fillId="3" borderId="0" xfId="0" applyFont="1" applyFill="1" applyAlignment="1" applyProtection="1">
      <alignment horizontal="center" vertical="center"/>
    </xf>
    <xf numFmtId="37" fontId="19" fillId="3" borderId="0" xfId="0" applyNumberFormat="1" applyFont="1" applyFill="1" applyAlignment="1" applyProtection="1">
      <alignment horizontal="center" vertical="center"/>
    </xf>
    <xf numFmtId="0" fontId="0" fillId="3" borderId="1" xfId="0" applyFont="1" applyFill="1" applyBorder="1" applyAlignment="1" applyProtection="1">
      <alignment horizontal="center" wrapText="1"/>
    </xf>
    <xf numFmtId="0" fontId="0" fillId="3" borderId="1" xfId="0" applyFont="1" applyFill="1" applyBorder="1" applyAlignment="1" applyProtection="1">
      <alignment horizontal="left" wrapText="1"/>
    </xf>
    <xf numFmtId="0" fontId="28" fillId="3" borderId="1" xfId="0" applyFont="1" applyFill="1" applyBorder="1" applyAlignment="1" applyProtection="1">
      <alignment horizontal="center" wrapText="1"/>
    </xf>
    <xf numFmtId="0" fontId="0" fillId="0" borderId="1" xfId="0" applyFont="1" applyFill="1" applyBorder="1" applyAlignment="1" applyProtection="1">
      <alignment horizontal="center" wrapText="1"/>
      <protection locked="0"/>
    </xf>
    <xf numFmtId="0" fontId="28" fillId="0" borderId="1" xfId="0" applyFont="1" applyFill="1" applyBorder="1" applyAlignment="1" applyProtection="1">
      <alignment horizontal="center" wrapText="1"/>
      <protection locked="0"/>
    </xf>
    <xf numFmtId="0" fontId="15" fillId="0" borderId="1" xfId="0" applyFont="1" applyFill="1" applyBorder="1" applyAlignment="1" applyProtection="1">
      <alignment horizontal="left" wrapText="1"/>
      <protection locked="0"/>
    </xf>
    <xf numFmtId="37" fontId="0" fillId="0" borderId="1" xfId="0" applyNumberFormat="1" applyFont="1" applyBorder="1" applyAlignment="1" applyProtection="1">
      <protection locked="0"/>
    </xf>
    <xf numFmtId="0" fontId="0" fillId="0" borderId="1" xfId="0" applyFill="1" applyBorder="1" applyAlignment="1" applyProtection="1">
      <alignment horizontal="left" wrapText="1"/>
      <protection locked="0"/>
    </xf>
    <xf numFmtId="37" fontId="0" fillId="0" borderId="1" xfId="0" applyNumberFormat="1" applyBorder="1" applyAlignment="1" applyProtection="1">
      <protection locked="0"/>
    </xf>
    <xf numFmtId="0" fontId="0" fillId="0" borderId="1" xfId="0" applyFont="1" applyFill="1" applyBorder="1" applyAlignment="1" applyProtection="1">
      <alignment horizontal="left" wrapText="1"/>
      <protection locked="0"/>
    </xf>
    <xf numFmtId="0" fontId="9" fillId="3" borderId="2" xfId="45" applyNumberFormat="1" applyFont="1" applyFill="1" applyBorder="1" applyAlignment="1" applyProtection="1">
      <alignment horizontal="center"/>
    </xf>
    <xf numFmtId="0" fontId="6" fillId="3" borderId="0" xfId="0" applyFont="1" applyFill="1" applyAlignment="1" applyProtection="1">
      <alignment horizontal="left"/>
      <protection hidden="1"/>
    </xf>
    <xf numFmtId="0" fontId="9" fillId="3" borderId="2" xfId="0" applyFont="1" applyFill="1" applyBorder="1" applyProtection="1">
      <protection hidden="1"/>
    </xf>
    <xf numFmtId="0" fontId="9" fillId="3" borderId="8" xfId="0" applyNumberFormat="1" applyFont="1" applyFill="1" applyBorder="1" applyAlignment="1" applyProtection="1">
      <alignment horizontal="center"/>
      <protection hidden="1"/>
    </xf>
    <xf numFmtId="0" fontId="16" fillId="3" borderId="0" xfId="0" applyFont="1" applyFill="1" applyAlignment="1" applyProtection="1">
      <alignment horizontal="center" vertical="top" wrapText="1"/>
    </xf>
    <xf numFmtId="0" fontId="9" fillId="3" borderId="0" xfId="0" applyFont="1" applyFill="1" applyBorder="1" applyProtection="1"/>
    <xf numFmtId="0" fontId="9" fillId="3" borderId="0" xfId="0" applyFont="1" applyFill="1" applyAlignment="1" applyProtection="1">
      <alignment horizontal="left"/>
    </xf>
    <xf numFmtId="0" fontId="9" fillId="3" borderId="0" xfId="0" applyFont="1" applyFill="1" applyAlignment="1" applyProtection="1">
      <alignment horizontal="left" vertical="top" wrapText="1"/>
    </xf>
    <xf numFmtId="0" fontId="44" fillId="3" borderId="0" xfId="0" applyFont="1" applyFill="1" applyAlignment="1" applyProtection="1">
      <alignment horizontal="center" wrapText="1"/>
    </xf>
    <xf numFmtId="0" fontId="9" fillId="3" borderId="2" xfId="45" applyFont="1" applyFill="1" applyBorder="1" applyProtection="1"/>
    <xf numFmtId="0" fontId="16" fillId="3" borderId="0" xfId="0" applyFont="1" applyFill="1" applyAlignment="1" applyProtection="1">
      <alignment horizontal="center" vertical="top" wrapText="1"/>
    </xf>
    <xf numFmtId="0" fontId="9" fillId="3" borderId="0" xfId="0" applyFont="1" applyFill="1" applyAlignment="1" applyProtection="1">
      <alignment horizontal="left" vertical="top" wrapText="1"/>
    </xf>
    <xf numFmtId="3" fontId="61" fillId="61" borderId="0" xfId="53" applyNumberFormat="1" applyFont="1" applyFill="1" applyBorder="1" applyAlignment="1"/>
    <xf numFmtId="169" fontId="16" fillId="3" borderId="1" xfId="28" applyNumberFormat="1" applyFont="1" applyFill="1" applyBorder="1" applyAlignment="1" applyProtection="1">
      <alignment wrapText="1"/>
    </xf>
    <xf numFmtId="0" fontId="6" fillId="3" borderId="0" xfId="0" applyFont="1" applyFill="1" applyAlignment="1" applyProtection="1">
      <alignment horizontal="left" vertical="top"/>
    </xf>
    <xf numFmtId="0" fontId="44" fillId="3" borderId="74" xfId="0" applyFont="1" applyFill="1" applyBorder="1" applyAlignment="1" applyProtection="1">
      <alignment horizontal="left" vertical="top" wrapText="1"/>
    </xf>
    <xf numFmtId="0" fontId="9" fillId="3" borderId="74" xfId="0" applyFont="1" applyFill="1" applyBorder="1" applyAlignment="1" applyProtection="1">
      <alignment horizontal="left" vertical="top"/>
    </xf>
    <xf numFmtId="0" fontId="9" fillId="3" borderId="74" xfId="0" applyFont="1" applyFill="1" applyBorder="1" applyAlignment="1" applyProtection="1">
      <alignment horizontal="left" vertical="top" wrapText="1"/>
    </xf>
    <xf numFmtId="3" fontId="44" fillId="3" borderId="74" xfId="0" applyNumberFormat="1" applyFont="1" applyFill="1" applyBorder="1" applyAlignment="1" applyProtection="1">
      <alignment horizontal="right" vertical="top" wrapText="1"/>
    </xf>
    <xf numFmtId="0" fontId="44" fillId="3" borderId="74" xfId="0" applyFont="1" applyFill="1" applyBorder="1" applyAlignment="1" applyProtection="1">
      <alignment horizontal="center" wrapText="1"/>
    </xf>
    <xf numFmtId="3" fontId="16" fillId="3" borderId="31" xfId="0" applyNumberFormat="1" applyFont="1" applyFill="1" applyBorder="1" applyAlignment="1" applyProtection="1">
      <alignment horizontal="right" vertical="top" wrapText="1"/>
    </xf>
    <xf numFmtId="0" fontId="44" fillId="3" borderId="74" xfId="0" applyFont="1" applyFill="1" applyBorder="1" applyAlignment="1" applyProtection="1">
      <alignment horizontal="right" vertical="top" wrapText="1"/>
    </xf>
    <xf numFmtId="0" fontId="17" fillId="3" borderId="55" xfId="0" applyFont="1" applyFill="1" applyBorder="1" applyAlignment="1" applyProtection="1"/>
    <xf numFmtId="0" fontId="44" fillId="3" borderId="55" xfId="0" applyFont="1" applyFill="1" applyBorder="1" applyProtection="1"/>
    <xf numFmtId="3" fontId="16" fillId="3" borderId="1" xfId="0" applyNumberFormat="1" applyFont="1" applyFill="1" applyBorder="1" applyProtection="1"/>
    <xf numFmtId="0" fontId="16" fillId="3" borderId="55" xfId="0" applyFont="1" applyFill="1" applyBorder="1" applyAlignment="1" applyProtection="1">
      <alignment horizontal="left" vertical="center"/>
    </xf>
    <xf numFmtId="2" fontId="17" fillId="3" borderId="74" xfId="0" applyNumberFormat="1" applyFont="1" applyFill="1" applyBorder="1" applyAlignment="1" applyProtection="1">
      <alignment horizontal="left"/>
    </xf>
    <xf numFmtId="0" fontId="44" fillId="3" borderId="74" xfId="0" applyFont="1" applyFill="1" applyBorder="1" applyProtection="1"/>
    <xf numFmtId="0" fontId="44" fillId="3" borderId="74" xfId="0" applyFont="1" applyFill="1" applyBorder="1" applyAlignment="1" applyProtection="1">
      <alignment horizontal="center"/>
    </xf>
    <xf numFmtId="193" fontId="44" fillId="3" borderId="74" xfId="37" applyNumberFormat="1" applyFont="1" applyFill="1" applyBorder="1" applyProtection="1"/>
    <xf numFmtId="9" fontId="44" fillId="3" borderId="0" xfId="58" applyFont="1" applyFill="1" applyAlignment="1" applyProtection="1">
      <alignment horizontal="center" vertical="top" wrapText="1"/>
    </xf>
    <xf numFmtId="3" fontId="16" fillId="3" borderId="0" xfId="0" applyNumberFormat="1" applyFont="1" applyFill="1" applyBorder="1" applyAlignment="1" applyProtection="1">
      <alignment horizontal="right" vertical="top" wrapText="1"/>
    </xf>
    <xf numFmtId="37" fontId="16" fillId="3" borderId="44" xfId="28" applyNumberFormat="1" applyFont="1" applyFill="1" applyBorder="1" applyProtection="1"/>
    <xf numFmtId="41" fontId="16" fillId="3" borderId="1" xfId="28" applyNumberFormat="1" applyFont="1" applyFill="1" applyBorder="1" applyProtection="1"/>
    <xf numFmtId="171" fontId="16" fillId="3" borderId="1" xfId="0" applyNumberFormat="1" applyFont="1" applyFill="1" applyBorder="1"/>
    <xf numFmtId="37" fontId="16" fillId="3" borderId="0" xfId="29" applyNumberFormat="1" applyFont="1" applyFill="1" applyBorder="1" applyProtection="1"/>
    <xf numFmtId="0" fontId="119" fillId="3" borderId="0" xfId="0" quotePrefix="1" applyNumberFormat="1" applyFont="1" applyFill="1" applyBorder="1" applyAlignment="1" applyProtection="1">
      <alignment horizontal="left"/>
    </xf>
    <xf numFmtId="37" fontId="16" fillId="3" borderId="1" xfId="28" applyNumberFormat="1" applyFont="1" applyFill="1" applyBorder="1" applyProtection="1"/>
    <xf numFmtId="0" fontId="4" fillId="0" borderId="0" xfId="55" applyNumberFormat="1" applyFont="1" applyFill="1" applyBorder="1" applyAlignment="1"/>
    <xf numFmtId="0" fontId="9" fillId="3" borderId="0" xfId="0" applyFont="1" applyFill="1" applyBorder="1" applyProtection="1"/>
    <xf numFmtId="0" fontId="16" fillId="3" borderId="26" xfId="0" applyFont="1" applyFill="1" applyBorder="1" applyAlignment="1">
      <alignment horizontal="center"/>
    </xf>
    <xf numFmtId="0" fontId="66" fillId="3" borderId="0" xfId="0" applyFont="1" applyFill="1" applyBorder="1" applyAlignment="1" applyProtection="1">
      <alignment horizontal="center" wrapText="1"/>
    </xf>
    <xf numFmtId="0" fontId="66" fillId="3" borderId="0" xfId="0" applyFont="1" applyFill="1" applyBorder="1" applyAlignment="1" applyProtection="1">
      <alignment horizontal="center" vertical="top" wrapText="1"/>
    </xf>
    <xf numFmtId="0" fontId="66" fillId="3" borderId="24" xfId="0" applyFont="1" applyFill="1" applyBorder="1" applyAlignment="1" applyProtection="1">
      <alignment horizontal="left" vertical="top" wrapText="1"/>
    </xf>
    <xf numFmtId="0" fontId="67" fillId="3" borderId="16" xfId="0" applyFont="1" applyFill="1" applyBorder="1" applyAlignment="1" applyProtection="1">
      <alignment horizontal="left" vertical="top" wrapText="1"/>
    </xf>
    <xf numFmtId="0" fontId="66" fillId="3" borderId="16" xfId="0" applyFont="1" applyFill="1" applyBorder="1" applyAlignment="1" applyProtection="1">
      <alignment horizontal="center" wrapText="1"/>
    </xf>
    <xf numFmtId="0" fontId="21" fillId="3" borderId="25" xfId="0" applyFont="1" applyFill="1" applyBorder="1" applyProtection="1"/>
    <xf numFmtId="0" fontId="66" fillId="3" borderId="17" xfId="0" applyFont="1" applyFill="1" applyBorder="1" applyAlignment="1" applyProtection="1">
      <alignment horizontal="left" vertical="top" wrapText="1"/>
    </xf>
    <xf numFmtId="0" fontId="66" fillId="3" borderId="0" xfId="0" applyFont="1" applyFill="1" applyBorder="1" applyAlignment="1" applyProtection="1">
      <alignment horizontal="left" vertical="top" wrapText="1"/>
    </xf>
    <xf numFmtId="0" fontId="66" fillId="3" borderId="1" xfId="0" applyFont="1" applyFill="1" applyBorder="1" applyAlignment="1" applyProtection="1">
      <alignment horizontal="right" vertical="top" wrapText="1"/>
    </xf>
    <xf numFmtId="169" fontId="66" fillId="3" borderId="1" xfId="28" applyNumberFormat="1" applyFont="1" applyFill="1" applyBorder="1" applyAlignment="1" applyProtection="1">
      <alignment horizontal="right" vertical="top" wrapText="1"/>
    </xf>
    <xf numFmtId="0" fontId="21" fillId="3" borderId="9" xfId="0" applyFont="1" applyFill="1" applyBorder="1" applyProtection="1"/>
    <xf numFmtId="0" fontId="67" fillId="3" borderId="0" xfId="0" applyFont="1" applyFill="1" applyBorder="1" applyAlignment="1" applyProtection="1">
      <alignment horizontal="left" vertical="top" wrapText="1"/>
    </xf>
    <xf numFmtId="0" fontId="66" fillId="3" borderId="17" xfId="0" applyFont="1" applyFill="1" applyBorder="1" applyAlignment="1" applyProtection="1">
      <alignment horizontal="center" wrapText="1"/>
    </xf>
    <xf numFmtId="169" fontId="66" fillId="3" borderId="0" xfId="28" applyNumberFormat="1" applyFont="1" applyFill="1" applyBorder="1" applyAlignment="1" applyProtection="1">
      <alignment horizontal="center" wrapText="1"/>
    </xf>
    <xf numFmtId="169" fontId="66" fillId="0" borderId="1" xfId="28" applyNumberFormat="1" applyFont="1" applyFill="1" applyBorder="1" applyAlignment="1" applyProtection="1">
      <alignment horizontal="right" vertical="top" wrapText="1"/>
      <protection locked="0"/>
    </xf>
    <xf numFmtId="0" fontId="120" fillId="3" borderId="17" xfId="0" applyFont="1" applyFill="1" applyBorder="1" applyAlignment="1" applyProtection="1">
      <alignment horizontal="center" wrapText="1"/>
    </xf>
    <xf numFmtId="0" fontId="120" fillId="3" borderId="0" xfId="0" applyFont="1" applyFill="1" applyBorder="1" applyAlignment="1" applyProtection="1">
      <alignment horizontal="center" wrapText="1"/>
    </xf>
    <xf numFmtId="0" fontId="4" fillId="3" borderId="0" xfId="0" applyFont="1" applyFill="1" applyProtection="1"/>
    <xf numFmtId="0" fontId="66" fillId="3" borderId="36" xfId="0" applyFont="1" applyFill="1" applyBorder="1" applyAlignment="1" applyProtection="1">
      <alignment horizontal="center" vertical="top" wrapText="1"/>
    </xf>
    <xf numFmtId="0" fontId="66" fillId="3" borderId="37" xfId="0" applyFont="1" applyFill="1" applyBorder="1" applyAlignment="1" applyProtection="1">
      <alignment horizontal="center" vertical="top" wrapText="1"/>
    </xf>
    <xf numFmtId="0" fontId="66" fillId="3" borderId="38" xfId="0" applyFont="1" applyFill="1" applyBorder="1" applyAlignment="1" applyProtection="1">
      <alignment horizontal="center" wrapText="1"/>
    </xf>
    <xf numFmtId="0" fontId="66" fillId="3" borderId="30" xfId="0" applyFont="1" applyFill="1" applyBorder="1" applyAlignment="1" applyProtection="1">
      <alignment horizontal="center" wrapText="1"/>
    </xf>
    <xf numFmtId="0" fontId="67" fillId="3" borderId="38" xfId="0" applyFont="1" applyFill="1" applyBorder="1" applyAlignment="1" applyProtection="1">
      <alignment horizontal="left" vertical="top" wrapText="1"/>
    </xf>
    <xf numFmtId="0" fontId="67" fillId="3" borderId="30" xfId="0" applyFont="1" applyFill="1" applyBorder="1" applyAlignment="1" applyProtection="1">
      <alignment vertical="center" wrapText="1"/>
    </xf>
    <xf numFmtId="0" fontId="66" fillId="3" borderId="30" xfId="0" applyFont="1" applyFill="1" applyBorder="1" applyAlignment="1" applyProtection="1">
      <alignment vertical="center" wrapText="1"/>
    </xf>
    <xf numFmtId="0" fontId="66" fillId="3" borderId="39" xfId="0" applyFont="1" applyFill="1" applyBorder="1" applyAlignment="1" applyProtection="1">
      <alignment vertical="center" wrapText="1"/>
    </xf>
    <xf numFmtId="0" fontId="66" fillId="3" borderId="38" xfId="0" applyFont="1" applyFill="1" applyBorder="1" applyAlignment="1" applyProtection="1">
      <alignment horizontal="left" vertical="top" wrapText="1"/>
    </xf>
    <xf numFmtId="196" fontId="66" fillId="0" borderId="30" xfId="28" applyNumberFormat="1" applyFont="1" applyFill="1" applyBorder="1" applyAlignment="1" applyProtection="1">
      <alignment vertical="center" wrapText="1"/>
      <protection locked="0"/>
    </xf>
    <xf numFmtId="196" fontId="66" fillId="3" borderId="39" xfId="28" applyNumberFormat="1" applyFont="1" applyFill="1" applyBorder="1" applyAlignment="1" applyProtection="1">
      <alignment vertical="center" wrapText="1"/>
    </xf>
    <xf numFmtId="175" fontId="66" fillId="3" borderId="38" xfId="0" applyNumberFormat="1" applyFont="1" applyFill="1" applyBorder="1" applyAlignment="1" applyProtection="1">
      <alignment horizontal="left" vertical="top" wrapText="1"/>
    </xf>
    <xf numFmtId="196" fontId="66" fillId="3" borderId="30" xfId="28" applyNumberFormat="1" applyFont="1" applyFill="1" applyBorder="1" applyAlignment="1" applyProtection="1">
      <alignment vertical="center" wrapText="1"/>
    </xf>
    <xf numFmtId="0" fontId="66" fillId="0" borderId="30" xfId="0" applyFont="1" applyFill="1" applyBorder="1" applyAlignment="1" applyProtection="1">
      <alignment vertical="center" wrapText="1"/>
      <protection locked="0"/>
    </xf>
    <xf numFmtId="175" fontId="67" fillId="3" borderId="38" xfId="0" applyNumberFormat="1" applyFont="1" applyFill="1" applyBorder="1" applyAlignment="1" applyProtection="1">
      <alignment horizontal="left" vertical="top" wrapText="1"/>
    </xf>
    <xf numFmtId="3" fontId="66" fillId="3" borderId="30" xfId="28" quotePrefix="1" applyNumberFormat="1" applyFont="1" applyFill="1" applyBorder="1" applyAlignment="1" applyProtection="1">
      <alignment vertical="center" wrapText="1"/>
    </xf>
    <xf numFmtId="0" fontId="21" fillId="3" borderId="0" xfId="0" applyFont="1" applyFill="1" applyAlignment="1">
      <alignment horizontal="center" wrapText="1"/>
    </xf>
    <xf numFmtId="0" fontId="20" fillId="3" borderId="0" xfId="0" applyFont="1" applyFill="1" applyAlignment="1">
      <alignment horizontal="left" vertical="top" wrapText="1"/>
    </xf>
    <xf numFmtId="0" fontId="66" fillId="3" borderId="1" xfId="0" applyFont="1" applyFill="1" applyBorder="1" applyAlignment="1">
      <alignment horizontal="left"/>
    </xf>
    <xf numFmtId="196" fontId="21" fillId="3" borderId="0" xfId="28" applyNumberFormat="1" applyFont="1" applyFill="1" applyAlignment="1">
      <alignment horizontal="center" wrapText="1"/>
    </xf>
    <xf numFmtId="0" fontId="21" fillId="3" borderId="0" xfId="0" applyFont="1" applyFill="1" applyAlignment="1">
      <alignment horizontal="left" vertical="top" wrapText="1"/>
    </xf>
    <xf numFmtId="196" fontId="21" fillId="3" borderId="1" xfId="28" applyNumberFormat="1" applyFont="1" applyFill="1" applyBorder="1" applyAlignment="1">
      <alignment horizontal="right" vertical="top" wrapText="1"/>
    </xf>
    <xf numFmtId="196" fontId="21" fillId="3" borderId="0" xfId="28" applyNumberFormat="1" applyFont="1" applyFill="1" applyBorder="1" applyAlignment="1">
      <alignment horizontal="center" wrapText="1"/>
    </xf>
    <xf numFmtId="0" fontId="21" fillId="0" borderId="1" xfId="0" applyFont="1" applyFill="1" applyBorder="1" applyAlignment="1" applyProtection="1">
      <alignment horizontal="left" vertical="top" wrapText="1"/>
      <protection locked="0"/>
    </xf>
    <xf numFmtId="196" fontId="21" fillId="4" borderId="1" xfId="28" applyNumberFormat="1" applyFont="1" applyFill="1" applyBorder="1" applyAlignment="1" applyProtection="1">
      <alignment horizontal="right" vertical="top" wrapText="1"/>
      <protection locked="0"/>
    </xf>
    <xf numFmtId="2" fontId="21" fillId="3" borderId="0" xfId="0" applyNumberFormat="1" applyFont="1" applyFill="1" applyAlignment="1">
      <alignment horizontal="left" vertical="top" wrapText="1"/>
    </xf>
    <xf numFmtId="196" fontId="21" fillId="0" borderId="1" xfId="28" applyNumberFormat="1" applyFont="1" applyFill="1" applyBorder="1" applyAlignment="1" applyProtection="1">
      <alignment horizontal="right" vertical="top" wrapText="1"/>
      <protection locked="0"/>
    </xf>
    <xf numFmtId="196" fontId="21" fillId="0" borderId="1" xfId="28" applyNumberFormat="1" applyFont="1" applyFill="1" applyBorder="1" applyAlignment="1">
      <alignment horizontal="right" vertical="top" wrapText="1"/>
    </xf>
    <xf numFmtId="196" fontId="21" fillId="3" borderId="0" xfId="28" applyNumberFormat="1" applyFont="1" applyFill="1" applyBorder="1" applyAlignment="1">
      <alignment horizontal="right" vertical="top" wrapText="1"/>
    </xf>
    <xf numFmtId="2" fontId="20" fillId="3" borderId="0" xfId="0" applyNumberFormat="1" applyFont="1" applyFill="1" applyAlignment="1">
      <alignment horizontal="left" vertical="top" wrapText="1"/>
    </xf>
    <xf numFmtId="3" fontId="21" fillId="3" borderId="1" xfId="0" applyNumberFormat="1" applyFont="1" applyFill="1" applyBorder="1" applyAlignment="1">
      <alignment horizontal="right" vertical="top" wrapText="1"/>
    </xf>
    <xf numFmtId="0" fontId="9" fillId="4" borderId="6" xfId="0" applyFont="1" applyFill="1" applyBorder="1" applyProtection="1">
      <protection locked="0"/>
    </xf>
    <xf numFmtId="3" fontId="9" fillId="4" borderId="6" xfId="0" applyNumberFormat="1" applyFont="1" applyFill="1" applyBorder="1" applyAlignment="1" applyProtection="1">
      <alignment horizontal="right"/>
      <protection locked="0"/>
    </xf>
    <xf numFmtId="0" fontId="16" fillId="3" borderId="6" xfId="0" applyFont="1" applyFill="1" applyBorder="1" applyAlignment="1" applyProtection="1">
      <alignment horizontal="left"/>
    </xf>
    <xf numFmtId="0" fontId="9" fillId="3" borderId="0" xfId="0" applyNumberFormat="1" applyFont="1" applyFill="1" applyBorder="1" applyAlignment="1" applyProtection="1">
      <alignment horizontal="left" wrapText="1"/>
    </xf>
    <xf numFmtId="0" fontId="9" fillId="3" borderId="9" xfId="0" applyNumberFormat="1" applyFont="1" applyFill="1" applyBorder="1" applyAlignment="1" applyProtection="1">
      <alignment horizontal="right" wrapText="1"/>
    </xf>
    <xf numFmtId="0" fontId="9" fillId="3" borderId="19" xfId="0" applyNumberFormat="1" applyFont="1" applyFill="1" applyBorder="1" applyAlignment="1" applyProtection="1">
      <alignment horizontal="center" wrapText="1"/>
    </xf>
    <xf numFmtId="185" fontId="16" fillId="3" borderId="1" xfId="36" applyFont="1" applyFill="1" applyBorder="1" applyProtection="1">
      <alignment horizontal="center" vertical="top"/>
    </xf>
    <xf numFmtId="185" fontId="63" fillId="2" borderId="19" xfId="36" applyFont="1" applyBorder="1" applyProtection="1">
      <alignment horizontal="center" vertical="top"/>
    </xf>
    <xf numFmtId="185" fontId="63" fillId="2" borderId="1" xfId="36" applyFont="1" applyBorder="1" applyProtection="1">
      <alignment horizontal="center" vertical="top"/>
    </xf>
    <xf numFmtId="0" fontId="9" fillId="3" borderId="31" xfId="0" applyNumberFormat="1" applyFont="1" applyFill="1" applyBorder="1" applyAlignment="1" applyProtection="1">
      <alignment horizontal="center" wrapText="1"/>
    </xf>
    <xf numFmtId="0" fontId="9" fillId="3" borderId="31" xfId="0" applyNumberFormat="1" applyFont="1" applyFill="1" applyBorder="1" applyAlignment="1" applyProtection="1">
      <alignment horizontal="left" wrapText="1"/>
    </xf>
    <xf numFmtId="185" fontId="16" fillId="2" borderId="18" xfId="36" applyFont="1" applyBorder="1" applyProtection="1">
      <alignment horizontal="center" vertical="top"/>
    </xf>
    <xf numFmtId="3" fontId="9" fillId="0" borderId="1" xfId="0" applyNumberFormat="1" applyFont="1" applyBorder="1" applyProtection="1">
      <protection locked="0"/>
    </xf>
    <xf numFmtId="185" fontId="16" fillId="2" borderId="6" xfId="36" applyFont="1" applyBorder="1" applyProtection="1">
      <alignment horizontal="center" vertical="top"/>
    </xf>
    <xf numFmtId="185" fontId="16" fillId="2" borderId="1" xfId="36" applyFont="1" applyBorder="1" applyProtection="1">
      <alignment horizontal="center" vertical="top"/>
    </xf>
    <xf numFmtId="185" fontId="16" fillId="3" borderId="0" xfId="36" applyFont="1" applyFill="1" applyBorder="1" applyProtection="1">
      <alignment horizontal="center" vertical="top"/>
    </xf>
    <xf numFmtId="0" fontId="9" fillId="3" borderId="0" xfId="0" applyNumberFormat="1" applyFont="1" applyFill="1" applyBorder="1" applyAlignment="1" applyProtection="1">
      <alignment horizontal="center"/>
    </xf>
    <xf numFmtId="2" fontId="9" fillId="3" borderId="0" xfId="28" applyNumberFormat="1" applyFont="1" applyFill="1" applyAlignment="1" applyProtection="1">
      <alignment horizontal="right" vertical="top"/>
    </xf>
    <xf numFmtId="49" fontId="63" fillId="7" borderId="1" xfId="0" applyNumberFormat="1" applyFont="1" applyFill="1" applyBorder="1" applyAlignment="1" applyProtection="1">
      <alignment horizontal="center" wrapText="1"/>
    </xf>
    <xf numFmtId="0" fontId="9" fillId="3" borderId="1" xfId="0" applyFont="1" applyFill="1" applyBorder="1" applyAlignment="1" applyProtection="1">
      <alignment horizontal="left" wrapText="1"/>
    </xf>
    <xf numFmtId="191" fontId="9" fillId="4" borderId="1" xfId="0" applyNumberFormat="1" applyFont="1" applyFill="1" applyBorder="1" applyProtection="1">
      <protection locked="0"/>
    </xf>
    <xf numFmtId="0" fontId="9" fillId="3" borderId="1" xfId="0" applyFont="1" applyFill="1" applyBorder="1" applyAlignment="1" applyProtection="1">
      <alignment horizontal="left" vertical="center" wrapText="1"/>
    </xf>
    <xf numFmtId="199" fontId="9" fillId="4" borderId="1" xfId="0" applyNumberFormat="1" applyFont="1" applyFill="1" applyBorder="1" applyProtection="1">
      <protection locked="0"/>
    </xf>
    <xf numFmtId="0" fontId="9" fillId="57" borderId="1" xfId="0" applyFont="1" applyFill="1" applyBorder="1" applyAlignment="1" applyProtection="1">
      <alignment horizontal="center" wrapText="1"/>
    </xf>
    <xf numFmtId="174" fontId="63" fillId="2" borderId="6" xfId="35" applyFont="1" applyBorder="1" applyAlignment="1" applyProtection="1">
      <alignment horizontal="center" vertical="top"/>
    </xf>
    <xf numFmtId="174" fontId="63" fillId="2" borderId="19" xfId="35" applyFont="1" applyBorder="1" applyAlignment="1" applyProtection="1">
      <alignment horizontal="center" vertical="top"/>
    </xf>
    <xf numFmtId="0" fontId="9" fillId="0" borderId="1" xfId="0" applyFont="1" applyBorder="1" applyAlignment="1" applyProtection="1">
      <protection locked="0"/>
    </xf>
    <xf numFmtId="37" fontId="9" fillId="56" borderId="1" xfId="0" applyNumberFormat="1" applyFont="1" applyFill="1" applyBorder="1" applyAlignment="1" applyProtection="1"/>
    <xf numFmtId="37" fontId="9" fillId="0" borderId="1" xfId="0" applyNumberFormat="1" applyFont="1" applyBorder="1" applyAlignment="1" applyProtection="1">
      <protection locked="0"/>
    </xf>
    <xf numFmtId="37" fontId="21" fillId="3" borderId="1" xfId="0" applyNumberFormat="1" applyFont="1" applyFill="1" applyBorder="1" applyAlignment="1" applyProtection="1">
      <alignment horizontal="right"/>
    </xf>
    <xf numFmtId="37" fontId="21" fillId="3" borderId="0" xfId="0" applyNumberFormat="1" applyFont="1" applyFill="1" applyAlignment="1" applyProtection="1">
      <alignment horizontal="right"/>
    </xf>
    <xf numFmtId="9" fontId="21" fillId="3" borderId="1" xfId="58" applyFont="1" applyFill="1" applyBorder="1" applyAlignment="1" applyProtection="1">
      <alignment horizontal="right"/>
    </xf>
    <xf numFmtId="37" fontId="20" fillId="3" borderId="1" xfId="45" applyNumberFormat="1" applyFont="1" applyFill="1" applyBorder="1" applyAlignment="1" applyProtection="1">
      <alignment horizontal="right"/>
    </xf>
    <xf numFmtId="37" fontId="21" fillId="3" borderId="1" xfId="45" applyNumberFormat="1" applyFont="1" applyFill="1" applyBorder="1" applyAlignment="1" applyProtection="1">
      <alignment horizontal="right"/>
    </xf>
    <xf numFmtId="3" fontId="21" fillId="0" borderId="1" xfId="0" applyNumberFormat="1" applyFont="1" applyFill="1" applyBorder="1" applyProtection="1">
      <protection locked="0"/>
    </xf>
    <xf numFmtId="37" fontId="20" fillId="3" borderId="1" xfId="0" applyNumberFormat="1" applyFont="1" applyFill="1" applyBorder="1" applyAlignment="1" applyProtection="1">
      <alignment horizontal="right"/>
    </xf>
    <xf numFmtId="39" fontId="21" fillId="3" borderId="2" xfId="0" applyNumberFormat="1" applyFont="1" applyFill="1" applyBorder="1" applyProtection="1"/>
    <xf numFmtId="0" fontId="21" fillId="3" borderId="8" xfId="0" applyNumberFormat="1" applyFont="1" applyFill="1" applyBorder="1" applyAlignment="1" applyProtection="1">
      <alignment horizontal="center"/>
    </xf>
    <xf numFmtId="0" fontId="20" fillId="3" borderId="0" xfId="0" quotePrefix="1" applyFont="1" applyFill="1" applyAlignment="1" applyProtection="1">
      <alignment horizontal="right"/>
    </xf>
    <xf numFmtId="0" fontId="21" fillId="3" borderId="30" xfId="0" applyFont="1" applyFill="1" applyBorder="1" applyAlignment="1" applyProtection="1">
      <alignment horizontal="center" wrapText="1"/>
    </xf>
    <xf numFmtId="0" fontId="21" fillId="3" borderId="30" xfId="0" applyFont="1" applyFill="1" applyBorder="1" applyAlignment="1" applyProtection="1">
      <alignment horizontal="center" vertical="top" wrapText="1"/>
    </xf>
    <xf numFmtId="0" fontId="21" fillId="3" borderId="30" xfId="0" applyFont="1" applyFill="1" applyBorder="1" applyAlignment="1" applyProtection="1">
      <alignment horizontal="left" vertical="top" wrapText="1"/>
    </xf>
    <xf numFmtId="0" fontId="21" fillId="4" borderId="30" xfId="0" applyFont="1" applyFill="1" applyBorder="1" applyAlignment="1" applyProtection="1">
      <alignment horizontal="right" vertical="top" wrapText="1"/>
    </xf>
    <xf numFmtId="0" fontId="21" fillId="3" borderId="30" xfId="0" applyFont="1" applyFill="1" applyBorder="1" applyAlignment="1" applyProtection="1">
      <alignment horizontal="right" vertical="top" wrapText="1"/>
    </xf>
    <xf numFmtId="0" fontId="20" fillId="3" borderId="30" xfId="0" applyFont="1" applyFill="1" applyBorder="1" applyAlignment="1" applyProtection="1">
      <alignment horizontal="left" vertical="top" wrapText="1"/>
    </xf>
    <xf numFmtId="0" fontId="20" fillId="3" borderId="30" xfId="0" applyFont="1" applyFill="1" applyBorder="1" applyAlignment="1" applyProtection="1">
      <alignment horizontal="right" vertical="top" wrapText="1"/>
    </xf>
    <xf numFmtId="0" fontId="16" fillId="3" borderId="0" xfId="0" applyFont="1" applyFill="1" applyBorder="1" applyAlignment="1" applyProtection="1">
      <alignment horizontal="center" wrapText="1"/>
    </xf>
    <xf numFmtId="0" fontId="16" fillId="3" borderId="6" xfId="0" applyFont="1" applyFill="1" applyBorder="1" applyAlignment="1" applyProtection="1">
      <alignment wrapText="1"/>
    </xf>
    <xf numFmtId="0" fontId="16" fillId="3" borderId="11" xfId="0" applyFont="1" applyFill="1" applyBorder="1" applyAlignment="1" applyProtection="1">
      <alignment wrapText="1"/>
    </xf>
    <xf numFmtId="0" fontId="16" fillId="3" borderId="19" xfId="0" applyFont="1" applyFill="1" applyBorder="1" applyAlignment="1" applyProtection="1">
      <alignment wrapText="1"/>
    </xf>
    <xf numFmtId="0" fontId="0" fillId="3" borderId="0" xfId="0" applyFill="1" applyBorder="1" applyAlignment="1" applyProtection="1">
      <alignment horizontal="center" wrapText="1"/>
    </xf>
    <xf numFmtId="0" fontId="0" fillId="3" borderId="6" xfId="0" applyFill="1" applyBorder="1" applyAlignment="1" applyProtection="1">
      <alignment horizontal="center"/>
    </xf>
    <xf numFmtId="0" fontId="9" fillId="3" borderId="2" xfId="28" applyNumberFormat="1" applyFont="1" applyFill="1" applyBorder="1" applyAlignment="1" applyProtection="1"/>
    <xf numFmtId="0" fontId="9" fillId="3" borderId="3" xfId="28" applyNumberFormat="1" applyFont="1" applyFill="1" applyBorder="1" applyAlignment="1" applyProtection="1"/>
    <xf numFmtId="0" fontId="9" fillId="3" borderId="3" xfId="0" applyFont="1" applyFill="1" applyBorder="1" applyAlignment="1" applyProtection="1"/>
    <xf numFmtId="0" fontId="9" fillId="3" borderId="4" xfId="0" applyFont="1" applyFill="1" applyBorder="1" applyAlignment="1" applyProtection="1"/>
    <xf numFmtId="0" fontId="16" fillId="3" borderId="10" xfId="0" applyFont="1" applyFill="1" applyBorder="1" applyAlignment="1" applyProtection="1">
      <alignment vertical="top" wrapText="1"/>
    </xf>
    <xf numFmtId="0" fontId="0" fillId="3" borderId="34" xfId="0" applyFill="1" applyBorder="1" applyAlignment="1" applyProtection="1">
      <alignment horizontal="center" wrapText="1"/>
    </xf>
    <xf numFmtId="0" fontId="9" fillId="3" borderId="7" xfId="0" applyFont="1" applyFill="1" applyBorder="1" applyAlignment="1" applyProtection="1">
      <alignment horizontal="center" vertical="center" wrapText="1"/>
    </xf>
    <xf numFmtId="0" fontId="9" fillId="3" borderId="0" xfId="0" applyFont="1" applyFill="1" applyBorder="1" applyAlignment="1" applyProtection="1">
      <alignment vertical="top" wrapText="1"/>
    </xf>
    <xf numFmtId="0" fontId="62" fillId="3" borderId="0" xfId="0" applyFont="1" applyFill="1" applyBorder="1" applyAlignment="1" applyProtection="1">
      <alignment wrapText="1"/>
    </xf>
    <xf numFmtId="0" fontId="9" fillId="3" borderId="0" xfId="0" applyFont="1" applyFill="1" applyAlignment="1" applyProtection="1">
      <alignment horizontal="left"/>
    </xf>
    <xf numFmtId="0" fontId="46" fillId="3" borderId="0" xfId="0" applyFont="1" applyFill="1" applyAlignment="1" applyProtection="1">
      <alignment horizontal="center" vertical="center" wrapText="1"/>
    </xf>
    <xf numFmtId="0" fontId="9" fillId="3" borderId="0" xfId="0" applyFont="1" applyFill="1" applyAlignment="1" applyProtection="1">
      <alignment horizontal="center" vertical="center" wrapText="1"/>
    </xf>
    <xf numFmtId="0" fontId="9" fillId="3" borderId="0" xfId="0" applyFont="1" applyFill="1" applyAlignment="1" applyProtection="1">
      <alignment vertical="center" wrapText="1"/>
    </xf>
    <xf numFmtId="0" fontId="9" fillId="0" borderId="11" xfId="0" applyFont="1" applyBorder="1" applyAlignment="1" applyProtection="1"/>
    <xf numFmtId="0" fontId="9" fillId="0" borderId="19" xfId="0" applyFont="1" applyBorder="1" applyAlignment="1" applyProtection="1"/>
    <xf numFmtId="0" fontId="9" fillId="0" borderId="6" xfId="0" applyFont="1" applyFill="1" applyBorder="1" applyAlignment="1" applyProtection="1">
      <protection locked="0"/>
    </xf>
    <xf numFmtId="0" fontId="9" fillId="0" borderId="19" xfId="0" applyFont="1" applyBorder="1" applyAlignment="1" applyProtection="1">
      <protection locked="0"/>
    </xf>
    <xf numFmtId="0" fontId="16" fillId="3" borderId="57" xfId="0" applyFont="1" applyFill="1" applyBorder="1" applyAlignment="1" applyProtection="1">
      <alignment vertical="center" wrapText="1"/>
    </xf>
    <xf numFmtId="0" fontId="9" fillId="3" borderId="14" xfId="0" applyFont="1" applyFill="1" applyBorder="1" applyAlignment="1" applyProtection="1">
      <alignment horizontal="center" vertical="center" wrapText="1"/>
    </xf>
    <xf numFmtId="0" fontId="9" fillId="3" borderId="57" xfId="0" applyFont="1" applyFill="1" applyBorder="1" applyAlignment="1" applyProtection="1">
      <alignment horizontal="center" vertical="center" wrapText="1"/>
    </xf>
    <xf numFmtId="0" fontId="9" fillId="3" borderId="44" xfId="0" applyFont="1" applyFill="1" applyBorder="1" applyAlignment="1" applyProtection="1">
      <alignment horizontal="center" vertical="center" wrapText="1"/>
    </xf>
    <xf numFmtId="0" fontId="9" fillId="3" borderId="0" xfId="0" applyFont="1" applyFill="1" applyBorder="1" applyAlignment="1" applyProtection="1">
      <alignment horizontal="left" vertical="center"/>
    </xf>
    <xf numFmtId="0" fontId="9" fillId="3" borderId="60" xfId="0" applyFont="1" applyFill="1" applyBorder="1" applyAlignment="1" applyProtection="1">
      <alignment horizontal="center" vertical="center" wrapText="1"/>
    </xf>
    <xf numFmtId="0" fontId="9" fillId="3" borderId="0" xfId="0" applyFont="1" applyFill="1" applyAlignment="1" applyProtection="1">
      <alignment vertical="top" wrapText="1"/>
    </xf>
    <xf numFmtId="15" fontId="9" fillId="4" borderId="74" xfId="0" applyNumberFormat="1" applyFont="1" applyFill="1" applyBorder="1" applyAlignment="1" applyProtection="1">
      <protection locked="0"/>
    </xf>
    <xf numFmtId="0" fontId="21" fillId="3" borderId="0" xfId="0" applyFont="1" applyFill="1" applyAlignment="1" applyProtection="1">
      <alignment horizontal="centerContinuous" vertical="top" wrapText="1"/>
    </xf>
    <xf numFmtId="0" fontId="21" fillId="3" borderId="0" xfId="0" applyFont="1" applyFill="1" applyAlignment="1" applyProtection="1">
      <alignment horizontal="centerContinuous"/>
    </xf>
    <xf numFmtId="0" fontId="21" fillId="3" borderId="0" xfId="0" applyFont="1" applyFill="1" applyBorder="1" applyAlignment="1" applyProtection="1">
      <alignment horizontal="centerContinuous" vertical="top"/>
    </xf>
    <xf numFmtId="0" fontId="21" fillId="3" borderId="0" xfId="0" applyFont="1" applyFill="1" applyBorder="1" applyAlignment="1" applyProtection="1">
      <alignment horizontal="centerContinuous" vertical="top" wrapText="1"/>
    </xf>
    <xf numFmtId="0" fontId="20" fillId="3" borderId="0" xfId="0" applyFont="1" applyFill="1" applyAlignment="1" applyProtection="1">
      <alignment horizontal="centerContinuous" vertical="top"/>
    </xf>
    <xf numFmtId="0" fontId="21" fillId="3" borderId="0" xfId="0" applyFont="1" applyFill="1" applyAlignment="1" applyProtection="1">
      <alignment horizontal="centerContinuous" wrapText="1"/>
    </xf>
    <xf numFmtId="0" fontId="6" fillId="3" borderId="0" xfId="0" applyFont="1" applyFill="1" applyAlignment="1" applyProtection="1"/>
    <xf numFmtId="0" fontId="9" fillId="3" borderId="4" xfId="28" applyNumberFormat="1" applyFont="1" applyFill="1" applyBorder="1" applyAlignment="1" applyProtection="1"/>
    <xf numFmtId="0" fontId="16" fillId="3" borderId="0" xfId="0" applyFont="1" applyFill="1" applyAlignment="1" applyProtection="1">
      <alignment horizontal="centerContinuous"/>
    </xf>
    <xf numFmtId="0" fontId="16" fillId="3" borderId="6" xfId="0" applyFont="1" applyFill="1" applyBorder="1" applyAlignment="1" applyProtection="1">
      <alignment horizontal="centerContinuous"/>
    </xf>
    <xf numFmtId="0" fontId="16" fillId="3" borderId="11" xfId="0" applyFont="1" applyFill="1" applyBorder="1" applyAlignment="1" applyProtection="1">
      <alignment horizontal="centerContinuous"/>
    </xf>
    <xf numFmtId="0" fontId="16" fillId="3" borderId="19" xfId="0" applyFont="1" applyFill="1" applyBorder="1" applyAlignment="1" applyProtection="1">
      <alignment horizontal="centerContinuous"/>
    </xf>
    <xf numFmtId="37" fontId="6" fillId="3" borderId="0" xfId="0" applyNumberFormat="1" applyFont="1" applyFill="1" applyAlignment="1" applyProtection="1"/>
    <xf numFmtId="0" fontId="20" fillId="3" borderId="0" xfId="0" applyFont="1" applyFill="1" applyAlignment="1" applyProtection="1">
      <alignment wrapText="1"/>
    </xf>
    <xf numFmtId="0" fontId="20" fillId="3" borderId="0" xfId="0" applyFont="1" applyFill="1" applyAlignment="1" applyProtection="1">
      <alignment horizontal="centerContinuous"/>
    </xf>
    <xf numFmtId="0" fontId="20" fillId="3" borderId="0" xfId="0" applyFont="1" applyFill="1" applyAlignment="1" applyProtection="1">
      <alignment horizontal="centerContinuous" wrapText="1"/>
    </xf>
    <xf numFmtId="0" fontId="16" fillId="3" borderId="45" xfId="0" applyFont="1" applyFill="1" applyBorder="1" applyAlignment="1" applyProtection="1">
      <alignment vertical="top" wrapText="1"/>
    </xf>
    <xf numFmtId="0" fontId="5" fillId="3" borderId="6" xfId="0" applyFont="1" applyFill="1" applyBorder="1" applyAlignment="1" applyProtection="1">
      <alignment wrapText="1"/>
    </xf>
    <xf numFmtId="0" fontId="5" fillId="3" borderId="11" xfId="0" applyFont="1" applyFill="1" applyBorder="1" applyAlignment="1" applyProtection="1">
      <alignment wrapText="1"/>
    </xf>
    <xf numFmtId="0" fontId="21" fillId="3" borderId="2" xfId="28" applyNumberFormat="1" applyFont="1" applyFill="1" applyBorder="1" applyAlignment="1" applyProtection="1">
      <alignment horizontal="center" wrapText="1"/>
    </xf>
    <xf numFmtId="0" fontId="16" fillId="3" borderId="0" xfId="0" applyFont="1" applyFill="1" applyAlignment="1" applyProtection="1">
      <alignment horizontal="centerContinuous" vertical="top"/>
    </xf>
    <xf numFmtId="0" fontId="21" fillId="3" borderId="74" xfId="0" applyFont="1" applyFill="1" applyBorder="1" applyAlignment="1" applyProtection="1">
      <alignment horizontal="centerContinuous" vertical="center"/>
    </xf>
    <xf numFmtId="0" fontId="21" fillId="3" borderId="6" xfId="0" applyFont="1" applyFill="1" applyBorder="1" applyAlignment="1" applyProtection="1">
      <alignment horizontal="centerContinuous" vertical="center"/>
    </xf>
    <xf numFmtId="0" fontId="21" fillId="3" borderId="19" xfId="0" applyFont="1" applyFill="1" applyBorder="1" applyAlignment="1" applyProtection="1">
      <alignment horizontal="centerContinuous" vertical="center"/>
    </xf>
    <xf numFmtId="0" fontId="21" fillId="3" borderId="24" xfId="0" applyFont="1" applyFill="1" applyBorder="1" applyAlignment="1" applyProtection="1">
      <alignment horizontal="centerContinuous" vertical="center"/>
    </xf>
    <xf numFmtId="0" fontId="21" fillId="3" borderId="25" xfId="0" applyFont="1" applyFill="1" applyBorder="1" applyAlignment="1" applyProtection="1">
      <alignment horizontal="centerContinuous" vertical="center"/>
    </xf>
    <xf numFmtId="0" fontId="21" fillId="3" borderId="17" xfId="0" applyFont="1" applyFill="1" applyBorder="1" applyAlignment="1" applyProtection="1">
      <alignment horizontal="centerContinuous" vertical="center"/>
    </xf>
    <xf numFmtId="0" fontId="21" fillId="3" borderId="9" xfId="0" applyFont="1" applyFill="1" applyBorder="1" applyAlignment="1" applyProtection="1">
      <alignment horizontal="centerContinuous" vertical="center"/>
    </xf>
    <xf numFmtId="0" fontId="21" fillId="3" borderId="24" xfId="0" applyFont="1" applyFill="1" applyBorder="1" applyAlignment="1" applyProtection="1">
      <alignment vertical="center"/>
    </xf>
    <xf numFmtId="0" fontId="21" fillId="3" borderId="25" xfId="0" applyFont="1" applyFill="1" applyBorder="1" applyAlignment="1" applyProtection="1">
      <alignment vertical="center"/>
    </xf>
    <xf numFmtId="0" fontId="21" fillId="3" borderId="17" xfId="0" applyFont="1" applyFill="1" applyBorder="1" applyAlignment="1" applyProtection="1">
      <alignment vertical="center"/>
    </xf>
    <xf numFmtId="0" fontId="21" fillId="3" borderId="9" xfId="0" applyFont="1" applyFill="1" applyBorder="1" applyAlignment="1" applyProtection="1">
      <alignment vertical="center"/>
    </xf>
    <xf numFmtId="0" fontId="16" fillId="3" borderId="0" xfId="0" applyFont="1" applyFill="1" applyAlignment="1" applyProtection="1">
      <alignment horizontal="centerContinuous" vertical="top" wrapText="1"/>
    </xf>
    <xf numFmtId="0" fontId="21" fillId="3" borderId="56" xfId="0" applyFont="1" applyFill="1" applyBorder="1" applyAlignment="1" applyProtection="1">
      <alignment wrapText="1"/>
    </xf>
    <xf numFmtId="169" fontId="0" fillId="3" borderId="2" xfId="28" applyNumberFormat="1" applyFont="1" applyFill="1" applyBorder="1" applyAlignment="1" applyProtection="1"/>
    <xf numFmtId="169" fontId="0" fillId="3" borderId="3" xfId="28" applyNumberFormat="1" applyFont="1" applyFill="1" applyBorder="1" applyAlignment="1" applyProtection="1"/>
    <xf numFmtId="169" fontId="0" fillId="3" borderId="4" xfId="28" applyNumberFormat="1" applyFont="1" applyFill="1" applyBorder="1" applyAlignment="1" applyProtection="1"/>
    <xf numFmtId="169" fontId="9" fillId="3" borderId="2" xfId="28" applyNumberFormat="1" applyFont="1" applyFill="1" applyBorder="1" applyAlignment="1" applyProtection="1"/>
    <xf numFmtId="169" fontId="9" fillId="3" borderId="3" xfId="28" applyNumberFormat="1" applyFont="1" applyFill="1" applyBorder="1" applyAlignment="1" applyProtection="1"/>
    <xf numFmtId="169" fontId="9" fillId="3" borderId="4" xfId="28" applyNumberFormat="1" applyFont="1" applyFill="1" applyBorder="1" applyAlignment="1" applyProtection="1"/>
    <xf numFmtId="0" fontId="16" fillId="3" borderId="0" xfId="0" applyFont="1" applyFill="1" applyAlignment="1" applyProtection="1">
      <alignment vertical="center" wrapText="1"/>
    </xf>
    <xf numFmtId="0" fontId="81" fillId="3" borderId="0" xfId="0" applyFont="1" applyFill="1" applyAlignment="1" applyProtection="1">
      <alignment vertical="center" wrapText="1"/>
    </xf>
    <xf numFmtId="0" fontId="81" fillId="3" borderId="0" xfId="0" applyFont="1" applyFill="1" applyAlignment="1" applyProtection="1">
      <alignment horizontal="center" vertical="center"/>
    </xf>
    <xf numFmtId="0" fontId="81" fillId="3" borderId="0" xfId="0" applyFont="1" applyFill="1" applyBorder="1" applyAlignment="1" applyProtection="1">
      <alignment vertical="center" wrapText="1"/>
    </xf>
    <xf numFmtId="0" fontId="81" fillId="3" borderId="7" xfId="0" applyFont="1" applyFill="1" applyBorder="1" applyAlignment="1" applyProtection="1">
      <alignment vertical="center" wrapText="1"/>
    </xf>
    <xf numFmtId="169" fontId="9" fillId="3" borderId="16" xfId="28" applyNumberFormat="1" applyFont="1" applyFill="1" applyBorder="1" applyAlignment="1" applyProtection="1">
      <alignment vertical="center" wrapText="1"/>
    </xf>
    <xf numFmtId="0" fontId="9" fillId="3" borderId="7" xfId="0" applyFont="1" applyFill="1" applyBorder="1" applyAlignment="1" applyProtection="1">
      <alignment vertical="center" wrapText="1"/>
    </xf>
    <xf numFmtId="171" fontId="9" fillId="3" borderId="0" xfId="28" applyNumberFormat="1" applyFont="1" applyFill="1" applyBorder="1" applyAlignment="1" applyProtection="1">
      <alignment vertical="center" wrapText="1"/>
    </xf>
    <xf numFmtId="0" fontId="15" fillId="3" borderId="2" xfId="0" applyFont="1" applyFill="1" applyBorder="1" applyAlignment="1" applyProtection="1"/>
    <xf numFmtId="0" fontId="15" fillId="3" borderId="4" xfId="0" applyFont="1" applyFill="1" applyBorder="1" applyAlignment="1" applyProtection="1"/>
    <xf numFmtId="0" fontId="9" fillId="3" borderId="0" xfId="0" applyFont="1" applyFill="1" applyAlignment="1" applyProtection="1">
      <alignment horizontal="centerContinuous" vertical="center" wrapText="1"/>
    </xf>
    <xf numFmtId="0" fontId="16" fillId="3" borderId="0" xfId="0" applyFont="1" applyFill="1" applyAlignment="1" applyProtection="1">
      <alignment horizontal="centerContinuous" vertical="center" wrapText="1"/>
    </xf>
    <xf numFmtId="0" fontId="9" fillId="4" borderId="6" xfId="0" applyFont="1" applyFill="1" applyBorder="1" applyAlignment="1" applyProtection="1">
      <alignment vertical="top"/>
      <protection locked="0"/>
    </xf>
    <xf numFmtId="0" fontId="9" fillId="0" borderId="11" xfId="0" applyFont="1" applyBorder="1" applyAlignment="1" applyProtection="1">
      <alignment vertical="top"/>
      <protection locked="0"/>
    </xf>
    <xf numFmtId="0" fontId="9" fillId="0" borderId="19" xfId="0" applyFont="1" applyBorder="1" applyAlignment="1" applyProtection="1">
      <alignment vertical="top"/>
      <protection locked="0"/>
    </xf>
    <xf numFmtId="0" fontId="9" fillId="4" borderId="6" xfId="0" applyFont="1" applyFill="1" applyBorder="1" applyAlignment="1" applyProtection="1"/>
    <xf numFmtId="0" fontId="6" fillId="3" borderId="0" xfId="0" applyFont="1" applyFill="1" applyAlignment="1" applyProtection="1">
      <alignment vertical="top" wrapText="1"/>
    </xf>
    <xf numFmtId="0" fontId="6" fillId="3" borderId="0" xfId="0" applyFont="1" applyFill="1" applyAlignment="1" applyProtection="1">
      <alignment vertical="top"/>
    </xf>
    <xf numFmtId="0" fontId="44" fillId="3" borderId="0" xfId="0" applyFont="1" applyFill="1" applyAlignment="1" applyProtection="1">
      <alignment vertical="center" wrapText="1"/>
    </xf>
    <xf numFmtId="0" fontId="6" fillId="3" borderId="0" xfId="0" applyNumberFormat="1" applyFont="1" applyFill="1" applyAlignment="1" applyProtection="1">
      <alignment vertical="center" wrapText="1"/>
    </xf>
    <xf numFmtId="0" fontId="6" fillId="3" borderId="0" xfId="0" applyNumberFormat="1" applyFont="1" applyFill="1" applyAlignment="1" applyProtection="1">
      <alignment vertical="center"/>
    </xf>
    <xf numFmtId="0" fontId="9" fillId="3" borderId="0" xfId="0" applyFont="1" applyFill="1" applyBorder="1" applyAlignment="1" applyProtection="1">
      <alignment vertical="center" wrapText="1"/>
    </xf>
    <xf numFmtId="0" fontId="35" fillId="3" borderId="0" xfId="0" applyFont="1" applyFill="1" applyBorder="1" applyAlignment="1" applyProtection="1">
      <alignment vertical="center" wrapText="1"/>
    </xf>
    <xf numFmtId="0" fontId="16" fillId="3" borderId="2" xfId="0" applyFont="1" applyFill="1" applyBorder="1" applyAlignment="1" applyProtection="1">
      <alignment horizontal="centerContinuous" vertical="center"/>
    </xf>
    <xf numFmtId="0" fontId="16" fillId="3" borderId="4" xfId="0" applyFont="1" applyFill="1" applyBorder="1" applyAlignment="1" applyProtection="1">
      <alignment horizontal="centerContinuous" vertical="center"/>
    </xf>
    <xf numFmtId="0" fontId="16" fillId="3" borderId="3" xfId="0" applyFont="1" applyFill="1" applyBorder="1" applyAlignment="1" applyProtection="1">
      <alignment horizontal="centerContinuous" vertical="center"/>
    </xf>
    <xf numFmtId="0" fontId="16" fillId="3" borderId="12" xfId="0" applyFont="1" applyFill="1" applyBorder="1" applyAlignment="1" applyProtection="1">
      <alignment horizontal="centerContinuous" vertical="center"/>
    </xf>
    <xf numFmtId="0" fontId="16" fillId="3" borderId="54" xfId="0" applyFont="1" applyFill="1" applyBorder="1" applyAlignment="1" applyProtection="1">
      <alignment horizontal="centerContinuous" vertical="center" wrapText="1"/>
    </xf>
    <xf numFmtId="0" fontId="16" fillId="3" borderId="44" xfId="0" applyFont="1" applyFill="1" applyBorder="1" applyAlignment="1" applyProtection="1">
      <alignment horizontal="centerContinuous" vertical="center"/>
    </xf>
    <xf numFmtId="0" fontId="9" fillId="3" borderId="12" xfId="0" applyFont="1" applyFill="1" applyBorder="1" applyAlignment="1" applyProtection="1">
      <alignment vertical="center" wrapText="1"/>
    </xf>
    <xf numFmtId="0" fontId="9" fillId="3" borderId="2" xfId="0" applyNumberFormat="1" applyFont="1" applyFill="1" applyBorder="1" applyAlignment="1" applyProtection="1">
      <alignment vertical="center"/>
    </xf>
    <xf numFmtId="0" fontId="9" fillId="3" borderId="58" xfId="0" applyFont="1" applyFill="1" applyBorder="1" applyAlignment="1" applyProtection="1">
      <alignment horizontal="centerContinuous" vertical="center"/>
    </xf>
    <xf numFmtId="0" fontId="9" fillId="3" borderId="12" xfId="0" applyFont="1" applyFill="1" applyBorder="1" applyAlignment="1" applyProtection="1">
      <alignment horizontal="centerContinuous" vertical="center" wrapText="1"/>
    </xf>
    <xf numFmtId="0" fontId="9" fillId="3" borderId="59" xfId="0" applyFont="1" applyFill="1" applyBorder="1" applyAlignment="1" applyProtection="1">
      <alignment vertical="center" wrapText="1"/>
    </xf>
    <xf numFmtId="0" fontId="9" fillId="3" borderId="60" xfId="0" applyFont="1" applyFill="1" applyBorder="1" applyAlignment="1" applyProtection="1">
      <alignment horizontal="centerContinuous" vertical="center"/>
    </xf>
    <xf numFmtId="0" fontId="9" fillId="3" borderId="61" xfId="0" applyFont="1" applyFill="1" applyBorder="1" applyAlignment="1" applyProtection="1">
      <alignment vertical="center" wrapText="1"/>
    </xf>
    <xf numFmtId="0" fontId="9" fillId="3" borderId="50" xfId="0" applyFont="1" applyFill="1" applyBorder="1" applyAlignment="1" applyProtection="1">
      <alignment vertical="center" wrapText="1"/>
    </xf>
    <xf numFmtId="0" fontId="9" fillId="3" borderId="63" xfId="0" applyFont="1" applyFill="1" applyBorder="1" applyAlignment="1" applyProtection="1">
      <alignment horizontal="centerContinuous" vertical="center" wrapText="1"/>
    </xf>
    <xf numFmtId="0" fontId="9" fillId="3" borderId="62" xfId="0" applyFont="1" applyFill="1" applyBorder="1" applyAlignment="1" applyProtection="1">
      <alignment horizontal="center" vertical="center"/>
    </xf>
    <xf numFmtId="0" fontId="121" fillId="3" borderId="27" xfId="64" applyFill="1" applyBorder="1" applyAlignment="1">
      <alignment horizontal="center"/>
    </xf>
    <xf numFmtId="0" fontId="121" fillId="3" borderId="27" xfId="64" applyFill="1" applyBorder="1" applyAlignment="1">
      <alignment horizontal="center" wrapText="1"/>
    </xf>
    <xf numFmtId="0" fontId="121" fillId="3" borderId="0" xfId="64" applyFill="1" applyBorder="1" applyAlignment="1">
      <alignment horizontal="center"/>
    </xf>
    <xf numFmtId="0" fontId="121" fillId="3" borderId="26" xfId="64" applyFill="1" applyBorder="1" applyAlignment="1">
      <alignment horizontal="center"/>
    </xf>
    <xf numFmtId="0" fontId="122" fillId="3" borderId="0" xfId="64" applyFont="1" applyFill="1" applyProtection="1"/>
    <xf numFmtId="2" fontId="122" fillId="3" borderId="0" xfId="64" applyNumberFormat="1" applyFont="1" applyFill="1" applyAlignment="1" applyProtection="1"/>
    <xf numFmtId="0" fontId="122" fillId="3" borderId="0" xfId="64" applyFont="1" applyFill="1" applyAlignment="1" applyProtection="1">
      <alignment horizontal="left"/>
    </xf>
    <xf numFmtId="0" fontId="122" fillId="3" borderId="0" xfId="64" applyFont="1" applyFill="1" applyAlignment="1" applyProtection="1">
      <alignment wrapText="1"/>
    </xf>
    <xf numFmtId="0" fontId="123" fillId="3" borderId="0" xfId="0" applyFont="1" applyFill="1" applyProtection="1"/>
    <xf numFmtId="181" fontId="122" fillId="3" borderId="0" xfId="64" applyNumberFormat="1" applyFont="1" applyFill="1" applyProtection="1"/>
    <xf numFmtId="0" fontId="124" fillId="3" borderId="0" xfId="0" applyFont="1" applyFill="1" applyAlignment="1" applyProtection="1"/>
    <xf numFmtId="0" fontId="16" fillId="3" borderId="0" xfId="59" applyFont="1" applyFill="1" applyAlignment="1" applyProtection="1">
      <alignment horizontal="right"/>
    </xf>
    <xf numFmtId="0" fontId="9" fillId="0" borderId="0" xfId="0" applyFont="1" applyAlignment="1"/>
    <xf numFmtId="0" fontId="125" fillId="3" borderId="0" xfId="0" applyFont="1" applyFill="1" applyAlignment="1" applyProtection="1"/>
    <xf numFmtId="0" fontId="126" fillId="3" borderId="0" xfId="64" applyFont="1" applyFill="1" applyAlignment="1" applyProtection="1"/>
    <xf numFmtId="0" fontId="126" fillId="3" borderId="0" xfId="64" applyFont="1" applyFill="1" applyProtection="1"/>
    <xf numFmtId="0" fontId="127" fillId="3" borderId="0" xfId="0" applyFont="1" applyFill="1" applyProtection="1"/>
    <xf numFmtId="0" fontId="128" fillId="61" borderId="0" xfId="0" applyFont="1" applyFill="1"/>
    <xf numFmtId="0" fontId="129" fillId="3" borderId="0" xfId="0" applyFont="1" applyFill="1" applyBorder="1" applyAlignment="1" applyProtection="1">
      <alignment horizontal="center"/>
    </xf>
    <xf numFmtId="0" fontId="126" fillId="3" borderId="0" xfId="64" applyFont="1" applyFill="1" applyBorder="1" applyAlignment="1" applyProtection="1">
      <alignment horizontal="center" wrapText="1"/>
    </xf>
    <xf numFmtId="0" fontId="130" fillId="3" borderId="0" xfId="0" applyFont="1" applyFill="1" applyAlignment="1" applyProtection="1">
      <alignment vertical="center"/>
    </xf>
    <xf numFmtId="0" fontId="126" fillId="3" borderId="19" xfId="64" applyFont="1" applyFill="1" applyBorder="1" applyAlignment="1" applyProtection="1">
      <alignment horizontal="center"/>
    </xf>
    <xf numFmtId="2" fontId="128" fillId="3" borderId="0" xfId="0" applyNumberFormat="1" applyFont="1" applyFill="1" applyAlignment="1" applyProtection="1"/>
    <xf numFmtId="0" fontId="131" fillId="3" borderId="0" xfId="0" applyFont="1" applyFill="1" applyAlignment="1" applyProtection="1">
      <alignment horizontal="left"/>
    </xf>
    <xf numFmtId="0" fontId="131" fillId="3" borderId="0" xfId="0" applyFont="1" applyFill="1" applyAlignment="1" applyProtection="1">
      <alignment wrapText="1"/>
    </xf>
    <xf numFmtId="3" fontId="126" fillId="3" borderId="0" xfId="64" applyNumberFormat="1" applyFont="1" applyFill="1" applyAlignment="1" applyProtection="1">
      <alignment horizontal="right"/>
    </xf>
    <xf numFmtId="0" fontId="131" fillId="3" borderId="0" xfId="0" applyFont="1" applyFill="1" applyAlignment="1">
      <alignment horizontal="center"/>
    </xf>
    <xf numFmtId="0" fontId="128" fillId="3" borderId="0" xfId="0" applyFont="1" applyFill="1" applyAlignment="1" applyProtection="1"/>
    <xf numFmtId="37" fontId="128" fillId="3" borderId="0" xfId="0" applyNumberFormat="1" applyFont="1" applyFill="1" applyProtection="1"/>
    <xf numFmtId="37" fontId="126" fillId="3" borderId="0" xfId="64" applyNumberFormat="1" applyFont="1" applyFill="1" applyAlignment="1" applyProtection="1"/>
    <xf numFmtId="37" fontId="126" fillId="3" borderId="0" xfId="64" applyNumberFormat="1" applyFont="1" applyFill="1" applyProtection="1"/>
    <xf numFmtId="0" fontId="128" fillId="3" borderId="0" xfId="0" applyFont="1" applyFill="1" applyProtection="1"/>
    <xf numFmtId="49" fontId="128" fillId="3" borderId="0" xfId="0" applyNumberFormat="1" applyFont="1" applyFill="1" applyProtection="1"/>
    <xf numFmtId="0" fontId="126" fillId="3" borderId="0" xfId="64" applyFont="1" applyFill="1" applyAlignment="1" applyProtection="1">
      <alignment horizontal="center"/>
    </xf>
    <xf numFmtId="0" fontId="128" fillId="3" borderId="0" xfId="0" applyFont="1" applyFill="1" applyAlignment="1" applyProtection="1">
      <alignment horizontal="center"/>
    </xf>
    <xf numFmtId="0" fontId="128" fillId="3" borderId="0" xfId="0" applyFont="1" applyFill="1" applyAlignment="1" applyProtection="1">
      <alignment horizontal="left"/>
    </xf>
    <xf numFmtId="0" fontId="128" fillId="3" borderId="56" xfId="0" applyFont="1" applyFill="1" applyBorder="1" applyAlignment="1" applyProtection="1"/>
    <xf numFmtId="0" fontId="125" fillId="3" borderId="0" xfId="0" applyFont="1" applyFill="1" applyProtection="1"/>
    <xf numFmtId="0" fontId="131" fillId="3" borderId="0" xfId="0" applyFont="1" applyFill="1" applyProtection="1"/>
    <xf numFmtId="0" fontId="131" fillId="3" borderId="0" xfId="0" applyFont="1" applyFill="1" applyAlignment="1" applyProtection="1">
      <alignment horizontal="right"/>
    </xf>
    <xf numFmtId="0" fontId="125" fillId="3" borderId="0" xfId="0" applyNumberFormat="1" applyFont="1" applyFill="1" applyProtection="1"/>
    <xf numFmtId="0" fontId="126" fillId="3" borderId="0" xfId="64" applyFont="1" applyFill="1" applyAlignment="1" applyProtection="1">
      <alignment wrapText="1"/>
    </xf>
    <xf numFmtId="0" fontId="126" fillId="3" borderId="0" xfId="64" applyFont="1" applyFill="1" applyAlignment="1" applyProtection="1">
      <alignment horizontal="right"/>
    </xf>
    <xf numFmtId="0" fontId="126" fillId="6" borderId="0" xfId="64" applyNumberFormat="1" applyFont="1" applyFill="1" applyProtection="1"/>
    <xf numFmtId="0" fontId="132" fillId="6" borderId="0" xfId="0" applyNumberFormat="1" applyFont="1" applyFill="1" applyProtection="1"/>
    <xf numFmtId="0" fontId="126" fillId="3" borderId="0" xfId="64" applyFont="1" applyFill="1" applyAlignment="1" applyProtection="1">
      <alignment horizontal="left"/>
    </xf>
    <xf numFmtId="0" fontId="125" fillId="3" borderId="0" xfId="0" applyFont="1" applyFill="1"/>
    <xf numFmtId="167" fontId="21" fillId="0" borderId="1" xfId="28" applyNumberFormat="1" applyFont="1" applyFill="1" applyBorder="1" applyProtection="1">
      <protection locked="0"/>
    </xf>
    <xf numFmtId="0" fontId="4" fillId="0" borderId="0" xfId="0" applyFont="1"/>
    <xf numFmtId="0" fontId="4" fillId="16" borderId="17" xfId="0" applyFont="1" applyFill="1" applyBorder="1"/>
    <xf numFmtId="0" fontId="9" fillId="3" borderId="0" xfId="0" quotePrefix="1" applyFont="1" applyFill="1" applyAlignment="1" applyProtection="1">
      <alignment vertical="top"/>
    </xf>
    <xf numFmtId="0" fontId="0" fillId="62" borderId="0" xfId="0" applyFill="1" applyProtection="1"/>
    <xf numFmtId="0" fontId="6" fillId="62" borderId="0" xfId="0" applyFont="1" applyFill="1" applyProtection="1"/>
    <xf numFmtId="37" fontId="0" fillId="62" borderId="0" xfId="0" applyNumberFormat="1" applyFill="1" applyAlignment="1" applyProtection="1">
      <alignment horizontal="right"/>
    </xf>
    <xf numFmtId="0" fontId="5" fillId="62" borderId="0" xfId="0" applyFont="1" applyFill="1" applyAlignment="1" applyProtection="1">
      <alignment horizontal="right"/>
    </xf>
    <xf numFmtId="0" fontId="5" fillId="62" borderId="0" xfId="0" applyFont="1" applyFill="1" applyAlignment="1" applyProtection="1">
      <alignment horizontal="left"/>
    </xf>
    <xf numFmtId="0" fontId="21" fillId="62" borderId="0" xfId="0" applyFont="1" applyFill="1" applyAlignment="1" applyProtection="1"/>
    <xf numFmtId="37" fontId="0" fillId="62" borderId="1" xfId="0" applyNumberFormat="1" applyFill="1" applyBorder="1" applyAlignment="1" applyProtection="1">
      <alignment horizontal="right"/>
    </xf>
    <xf numFmtId="37" fontId="5" fillId="62" borderId="1" xfId="0" applyNumberFormat="1" applyFont="1" applyFill="1" applyBorder="1" applyAlignment="1" applyProtection="1">
      <alignment horizontal="right"/>
    </xf>
    <xf numFmtId="37" fontId="16" fillId="3" borderId="0" xfId="28" applyNumberFormat="1" applyFont="1" applyFill="1" applyBorder="1" applyProtection="1"/>
    <xf numFmtId="4" fontId="26" fillId="52" borderId="0" xfId="52" applyNumberFormat="1" applyFont="1" applyFill="1" applyBorder="1"/>
    <xf numFmtId="193" fontId="9" fillId="3" borderId="1" xfId="37" applyNumberFormat="1" applyFont="1" applyFill="1" applyBorder="1" applyAlignment="1" applyProtection="1">
      <alignment horizontal="center"/>
    </xf>
    <xf numFmtId="0" fontId="9" fillId="3" borderId="8" xfId="0" applyNumberFormat="1" applyFont="1" applyFill="1" applyBorder="1" applyAlignment="1" applyProtection="1">
      <alignment horizontal="left"/>
    </xf>
    <xf numFmtId="0" fontId="40" fillId="61" borderId="0" xfId="0" applyFont="1" applyFill="1" applyBorder="1"/>
    <xf numFmtId="0" fontId="5" fillId="61" borderId="0" xfId="0" applyFont="1" applyFill="1" applyBorder="1"/>
    <xf numFmtId="0" fontId="0" fillId="61" borderId="0" xfId="0" applyFill="1"/>
    <xf numFmtId="196" fontId="16" fillId="3" borderId="1" xfId="28" applyNumberFormat="1" applyFont="1" applyFill="1" applyBorder="1" applyAlignment="1" applyProtection="1">
      <alignment horizontal="right"/>
    </xf>
    <xf numFmtId="6" fontId="9" fillId="3" borderId="0" xfId="84" applyNumberFormat="1" applyFont="1" applyFill="1" applyProtection="1"/>
    <xf numFmtId="0" fontId="9" fillId="3" borderId="0" xfId="65" applyFont="1" applyFill="1" applyProtection="1"/>
    <xf numFmtId="0" fontId="16" fillId="3" borderId="0" xfId="65" applyFont="1" applyFill="1" applyAlignment="1" applyProtection="1">
      <alignment horizontal="left"/>
    </xf>
    <xf numFmtId="176" fontId="16" fillId="3" borderId="0" xfId="65" applyNumberFormat="1" applyFont="1" applyFill="1" applyAlignment="1" applyProtection="1">
      <alignment horizontal="right"/>
    </xf>
    <xf numFmtId="2" fontId="9" fillId="3" borderId="0" xfId="65" applyNumberFormat="1" applyFont="1" applyFill="1" applyBorder="1" applyAlignment="1" applyProtection="1">
      <alignment horizontal="right"/>
    </xf>
    <xf numFmtId="2" fontId="9" fillId="3" borderId="1" xfId="65" applyNumberFormat="1" applyFont="1" applyFill="1" applyBorder="1" applyAlignment="1" applyProtection="1">
      <alignment horizontal="right"/>
    </xf>
    <xf numFmtId="6" fontId="9" fillId="3" borderId="0" xfId="0" applyNumberFormat="1" applyFont="1" applyFill="1" applyProtection="1"/>
    <xf numFmtId="0" fontId="16" fillId="3" borderId="0" xfId="84" applyFont="1" applyFill="1" applyProtection="1"/>
    <xf numFmtId="169" fontId="9" fillId="3" borderId="0" xfId="28" applyNumberFormat="1" applyFont="1" applyFill="1" applyProtection="1"/>
    <xf numFmtId="2" fontId="9" fillId="3" borderId="0" xfId="28" applyNumberFormat="1" applyFont="1" applyFill="1" applyBorder="1" applyAlignment="1" applyProtection="1">
      <alignment horizontal="right"/>
    </xf>
    <xf numFmtId="0" fontId="9" fillId="3" borderId="0" xfId="84" applyFont="1" applyFill="1" applyProtection="1"/>
    <xf numFmtId="0" fontId="16" fillId="3" borderId="0" xfId="84" applyFont="1" applyFill="1" applyAlignment="1" applyProtection="1">
      <alignment horizontal="left"/>
    </xf>
    <xf numFmtId="169" fontId="9" fillId="3" borderId="0" xfId="28" applyNumberFormat="1" applyFont="1" applyFill="1" applyProtection="1"/>
    <xf numFmtId="2" fontId="9" fillId="3" borderId="0" xfId="28" applyNumberFormat="1" applyFont="1" applyFill="1" applyBorder="1" applyAlignment="1" applyProtection="1">
      <alignment horizontal="right"/>
    </xf>
    <xf numFmtId="175" fontId="16" fillId="3" borderId="0" xfId="28" applyNumberFormat="1" applyFont="1" applyFill="1" applyBorder="1" applyAlignment="1" applyProtection="1">
      <alignment horizontal="right"/>
    </xf>
    <xf numFmtId="0" fontId="9" fillId="3" borderId="0" xfId="84" applyFont="1" applyFill="1" applyProtection="1"/>
    <xf numFmtId="174" fontId="63" fillId="2" borderId="1" xfId="35" applyFont="1" applyProtection="1">
      <alignment horizontal="right" vertical="top"/>
    </xf>
    <xf numFmtId="37" fontId="9" fillId="3" borderId="1" xfId="28" applyNumberFormat="1" applyFont="1" applyFill="1" applyBorder="1" applyProtection="1"/>
    <xf numFmtId="193" fontId="9" fillId="3" borderId="1" xfId="37" applyNumberFormat="1" applyFont="1" applyFill="1" applyBorder="1" applyProtection="1"/>
    <xf numFmtId="175" fontId="16" fillId="3" borderId="0" xfId="28" applyNumberFormat="1" applyFont="1" applyFill="1" applyBorder="1" applyAlignment="1" applyProtection="1">
      <alignment horizontal="right"/>
    </xf>
    <xf numFmtId="169" fontId="9" fillId="3" borderId="0" xfId="28" applyNumberFormat="1" applyFont="1" applyFill="1" applyProtection="1"/>
    <xf numFmtId="37" fontId="9" fillId="3" borderId="0" xfId="28" applyNumberFormat="1" applyFont="1" applyFill="1" applyBorder="1" applyProtection="1"/>
    <xf numFmtId="174" fontId="63" fillId="3" borderId="0" xfId="35" applyFont="1" applyFill="1" applyBorder="1" applyProtection="1">
      <alignment horizontal="right" vertical="top"/>
    </xf>
    <xf numFmtId="0" fontId="16" fillId="3" borderId="0" xfId="84" applyFont="1" applyFill="1" applyAlignment="1" applyProtection="1">
      <alignment horizontal="left" vertical="top"/>
    </xf>
    <xf numFmtId="0" fontId="4" fillId="17" borderId="17" xfId="0" applyFont="1" applyFill="1" applyBorder="1"/>
    <xf numFmtId="16" fontId="0" fillId="3" borderId="3" xfId="0" applyNumberFormat="1" applyFill="1" applyBorder="1" applyAlignment="1" applyProtection="1">
      <alignment horizontal="centerContinuous"/>
    </xf>
    <xf numFmtId="0" fontId="5" fillId="3" borderId="0" xfId="0" applyFont="1" applyFill="1" applyAlignment="1" applyProtection="1">
      <alignment horizontal="center"/>
    </xf>
    <xf numFmtId="0" fontId="5" fillId="57" borderId="0" xfId="0" applyFont="1" applyFill="1"/>
    <xf numFmtId="0" fontId="5" fillId="3" borderId="0" xfId="0" applyFont="1" applyFill="1"/>
    <xf numFmtId="0" fontId="61" fillId="3" borderId="0" xfId="0" applyFont="1" applyFill="1" applyAlignment="1">
      <alignment horizontal="left"/>
    </xf>
    <xf numFmtId="3" fontId="9" fillId="3" borderId="1" xfId="0" applyNumberFormat="1" applyFont="1" applyFill="1" applyBorder="1" applyAlignment="1" applyProtection="1">
      <alignment horizontal="left"/>
    </xf>
    <xf numFmtId="3" fontId="9" fillId="3" borderId="10" xfId="0" applyNumberFormat="1" applyFont="1" applyFill="1" applyBorder="1" applyAlignment="1" applyProtection="1">
      <alignment horizontal="left"/>
    </xf>
    <xf numFmtId="0" fontId="9" fillId="3" borderId="10" xfId="0" applyFont="1" applyFill="1" applyBorder="1" applyAlignment="1" applyProtection="1">
      <alignment horizontal="left"/>
    </xf>
    <xf numFmtId="0" fontId="9" fillId="3" borderId="45" xfId="0" applyFont="1" applyFill="1" applyBorder="1" applyAlignment="1" applyProtection="1">
      <alignment horizontal="left"/>
    </xf>
    <xf numFmtId="0" fontId="9" fillId="3" borderId="31" xfId="0" applyFont="1" applyFill="1" applyBorder="1" applyAlignment="1" applyProtection="1">
      <alignment horizontal="left"/>
    </xf>
    <xf numFmtId="0" fontId="9" fillId="3" borderId="31" xfId="0" applyFont="1" applyFill="1" applyBorder="1" applyProtection="1"/>
    <xf numFmtId="0" fontId="4" fillId="3" borderId="0" xfId="0" applyFont="1" applyFill="1" applyAlignment="1" applyProtection="1">
      <alignment vertical="top" wrapText="1"/>
    </xf>
    <xf numFmtId="2" fontId="5" fillId="3" borderId="0" xfId="28" applyNumberFormat="1" applyFont="1" applyFill="1" applyAlignment="1" applyProtection="1">
      <alignment horizontal="right" vertical="top" wrapText="1"/>
    </xf>
    <xf numFmtId="0" fontId="4" fillId="3" borderId="2" xfId="28" applyNumberFormat="1" applyFont="1" applyFill="1" applyBorder="1" applyAlignment="1" applyProtection="1">
      <alignment horizontal="center" wrapText="1"/>
    </xf>
    <xf numFmtId="0" fontId="13" fillId="3" borderId="4" xfId="0" applyFont="1" applyFill="1" applyBorder="1" applyAlignment="1" applyProtection="1">
      <alignment horizontal="center" wrapText="1"/>
    </xf>
    <xf numFmtId="0" fontId="4" fillId="3" borderId="0" xfId="28" applyNumberFormat="1" applyFont="1" applyFill="1" applyBorder="1" applyAlignment="1" applyProtection="1"/>
    <xf numFmtId="0" fontId="4" fillId="3" borderId="44" xfId="0" applyFont="1" applyFill="1" applyBorder="1" applyAlignment="1" applyProtection="1">
      <alignment horizontal="center"/>
    </xf>
    <xf numFmtId="0" fontId="4" fillId="3" borderId="0" xfId="0" applyFont="1" applyFill="1" applyBorder="1" applyProtection="1"/>
    <xf numFmtId="0" fontId="5" fillId="3" borderId="1" xfId="0" applyFont="1" applyFill="1" applyBorder="1" applyProtection="1"/>
    <xf numFmtId="0" fontId="5" fillId="3" borderId="1" xfId="0" applyFont="1" applyFill="1" applyBorder="1" applyAlignment="1" applyProtection="1">
      <alignment horizontal="center" wrapText="1"/>
    </xf>
    <xf numFmtId="0" fontId="4" fillId="3" borderId="1" xfId="0" applyFont="1" applyFill="1" applyBorder="1" applyProtection="1"/>
    <xf numFmtId="0" fontId="4" fillId="3" borderId="1" xfId="0" applyFont="1" applyFill="1" applyBorder="1" applyAlignment="1" applyProtection="1">
      <alignment horizontal="left" wrapText="1"/>
    </xf>
    <xf numFmtId="191" fontId="4" fillId="3" borderId="1" xfId="0" applyNumberFormat="1" applyFont="1" applyFill="1" applyBorder="1" applyProtection="1"/>
    <xf numFmtId="191" fontId="4" fillId="4" borderId="1" xfId="0" applyNumberFormat="1" applyFont="1" applyFill="1" applyBorder="1" applyProtection="1">
      <protection locked="0"/>
    </xf>
    <xf numFmtId="0" fontId="4" fillId="3" borderId="0" xfId="0" applyFont="1" applyFill="1" applyBorder="1" applyAlignment="1" applyProtection="1">
      <alignment horizontal="left" wrapText="1"/>
    </xf>
    <xf numFmtId="0" fontId="5" fillId="3" borderId="6" xfId="0" applyFont="1" applyFill="1" applyBorder="1" applyAlignment="1" applyProtection="1">
      <alignment horizontal="left" wrapText="1"/>
    </xf>
    <xf numFmtId="0" fontId="4" fillId="3" borderId="11" xfId="0" applyFont="1" applyFill="1" applyBorder="1" applyAlignment="1" applyProtection="1">
      <alignment horizontal="left" wrapText="1"/>
    </xf>
    <xf numFmtId="0" fontId="4" fillId="3" borderId="19" xfId="0" applyFont="1" applyFill="1" applyBorder="1" applyAlignment="1" applyProtection="1">
      <alignment horizontal="left" wrapText="1"/>
    </xf>
    <xf numFmtId="0" fontId="5" fillId="3" borderId="1" xfId="0" applyFont="1" applyFill="1" applyBorder="1" applyAlignment="1" applyProtection="1">
      <alignment horizontal="left" wrapText="1"/>
    </xf>
    <xf numFmtId="191" fontId="5" fillId="57" borderId="1" xfId="0" applyNumberFormat="1" applyFont="1" applyFill="1" applyBorder="1" applyProtection="1"/>
    <xf numFmtId="191" fontId="5" fillId="3" borderId="1" xfId="0" applyNumberFormat="1" applyFont="1" applyFill="1" applyBorder="1" applyProtection="1"/>
    <xf numFmtId="0" fontId="4" fillId="3" borderId="0" xfId="0" applyFont="1" applyFill="1" applyBorder="1" applyAlignment="1" applyProtection="1">
      <alignment horizontal="center" wrapText="1"/>
    </xf>
    <xf numFmtId="0" fontId="5" fillId="3" borderId="6" xfId="0" applyFont="1" applyFill="1" applyBorder="1" applyProtection="1"/>
    <xf numFmtId="0" fontId="5" fillId="3" borderId="28" xfId="0" applyFont="1" applyFill="1" applyBorder="1" applyAlignment="1" applyProtection="1">
      <alignment horizontal="center" wrapText="1"/>
    </xf>
    <xf numFmtId="0" fontId="5" fillId="3" borderId="49" xfId="0" applyFont="1" applyFill="1" applyBorder="1" applyAlignment="1" applyProtection="1">
      <alignment horizontal="center" wrapText="1"/>
    </xf>
    <xf numFmtId="0" fontId="4" fillId="3" borderId="6" xfId="0" applyFont="1" applyFill="1" applyBorder="1" applyProtection="1"/>
    <xf numFmtId="191" fontId="4" fillId="4" borderId="20" xfId="0" applyNumberFormat="1" applyFont="1" applyFill="1" applyBorder="1" applyProtection="1">
      <protection locked="0"/>
    </xf>
    <xf numFmtId="191" fontId="4" fillId="4" borderId="21" xfId="0" applyNumberFormat="1" applyFont="1" applyFill="1" applyBorder="1" applyProtection="1">
      <protection locked="0"/>
    </xf>
    <xf numFmtId="191" fontId="4" fillId="3" borderId="0" xfId="0" applyNumberFormat="1" applyFont="1" applyFill="1" applyBorder="1" applyProtection="1"/>
    <xf numFmtId="191" fontId="4" fillId="0" borderId="22" xfId="0" applyNumberFormat="1" applyFont="1" applyFill="1" applyBorder="1" applyProtection="1">
      <protection locked="0"/>
    </xf>
    <xf numFmtId="191" fontId="4" fillId="0" borderId="51" xfId="0" applyNumberFormat="1" applyFont="1" applyFill="1" applyBorder="1" applyProtection="1">
      <protection locked="0"/>
    </xf>
    <xf numFmtId="191" fontId="4" fillId="0" borderId="52" xfId="0" applyNumberFormat="1" applyFont="1" applyFill="1" applyBorder="1" applyProtection="1">
      <protection locked="0"/>
    </xf>
    <xf numFmtId="0" fontId="4" fillId="3" borderId="11" xfId="0" applyFont="1" applyFill="1" applyBorder="1" applyProtection="1"/>
    <xf numFmtId="0" fontId="4" fillId="3" borderId="19" xfId="0" applyFont="1" applyFill="1" applyBorder="1" applyProtection="1"/>
    <xf numFmtId="2" fontId="4" fillId="0" borderId="1" xfId="0" applyNumberFormat="1" applyFont="1" applyFill="1" applyBorder="1" applyProtection="1">
      <protection locked="0"/>
    </xf>
    <xf numFmtId="37" fontId="16" fillId="3" borderId="0" xfId="84" applyNumberFormat="1" applyFont="1" applyFill="1" applyAlignment="1" applyProtection="1">
      <alignment vertical="top"/>
    </xf>
    <xf numFmtId="0" fontId="4" fillId="3" borderId="0" xfId="84" applyFont="1" applyFill="1" applyProtection="1"/>
    <xf numFmtId="0" fontId="4" fillId="3" borderId="1" xfId="84" applyFont="1" applyFill="1" applyBorder="1" applyProtection="1"/>
    <xf numFmtId="0" fontId="6" fillId="3" borderId="0" xfId="84" applyFont="1" applyFill="1" applyBorder="1" applyAlignment="1" applyProtection="1">
      <alignment vertical="top"/>
    </xf>
    <xf numFmtId="0" fontId="4" fillId="3" borderId="1" xfId="84" applyFont="1" applyFill="1" applyBorder="1" applyAlignment="1" applyProtection="1">
      <alignment horizontal="center"/>
    </xf>
    <xf numFmtId="0" fontId="21" fillId="3" borderId="6" xfId="84" applyFont="1" applyFill="1" applyBorder="1" applyProtection="1"/>
    <xf numFmtId="0" fontId="20" fillId="3" borderId="11" xfId="84" applyFont="1" applyFill="1" applyBorder="1" applyAlignment="1" applyProtection="1">
      <alignment horizontal="center"/>
    </xf>
    <xf numFmtId="0" fontId="20" fillId="3" borderId="19" xfId="84" applyFont="1" applyFill="1" applyBorder="1" applyAlignment="1" applyProtection="1">
      <alignment horizontal="center"/>
    </xf>
    <xf numFmtId="0" fontId="20" fillId="3" borderId="1" xfId="84" applyFont="1" applyFill="1" applyBorder="1" applyAlignment="1" applyProtection="1">
      <alignment horizontal="center"/>
    </xf>
    <xf numFmtId="0" fontId="21" fillId="3" borderId="11" xfId="84" applyFont="1" applyFill="1" applyBorder="1" applyProtection="1"/>
    <xf numFmtId="0" fontId="21" fillId="3" borderId="19" xfId="84" applyFont="1" applyFill="1" applyBorder="1" applyProtection="1"/>
    <xf numFmtId="0" fontId="21" fillId="3" borderId="1" xfId="84" applyFont="1" applyFill="1" applyBorder="1" applyProtection="1"/>
    <xf numFmtId="0" fontId="21" fillId="3" borderId="6" xfId="84" applyFont="1" applyFill="1" applyBorder="1" applyAlignment="1" applyProtection="1">
      <alignment horizontal="left"/>
    </xf>
    <xf numFmtId="41" fontId="21" fillId="0" borderId="19" xfId="84" applyNumberFormat="1" applyFont="1" applyBorder="1" applyProtection="1">
      <protection locked="0"/>
    </xf>
    <xf numFmtId="41" fontId="21" fillId="0" borderId="1" xfId="84" applyNumberFormat="1" applyFont="1" applyBorder="1" applyProtection="1">
      <protection locked="0"/>
    </xf>
    <xf numFmtId="196" fontId="21" fillId="3" borderId="1" xfId="84" applyNumberFormat="1" applyFont="1" applyFill="1" applyBorder="1" applyProtection="1"/>
    <xf numFmtId="0" fontId="20" fillId="3" borderId="11" xfId="84" applyFont="1" applyFill="1" applyBorder="1" applyProtection="1"/>
    <xf numFmtId="2" fontId="21" fillId="3" borderId="6" xfId="84" applyNumberFormat="1" applyFont="1" applyFill="1" applyBorder="1" applyAlignment="1" applyProtection="1">
      <alignment horizontal="left"/>
    </xf>
    <xf numFmtId="2" fontId="21" fillId="3" borderId="0" xfId="84" applyNumberFormat="1" applyFont="1" applyFill="1" applyAlignment="1" applyProtection="1">
      <alignment horizontal="left"/>
    </xf>
    <xf numFmtId="0" fontId="21" fillId="3" borderId="0" xfId="84" applyFont="1" applyFill="1" applyProtection="1"/>
    <xf numFmtId="3" fontId="21" fillId="3" borderId="0" xfId="84" applyNumberFormat="1" applyFont="1" applyFill="1" applyProtection="1"/>
    <xf numFmtId="41" fontId="21" fillId="0" borderId="1" xfId="84" applyNumberFormat="1" applyFont="1" applyFill="1" applyBorder="1" applyProtection="1">
      <protection locked="0"/>
    </xf>
    <xf numFmtId="2" fontId="4" fillId="3" borderId="0" xfId="84" applyNumberFormat="1" applyFont="1" applyFill="1" applyAlignment="1" applyProtection="1">
      <alignment horizontal="left"/>
    </xf>
    <xf numFmtId="0" fontId="34" fillId="3" borderId="0" xfId="84" applyFont="1" applyFill="1" applyBorder="1" applyAlignment="1" applyProtection="1">
      <alignment vertical="top"/>
    </xf>
    <xf numFmtId="0" fontId="47" fillId="3" borderId="0" xfId="84" applyFont="1" applyFill="1" applyProtection="1"/>
    <xf numFmtId="0" fontId="12" fillId="3" borderId="0" xfId="84" applyFont="1" applyFill="1" applyBorder="1" applyAlignment="1" applyProtection="1">
      <alignment horizontal="left" wrapText="1"/>
    </xf>
    <xf numFmtId="0" fontId="6" fillId="3" borderId="0" xfId="84" applyFont="1" applyFill="1" applyBorder="1" applyAlignment="1" applyProtection="1">
      <alignment horizontal="left"/>
    </xf>
    <xf numFmtId="0" fontId="5" fillId="3" borderId="0" xfId="84" applyFont="1" applyFill="1" applyBorder="1" applyAlignment="1" applyProtection="1">
      <alignment vertical="top"/>
    </xf>
    <xf numFmtId="0" fontId="66" fillId="3" borderId="1" xfId="84" applyFont="1" applyFill="1" applyBorder="1" applyAlignment="1" applyProtection="1">
      <alignment horizontal="center" wrapText="1"/>
    </xf>
    <xf numFmtId="0" fontId="66" fillId="3" borderId="32" xfId="84" applyFont="1" applyFill="1" applyBorder="1" applyAlignment="1" applyProtection="1">
      <alignment horizontal="center" wrapText="1"/>
    </xf>
    <xf numFmtId="0" fontId="66" fillId="3" borderId="33" xfId="84" applyFont="1" applyFill="1" applyBorder="1" applyAlignment="1" applyProtection="1">
      <alignment horizontal="center" wrapText="1"/>
    </xf>
    <xf numFmtId="0" fontId="133" fillId="3" borderId="33" xfId="84" applyFont="1" applyFill="1" applyBorder="1" applyAlignment="1" applyProtection="1">
      <alignment horizontal="left" vertical="top" wrapText="1"/>
    </xf>
    <xf numFmtId="0" fontId="67" fillId="3" borderId="33" xfId="84" applyFont="1" applyFill="1" applyBorder="1" applyAlignment="1" applyProtection="1">
      <alignment horizontal="left" vertical="top" wrapText="1"/>
    </xf>
    <xf numFmtId="0" fontId="66" fillId="3" borderId="33" xfId="84" applyFont="1" applyFill="1" applyBorder="1" applyAlignment="1" applyProtection="1">
      <alignment horizontal="left" vertical="top" wrapText="1"/>
    </xf>
    <xf numFmtId="196" fontId="66" fillId="3" borderId="1" xfId="28" applyNumberFormat="1" applyFont="1" applyFill="1" applyBorder="1" applyAlignment="1" applyProtection="1">
      <alignment horizontal="right" vertical="top" wrapText="1"/>
    </xf>
    <xf numFmtId="169" fontId="66" fillId="0" borderId="1" xfId="28" applyNumberFormat="1" applyFont="1" applyFill="1" applyBorder="1" applyAlignment="1" applyProtection="1">
      <alignment vertical="top" wrapText="1"/>
      <protection locked="0"/>
    </xf>
    <xf numFmtId="169" fontId="66" fillId="4" borderId="1" xfId="28" applyNumberFormat="1" applyFont="1" applyFill="1" applyBorder="1" applyAlignment="1" applyProtection="1">
      <alignment vertical="top" wrapText="1"/>
      <protection locked="0"/>
    </xf>
    <xf numFmtId="196" fontId="134" fillId="3" borderId="1" xfId="28" applyNumberFormat="1" applyFont="1" applyFill="1" applyBorder="1" applyProtection="1"/>
    <xf numFmtId="169" fontId="66" fillId="0" borderId="1" xfId="28" applyNumberFormat="1" applyFont="1" applyFill="1" applyBorder="1" applyAlignment="1" applyProtection="1">
      <alignment wrapText="1"/>
      <protection locked="0"/>
    </xf>
    <xf numFmtId="0" fontId="16" fillId="3" borderId="34" xfId="84" applyFont="1" applyFill="1" applyBorder="1" applyAlignment="1" applyProtection="1">
      <alignment vertical="top"/>
    </xf>
    <xf numFmtId="0" fontId="26" fillId="3" borderId="0" xfId="84" applyFont="1" applyFill="1" applyBorder="1" applyAlignment="1" applyProtection="1">
      <alignment vertical="top"/>
    </xf>
    <xf numFmtId="196" fontId="12" fillId="57" borderId="1" xfId="28" applyNumberFormat="1" applyFont="1" applyFill="1" applyBorder="1" applyProtection="1"/>
    <xf numFmtId="0" fontId="12" fillId="3" borderId="1" xfId="0" applyFont="1" applyFill="1" applyBorder="1" applyAlignment="1" applyProtection="1">
      <alignment horizontal="left" wrapText="1"/>
    </xf>
    <xf numFmtId="0" fontId="12" fillId="3" borderId="1" xfId="0" applyFont="1" applyFill="1" applyBorder="1" applyAlignment="1" applyProtection="1">
      <alignment horizontal="center" wrapText="1"/>
    </xf>
    <xf numFmtId="0" fontId="61" fillId="3" borderId="1" xfId="0" applyFont="1" applyFill="1" applyBorder="1" applyAlignment="1" applyProtection="1">
      <alignment horizontal="left" vertical="top" wrapText="1"/>
    </xf>
    <xf numFmtId="0" fontId="12" fillId="3" borderId="1" xfId="0" applyFont="1" applyFill="1" applyBorder="1" applyAlignment="1" applyProtection="1">
      <alignment horizontal="center" vertical="center" wrapText="1"/>
    </xf>
    <xf numFmtId="0" fontId="12" fillId="3" borderId="1" xfId="0" applyFont="1" applyFill="1" applyBorder="1" applyAlignment="1" applyProtection="1">
      <alignment horizontal="left" vertical="top" wrapText="1"/>
    </xf>
    <xf numFmtId="169" fontId="12" fillId="4" borderId="1" xfId="28" applyNumberFormat="1" applyFont="1" applyFill="1" applyBorder="1" applyAlignment="1" applyProtection="1">
      <alignment horizontal="right" vertical="center" wrapText="1"/>
      <protection locked="0"/>
    </xf>
    <xf numFmtId="169" fontId="12" fillId="0" borderId="1" xfId="28" applyNumberFormat="1" applyFont="1" applyFill="1" applyBorder="1" applyAlignment="1" applyProtection="1">
      <alignment horizontal="right" vertical="center" wrapText="1"/>
      <protection locked="0"/>
    </xf>
    <xf numFmtId="169" fontId="12" fillId="0" borderId="1" xfId="28" applyNumberFormat="1" applyFont="1" applyFill="1" applyBorder="1" applyAlignment="1" applyProtection="1">
      <alignment horizontal="center" vertical="center" wrapText="1"/>
      <protection locked="0"/>
    </xf>
    <xf numFmtId="169" fontId="12" fillId="3" borderId="1" xfId="28" applyNumberFormat="1" applyFont="1" applyFill="1" applyBorder="1" applyAlignment="1" applyProtection="1">
      <alignment horizontal="right" vertical="center" wrapText="1"/>
    </xf>
    <xf numFmtId="169" fontId="12" fillId="3" borderId="1" xfId="28" applyNumberFormat="1" applyFont="1" applyFill="1" applyBorder="1" applyAlignment="1" applyProtection="1">
      <alignment horizontal="center" vertical="center" wrapText="1"/>
    </xf>
    <xf numFmtId="169" fontId="12" fillId="63" borderId="1" xfId="28" applyNumberFormat="1" applyFont="1" applyFill="1" applyBorder="1" applyAlignment="1" applyProtection="1">
      <alignment horizontal="center" vertical="center" wrapText="1"/>
      <protection locked="0"/>
    </xf>
    <xf numFmtId="0" fontId="4" fillId="3" borderId="17" xfId="0" applyFont="1" applyFill="1" applyBorder="1" applyProtection="1"/>
    <xf numFmtId="169" fontId="12" fillId="3" borderId="1" xfId="28" applyNumberFormat="1" applyFont="1" applyFill="1" applyBorder="1" applyAlignment="1" applyProtection="1">
      <alignment vertical="center" wrapText="1"/>
    </xf>
    <xf numFmtId="169" fontId="12" fillId="3" borderId="1" xfId="28" applyNumberFormat="1" applyFont="1" applyFill="1" applyBorder="1" applyAlignment="1" applyProtection="1">
      <alignment vertical="top" wrapText="1"/>
    </xf>
    <xf numFmtId="169" fontId="12" fillId="3" borderId="1" xfId="28" applyNumberFormat="1" applyFont="1" applyFill="1" applyBorder="1" applyAlignment="1" applyProtection="1">
      <alignment wrapText="1"/>
    </xf>
    <xf numFmtId="169" fontId="4" fillId="3" borderId="1" xfId="28" applyNumberFormat="1" applyFont="1" applyFill="1" applyBorder="1" applyAlignment="1" applyProtection="1">
      <alignment vertical="center" wrapText="1"/>
    </xf>
    <xf numFmtId="169" fontId="4" fillId="0" borderId="1" xfId="28" applyNumberFormat="1" applyFont="1" applyFill="1" applyBorder="1" applyAlignment="1" applyProtection="1">
      <alignment vertical="center" wrapText="1"/>
      <protection locked="0"/>
    </xf>
    <xf numFmtId="0" fontId="4" fillId="3" borderId="1" xfId="0" applyFont="1" applyFill="1" applyBorder="1" applyAlignment="1" applyProtection="1">
      <alignment horizontal="center" vertical="center" wrapText="1"/>
    </xf>
    <xf numFmtId="0" fontId="4" fillId="3" borderId="0" xfId="0" applyFont="1" applyFill="1" applyAlignment="1" applyProtection="1">
      <alignment horizontal="left" vertical="center" wrapText="1"/>
    </xf>
    <xf numFmtId="169" fontId="4" fillId="3" borderId="0" xfId="0" applyNumberFormat="1" applyFont="1" applyFill="1" applyProtection="1"/>
    <xf numFmtId="3" fontId="12" fillId="3" borderId="0" xfId="0" applyNumberFormat="1" applyFont="1" applyFill="1" applyBorder="1" applyAlignment="1" applyProtection="1">
      <alignment horizontal="right" vertical="top" wrapText="1"/>
    </xf>
    <xf numFmtId="3" fontId="4" fillId="3" borderId="0" xfId="0" applyNumberFormat="1" applyFont="1" applyFill="1" applyAlignment="1" applyProtection="1">
      <alignment horizontal="left" vertical="center" wrapText="1"/>
    </xf>
    <xf numFmtId="0" fontId="61" fillId="3" borderId="0" xfId="0" applyFont="1" applyFill="1" applyBorder="1" applyAlignment="1" applyProtection="1">
      <alignment horizontal="left" vertical="top" wrapText="1"/>
    </xf>
    <xf numFmtId="0" fontId="12" fillId="3" borderId="0" xfId="0" applyFont="1" applyFill="1" applyBorder="1" applyAlignment="1" applyProtection="1">
      <alignment horizontal="center" wrapText="1"/>
    </xf>
    <xf numFmtId="3" fontId="15" fillId="57" borderId="1" xfId="28" applyNumberFormat="1" applyFont="1" applyFill="1" applyBorder="1" applyProtection="1"/>
    <xf numFmtId="3" fontId="4" fillId="57" borderId="1" xfId="28" applyNumberFormat="1" applyFont="1" applyFill="1" applyBorder="1" applyProtection="1"/>
    <xf numFmtId="196" fontId="4" fillId="3" borderId="0" xfId="28" applyNumberFormat="1" applyFont="1" applyFill="1" applyAlignment="1" applyProtection="1">
      <alignment horizontal="center"/>
    </xf>
    <xf numFmtId="196" fontId="4" fillId="3" borderId="0" xfId="28" applyNumberFormat="1" applyFont="1" applyFill="1" applyAlignment="1">
      <alignment horizontal="center"/>
    </xf>
    <xf numFmtId="14" fontId="4" fillId="0" borderId="0" xfId="0" applyNumberFormat="1" applyFont="1"/>
    <xf numFmtId="169" fontId="5" fillId="61" borderId="0" xfId="28" applyNumberFormat="1" applyFont="1" applyFill="1"/>
    <xf numFmtId="191" fontId="16" fillId="3" borderId="8" xfId="28" applyNumberFormat="1" applyFont="1" applyFill="1" applyBorder="1" applyProtection="1"/>
    <xf numFmtId="0" fontId="16" fillId="3" borderId="0" xfId="0" applyFont="1" applyFill="1" applyBorder="1" applyAlignment="1" applyProtection="1">
      <alignment wrapText="1"/>
    </xf>
    <xf numFmtId="0" fontId="9" fillId="6" borderId="0" xfId="0" applyNumberFormat="1" applyFont="1" applyFill="1" applyBorder="1" applyAlignment="1" applyProtection="1">
      <alignment horizontal="center"/>
    </xf>
    <xf numFmtId="0" fontId="9" fillId="6" borderId="0" xfId="0" applyNumberFormat="1" applyFont="1" applyFill="1" applyBorder="1" applyAlignment="1" applyProtection="1">
      <alignment horizontal="right"/>
    </xf>
    <xf numFmtId="0" fontId="16" fillId="3" borderId="6" xfId="0" applyFont="1" applyFill="1" applyBorder="1" applyAlignment="1" applyProtection="1">
      <alignment horizontal="centerContinuous" wrapText="1"/>
    </xf>
    <xf numFmtId="0" fontId="16" fillId="3" borderId="1" xfId="0" applyFont="1" applyFill="1" applyBorder="1" applyAlignment="1" applyProtection="1">
      <alignment horizontal="centerContinuous" wrapText="1"/>
    </xf>
    <xf numFmtId="0" fontId="9" fillId="3" borderId="8" xfId="0" applyFont="1" applyFill="1" applyBorder="1" applyProtection="1"/>
    <xf numFmtId="0" fontId="9" fillId="6" borderId="0" xfId="0" applyNumberFormat="1" applyFont="1" applyFill="1" applyBorder="1" applyProtection="1"/>
    <xf numFmtId="0" fontId="16" fillId="3" borderId="0" xfId="0" applyFont="1" applyFill="1" applyBorder="1" applyAlignment="1" applyProtection="1">
      <alignment horizontal="centerContinuous" wrapText="1"/>
    </xf>
    <xf numFmtId="184" fontId="35" fillId="3" borderId="0" xfId="0" applyNumberFormat="1" applyFont="1" applyFill="1" applyBorder="1" applyAlignment="1">
      <alignment horizontal="center" vertical="top" wrapText="1"/>
    </xf>
    <xf numFmtId="0" fontId="5" fillId="61" borderId="0" xfId="0" applyFont="1" applyFill="1" applyAlignment="1">
      <alignment horizontal="center" wrapText="1"/>
    </xf>
    <xf numFmtId="0" fontId="16" fillId="3" borderId="1" xfId="0" applyFont="1" applyFill="1" applyBorder="1" applyAlignment="1" applyProtection="1">
      <alignment horizontal="centerContinuous"/>
    </xf>
    <xf numFmtId="0" fontId="4" fillId="3" borderId="0" xfId="84" applyFill="1" applyProtection="1"/>
    <xf numFmtId="0" fontId="6" fillId="3" borderId="0" xfId="84" applyFont="1" applyFill="1" applyProtection="1"/>
    <xf numFmtId="37" fontId="4" fillId="3" borderId="0" xfId="84" applyNumberFormat="1" applyFill="1" applyAlignment="1" applyProtection="1">
      <alignment horizontal="right"/>
    </xf>
    <xf numFmtId="0" fontId="5" fillId="3" borderId="0" xfId="84" applyFont="1" applyFill="1" applyAlignment="1" applyProtection="1">
      <alignment horizontal="right"/>
    </xf>
    <xf numFmtId="0" fontId="5" fillId="3" borderId="0" xfId="84" applyFont="1" applyFill="1" applyAlignment="1" applyProtection="1">
      <alignment horizontal="left"/>
    </xf>
    <xf numFmtId="37" fontId="4" fillId="3" borderId="1" xfId="84" applyNumberFormat="1" applyFill="1" applyBorder="1" applyAlignment="1" applyProtection="1">
      <alignment horizontal="right"/>
    </xf>
    <xf numFmtId="0" fontId="5" fillId="3" borderId="0" xfId="84" applyFont="1" applyFill="1" applyProtection="1"/>
    <xf numFmtId="37" fontId="5" fillId="3" borderId="1" xfId="0" applyNumberFormat="1" applyFont="1" applyFill="1" applyBorder="1" applyAlignment="1" applyProtection="1">
      <alignment horizontal="right"/>
    </xf>
    <xf numFmtId="37" fontId="0" fillId="3" borderId="1" xfId="0" applyNumberFormat="1" applyFill="1" applyBorder="1" applyAlignment="1" applyProtection="1">
      <alignment horizontal="right"/>
    </xf>
    <xf numFmtId="0" fontId="5" fillId="61" borderId="0" xfId="0" applyFont="1" applyFill="1"/>
    <xf numFmtId="0" fontId="5" fillId="61" borderId="0" xfId="0" quotePrefix="1" applyFont="1" applyFill="1"/>
    <xf numFmtId="169" fontId="114" fillId="61" borderId="0" xfId="28" applyNumberFormat="1" applyFont="1" applyFill="1"/>
    <xf numFmtId="0" fontId="4" fillId="61" borderId="0" xfId="0" applyFont="1" applyFill="1"/>
    <xf numFmtId="169" fontId="9" fillId="0" borderId="1" xfId="28" applyNumberFormat="1" applyFont="1" applyFill="1" applyBorder="1" applyAlignment="1" applyProtection="1"/>
    <xf numFmtId="3" fontId="12" fillId="61" borderId="0" xfId="53" applyNumberFormat="1" applyFont="1" applyFill="1" applyBorder="1" applyAlignment="1"/>
    <xf numFmtId="0" fontId="4" fillId="61" borderId="0" xfId="0" applyFont="1" applyFill="1" applyBorder="1"/>
    <xf numFmtId="0" fontId="4" fillId="61" borderId="0" xfId="0" applyFont="1" applyFill="1" applyAlignment="1">
      <alignment horizontal="center"/>
    </xf>
    <xf numFmtId="1" fontId="4" fillId="0" borderId="0" xfId="0" applyNumberFormat="1" applyFont="1"/>
    <xf numFmtId="2" fontId="9" fillId="6" borderId="1" xfId="0" applyNumberFormat="1" applyFont="1" applyFill="1" applyBorder="1" applyAlignment="1" applyProtection="1">
      <alignment horizontal="right"/>
    </xf>
    <xf numFmtId="2" fontId="9" fillId="4" borderId="1" xfId="45" applyNumberFormat="1" applyFont="1" applyBorder="1" applyAlignment="1" applyProtection="1">
      <alignment horizontal="right"/>
      <protection locked="0"/>
    </xf>
    <xf numFmtId="2" fontId="9" fillId="6" borderId="0" xfId="0" applyNumberFormat="1" applyFont="1" applyFill="1" applyBorder="1" applyAlignment="1" applyProtection="1">
      <alignment horizontal="center"/>
    </xf>
    <xf numFmtId="2" fontId="35" fillId="3" borderId="1" xfId="0" applyNumberFormat="1" applyFont="1" applyFill="1" applyBorder="1" applyAlignment="1">
      <alignment horizontal="center" vertical="top" wrapText="1"/>
    </xf>
    <xf numFmtId="2" fontId="9" fillId="3" borderId="1" xfId="0" applyNumberFormat="1" applyFont="1" applyFill="1" applyBorder="1" applyAlignment="1" applyProtection="1">
      <alignment horizontal="right"/>
    </xf>
    <xf numFmtId="2" fontId="9" fillId="0" borderId="0" xfId="0" applyNumberFormat="1" applyFont="1"/>
    <xf numFmtId="0" fontId="4" fillId="16" borderId="7" xfId="0" applyFont="1" applyFill="1" applyBorder="1" applyAlignment="1">
      <alignment wrapText="1"/>
    </xf>
    <xf numFmtId="37" fontId="4" fillId="0" borderId="1" xfId="0" applyNumberFormat="1" applyFont="1" applyFill="1" applyBorder="1" applyProtection="1">
      <protection locked="0"/>
    </xf>
    <xf numFmtId="3" fontId="0" fillId="62" borderId="0" xfId="0" applyNumberFormat="1" applyFill="1"/>
    <xf numFmtId="0" fontId="0" fillId="62" borderId="0" xfId="0" applyFill="1"/>
    <xf numFmtId="0" fontId="5" fillId="62" borderId="0" xfId="0" applyFont="1" applyFill="1" applyBorder="1"/>
    <xf numFmtId="0" fontId="4" fillId="62" borderId="0" xfId="0" applyFont="1" applyFill="1" applyAlignment="1">
      <alignment wrapText="1"/>
    </xf>
    <xf numFmtId="37" fontId="4" fillId="61" borderId="1" xfId="0" quotePrefix="1" applyNumberFormat="1" applyFont="1" applyFill="1" applyBorder="1" applyProtection="1"/>
    <xf numFmtId="0" fontId="4" fillId="18" borderId="16" xfId="0" applyFont="1" applyFill="1" applyBorder="1"/>
    <xf numFmtId="3" fontId="16" fillId="3" borderId="0" xfId="30" applyNumberFormat="1" applyFont="1" applyFill="1" applyBorder="1" applyProtection="1"/>
    <xf numFmtId="3" fontId="16" fillId="3" borderId="1" xfId="28" applyNumberFormat="1" applyFont="1" applyFill="1" applyBorder="1" applyProtection="1"/>
    <xf numFmtId="184" fontId="35" fillId="61" borderId="0" xfId="0" applyNumberFormat="1" applyFont="1" applyFill="1" applyBorder="1" applyAlignment="1">
      <alignment horizontal="center" vertical="top" wrapText="1"/>
    </xf>
    <xf numFmtId="169" fontId="16" fillId="3" borderId="0" xfId="34" quotePrefix="1" applyNumberFormat="1" applyFont="1" applyFill="1" applyBorder="1" applyProtection="1"/>
    <xf numFmtId="0" fontId="9" fillId="3" borderId="0" xfId="84" applyFont="1" applyFill="1" applyAlignment="1" applyProtection="1">
      <alignment horizontal="left" vertical="top"/>
    </xf>
    <xf numFmtId="0" fontId="9" fillId="3" borderId="0" xfId="84" applyFont="1" applyFill="1" applyAlignment="1" applyProtection="1">
      <alignment horizontal="center" wrapText="1"/>
    </xf>
    <xf numFmtId="3" fontId="9" fillId="3" borderId="31" xfId="84" applyNumberFormat="1" applyFont="1" applyFill="1" applyBorder="1" applyAlignment="1" applyProtection="1">
      <alignment horizontal="right" vertical="top" wrapText="1"/>
    </xf>
    <xf numFmtId="37" fontId="9" fillId="3" borderId="31" xfId="84" applyNumberFormat="1" applyFont="1" applyFill="1" applyBorder="1" applyAlignment="1" applyProtection="1">
      <alignment horizontal="right" vertical="top" wrapText="1"/>
    </xf>
    <xf numFmtId="0" fontId="9" fillId="3" borderId="0" xfId="84" applyFont="1" applyFill="1" applyBorder="1" applyAlignment="1" applyProtection="1">
      <alignment horizontal="left" vertical="top" wrapText="1"/>
    </xf>
    <xf numFmtId="0" fontId="9" fillId="3" borderId="0" xfId="84" applyFont="1" applyFill="1" applyBorder="1" applyAlignment="1" applyProtection="1">
      <alignment horizontal="left" vertical="top"/>
    </xf>
    <xf numFmtId="174" fontId="63" fillId="2" borderId="1" xfId="35" applyFont="1" applyProtection="1">
      <alignment horizontal="right" vertical="top"/>
    </xf>
    <xf numFmtId="169" fontId="9" fillId="3" borderId="0" xfId="28" applyNumberFormat="1" applyFont="1" applyFill="1" applyProtection="1"/>
    <xf numFmtId="2" fontId="9" fillId="3" borderId="0" xfId="28" applyNumberFormat="1" applyFont="1" applyFill="1" applyBorder="1" applyAlignment="1" applyProtection="1">
      <alignment horizontal="right"/>
    </xf>
    <xf numFmtId="37" fontId="9" fillId="3" borderId="1" xfId="28" applyNumberFormat="1" applyFont="1" applyFill="1" applyBorder="1" applyProtection="1"/>
    <xf numFmtId="37" fontId="9" fillId="3" borderId="0" xfId="28" applyNumberFormat="1" applyFont="1" applyFill="1" applyBorder="1" applyProtection="1"/>
    <xf numFmtId="37" fontId="9" fillId="3" borderId="0" xfId="28" applyNumberFormat="1" applyFont="1" applyFill="1" applyProtection="1"/>
    <xf numFmtId="174" fontId="63" fillId="2" borderId="10" xfId="35" applyFont="1" applyBorder="1" applyProtection="1">
      <alignment horizontal="right" vertical="top"/>
    </xf>
    <xf numFmtId="174" fontId="63" fillId="3" borderId="0" xfId="35" applyFont="1" applyFill="1" applyBorder="1" applyProtection="1">
      <alignment horizontal="right" vertical="top"/>
    </xf>
    <xf numFmtId="193" fontId="9" fillId="3" borderId="1" xfId="37" applyNumberFormat="1" applyFont="1" applyFill="1" applyBorder="1" applyProtection="1"/>
    <xf numFmtId="37" fontId="16" fillId="3" borderId="1" xfId="28" applyNumberFormat="1" applyFont="1" applyFill="1" applyBorder="1" applyProtection="1"/>
    <xf numFmtId="0" fontId="16" fillId="3" borderId="0" xfId="84" applyFont="1" applyFill="1" applyProtection="1"/>
    <xf numFmtId="0" fontId="9" fillId="3" borderId="0" xfId="84" applyFont="1" applyFill="1" applyProtection="1"/>
    <xf numFmtId="0" fontId="16" fillId="3" borderId="0" xfId="84" applyFont="1" applyFill="1" applyAlignment="1" applyProtection="1">
      <alignment horizontal="left"/>
    </xf>
    <xf numFmtId="0" fontId="16" fillId="3" borderId="0" xfId="84" applyFont="1" applyFill="1" applyAlignment="1" applyProtection="1"/>
    <xf numFmtId="0" fontId="9" fillId="3" borderId="0" xfId="84" applyFont="1" applyFill="1" applyAlignment="1" applyProtection="1"/>
    <xf numFmtId="0" fontId="9" fillId="3" borderId="0" xfId="84" applyFont="1" applyFill="1" applyAlignment="1" applyProtection="1">
      <alignment horizontal="right"/>
    </xf>
    <xf numFmtId="0" fontId="9" fillId="3" borderId="0" xfId="84" applyFont="1" applyFill="1" applyAlignment="1" applyProtection="1">
      <alignment horizontal="center"/>
    </xf>
    <xf numFmtId="0" fontId="9" fillId="3" borderId="0" xfId="84" applyFont="1" applyFill="1" applyBorder="1" applyAlignment="1" applyProtection="1">
      <alignment horizontal="right"/>
    </xf>
    <xf numFmtId="0" fontId="9" fillId="3" borderId="0" xfId="84" applyFont="1" applyFill="1" applyAlignment="1" applyProtection="1">
      <alignment horizontal="left"/>
    </xf>
    <xf numFmtId="0" fontId="9" fillId="3" borderId="0" xfId="84" applyFont="1" applyFill="1" applyBorder="1" applyAlignment="1" applyProtection="1">
      <alignment horizontal="center"/>
    </xf>
    <xf numFmtId="176" fontId="16" fillId="3" borderId="0" xfId="84" applyNumberFormat="1" applyFont="1" applyFill="1" applyAlignment="1" applyProtection="1">
      <alignment horizontal="right"/>
    </xf>
    <xf numFmtId="2" fontId="9" fillId="3" borderId="0" xfId="84" applyNumberFormat="1" applyFont="1" applyFill="1" applyBorder="1" applyAlignment="1" applyProtection="1">
      <alignment horizontal="right"/>
    </xf>
    <xf numFmtId="37" fontId="9" fillId="3" borderId="0" xfId="84" applyNumberFormat="1" applyFont="1" applyFill="1" applyProtection="1"/>
    <xf numFmtId="195" fontId="9" fillId="3" borderId="0" xfId="84" applyNumberFormat="1" applyFont="1" applyFill="1" applyAlignment="1" applyProtection="1">
      <alignment horizontal="left"/>
    </xf>
    <xf numFmtId="2" fontId="16" fillId="3" borderId="0" xfId="84" applyNumberFormat="1" applyFont="1" applyFill="1" applyAlignment="1" applyProtection="1">
      <alignment horizontal="left"/>
    </xf>
    <xf numFmtId="2" fontId="9" fillId="3" borderId="1" xfId="84" applyNumberFormat="1" applyFont="1" applyFill="1" applyBorder="1" applyAlignment="1" applyProtection="1">
      <alignment horizontal="right"/>
    </xf>
    <xf numFmtId="0" fontId="9" fillId="3" borderId="0" xfId="84" applyFont="1" applyFill="1" applyAlignment="1" applyProtection="1">
      <alignment horizontal="center" wrapText="1"/>
    </xf>
    <xf numFmtId="2" fontId="16" fillId="3" borderId="0" xfId="84" applyNumberFormat="1" applyFont="1" applyFill="1" applyAlignment="1" applyProtection="1">
      <alignment horizontal="left" vertical="top"/>
    </xf>
    <xf numFmtId="0" fontId="4" fillId="0" borderId="0" xfId="0" applyFont="1" applyFill="1" applyBorder="1" applyAlignment="1">
      <alignment horizontal="center"/>
    </xf>
    <xf numFmtId="0" fontId="4" fillId="11" borderId="0" xfId="0" applyFont="1" applyFill="1" applyAlignment="1">
      <alignment horizontal="center"/>
    </xf>
    <xf numFmtId="0" fontId="4" fillId="0" borderId="0" xfId="0" applyFont="1" applyFill="1" applyBorder="1"/>
    <xf numFmtId="0" fontId="4" fillId="54" borderId="0" xfId="0" applyFont="1" applyFill="1" applyAlignment="1">
      <alignment horizontal="center"/>
    </xf>
    <xf numFmtId="16" fontId="4" fillId="0" borderId="0" xfId="0" quotePrefix="1" applyNumberFormat="1" applyFont="1"/>
    <xf numFmtId="0" fontId="5" fillId="15" borderId="17" xfId="0" applyFont="1" applyFill="1" applyBorder="1"/>
    <xf numFmtId="0" fontId="4" fillId="18" borderId="17" xfId="0" applyFont="1" applyFill="1" applyBorder="1"/>
    <xf numFmtId="0" fontId="4" fillId="54" borderId="0" xfId="0" applyFont="1" applyFill="1" applyBorder="1"/>
    <xf numFmtId="1" fontId="0" fillId="0" borderId="0" xfId="0" applyNumberFormat="1"/>
    <xf numFmtId="3" fontId="66" fillId="3" borderId="0" xfId="28" applyNumberFormat="1" applyFont="1" applyFill="1" applyBorder="1" applyAlignment="1" applyProtection="1">
      <alignment horizontal="right" wrapText="1"/>
    </xf>
    <xf numFmtId="3" fontId="67" fillId="3" borderId="0" xfId="28" applyNumberFormat="1" applyFont="1" applyFill="1" applyBorder="1" applyAlignment="1" applyProtection="1">
      <alignment horizontal="right" wrapText="1"/>
    </xf>
    <xf numFmtId="0" fontId="0" fillId="3" borderId="1" xfId="0" applyFill="1" applyBorder="1" applyAlignment="1">
      <alignment horizontal="center"/>
    </xf>
    <xf numFmtId="0" fontId="0" fillId="0" borderId="1" xfId="0" applyBorder="1" applyAlignment="1"/>
    <xf numFmtId="0" fontId="0" fillId="3" borderId="6" xfId="0" applyFill="1" applyBorder="1" applyAlignment="1">
      <alignment horizontal="center"/>
    </xf>
    <xf numFmtId="0" fontId="0" fillId="0" borderId="11" xfId="0" applyBorder="1" applyAlignment="1">
      <alignment horizontal="center"/>
    </xf>
    <xf numFmtId="0" fontId="0" fillId="0" borderId="19" xfId="0" applyBorder="1" applyAlignment="1">
      <alignment horizontal="center"/>
    </xf>
    <xf numFmtId="0" fontId="5" fillId="3" borderId="0" xfId="0" applyFont="1" applyFill="1" applyAlignment="1" applyProtection="1">
      <alignment horizontal="left" wrapText="1"/>
    </xf>
    <xf numFmtId="0" fontId="5" fillId="59" borderId="0" xfId="0" applyFont="1" applyFill="1" applyAlignment="1">
      <alignment horizontal="left" wrapText="1"/>
    </xf>
    <xf numFmtId="0" fontId="0" fillId="3" borderId="6" xfId="0" applyFill="1" applyBorder="1" applyAlignment="1" applyProtection="1">
      <alignment horizontal="center"/>
    </xf>
    <xf numFmtId="0" fontId="0" fillId="3" borderId="19" xfId="0" applyFill="1" applyBorder="1" applyAlignment="1" applyProtection="1">
      <alignment horizontal="center"/>
    </xf>
    <xf numFmtId="0" fontId="61" fillId="3" borderId="0" xfId="0" applyFont="1" applyFill="1" applyAlignment="1" applyProtection="1">
      <alignment horizontal="center"/>
    </xf>
    <xf numFmtId="0" fontId="12" fillId="3" borderId="0" xfId="0" applyFont="1" applyFill="1" applyAlignment="1" applyProtection="1">
      <alignment horizontal="center"/>
    </xf>
    <xf numFmtId="196" fontId="99" fillId="3" borderId="6" xfId="28" applyNumberFormat="1" applyFont="1" applyFill="1" applyBorder="1" applyAlignment="1" applyProtection="1">
      <alignment horizontal="left"/>
    </xf>
    <xf numFmtId="196" fontId="99" fillId="3" borderId="11" xfId="28" applyNumberFormat="1" applyFont="1" applyFill="1" applyBorder="1" applyAlignment="1" applyProtection="1">
      <alignment horizontal="left"/>
    </xf>
    <xf numFmtId="196" fontId="99" fillId="3" borderId="19" xfId="28" applyNumberFormat="1" applyFont="1" applyFill="1" applyBorder="1" applyAlignment="1" applyProtection="1">
      <alignment horizontal="left"/>
    </xf>
    <xf numFmtId="0" fontId="5" fillId="3" borderId="0" xfId="0" applyFont="1" applyFill="1" applyAlignment="1" applyProtection="1">
      <alignment horizontal="center"/>
    </xf>
    <xf numFmtId="0" fontId="15" fillId="3" borderId="0" xfId="0" applyFont="1" applyFill="1" applyAlignment="1" applyProtection="1">
      <alignment horizontal="center"/>
    </xf>
    <xf numFmtId="0" fontId="16" fillId="3" borderId="0" xfId="0" applyFont="1" applyFill="1" applyBorder="1" applyAlignment="1" applyProtection="1">
      <alignment horizontal="left" vertical="top"/>
    </xf>
    <xf numFmtId="0" fontId="16" fillId="3" borderId="0" xfId="0" applyFont="1" applyFill="1" applyBorder="1" applyAlignment="1" applyProtection="1">
      <alignment horizontal="left" vertical="top" wrapText="1"/>
    </xf>
    <xf numFmtId="0" fontId="16" fillId="3" borderId="56" xfId="0" applyFont="1" applyFill="1" applyBorder="1" applyAlignment="1" applyProtection="1">
      <alignment horizontal="left" vertical="top" wrapText="1"/>
    </xf>
    <xf numFmtId="0" fontId="26" fillId="3" borderId="0" xfId="0" applyFont="1" applyFill="1" applyAlignment="1" applyProtection="1">
      <alignment horizontal="left" vertical="top" wrapText="1"/>
    </xf>
    <xf numFmtId="0" fontId="16" fillId="3" borderId="7" xfId="0" applyFont="1" applyFill="1" applyBorder="1" applyAlignment="1" applyProtection="1">
      <alignment horizontal="left" vertical="top"/>
    </xf>
    <xf numFmtId="0" fontId="4" fillId="3" borderId="0" xfId="0" applyFont="1" applyFill="1" applyBorder="1" applyAlignment="1" applyProtection="1">
      <alignment horizontal="center" wrapText="1"/>
    </xf>
    <xf numFmtId="0" fontId="9" fillId="3" borderId="10" xfId="0" applyFont="1" applyFill="1" applyBorder="1" applyAlignment="1" applyProtection="1">
      <alignment vertical="top"/>
    </xf>
    <xf numFmtId="0" fontId="4" fillId="3" borderId="31" xfId="0" applyFont="1" applyFill="1" applyBorder="1" applyAlignment="1" applyProtection="1">
      <alignment vertical="top"/>
    </xf>
    <xf numFmtId="3" fontId="9" fillId="0" borderId="10" xfId="0" applyNumberFormat="1" applyFont="1" applyFill="1" applyBorder="1" applyAlignment="1" applyProtection="1">
      <protection locked="0"/>
    </xf>
    <xf numFmtId="3" fontId="9" fillId="0" borderId="31" xfId="0" applyNumberFormat="1" applyFont="1" applyFill="1" applyBorder="1" applyAlignment="1" applyProtection="1">
      <protection locked="0"/>
    </xf>
    <xf numFmtId="0" fontId="9" fillId="3" borderId="10" xfId="0" applyFont="1" applyFill="1" applyBorder="1" applyAlignment="1" applyProtection="1">
      <alignment vertical="top" wrapText="1"/>
    </xf>
    <xf numFmtId="0" fontId="4" fillId="0" borderId="45" xfId="0" applyFont="1" applyBorder="1" applyProtection="1"/>
    <xf numFmtId="0" fontId="4" fillId="0" borderId="31" xfId="0" applyFont="1" applyBorder="1" applyProtection="1"/>
    <xf numFmtId="3" fontId="9" fillId="0" borderId="1" xfId="0" applyNumberFormat="1" applyFont="1" applyFill="1" applyBorder="1" applyAlignment="1" applyProtection="1">
      <protection locked="0"/>
    </xf>
    <xf numFmtId="0" fontId="5" fillId="3" borderId="0" xfId="0" applyFont="1" applyFill="1" applyAlignment="1" applyProtection="1">
      <alignment horizontal="left" vertical="center" wrapText="1"/>
    </xf>
    <xf numFmtId="0" fontId="15" fillId="3" borderId="0" xfId="0" applyFont="1" applyFill="1" applyAlignment="1" applyProtection="1">
      <alignment horizontal="left" vertical="center" wrapText="1"/>
    </xf>
    <xf numFmtId="0" fontId="15" fillId="0" borderId="0" xfId="0" applyFont="1" applyAlignment="1" applyProtection="1">
      <alignment horizontal="left" vertical="center" wrapText="1"/>
    </xf>
    <xf numFmtId="0" fontId="20" fillId="3" borderId="0" xfId="0" applyFont="1" applyFill="1" applyAlignment="1" applyProtection="1">
      <alignment horizontal="center" vertical="top" wrapText="1"/>
    </xf>
    <xf numFmtId="0" fontId="5" fillId="3" borderId="24" xfId="0" applyFont="1" applyFill="1" applyBorder="1" applyAlignment="1" applyProtection="1">
      <alignment horizontal="center" wrapText="1"/>
    </xf>
    <xf numFmtId="0" fontId="5" fillId="3" borderId="25" xfId="0" applyFont="1" applyFill="1" applyBorder="1" applyAlignment="1" applyProtection="1">
      <alignment horizontal="center" wrapText="1"/>
    </xf>
    <xf numFmtId="0" fontId="4" fillId="0" borderId="0" xfId="0" applyFont="1" applyAlignment="1">
      <alignment horizontal="center" wrapText="1"/>
    </xf>
    <xf numFmtId="0" fontId="15" fillId="0" borderId="0" xfId="0" applyFont="1" applyAlignment="1">
      <alignment horizontal="center" wrapText="1"/>
    </xf>
    <xf numFmtId="0" fontId="0" fillId="0" borderId="0" xfId="0" applyAlignment="1">
      <alignment horizontal="center" wrapText="1"/>
    </xf>
    <xf numFmtId="0" fontId="4" fillId="62" borderId="0" xfId="0" applyFont="1" applyFill="1" applyAlignment="1">
      <alignment horizontal="center" wrapText="1"/>
    </xf>
    <xf numFmtId="0" fontId="15" fillId="62" borderId="0" xfId="0" applyFont="1" applyFill="1" applyAlignment="1">
      <alignment horizontal="center" wrapText="1"/>
    </xf>
    <xf numFmtId="0" fontId="18" fillId="0" borderId="0" xfId="0" applyNumberFormat="1" applyFont="1" applyFill="1" applyBorder="1" applyAlignment="1">
      <alignment horizontal="center" vertical="center" wrapText="1"/>
    </xf>
    <xf numFmtId="0" fontId="48" fillId="0" borderId="0" xfId="0" applyNumberFormat="1" applyFont="1" applyFill="1" applyBorder="1" applyAlignment="1">
      <alignment horizontal="center" vertical="center" wrapText="1"/>
    </xf>
    <xf numFmtId="0" fontId="19" fillId="54" borderId="0" xfId="0" applyNumberFormat="1" applyFont="1" applyFill="1" applyBorder="1" applyAlignment="1">
      <alignment horizontal="center" vertical="center" wrapText="1"/>
    </xf>
    <xf numFmtId="0" fontId="59" fillId="54" borderId="0" xfId="0" applyNumberFormat="1" applyFont="1" applyFill="1" applyBorder="1" applyAlignment="1">
      <alignment horizontal="center" vertical="center" wrapText="1"/>
    </xf>
    <xf numFmtId="0" fontId="40" fillId="0" borderId="0" xfId="0" applyFont="1" applyAlignment="1">
      <alignment horizontal="center" wrapText="1"/>
    </xf>
    <xf numFmtId="0" fontId="19" fillId="0" borderId="0" xfId="0" applyNumberFormat="1" applyFont="1" applyFill="1" applyBorder="1" applyAlignment="1">
      <alignment horizontal="center" vertical="center" wrapText="1"/>
    </xf>
    <xf numFmtId="0" fontId="59" fillId="0" borderId="0" xfId="0" applyNumberFormat="1" applyFont="1" applyFill="1" applyBorder="1" applyAlignment="1">
      <alignment horizontal="center" vertical="center" wrapText="1"/>
    </xf>
    <xf numFmtId="0" fontId="4" fillId="11" borderId="0" xfId="0" applyFont="1" applyFill="1" applyAlignment="1">
      <alignment horizontal="center" wrapText="1"/>
    </xf>
    <xf numFmtId="0" fontId="40" fillId="11" borderId="0" xfId="0" applyFont="1" applyFill="1" applyAlignment="1">
      <alignment horizontal="center" wrapText="1"/>
    </xf>
    <xf numFmtId="0" fontId="15" fillId="11" borderId="0" xfId="0" applyFont="1" applyFill="1" applyAlignment="1">
      <alignment horizontal="center" wrapText="1"/>
    </xf>
    <xf numFmtId="0" fontId="15" fillId="58" borderId="0" xfId="0" applyFont="1" applyFill="1" applyAlignment="1">
      <alignment horizontal="center" wrapText="1"/>
    </xf>
    <xf numFmtId="0" fontId="0" fillId="58" borderId="0" xfId="0" applyFill="1" applyAlignment="1">
      <alignment horizontal="center" wrapText="1"/>
    </xf>
    <xf numFmtId="3" fontId="29" fillId="0" borderId="0" xfId="53" applyNumberFormat="1" applyFont="1" applyFill="1" applyBorder="1" applyAlignment="1">
      <alignment horizontal="center" vertical="center" wrapText="1"/>
    </xf>
    <xf numFmtId="0" fontId="40" fillId="15" borderId="6" xfId="0" applyFont="1" applyFill="1" applyBorder="1" applyAlignment="1">
      <alignment horizontal="center" wrapText="1"/>
    </xf>
    <xf numFmtId="0" fontId="40" fillId="15" borderId="11" xfId="0" applyFont="1" applyFill="1" applyBorder="1" applyAlignment="1">
      <alignment horizontal="center" wrapText="1"/>
    </xf>
    <xf numFmtId="0" fontId="40" fillId="15" borderId="19" xfId="0" applyFont="1" applyFill="1" applyBorder="1" applyAlignment="1">
      <alignment horizontal="center" wrapText="1"/>
    </xf>
    <xf numFmtId="0" fontId="18" fillId="0" borderId="0" xfId="0" applyNumberFormat="1" applyFont="1" applyFill="1" applyBorder="1" applyAlignment="1">
      <alignment horizontal="left" vertical="center" wrapText="1"/>
    </xf>
    <xf numFmtId="0" fontId="19" fillId="61" borderId="0" xfId="0" applyNumberFormat="1" applyFont="1" applyFill="1" applyBorder="1" applyAlignment="1">
      <alignment horizontal="center" vertical="center" wrapText="1"/>
    </xf>
    <xf numFmtId="0" fontId="59" fillId="61" borderId="0" xfId="0" applyNumberFormat="1" applyFont="1" applyFill="1" applyBorder="1" applyAlignment="1">
      <alignment horizontal="center" vertical="center" wrapText="1"/>
    </xf>
    <xf numFmtId="0" fontId="60" fillId="0" borderId="0" xfId="0" applyNumberFormat="1" applyFont="1" applyFill="1" applyBorder="1" applyAlignment="1">
      <alignment horizontal="center" vertical="center" wrapText="1"/>
    </xf>
    <xf numFmtId="0" fontId="60" fillId="61" borderId="0" xfId="0" applyNumberFormat="1" applyFont="1" applyFill="1" applyBorder="1" applyAlignment="1">
      <alignment horizontal="center" vertical="center" wrapText="1"/>
    </xf>
    <xf numFmtId="0" fontId="4" fillId="0" borderId="0" xfId="0" applyFont="1" applyAlignment="1">
      <alignment horizontal="center" vertical="center" wrapText="1"/>
    </xf>
    <xf numFmtId="0" fontId="40" fillId="0" borderId="0" xfId="0" applyFont="1" applyAlignment="1">
      <alignment horizontal="center" vertical="center" wrapText="1"/>
    </xf>
  </cellXfs>
  <cellStyles count="187">
    <cellStyle name="20% - Accent1" xfId="1" builtinId="30" customBuiltin="1"/>
    <cellStyle name="20% - Accent1 2" xfId="85"/>
    <cellStyle name="20% - Accent1 2 2" xfId="131"/>
    <cellStyle name="20% - Accent1 2 3" xfId="173"/>
    <cellStyle name="20% - Accent1 3" xfId="66"/>
    <cellStyle name="20% - Accent1 3 2" xfId="117"/>
    <cellStyle name="20% - Accent1 3 3" xfId="159"/>
    <cellStyle name="20% - Accent1 4" xfId="103"/>
    <cellStyle name="20% - Accent1 5" xfId="145"/>
    <cellStyle name="20% - Accent2" xfId="2" builtinId="34" customBuiltin="1"/>
    <cellStyle name="20% - Accent2 2" xfId="86"/>
    <cellStyle name="20% - Accent2 2 2" xfId="132"/>
    <cellStyle name="20% - Accent2 2 3" xfId="174"/>
    <cellStyle name="20% - Accent2 3" xfId="67"/>
    <cellStyle name="20% - Accent2 3 2" xfId="118"/>
    <cellStyle name="20% - Accent2 3 3" xfId="160"/>
    <cellStyle name="20% - Accent2 4" xfId="104"/>
    <cellStyle name="20% - Accent2 5" xfId="146"/>
    <cellStyle name="20% - Accent3" xfId="3" builtinId="38" customBuiltin="1"/>
    <cellStyle name="20% - Accent3 2" xfId="87"/>
    <cellStyle name="20% - Accent3 2 2" xfId="133"/>
    <cellStyle name="20% - Accent3 2 3" xfId="175"/>
    <cellStyle name="20% - Accent3 3" xfId="68"/>
    <cellStyle name="20% - Accent3 3 2" xfId="119"/>
    <cellStyle name="20% - Accent3 3 3" xfId="161"/>
    <cellStyle name="20% - Accent3 4" xfId="105"/>
    <cellStyle name="20% - Accent3 5" xfId="147"/>
    <cellStyle name="20% - Accent4" xfId="4" builtinId="42" customBuiltin="1"/>
    <cellStyle name="20% - Accent4 2" xfId="88"/>
    <cellStyle name="20% - Accent4 2 2" xfId="134"/>
    <cellStyle name="20% - Accent4 2 3" xfId="176"/>
    <cellStyle name="20% - Accent4 3" xfId="69"/>
    <cellStyle name="20% - Accent4 3 2" xfId="120"/>
    <cellStyle name="20% - Accent4 3 3" xfId="162"/>
    <cellStyle name="20% - Accent4 4" xfId="106"/>
    <cellStyle name="20% - Accent4 5" xfId="148"/>
    <cellStyle name="20% - Accent5" xfId="5" builtinId="46" customBuiltin="1"/>
    <cellStyle name="20% - Accent5 2" xfId="89"/>
    <cellStyle name="20% - Accent5 2 2" xfId="135"/>
    <cellStyle name="20% - Accent5 2 3" xfId="177"/>
    <cellStyle name="20% - Accent5 3" xfId="70"/>
    <cellStyle name="20% - Accent5 3 2" xfId="121"/>
    <cellStyle name="20% - Accent5 3 3" xfId="163"/>
    <cellStyle name="20% - Accent5 4" xfId="107"/>
    <cellStyle name="20% - Accent5 5" xfId="149"/>
    <cellStyle name="20% - Accent6" xfId="6" builtinId="50" customBuiltin="1"/>
    <cellStyle name="20% - Accent6 2" xfId="90"/>
    <cellStyle name="20% - Accent6 2 2" xfId="136"/>
    <cellStyle name="20% - Accent6 2 3" xfId="178"/>
    <cellStyle name="20% - Accent6 3" xfId="71"/>
    <cellStyle name="20% - Accent6 3 2" xfId="122"/>
    <cellStyle name="20% - Accent6 3 3" xfId="164"/>
    <cellStyle name="20% - Accent6 4" xfId="108"/>
    <cellStyle name="20% - Accent6 5" xfId="150"/>
    <cellStyle name="40% - Accent1" xfId="7" builtinId="31" customBuiltin="1"/>
    <cellStyle name="40% - Accent1 2" xfId="91"/>
    <cellStyle name="40% - Accent1 2 2" xfId="137"/>
    <cellStyle name="40% - Accent1 2 3" xfId="179"/>
    <cellStyle name="40% - Accent1 3" xfId="72"/>
    <cellStyle name="40% - Accent1 3 2" xfId="123"/>
    <cellStyle name="40% - Accent1 3 3" xfId="165"/>
    <cellStyle name="40% - Accent1 4" xfId="109"/>
    <cellStyle name="40% - Accent1 5" xfId="151"/>
    <cellStyle name="40% - Accent2" xfId="8" builtinId="35" customBuiltin="1"/>
    <cellStyle name="40% - Accent2 2" xfId="92"/>
    <cellStyle name="40% - Accent2 2 2" xfId="138"/>
    <cellStyle name="40% - Accent2 2 3" xfId="180"/>
    <cellStyle name="40% - Accent2 3" xfId="73"/>
    <cellStyle name="40% - Accent2 3 2" xfId="124"/>
    <cellStyle name="40% - Accent2 3 3" xfId="166"/>
    <cellStyle name="40% - Accent2 4" xfId="110"/>
    <cellStyle name="40% - Accent2 5" xfId="152"/>
    <cellStyle name="40% - Accent3" xfId="9" builtinId="39" customBuiltin="1"/>
    <cellStyle name="40% - Accent3 2" xfId="93"/>
    <cellStyle name="40% - Accent3 2 2" xfId="139"/>
    <cellStyle name="40% - Accent3 2 3" xfId="181"/>
    <cellStyle name="40% - Accent3 3" xfId="74"/>
    <cellStyle name="40% - Accent3 3 2" xfId="125"/>
    <cellStyle name="40% - Accent3 3 3" xfId="167"/>
    <cellStyle name="40% - Accent3 4" xfId="111"/>
    <cellStyle name="40% - Accent3 5" xfId="153"/>
    <cellStyle name="40% - Accent4" xfId="10" builtinId="43" customBuiltin="1"/>
    <cellStyle name="40% - Accent4 2" xfId="94"/>
    <cellStyle name="40% - Accent4 2 2" xfId="140"/>
    <cellStyle name="40% - Accent4 2 3" xfId="182"/>
    <cellStyle name="40% - Accent4 3" xfId="75"/>
    <cellStyle name="40% - Accent4 3 2" xfId="126"/>
    <cellStyle name="40% - Accent4 3 3" xfId="168"/>
    <cellStyle name="40% - Accent4 4" xfId="112"/>
    <cellStyle name="40% - Accent4 5" xfId="154"/>
    <cellStyle name="40% - Accent5" xfId="11" builtinId="47" customBuiltin="1"/>
    <cellStyle name="40% - Accent5 2" xfId="95"/>
    <cellStyle name="40% - Accent5 2 2" xfId="141"/>
    <cellStyle name="40% - Accent5 2 3" xfId="183"/>
    <cellStyle name="40% - Accent5 3" xfId="76"/>
    <cellStyle name="40% - Accent5 3 2" xfId="127"/>
    <cellStyle name="40% - Accent5 3 3" xfId="169"/>
    <cellStyle name="40% - Accent5 4" xfId="113"/>
    <cellStyle name="40% - Accent5 5" xfId="155"/>
    <cellStyle name="40% - Accent6" xfId="12" builtinId="51" customBuiltin="1"/>
    <cellStyle name="40% - Accent6 2" xfId="96"/>
    <cellStyle name="40% - Accent6 2 2" xfId="142"/>
    <cellStyle name="40% - Accent6 2 3" xfId="184"/>
    <cellStyle name="40% - Accent6 3" xfId="77"/>
    <cellStyle name="40% - Accent6 3 2" xfId="128"/>
    <cellStyle name="40% - Accent6 3 3" xfId="170"/>
    <cellStyle name="40% - Accent6 4" xfId="114"/>
    <cellStyle name="40% - Accent6 5" xfId="156"/>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13 Conversion and New Ministry Forms" xfId="29"/>
    <cellStyle name="Comma_2004-05 Estimates_Section 1.2" xfId="30"/>
    <cellStyle name="Comma_2004-05 Estimates_Section 9" xfId="31"/>
    <cellStyle name="Comma_DistantSchools_form" xfId="32"/>
    <cellStyle name="Comma_FS0102 Sep10" xfId="33"/>
    <cellStyle name="Comma_Staffing Form 2" xfId="34"/>
    <cellStyle name="CP" xfId="35"/>
    <cellStyle name="CP2" xfId="36"/>
    <cellStyle name="CP2 2" xfId="97"/>
    <cellStyle name="CP2 3" xfId="78"/>
    <cellStyle name="Currency" xfId="37" builtinId="4"/>
    <cellStyle name="Explanatory Text" xfId="38" builtinId="53" customBuiltin="1"/>
    <cellStyle name="Good" xfId="39" builtinId="26" customBuiltin="1"/>
    <cellStyle name="Heading" xfId="40"/>
    <cellStyle name="Heading 1" xfId="41" builtinId="16" customBuiltin="1"/>
    <cellStyle name="Heading 2" xfId="42" builtinId="17" customBuiltin="1"/>
    <cellStyle name="Heading 3" xfId="43" builtinId="18" customBuiltin="1"/>
    <cellStyle name="Heading 4" xfId="44" builtinId="19" customBuiltin="1"/>
    <cellStyle name="Heading 5" xfId="98"/>
    <cellStyle name="Heading 6" xfId="79"/>
    <cellStyle name="Hyperlink" xfId="64" builtinId="8"/>
    <cellStyle name="Input" xfId="45" builtinId="20" customBuiltin="1"/>
    <cellStyle name="Input 2" xfId="46"/>
    <cellStyle name="Left" xfId="47"/>
    <cellStyle name="Left 2" xfId="99"/>
    <cellStyle name="Left 3" xfId="80"/>
    <cellStyle name="Linked Cell" xfId="48" builtinId="24" customBuiltin="1"/>
    <cellStyle name="Min" xfId="49"/>
    <cellStyle name="Neutral" xfId="50" builtinId="28" customBuiltin="1"/>
    <cellStyle name="Normal" xfId="0" builtinId="0"/>
    <cellStyle name="Normal 2" xfId="51"/>
    <cellStyle name="Normal 2 2" xfId="100"/>
    <cellStyle name="Normal 2 2 2" xfId="143"/>
    <cellStyle name="Normal 2 2 3" xfId="185"/>
    <cellStyle name="Normal 2 3" xfId="81"/>
    <cellStyle name="Normal 2 3 2" xfId="129"/>
    <cellStyle name="Normal 2 3 3" xfId="171"/>
    <cellStyle name="Normal 2 4" xfId="115"/>
    <cellStyle name="Normal 2 5" xfId="157"/>
    <cellStyle name="Normal 3" xfId="84"/>
    <cellStyle name="Normal 4" xfId="65"/>
    <cellStyle name="Normal_2008-(03)Mar-26 - 2008-09 GSN v19 - Benchmarks" xfId="52"/>
    <cellStyle name="Normal_Alloc_Calc" xfId="53"/>
    <cellStyle name="Normal_R.R." xfId="54"/>
    <cellStyle name="Normal_S.S. elem" xfId="55"/>
    <cellStyle name="Note 2" xfId="56"/>
    <cellStyle name="Note 2 2" xfId="101"/>
    <cellStyle name="Note 2 2 2" xfId="144"/>
    <cellStyle name="Note 2 2 3" xfId="186"/>
    <cellStyle name="Note 2 3" xfId="82"/>
    <cellStyle name="Note 2 3 2" xfId="130"/>
    <cellStyle name="Note 2 3 3" xfId="172"/>
    <cellStyle name="Note 2 4" xfId="116"/>
    <cellStyle name="Note 2 5" xfId="158"/>
    <cellStyle name="Output" xfId="57" builtinId="21" customBuiltin="1"/>
    <cellStyle name="Percent" xfId="58" builtinId="5"/>
    <cellStyle name="Right" xfId="59"/>
    <cellStyle name="Right 2" xfId="102"/>
    <cellStyle name="Right 3" xfId="83"/>
    <cellStyle name="Sub heading" xfId="60"/>
    <cellStyle name="Title" xfId="61" builtinId="15" customBuiltin="1"/>
    <cellStyle name="Total" xfId="62" builtinId="25" customBuiltin="1"/>
    <cellStyle name="Warning Text" xfId="63" builtinId="11" customBuiltin="1"/>
  </cellStyles>
  <dxfs count="361">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180975</xdr:colOff>
          <xdr:row>0</xdr:row>
          <xdr:rowOff>0</xdr:rowOff>
        </xdr:from>
        <xdr:to>
          <xdr:col>1</xdr:col>
          <xdr:colOff>142875</xdr:colOff>
          <xdr:row>0</xdr:row>
          <xdr:rowOff>0</xdr:rowOff>
        </xdr:to>
        <xdr:sp macro="" textlink="">
          <xdr:nvSpPr>
            <xdr:cNvPr id="31745" name="Button 1" hidden="1">
              <a:extLst>
                <a:ext uri="{63B3BB69-23CF-44E3-9099-C40C66FF867C}">
                  <a14:compatExt spid="_x0000_s3174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Button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238125</xdr:colOff>
          <xdr:row>0</xdr:row>
          <xdr:rowOff>0</xdr:rowOff>
        </xdr:from>
        <xdr:to>
          <xdr:col>1</xdr:col>
          <xdr:colOff>85725</xdr:colOff>
          <xdr:row>0</xdr:row>
          <xdr:rowOff>0</xdr:rowOff>
        </xdr:to>
        <xdr:sp macro="" textlink="">
          <xdr:nvSpPr>
            <xdr:cNvPr id="31746" name="Button 2" hidden="1">
              <a:extLst>
                <a:ext uri="{63B3BB69-23CF-44E3-9099-C40C66FF867C}">
                  <a14:compatExt spid="_x0000_s3174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Button 2</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PFR/Financial%20Forms/2003-04/Estimates/Isolates/Isolate03/FS0102%20Sep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mporary/empt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PFR/Financial%20Forms/2015-16/Financials/Isolates/Forms/ISO_2015_16_FIN_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PFR/Financial%20Forms/2013-14/Financials/Isolates/ISO_2013_14_FIN_V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Cover_Certificat"/>
      <sheetName val="Table"/>
      <sheetName val="Compliance_conformité"/>
      <sheetName val="Schedule1"/>
      <sheetName val="Schedule2"/>
      <sheetName val="Schedule3"/>
      <sheetName val="Schedule3A"/>
      <sheetName val="Schedule4"/>
      <sheetName val="Schedule5"/>
      <sheetName val="Schedule6"/>
      <sheetName val="Schedule7"/>
      <sheetName val="Schedule8"/>
      <sheetName val="Schedule9"/>
      <sheetName val="Schedule10"/>
      <sheetName val="Schedule10.1&amp;10.2"/>
      <sheetName val="Schedule10.3"/>
      <sheetName val="Schedule10A&amp;10B"/>
      <sheetName val="Schedule10C"/>
      <sheetName val="Schedule10D"/>
      <sheetName val="Schedule10E"/>
      <sheetName val="Schedule10F"/>
      <sheetName val="Schedule11A"/>
      <sheetName val="Schedule11B"/>
      <sheetName val="Schedule12"/>
      <sheetName val="Schedule13"/>
      <sheetName val="Schedule13aud"/>
      <sheetName val="Section1"/>
      <sheetName val="Section2"/>
      <sheetName val="Section3"/>
      <sheetName val="Section4"/>
      <sheetName val="Section5"/>
      <sheetName val="Section6"/>
      <sheetName val="Section7"/>
      <sheetName val="Section8"/>
      <sheetName val="Section9"/>
      <sheetName val="Section10"/>
      <sheetName val="Section11"/>
      <sheetName val="Section12"/>
      <sheetName val="Section13"/>
      <sheetName val="Section14"/>
      <sheetName val="Section15"/>
      <sheetName val="DataA.1"/>
      <sheetName val="DataA.2"/>
      <sheetName val="DataB"/>
      <sheetName val="DataC"/>
      <sheetName val="DataD"/>
      <sheetName val="AppendixB"/>
      <sheetName val="AppendixB1"/>
      <sheetName val="AppendixD1"/>
      <sheetName val="AppendixD2"/>
      <sheetName val="AppendixF"/>
      <sheetName val="AppendixG"/>
      <sheetName val="AppendixH"/>
      <sheetName val="AppendixC"/>
      <sheetName val="Error-Erreur"/>
      <sheetName val="Analysis-Analyses"/>
      <sheetName val="Tables-GrantReg"/>
      <sheetName val="CodePoint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5">
          <cell r="A5">
            <v>28002</v>
          </cell>
        </row>
        <row r="6">
          <cell r="A6">
            <v>28010</v>
          </cell>
        </row>
        <row r="7">
          <cell r="A7">
            <v>28029</v>
          </cell>
        </row>
        <row r="8">
          <cell r="A8">
            <v>28037</v>
          </cell>
        </row>
        <row r="9">
          <cell r="A9">
            <v>28045</v>
          </cell>
        </row>
        <row r="10">
          <cell r="A10">
            <v>28053</v>
          </cell>
        </row>
        <row r="11">
          <cell r="A11">
            <v>28061</v>
          </cell>
        </row>
        <row r="12">
          <cell r="A12">
            <v>28070</v>
          </cell>
        </row>
        <row r="13">
          <cell r="A13">
            <v>28100</v>
          </cell>
        </row>
        <row r="14">
          <cell r="A14">
            <v>28118</v>
          </cell>
        </row>
        <row r="15">
          <cell r="A15">
            <v>29009</v>
          </cell>
        </row>
        <row r="16">
          <cell r="A16">
            <v>29017</v>
          </cell>
        </row>
        <row r="17">
          <cell r="A17">
            <v>29025</v>
          </cell>
        </row>
        <row r="18">
          <cell r="A18">
            <v>29033</v>
          </cell>
        </row>
        <row r="19">
          <cell r="A19">
            <v>29041</v>
          </cell>
        </row>
        <row r="20">
          <cell r="A20">
            <v>29050</v>
          </cell>
        </row>
        <row r="21">
          <cell r="A21">
            <v>29068</v>
          </cell>
        </row>
        <row r="22">
          <cell r="A22">
            <v>29076</v>
          </cell>
        </row>
        <row r="23">
          <cell r="A23">
            <v>29106</v>
          </cell>
        </row>
        <row r="24">
          <cell r="A24">
            <v>29114</v>
          </cell>
        </row>
        <row r="25">
          <cell r="A25">
            <v>29122</v>
          </cell>
        </row>
        <row r="26">
          <cell r="A26">
            <v>29130</v>
          </cell>
        </row>
        <row r="27">
          <cell r="A27">
            <v>66001</v>
          </cell>
        </row>
        <row r="28">
          <cell r="A28">
            <v>66010</v>
          </cell>
        </row>
        <row r="29">
          <cell r="A29">
            <v>66028</v>
          </cell>
        </row>
        <row r="30">
          <cell r="A30">
            <v>66036</v>
          </cell>
        </row>
        <row r="31">
          <cell r="A31">
            <v>66044</v>
          </cell>
        </row>
        <row r="32">
          <cell r="A32">
            <v>66052</v>
          </cell>
        </row>
        <row r="33">
          <cell r="A33">
            <v>66060</v>
          </cell>
        </row>
        <row r="34">
          <cell r="A34">
            <v>66079</v>
          </cell>
        </row>
        <row r="35">
          <cell r="A35">
            <v>66087</v>
          </cell>
        </row>
        <row r="36">
          <cell r="A36">
            <v>66095</v>
          </cell>
        </row>
        <row r="37">
          <cell r="A37">
            <v>66109</v>
          </cell>
        </row>
        <row r="38">
          <cell r="A38">
            <v>66117</v>
          </cell>
        </row>
        <row r="39">
          <cell r="A39">
            <v>66125</v>
          </cell>
        </row>
        <row r="40">
          <cell r="A40">
            <v>66133</v>
          </cell>
        </row>
        <row r="41">
          <cell r="A41">
            <v>66141</v>
          </cell>
        </row>
        <row r="42">
          <cell r="A42">
            <v>66150</v>
          </cell>
        </row>
        <row r="43">
          <cell r="A43">
            <v>66168</v>
          </cell>
        </row>
        <row r="44">
          <cell r="A44">
            <v>66176</v>
          </cell>
        </row>
        <row r="45">
          <cell r="A45">
            <v>66184</v>
          </cell>
        </row>
        <row r="46">
          <cell r="A46">
            <v>66192</v>
          </cell>
        </row>
        <row r="47">
          <cell r="A47">
            <v>66206</v>
          </cell>
        </row>
        <row r="48">
          <cell r="A48">
            <v>66214</v>
          </cell>
        </row>
        <row r="49">
          <cell r="A49">
            <v>66222</v>
          </cell>
        </row>
        <row r="50">
          <cell r="A50">
            <v>66303</v>
          </cell>
        </row>
        <row r="51">
          <cell r="A51">
            <v>66311</v>
          </cell>
        </row>
        <row r="52">
          <cell r="A52">
            <v>67008</v>
          </cell>
        </row>
        <row r="53">
          <cell r="A53">
            <v>67016</v>
          </cell>
        </row>
        <row r="54">
          <cell r="A54">
            <v>67024</v>
          </cell>
        </row>
        <row r="55">
          <cell r="A55">
            <v>67032</v>
          </cell>
        </row>
        <row r="56">
          <cell r="A56">
            <v>67040</v>
          </cell>
        </row>
        <row r="57">
          <cell r="A57">
            <v>67059</v>
          </cell>
        </row>
        <row r="58">
          <cell r="A58">
            <v>67067</v>
          </cell>
        </row>
        <row r="59">
          <cell r="A59">
            <v>67075</v>
          </cell>
        </row>
        <row r="60">
          <cell r="A60">
            <v>67083</v>
          </cell>
        </row>
        <row r="61">
          <cell r="A61">
            <v>67091</v>
          </cell>
        </row>
        <row r="62">
          <cell r="A62">
            <v>67105</v>
          </cell>
        </row>
        <row r="63">
          <cell r="A63">
            <v>67113</v>
          </cell>
        </row>
        <row r="64">
          <cell r="A64">
            <v>67121</v>
          </cell>
        </row>
        <row r="65">
          <cell r="A65">
            <v>67130</v>
          </cell>
        </row>
        <row r="66">
          <cell r="A66">
            <v>67148</v>
          </cell>
        </row>
        <row r="67">
          <cell r="A67">
            <v>67156</v>
          </cell>
        </row>
        <row r="68">
          <cell r="A68">
            <v>67164</v>
          </cell>
        </row>
        <row r="69">
          <cell r="A69">
            <v>67172</v>
          </cell>
        </row>
        <row r="70">
          <cell r="A70">
            <v>67180</v>
          </cell>
        </row>
        <row r="71">
          <cell r="A71">
            <v>67199</v>
          </cell>
        </row>
        <row r="72">
          <cell r="A72">
            <v>67202</v>
          </cell>
        </row>
        <row r="73">
          <cell r="A73">
            <v>67300</v>
          </cell>
        </row>
        <row r="74">
          <cell r="A74">
            <v>67318</v>
          </cell>
        </row>
        <row r="75">
          <cell r="A75">
            <v>67326</v>
          </cell>
        </row>
        <row r="76">
          <cell r="A76">
            <v>67334</v>
          </cell>
        </row>
      </sheetData>
      <sheetData sheetId="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s"/>
      <sheetName val="Schedule 1 Stmt of Fin Pos."/>
      <sheetName val="Schedule 1.1 Cons Stmt of Ops."/>
      <sheetName val="Sch 1.2 Cons Stmt of Cash Flow"/>
      <sheetName val="Sch 1.3 Cons Stmt Net Debt"/>
      <sheetName val="Sch 3 Capital Exp."/>
      <sheetName val="Sch 3C Tang Cap Asset Con"/>
      <sheetName val="Schedule 5"/>
      <sheetName val="Schedule 5.1"/>
      <sheetName val="Sch 7 Stmt of Fin. Pos."/>
      <sheetName val="Schedule 9"/>
      <sheetName val="Sch. 10 Operating Fund - Exp"/>
      <sheetName val="Sch 10ADJ  Oper. Fund- Adj."/>
      <sheetName val="Sch. 10.3 Texts,Classroom Supp."/>
      <sheetName val="Sch. 10.4 Supplementary Info."/>
      <sheetName val="Sch. 10A Spec Ed Expense - Elem"/>
      <sheetName val="Sch. 10B Spec Ed Expense - Sec"/>
      <sheetName val="Sch. 10C Oper. &amp; Maintenance"/>
      <sheetName val="Sch. 10F Employee Benefits"/>
      <sheetName val="Sch. 10G Supp Ben Info."/>
      <sheetName val="Sch. 10G Amort of Liab"/>
      <sheetName val="Sch 11A Tax Revenue"/>
      <sheetName val="Sch 11A Tax Revenue and Adj "/>
      <sheetName val="Sch 11B Tax Revenue"/>
      <sheetName val="Sch 12 ConEd Summer"/>
      <sheetName val="Sch 13 Enrolment"/>
      <sheetName val="Sch 14 School Generated Funds"/>
      <sheetName val="1 Summary"/>
      <sheetName val="1.1 Pupil Foundation"/>
      <sheetName val="1.3 School Foundation"/>
      <sheetName val="2 Special Ed"/>
      <sheetName val="3 Language"/>
      <sheetName val="4 Outlying Schools"/>
      <sheetName val="5 Remote and Rural"/>
      <sheetName val="5A Rural and Small Comm"/>
      <sheetName val="6 Continuing Education"/>
      <sheetName val="7 Teacher Compensation"/>
      <sheetName val="7A ECE"/>
      <sheetName val="7B NTIP"/>
      <sheetName val="9 Transportation"/>
      <sheetName val="10 Admin and Governance"/>
      <sheetName val="11 Accommodations"/>
      <sheetName val="11A Community Use"/>
      <sheetName val="12 Teacherage"/>
      <sheetName val="13 Learning Opportunities"/>
      <sheetName val="15 Special Approvals"/>
      <sheetName val="16 Declining Enrolment"/>
      <sheetName val="18 First Nation"/>
      <sheetName val="19 Safe Schools"/>
      <sheetName val="App B Calculation of Fees"/>
      <sheetName val="App B1 Tuition Fees"/>
      <sheetName val="App F1 Transportation"/>
      <sheetName val="App F1.1 Board-Owned"/>
      <sheetName val="App F2 Board Lodging"/>
      <sheetName val="App G - Salary Grid"/>
      <sheetName val="App H - Staffing"/>
      <sheetName val="App L - ECE Grid"/>
      <sheetName val="Error Messages"/>
      <sheetName val="Warning Messages"/>
      <sheetName val="Data Analysis"/>
      <sheetName val="ECE Grid"/>
      <sheetName val="Tables"/>
      <sheetName val="GSN Benchmarks"/>
      <sheetName val="Table Sch 5"/>
      <sheetName val="Table Sch 10G-1"/>
      <sheetName val="Table Sch 10G-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5">
          <cell r="M45">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
          <cell r="G2" t="str">
            <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ow r="7">
          <cell r="C7">
            <v>15148</v>
          </cell>
          <cell r="D7">
            <v>15199</v>
          </cell>
          <cell r="E7">
            <v>15202</v>
          </cell>
          <cell r="F7">
            <v>79910</v>
          </cell>
        </row>
        <row r="8">
          <cell r="C8" t="str">
            <v>James Bay Lowlands SS Bd</v>
          </cell>
          <cell r="D8" t="str">
            <v>Moose Factory Island DSA</v>
          </cell>
          <cell r="E8" t="str">
            <v>Moosonee DSA</v>
          </cell>
          <cell r="F8" t="str">
            <v>Penetanguishene PSS Bd</v>
          </cell>
        </row>
        <row r="10">
          <cell r="C10">
            <v>209497</v>
          </cell>
          <cell r="D10">
            <v>171526</v>
          </cell>
          <cell r="E10">
            <v>38708</v>
          </cell>
          <cell r="F10">
            <v>113504</v>
          </cell>
        </row>
        <row r="13">
          <cell r="C13">
            <v>1792</v>
          </cell>
          <cell r="D13">
            <v>1064</v>
          </cell>
          <cell r="E13">
            <v>1442</v>
          </cell>
          <cell r="F13">
            <v>1551</v>
          </cell>
        </row>
        <row r="16">
          <cell r="F16">
            <v>16020</v>
          </cell>
        </row>
        <row r="17">
          <cell r="C17">
            <v>263</v>
          </cell>
        </row>
        <row r="21">
          <cell r="D21">
            <v>22085</v>
          </cell>
        </row>
      </sheetData>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s"/>
      <sheetName val="Schedule 1 Stmt of Fin Pos."/>
      <sheetName val="Schedule 1.1 Cons Stmt of Ops."/>
      <sheetName val="Sch 1.2 Cons Stmt of Cash Flow"/>
      <sheetName val="Sch 1.3 Cons Stmt Net Debt"/>
      <sheetName val="Sch 3 Capital Exp."/>
      <sheetName val="Sch 3C Tang Cap Asset Con"/>
      <sheetName val="Schedule 5"/>
      <sheetName val="Schedule 5.1 Operating"/>
      <sheetName val="Schedule 5.1 Capital"/>
      <sheetName val="Sch 7 Stmt of Fin. Pos."/>
      <sheetName val="Schedule 9"/>
      <sheetName val="Sch. 10 Operating Fund - Expd"/>
      <sheetName val="Sch 10ADJ  Oper. Fund- Adj."/>
      <sheetName val="Sch. 10.3 Texts,Classroom Supp."/>
      <sheetName val="Sch. 10.4 Supplementary Info."/>
      <sheetName val="Sch. 10A Spec Ed Expense - Elem"/>
      <sheetName val="Sch. 10B Spec Ed Expense - Sec"/>
      <sheetName val="Sch. 10C Oper. &amp; Maintenance"/>
      <sheetName val="Sch. 10F Employee Benefits"/>
      <sheetName val="Sch. 10G Supp Ben Info."/>
      <sheetName val="Sch. 10G Amort of Liab"/>
      <sheetName val="Sch 11A Tax Revenue 2013"/>
      <sheetName val="Sch 11A Est Tax Revenue"/>
      <sheetName val="Sch 11B Tax Revenue 2014"/>
      <sheetName val="Sch 12 ConEd Summer"/>
      <sheetName val="Sch 13 Enrolment"/>
      <sheetName val="Sch 14 School Generated Funds"/>
      <sheetName val="Sch 21F Inter Entity Rev"/>
      <sheetName val="Sch 21G Inter Entity Exp"/>
      <sheetName val="Sch 22 Cap Asset Activity"/>
      <sheetName val="1 Summary"/>
      <sheetName val="1.1 Pupil Foundation"/>
      <sheetName val="1.3 School Foundation"/>
      <sheetName val="2 Special Ed"/>
      <sheetName val="3 Language"/>
      <sheetName val="4 Outlying Schools"/>
      <sheetName val="5 Remote and Rural"/>
      <sheetName val="5A Rural and Small Comm"/>
      <sheetName val="6 Continuing Education"/>
      <sheetName val="7 Teacher Compensation"/>
      <sheetName val="7B NTIP"/>
      <sheetName val="9 Transportation"/>
      <sheetName val="10 Admin and Governance"/>
      <sheetName val="11 Accommodations"/>
      <sheetName val="11A Community Use"/>
      <sheetName val="12 Teacherage"/>
      <sheetName val="13 Learning Opportunities"/>
      <sheetName val="15 Special Approvals"/>
      <sheetName val="16 Declining Enrolment"/>
      <sheetName val="17 Other Grants"/>
      <sheetName val="18 First Nation"/>
      <sheetName val="19 Safe Schools"/>
      <sheetName val="App B Calculation of Fees"/>
      <sheetName val="App B1 Tuition Fees"/>
      <sheetName val="App F1 Transportation"/>
      <sheetName val="App F1.1 Board-Owned"/>
      <sheetName val="App F2 Board Lodging"/>
      <sheetName val="App F3 Prov Schools"/>
      <sheetName val="App G - Salary Grid"/>
      <sheetName val="App H - Staffing"/>
      <sheetName val="Error Messages"/>
      <sheetName val="Warning Messages"/>
      <sheetName val="Data Analysis"/>
      <sheetName val="Tables"/>
      <sheetName val="GSN Benchmarks"/>
    </sheetNames>
    <sheetDataSet>
      <sheetData sheetId="0"/>
      <sheetData sheetId="1"/>
      <sheetData sheetId="2">
        <row r="37">
          <cell r="E37">
            <v>0</v>
          </cell>
          <cell r="F37">
            <v>0</v>
          </cell>
        </row>
      </sheetData>
      <sheetData sheetId="3"/>
      <sheetData sheetId="4"/>
      <sheetData sheetId="5"/>
      <sheetData sheetId="6"/>
      <sheetData sheetId="7">
        <row r="41">
          <cell r="D41">
            <v>0</v>
          </cell>
        </row>
        <row r="120">
          <cell r="B120">
            <v>0</v>
          </cell>
          <cell r="C120">
            <v>0</v>
          </cell>
        </row>
      </sheetData>
      <sheetData sheetId="8"/>
      <sheetData sheetId="9"/>
      <sheetData sheetId="10">
        <row r="60">
          <cell r="C60">
            <v>0</v>
          </cell>
        </row>
      </sheetData>
      <sheetData sheetId="11">
        <row r="43">
          <cell r="D43">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G2" t="str">
            <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O49"/>
  <sheetViews>
    <sheetView topLeftCell="A16" zoomScale="75" zoomScaleNormal="75" workbookViewId="0">
      <selection activeCell="D32" sqref="D32"/>
    </sheetView>
  </sheetViews>
  <sheetFormatPr defaultColWidth="0" defaultRowHeight="12.75" customHeight="1" zeroHeight="1"/>
  <cols>
    <col min="1" max="5" width="9.140625" customWidth="1"/>
    <col min="6" max="6" width="11.140625" customWidth="1"/>
    <col min="7" max="7" width="9.140625" customWidth="1"/>
    <col min="8" max="8" width="10.140625" customWidth="1"/>
    <col min="9" max="9" width="26.85546875" customWidth="1"/>
    <col min="10" max="10" width="9.140625" customWidth="1"/>
    <col min="11" max="11" width="10.85546875" customWidth="1"/>
    <col min="12" max="12" width="4.7109375" hidden="1" customWidth="1"/>
    <col min="13" max="15" width="9.140625" hidden="1" customWidth="1"/>
  </cols>
  <sheetData>
    <row r="1" spans="1:15" ht="13.5" customHeight="1" thickBot="1">
      <c r="A1" s="2138" t="s">
        <v>2784</v>
      </c>
      <c r="B1" s="3"/>
      <c r="C1" s="3"/>
      <c r="D1" s="3"/>
      <c r="E1" s="3"/>
      <c r="F1" s="3"/>
      <c r="G1" s="3"/>
      <c r="H1" s="3"/>
      <c r="I1" s="3"/>
      <c r="J1" s="3"/>
      <c r="K1" s="3"/>
      <c r="L1" s="3"/>
      <c r="M1" s="3"/>
      <c r="N1" s="3"/>
      <c r="O1" s="3"/>
    </row>
    <row r="2" spans="1:15" ht="15.95" customHeight="1" thickBot="1">
      <c r="A2" s="27" t="s">
        <v>621</v>
      </c>
      <c r="B2" s="2"/>
      <c r="C2" s="3"/>
      <c r="D2" s="3"/>
      <c r="E2" s="3"/>
      <c r="F2" s="941" t="s">
        <v>304</v>
      </c>
      <c r="G2" s="3"/>
      <c r="H2" s="3"/>
      <c r="I2" s="1885" t="str">
        <f>'1 Summary'!G2</f>
        <v/>
      </c>
      <c r="J2" s="145"/>
      <c r="K2" s="222"/>
      <c r="L2" s="3"/>
      <c r="M2" s="69"/>
      <c r="N2" s="69"/>
      <c r="O2" s="69"/>
    </row>
    <row r="3" spans="1:15" ht="15.95" customHeight="1" thickBot="1">
      <c r="A3" s="6"/>
      <c r="B3" s="2"/>
      <c r="C3" s="3"/>
      <c r="D3" s="3"/>
      <c r="E3" s="3"/>
      <c r="F3" s="941" t="s">
        <v>305</v>
      </c>
      <c r="G3" s="3"/>
      <c r="H3" s="3"/>
      <c r="I3" s="1036">
        <f>'1 Summary'!G3</f>
        <v>0</v>
      </c>
      <c r="J3" s="7"/>
      <c r="K3" s="3"/>
      <c r="L3" s="3"/>
      <c r="M3" s="69"/>
      <c r="N3" s="69"/>
      <c r="O3" s="69"/>
    </row>
    <row r="4" spans="1:15">
      <c r="A4" s="3"/>
      <c r="B4" s="3"/>
      <c r="C4" s="3"/>
      <c r="D4" s="3"/>
      <c r="E4" s="3"/>
      <c r="F4" s="70"/>
      <c r="G4" s="3"/>
      <c r="H4" s="3"/>
      <c r="I4" s="15"/>
      <c r="J4" s="3"/>
      <c r="K4" s="3"/>
      <c r="L4" s="3" t="s">
        <v>324</v>
      </c>
      <c r="M4" s="69"/>
      <c r="N4" s="69"/>
      <c r="O4" s="69"/>
    </row>
    <row r="5" spans="1:15">
      <c r="A5" s="3"/>
      <c r="B5" s="3"/>
      <c r="C5" s="3"/>
      <c r="D5" s="3"/>
      <c r="E5" s="3"/>
      <c r="F5" s="3"/>
      <c r="G5" s="3"/>
      <c r="H5" s="3"/>
      <c r="I5" s="3"/>
      <c r="J5" s="3"/>
      <c r="K5" s="3"/>
      <c r="L5" s="3" t="s">
        <v>1856</v>
      </c>
      <c r="M5" s="69"/>
      <c r="N5" s="69"/>
      <c r="O5" s="69"/>
    </row>
    <row r="6" spans="1:15">
      <c r="A6" s="3"/>
      <c r="B6" s="3"/>
      <c r="C6" s="3"/>
      <c r="D6" s="3"/>
      <c r="E6" s="3"/>
      <c r="F6" s="3"/>
      <c r="G6" s="3"/>
      <c r="H6" s="3"/>
      <c r="I6" s="3"/>
      <c r="J6" s="3"/>
      <c r="K6" s="3"/>
      <c r="L6" s="3" t="s">
        <v>325</v>
      </c>
      <c r="M6" s="69"/>
      <c r="N6" s="69"/>
      <c r="O6" s="69"/>
    </row>
    <row r="7" spans="1:15">
      <c r="A7" s="3"/>
      <c r="B7" s="3"/>
      <c r="C7" s="3"/>
      <c r="D7" s="3"/>
      <c r="E7" s="3"/>
      <c r="F7" s="3"/>
      <c r="G7" s="3"/>
      <c r="H7" s="3"/>
      <c r="I7" s="3"/>
      <c r="J7" s="3"/>
      <c r="K7" s="3"/>
      <c r="L7" s="3"/>
      <c r="M7" s="69"/>
      <c r="N7" s="69"/>
      <c r="O7" s="69"/>
    </row>
    <row r="8" spans="1:15" ht="13.5" thickBot="1">
      <c r="A8" s="3"/>
      <c r="B8" s="3"/>
      <c r="C8" s="3"/>
      <c r="D8" s="3"/>
      <c r="E8" s="3"/>
      <c r="F8" s="3"/>
      <c r="G8" s="3"/>
      <c r="H8" s="3"/>
      <c r="I8" s="3"/>
      <c r="J8" s="3"/>
      <c r="K8" s="3"/>
      <c r="L8" s="3"/>
      <c r="M8" s="69"/>
      <c r="N8" s="69"/>
      <c r="O8" s="69"/>
    </row>
    <row r="9" spans="1:15" ht="39.75" customHeight="1" thickBot="1">
      <c r="A9" s="121" t="s">
        <v>2920</v>
      </c>
      <c r="B9" s="72"/>
      <c r="C9" s="72"/>
      <c r="D9" s="73"/>
      <c r="E9" s="74"/>
      <c r="F9" s="2214"/>
      <c r="G9" s="74"/>
      <c r="H9" s="74"/>
      <c r="I9" s="75"/>
      <c r="J9" s="72"/>
      <c r="K9" s="72"/>
      <c r="L9" s="72"/>
      <c r="M9" s="76"/>
      <c r="N9" s="76"/>
      <c r="O9" s="76"/>
    </row>
    <row r="10" spans="1:15">
      <c r="A10" s="3"/>
      <c r="B10" s="3"/>
      <c r="C10" s="3"/>
      <c r="D10" s="3"/>
      <c r="E10" s="3"/>
      <c r="F10" s="3"/>
      <c r="G10" s="3"/>
      <c r="H10" s="3"/>
      <c r="I10" s="3"/>
      <c r="J10" s="3"/>
      <c r="K10" s="3"/>
      <c r="L10" s="3"/>
      <c r="M10" s="69"/>
      <c r="N10" s="69"/>
      <c r="O10" s="69"/>
    </row>
    <row r="11" spans="1:15">
      <c r="A11" s="3"/>
      <c r="B11" s="3"/>
      <c r="C11" s="3"/>
      <c r="D11" s="3"/>
      <c r="E11" s="3"/>
      <c r="F11" s="3"/>
      <c r="G11" s="3"/>
      <c r="H11" s="3"/>
      <c r="I11" s="3"/>
      <c r="J11" s="3"/>
      <c r="K11" s="3"/>
      <c r="L11" s="3"/>
      <c r="M11" s="69"/>
      <c r="N11" s="69"/>
      <c r="O11" s="69"/>
    </row>
    <row r="12" spans="1:15">
      <c r="A12" s="3"/>
      <c r="B12" s="3"/>
      <c r="C12" s="3"/>
      <c r="D12" s="3"/>
      <c r="E12" s="3"/>
      <c r="F12" s="3"/>
      <c r="G12" s="3"/>
      <c r="H12" s="3"/>
      <c r="I12" s="3"/>
      <c r="J12" s="3"/>
      <c r="K12" s="3"/>
      <c r="L12" s="3"/>
      <c r="M12" s="69"/>
      <c r="N12" s="69"/>
      <c r="O12" s="69"/>
    </row>
    <row r="13" spans="1:15" ht="23.25">
      <c r="A13" s="77" t="s">
        <v>1889</v>
      </c>
      <c r="B13" s="77"/>
      <c r="C13" s="77"/>
      <c r="D13" s="77"/>
      <c r="E13" s="77"/>
      <c r="F13" s="77"/>
      <c r="G13" s="77"/>
      <c r="H13" s="77"/>
      <c r="I13" s="77"/>
      <c r="J13" s="77"/>
      <c r="K13" s="77"/>
      <c r="L13" s="77"/>
      <c r="M13" s="69"/>
      <c r="N13" s="69"/>
      <c r="O13" s="69"/>
    </row>
    <row r="14" spans="1:15">
      <c r="A14" s="3"/>
      <c r="B14" s="3"/>
      <c r="C14" s="3"/>
      <c r="D14" s="3"/>
      <c r="E14" s="3"/>
      <c r="F14" s="3"/>
      <c r="G14" s="3"/>
      <c r="H14" s="3"/>
      <c r="I14" s="3"/>
      <c r="J14" s="3"/>
      <c r="K14" s="3"/>
      <c r="L14" s="3"/>
      <c r="M14" s="69"/>
      <c r="N14" s="69"/>
      <c r="O14" s="69"/>
    </row>
    <row r="15" spans="1:15">
      <c r="A15" s="3"/>
      <c r="B15" s="3"/>
      <c r="C15" s="3"/>
      <c r="D15" s="3"/>
      <c r="E15" s="3"/>
      <c r="F15" s="3"/>
      <c r="G15" s="3"/>
      <c r="H15" s="3"/>
      <c r="I15" s="3"/>
      <c r="J15" s="3"/>
      <c r="K15" s="3"/>
      <c r="L15" s="3"/>
      <c r="M15" s="69"/>
      <c r="N15" s="69"/>
      <c r="O15" s="69"/>
    </row>
    <row r="16" spans="1:15">
      <c r="A16" s="3"/>
      <c r="B16" s="3"/>
      <c r="C16" s="3"/>
      <c r="D16" s="1934" t="s">
        <v>789</v>
      </c>
      <c r="E16" s="3"/>
      <c r="F16" s="3"/>
      <c r="G16" s="3"/>
      <c r="H16" s="3"/>
      <c r="I16" s="3"/>
      <c r="J16" s="3"/>
      <c r="K16" s="3"/>
      <c r="L16" s="3"/>
      <c r="M16" s="69"/>
      <c r="N16" s="69"/>
      <c r="O16" s="69"/>
    </row>
    <row r="17" spans="1:15" ht="20.25" customHeight="1">
      <c r="A17" s="122"/>
      <c r="B17" s="122" t="s">
        <v>1594</v>
      </c>
      <c r="C17" s="78"/>
      <c r="D17" s="78"/>
      <c r="E17" s="78"/>
      <c r="F17" s="78"/>
      <c r="G17" s="78"/>
      <c r="H17" s="78"/>
      <c r="I17" s="78"/>
      <c r="J17" s="78"/>
      <c r="K17" s="78"/>
      <c r="L17" s="78"/>
      <c r="M17" s="79"/>
      <c r="N17" s="79"/>
      <c r="O17" s="79"/>
    </row>
    <row r="18" spans="1:15" ht="12" customHeight="1">
      <c r="A18" s="122"/>
      <c r="B18" s="122"/>
      <c r="C18" s="78"/>
      <c r="D18" s="78"/>
      <c r="E18" s="78"/>
      <c r="F18" s="78"/>
      <c r="G18" s="78"/>
      <c r="H18" s="78"/>
      <c r="I18" s="78"/>
      <c r="J18" s="78"/>
      <c r="K18" s="78"/>
      <c r="L18" s="78"/>
      <c r="M18" s="79"/>
      <c r="N18" s="79"/>
      <c r="O18" s="79"/>
    </row>
    <row r="19" spans="1:15" ht="19.5" customHeight="1">
      <c r="A19" s="200"/>
      <c r="B19" s="200" t="s">
        <v>1595</v>
      </c>
      <c r="C19" s="200"/>
      <c r="D19" s="1968" t="str">
        <f>I2</f>
        <v/>
      </c>
      <c r="E19" s="2014"/>
      <c r="F19" s="2014"/>
      <c r="G19" s="2014"/>
      <c r="H19" s="2014"/>
      <c r="I19" s="2015"/>
      <c r="J19" s="78"/>
      <c r="K19" s="78"/>
      <c r="L19" s="78"/>
      <c r="M19" s="79"/>
      <c r="N19" s="79"/>
      <c r="O19" s="79"/>
    </row>
    <row r="20" spans="1:15" ht="12" customHeight="1">
      <c r="A20" s="200"/>
      <c r="B20" s="200"/>
      <c r="C20" s="200"/>
      <c r="D20" s="200"/>
      <c r="E20" s="200"/>
      <c r="F20" s="200"/>
      <c r="G20" s="200"/>
      <c r="H20" s="78"/>
      <c r="I20" s="78"/>
      <c r="J20" s="78"/>
      <c r="K20" s="78"/>
      <c r="L20" s="78"/>
      <c r="M20" s="79"/>
      <c r="N20" s="79"/>
      <c r="O20" s="79"/>
    </row>
    <row r="21" spans="1:15" ht="15">
      <c r="A21" s="78"/>
      <c r="B21" s="78"/>
      <c r="C21" s="78" t="s">
        <v>1596</v>
      </c>
      <c r="D21" s="2042"/>
      <c r="E21" s="2042"/>
      <c r="F21" s="2042"/>
      <c r="G21" s="2042"/>
      <c r="H21" s="78"/>
      <c r="I21" s="78" t="s">
        <v>1597</v>
      </c>
      <c r="J21" s="78"/>
      <c r="K21" s="78"/>
      <c r="L21" s="3"/>
      <c r="M21" s="69"/>
      <c r="N21" s="69"/>
      <c r="O21" s="69"/>
    </row>
    <row r="22" spans="1:15" ht="15">
      <c r="A22" s="78"/>
      <c r="B22" s="78"/>
      <c r="C22" s="78"/>
      <c r="D22" s="78"/>
      <c r="E22" s="78"/>
      <c r="F22" s="78"/>
      <c r="G22" s="78"/>
      <c r="H22" s="78"/>
      <c r="I22" s="78"/>
      <c r="J22" s="78"/>
      <c r="K22" s="78"/>
      <c r="L22" s="3"/>
      <c r="M22" s="69"/>
      <c r="N22" s="69"/>
      <c r="O22" s="69"/>
    </row>
    <row r="23" spans="1:15" ht="15">
      <c r="A23" s="78"/>
      <c r="B23" s="78" t="s">
        <v>2696</v>
      </c>
      <c r="C23" s="78"/>
      <c r="D23" s="78"/>
      <c r="E23" s="78"/>
      <c r="F23" s="78"/>
      <c r="G23" s="78" t="s">
        <v>2915</v>
      </c>
      <c r="H23" s="78" t="s">
        <v>2921</v>
      </c>
      <c r="I23" s="78" t="s">
        <v>2914</v>
      </c>
      <c r="J23" s="78"/>
      <c r="K23" s="78"/>
      <c r="L23" s="3"/>
      <c r="M23" s="69"/>
      <c r="N23" s="69"/>
      <c r="O23" s="69"/>
    </row>
    <row r="24" spans="1:15" ht="15">
      <c r="A24" s="78"/>
      <c r="B24" s="78"/>
      <c r="C24" s="78"/>
      <c r="D24" s="78"/>
      <c r="E24" s="78"/>
      <c r="F24" s="78"/>
      <c r="G24" s="78"/>
      <c r="H24" s="78"/>
      <c r="I24" s="78"/>
      <c r="J24" s="78"/>
      <c r="K24" s="78"/>
      <c r="L24" s="3"/>
      <c r="M24" s="69"/>
      <c r="N24" s="69"/>
      <c r="O24" s="69"/>
    </row>
    <row r="25" spans="1:15">
      <c r="A25" s="3"/>
      <c r="B25" s="3"/>
      <c r="C25" s="3"/>
      <c r="D25" s="3"/>
      <c r="E25" s="3"/>
      <c r="F25" s="3"/>
      <c r="G25" s="3"/>
      <c r="H25" s="3"/>
      <c r="I25" s="3"/>
      <c r="J25" s="3"/>
      <c r="K25" s="3"/>
      <c r="L25" s="3"/>
      <c r="M25" s="69"/>
      <c r="N25" s="69"/>
      <c r="O25" s="69"/>
    </row>
    <row r="26" spans="1:15">
      <c r="A26" s="3"/>
      <c r="B26" s="3"/>
      <c r="C26" s="3"/>
      <c r="D26" s="3"/>
      <c r="E26" s="3"/>
      <c r="F26" s="3"/>
      <c r="G26" s="3"/>
      <c r="H26" s="3"/>
      <c r="I26" s="3"/>
      <c r="J26" s="3"/>
      <c r="K26" s="3"/>
      <c r="L26" s="3"/>
      <c r="M26" s="69"/>
      <c r="N26" s="69"/>
      <c r="O26" s="69"/>
    </row>
    <row r="27" spans="1:15" ht="13.5" thickBot="1">
      <c r="A27" s="3"/>
      <c r="B27" s="3"/>
      <c r="C27" s="3"/>
      <c r="D27" s="3"/>
      <c r="E27" s="3"/>
      <c r="F27" s="3"/>
      <c r="G27" s="3"/>
      <c r="H27" s="3"/>
      <c r="I27" s="3"/>
      <c r="J27" s="3"/>
      <c r="K27" s="3"/>
      <c r="L27" s="3"/>
      <c r="M27" s="69"/>
      <c r="N27" s="69"/>
      <c r="O27" s="69"/>
    </row>
    <row r="28" spans="1:15">
      <c r="A28" s="3"/>
      <c r="B28" s="3"/>
      <c r="C28" s="3"/>
      <c r="D28" s="3"/>
      <c r="E28" s="3"/>
      <c r="F28" s="3"/>
      <c r="G28" s="3"/>
      <c r="H28" s="3"/>
      <c r="I28" s="201"/>
      <c r="J28" s="202"/>
      <c r="K28" s="3"/>
      <c r="L28" s="3"/>
      <c r="M28" s="69"/>
      <c r="N28" s="69"/>
      <c r="O28" s="69"/>
    </row>
    <row r="29" spans="1:15" ht="15.75" thickBot="1">
      <c r="A29" s="78" t="s">
        <v>1882</v>
      </c>
      <c r="B29" s="203"/>
      <c r="C29" s="203"/>
      <c r="D29" s="203"/>
      <c r="E29" s="203"/>
      <c r="F29" s="3"/>
      <c r="G29" s="3"/>
      <c r="H29" s="3"/>
      <c r="I29" s="204"/>
      <c r="J29" s="205"/>
      <c r="K29" s="3"/>
      <c r="L29" s="3"/>
      <c r="M29" s="69"/>
      <c r="N29" s="69"/>
      <c r="O29" s="69"/>
    </row>
    <row r="30" spans="1:15">
      <c r="A30" s="3"/>
      <c r="B30" s="3"/>
      <c r="C30" s="3"/>
      <c r="D30" s="3"/>
      <c r="E30" s="3"/>
      <c r="F30" s="3"/>
      <c r="G30" s="3"/>
      <c r="H30" s="3"/>
      <c r="I30" s="3"/>
      <c r="J30" s="3"/>
      <c r="K30" s="3"/>
      <c r="L30" s="3"/>
      <c r="M30" s="69"/>
      <c r="N30" s="69"/>
      <c r="O30" s="69"/>
    </row>
    <row r="31" spans="1:15">
      <c r="A31" s="3"/>
      <c r="B31" s="3"/>
      <c r="C31" s="3"/>
      <c r="D31" s="3"/>
      <c r="E31" s="3"/>
      <c r="F31" s="3"/>
      <c r="G31" s="3"/>
      <c r="H31" s="3"/>
      <c r="I31" s="3"/>
      <c r="J31" s="3"/>
      <c r="K31" s="3"/>
      <c r="L31" s="3"/>
      <c r="M31" s="69"/>
      <c r="N31" s="69"/>
      <c r="O31" s="69"/>
    </row>
    <row r="32" spans="1:15">
      <c r="A32" s="3"/>
      <c r="B32" s="3"/>
      <c r="C32" s="3"/>
      <c r="D32" s="3"/>
      <c r="E32" s="3"/>
      <c r="F32" s="3"/>
      <c r="G32" s="3"/>
      <c r="H32" s="3"/>
      <c r="I32" s="15"/>
      <c r="J32" s="15"/>
      <c r="K32" s="3"/>
      <c r="L32" s="3"/>
      <c r="M32" s="69"/>
      <c r="N32" s="69"/>
      <c r="O32" s="69"/>
    </row>
    <row r="33" spans="1:15">
      <c r="A33" s="3"/>
      <c r="B33" s="3"/>
      <c r="C33" s="3"/>
      <c r="D33" s="3"/>
      <c r="E33" s="3"/>
      <c r="F33" s="3"/>
      <c r="G33" s="3"/>
      <c r="H33" s="3"/>
      <c r="I33" s="221"/>
      <c r="J33" s="221"/>
      <c r="K33" s="3"/>
      <c r="L33" s="3"/>
      <c r="M33" s="69"/>
      <c r="N33" s="69"/>
      <c r="O33" s="69"/>
    </row>
    <row r="34" spans="1:15">
      <c r="A34" s="3"/>
      <c r="B34" s="3"/>
      <c r="C34" s="3"/>
      <c r="D34" s="3"/>
      <c r="E34" s="3"/>
      <c r="F34" s="3"/>
      <c r="G34" s="3"/>
      <c r="H34" s="3"/>
      <c r="I34" s="221"/>
      <c r="J34" s="221"/>
      <c r="K34" s="3"/>
      <c r="L34" s="3"/>
      <c r="M34" s="69"/>
      <c r="N34" s="69"/>
      <c r="O34" s="69"/>
    </row>
    <row r="35" spans="1:15">
      <c r="A35" s="3"/>
      <c r="B35" s="3"/>
      <c r="C35" s="3"/>
      <c r="D35" s="3"/>
      <c r="E35" s="3"/>
      <c r="F35" s="3"/>
      <c r="G35" s="3"/>
      <c r="H35" s="3"/>
      <c r="I35" s="15"/>
      <c r="J35" s="15"/>
      <c r="K35" s="3"/>
      <c r="L35" s="3"/>
      <c r="M35" s="69"/>
      <c r="N35" s="69"/>
      <c r="O35" s="69"/>
    </row>
    <row r="36" spans="1:15">
      <c r="A36" s="3"/>
      <c r="B36" s="3"/>
      <c r="C36" s="3"/>
      <c r="D36" s="3"/>
      <c r="E36" s="3"/>
      <c r="F36" s="3"/>
      <c r="G36" s="3"/>
      <c r="H36" s="3"/>
      <c r="I36" s="3"/>
      <c r="J36" s="3"/>
      <c r="K36" s="3"/>
      <c r="L36" s="3"/>
      <c r="M36" s="69"/>
      <c r="N36" s="69"/>
      <c r="O36" s="69"/>
    </row>
    <row r="37" spans="1:15">
      <c r="A37" s="3"/>
      <c r="B37" s="3"/>
      <c r="C37" s="3"/>
      <c r="D37" s="3"/>
      <c r="E37" s="3"/>
      <c r="F37" s="3"/>
      <c r="G37" s="3"/>
      <c r="H37" s="3"/>
      <c r="I37" s="3"/>
      <c r="J37" s="3"/>
      <c r="K37" s="3"/>
      <c r="L37" s="3"/>
      <c r="M37" s="69"/>
      <c r="N37" s="69"/>
      <c r="O37" s="69"/>
    </row>
    <row r="38" spans="1:15">
      <c r="A38" s="3"/>
      <c r="B38" s="3"/>
      <c r="C38" s="3"/>
      <c r="D38" s="3"/>
      <c r="E38" s="3"/>
      <c r="F38" s="3"/>
      <c r="G38" s="3"/>
      <c r="H38" s="3"/>
      <c r="I38" s="3"/>
      <c r="J38" s="3"/>
      <c r="K38" s="3"/>
      <c r="L38" s="3"/>
      <c r="M38" s="69"/>
      <c r="N38" s="69"/>
      <c r="O38" s="69"/>
    </row>
    <row r="39" spans="1:15">
      <c r="A39" s="3"/>
      <c r="B39" s="3"/>
      <c r="C39" s="3"/>
      <c r="D39" s="3"/>
      <c r="E39" s="3"/>
      <c r="F39" s="3"/>
      <c r="G39" s="3"/>
      <c r="H39" s="3"/>
      <c r="I39" s="3"/>
      <c r="J39" s="3"/>
      <c r="K39" s="3"/>
      <c r="L39" s="3"/>
      <c r="M39" s="69"/>
      <c r="N39" s="69"/>
      <c r="O39" s="69"/>
    </row>
    <row r="40" spans="1:15">
      <c r="A40" s="3"/>
      <c r="B40" s="3"/>
      <c r="C40" s="3"/>
      <c r="D40" s="3"/>
      <c r="E40" s="3"/>
      <c r="F40" s="3"/>
      <c r="G40" s="3"/>
      <c r="H40" s="3"/>
      <c r="I40" s="3"/>
      <c r="J40" s="3"/>
      <c r="K40" s="3"/>
      <c r="L40" s="3"/>
      <c r="M40" s="69"/>
      <c r="N40" s="69"/>
      <c r="O40" s="69"/>
    </row>
    <row r="41" spans="1:15">
      <c r="A41" s="3"/>
      <c r="B41" s="3"/>
      <c r="C41" s="3"/>
      <c r="D41" s="3"/>
      <c r="E41" s="3"/>
      <c r="F41" s="3"/>
      <c r="G41" s="3"/>
      <c r="H41" s="3"/>
      <c r="I41" s="3"/>
      <c r="J41" s="3"/>
      <c r="K41" s="3"/>
      <c r="L41" s="3"/>
      <c r="M41" s="69"/>
      <c r="N41" s="69"/>
      <c r="O41" s="69"/>
    </row>
    <row r="42" spans="1:15">
      <c r="A42" s="3"/>
      <c r="B42" s="3"/>
      <c r="C42" s="3"/>
      <c r="D42" s="3"/>
      <c r="E42" s="3"/>
      <c r="F42" s="3"/>
      <c r="G42" s="3"/>
      <c r="H42" s="3"/>
      <c r="I42" s="3"/>
      <c r="J42" s="3"/>
      <c r="K42" s="3"/>
      <c r="L42" s="3"/>
      <c r="M42" s="69"/>
      <c r="N42" s="69"/>
      <c r="O42" s="69"/>
    </row>
    <row r="43" spans="1:15">
      <c r="A43" s="3"/>
      <c r="B43" s="3"/>
      <c r="C43" s="3"/>
      <c r="D43" s="3"/>
      <c r="E43" s="3"/>
      <c r="F43" s="3"/>
      <c r="G43" s="3"/>
      <c r="H43" s="3"/>
      <c r="I43" s="3"/>
      <c r="J43" s="3"/>
      <c r="K43" s="3"/>
      <c r="L43" s="3"/>
      <c r="M43" s="69"/>
      <c r="N43" s="69"/>
      <c r="O43" s="69"/>
    </row>
    <row r="44" spans="1:15">
      <c r="A44" s="3"/>
      <c r="B44" s="3"/>
      <c r="C44" s="3"/>
      <c r="D44" s="3"/>
      <c r="E44" s="3"/>
      <c r="F44" s="3"/>
      <c r="G44" s="3"/>
      <c r="H44" s="3"/>
      <c r="I44" s="3"/>
      <c r="J44" s="3"/>
      <c r="K44" s="3"/>
      <c r="L44" s="3"/>
      <c r="M44" s="69"/>
      <c r="N44" s="69"/>
      <c r="O44" s="69"/>
    </row>
    <row r="45" spans="1:15">
      <c r="A45" s="3"/>
      <c r="B45" s="3"/>
      <c r="C45" s="3"/>
      <c r="D45" s="3"/>
      <c r="E45" s="3"/>
      <c r="F45" s="3"/>
      <c r="G45" s="3"/>
      <c r="H45" s="3"/>
      <c r="I45" s="3"/>
      <c r="J45" s="3"/>
      <c r="K45" s="3"/>
      <c r="L45" s="3"/>
      <c r="M45" s="69"/>
      <c r="N45" s="69"/>
      <c r="O45" s="69"/>
    </row>
    <row r="46" spans="1:15">
      <c r="A46" s="3"/>
      <c r="B46" s="3"/>
      <c r="C46" s="3"/>
      <c r="D46" s="3"/>
      <c r="E46" s="3"/>
      <c r="F46" s="3"/>
      <c r="G46" s="3"/>
      <c r="H46" s="3"/>
      <c r="I46" s="3"/>
      <c r="J46" s="3"/>
      <c r="K46" s="3"/>
      <c r="L46" s="3"/>
      <c r="M46" s="69"/>
      <c r="N46" s="69"/>
      <c r="O46" s="69"/>
    </row>
    <row r="47" spans="1:15">
      <c r="A47" s="3"/>
      <c r="B47" s="3"/>
      <c r="C47" s="3"/>
      <c r="D47" s="3"/>
      <c r="E47" s="3"/>
      <c r="F47" s="3"/>
      <c r="G47" s="3"/>
      <c r="H47" s="3"/>
      <c r="I47" s="3"/>
      <c r="J47" s="3"/>
      <c r="K47" s="3"/>
      <c r="L47" s="3"/>
      <c r="M47" s="69"/>
      <c r="N47" s="69"/>
      <c r="O47" s="69"/>
    </row>
    <row r="48" spans="1:15">
      <c r="A48" s="3"/>
      <c r="B48" s="80"/>
      <c r="C48" s="3"/>
      <c r="D48" s="3"/>
      <c r="E48" s="3"/>
      <c r="F48" s="3"/>
      <c r="G48" s="3"/>
      <c r="H48" s="3"/>
      <c r="I48" s="3"/>
      <c r="J48" s="3"/>
      <c r="K48" s="3"/>
      <c r="L48" s="3"/>
      <c r="M48" s="69"/>
      <c r="N48" s="69"/>
      <c r="O48" s="69"/>
    </row>
    <row r="49" spans="1:15">
      <c r="A49" s="3"/>
      <c r="B49" s="3"/>
      <c r="C49" s="3"/>
      <c r="D49" s="3"/>
      <c r="E49" s="3"/>
      <c r="F49" s="3"/>
      <c r="G49" s="3"/>
      <c r="H49" s="3"/>
      <c r="I49" s="3"/>
      <c r="J49" s="3"/>
      <c r="K49" s="3"/>
      <c r="L49" s="3"/>
      <c r="M49" s="69"/>
      <c r="N49" s="69"/>
      <c r="O49" s="69"/>
    </row>
  </sheetData>
  <sheetProtection password="C7B7" sheet="1" objects="1" scenarios="1"/>
  <protectedRanges>
    <protectedRange sqref="D21:G21" name="Range3"/>
    <protectedRange sqref="B29:E29" name="Range1"/>
    <protectedRange sqref="I28:J29" name="Range2"/>
  </protectedRanges>
  <phoneticPr fontId="0" type="noConversion"/>
  <printOptions horizontalCentered="1"/>
  <pageMargins left="0" right="0" top="1" bottom="1" header="0.5" footer="0.5"/>
  <pageSetup scale="68" orientation="portrait" r:id="rId1"/>
  <headerFooter alignWithMargins="0">
    <oddFooter>&amp;L&amp;D,&amp;" ,Regular" &amp;T
&amp;CPage &amp;P of &amp;N&amp;R2015/16 School Authority Estimates
&amp;A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Button 1">
              <controlPr defaultSize="0" print="0" autoFill="0" autoLine="0" autoPict="0">
                <anchor moveWithCells="1" sizeWithCells="1">
                  <from>
                    <xdr:col>0</xdr:col>
                    <xdr:colOff>180975</xdr:colOff>
                    <xdr:row>0</xdr:row>
                    <xdr:rowOff>0</xdr:rowOff>
                  </from>
                  <to>
                    <xdr:col>1</xdr:col>
                    <xdr:colOff>142875</xdr:colOff>
                    <xdr:row>0</xdr:row>
                    <xdr:rowOff>0</xdr:rowOff>
                  </to>
                </anchor>
              </controlPr>
            </control>
          </mc:Choice>
        </mc:AlternateContent>
        <mc:AlternateContent xmlns:mc="http://schemas.openxmlformats.org/markup-compatibility/2006">
          <mc:Choice Requires="x14">
            <control shapeId="31746" r:id="rId5" name="Button 2">
              <controlPr defaultSize="0" print="0" autoFill="0" autoLine="0" autoPict="0">
                <anchor moveWithCells="1" sizeWithCells="1">
                  <from>
                    <xdr:col>0</xdr:col>
                    <xdr:colOff>238125</xdr:colOff>
                    <xdr:row>0</xdr:row>
                    <xdr:rowOff>0</xdr:rowOff>
                  </from>
                  <to>
                    <xdr:col>1</xdr:col>
                    <xdr:colOff>85725</xdr:colOff>
                    <xdr:row>0</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2"/>
  <sheetViews>
    <sheetView zoomScaleNormal="100" zoomScaleSheetLayoutView="100" workbookViewId="0">
      <selection activeCell="J10" sqref="J10"/>
    </sheetView>
  </sheetViews>
  <sheetFormatPr defaultColWidth="0" defaultRowHeight="12.75" zeroHeight="1"/>
  <cols>
    <col min="1" max="1" width="3.140625" customWidth="1"/>
    <col min="2" max="2" width="7.140625" customWidth="1"/>
    <col min="3" max="3" width="48.7109375" customWidth="1"/>
    <col min="4" max="4" width="13.7109375" customWidth="1"/>
    <col min="5" max="5" width="15.140625" customWidth="1"/>
    <col min="6" max="6" width="13.7109375" customWidth="1"/>
    <col min="7" max="7" width="17.5703125" customWidth="1"/>
    <col min="8" max="8" width="15.85546875" customWidth="1"/>
    <col min="9" max="9" width="15.85546875" hidden="1" customWidth="1"/>
    <col min="10" max="10" width="2.85546875" customWidth="1"/>
    <col min="11" max="11" width="8.28515625" customWidth="1"/>
  </cols>
  <sheetData>
    <row r="1" spans="1:11" ht="14.25">
      <c r="A1" s="2144" t="s">
        <v>2783</v>
      </c>
      <c r="B1" s="2145"/>
      <c r="C1" s="2146"/>
      <c r="D1" s="412"/>
      <c r="E1" s="413" t="s">
        <v>163</v>
      </c>
      <c r="F1" s="414" t="str">
        <f>'1 Summary'!G2</f>
        <v/>
      </c>
      <c r="G1" s="415"/>
      <c r="H1" s="412"/>
      <c r="I1" s="412"/>
      <c r="J1" s="412"/>
      <c r="K1" s="42"/>
    </row>
    <row r="2" spans="1:11" ht="15">
      <c r="A2" s="416" t="s">
        <v>1718</v>
      </c>
      <c r="B2" s="417"/>
      <c r="C2" s="411"/>
      <c r="D2" s="412"/>
      <c r="E2" s="13" t="s">
        <v>653</v>
      </c>
      <c r="F2" s="418">
        <f>'1 Summary'!G3</f>
        <v>0</v>
      </c>
      <c r="G2" s="412"/>
      <c r="H2" s="412"/>
      <c r="I2" s="412"/>
      <c r="J2" s="412"/>
      <c r="K2" s="42"/>
    </row>
    <row r="3" spans="1:11" ht="15">
      <c r="A3" s="410"/>
      <c r="B3" s="417" t="s">
        <v>3060</v>
      </c>
      <c r="C3" s="411"/>
      <c r="D3" s="412"/>
      <c r="E3" s="412"/>
      <c r="F3" s="412"/>
      <c r="G3" s="412"/>
      <c r="H3" s="412"/>
      <c r="I3" s="412"/>
      <c r="J3" s="412"/>
      <c r="K3" s="42"/>
    </row>
    <row r="4" spans="1:11">
      <c r="A4" s="2127" t="s">
        <v>1719</v>
      </c>
      <c r="B4" s="2128" t="s">
        <v>1570</v>
      </c>
      <c r="C4" s="2129" t="s">
        <v>676</v>
      </c>
      <c r="D4" s="2147" t="s">
        <v>677</v>
      </c>
      <c r="E4" s="2147" t="s">
        <v>680</v>
      </c>
      <c r="F4" s="2147" t="s">
        <v>2781</v>
      </c>
      <c r="G4" s="2147" t="s">
        <v>2782</v>
      </c>
      <c r="H4" s="2147" t="s">
        <v>677</v>
      </c>
      <c r="I4" s="2147"/>
      <c r="J4" s="2147" t="s">
        <v>680</v>
      </c>
      <c r="K4" s="2137" t="s">
        <v>905</v>
      </c>
    </row>
    <row r="5" spans="1:11" ht="42.75">
      <c r="A5" s="410"/>
      <c r="B5" s="419"/>
      <c r="C5" s="420"/>
      <c r="D5" s="421" t="s">
        <v>2925</v>
      </c>
      <c r="E5" s="422" t="s">
        <v>1567</v>
      </c>
      <c r="F5" s="421" t="s">
        <v>1568</v>
      </c>
      <c r="G5" s="422" t="s">
        <v>1569</v>
      </c>
      <c r="H5" s="423" t="s">
        <v>2926</v>
      </c>
      <c r="I5" s="424"/>
      <c r="J5" s="424"/>
      <c r="K5" s="42"/>
    </row>
    <row r="6" spans="1:11" ht="14.25">
      <c r="A6" s="410"/>
      <c r="B6" s="419"/>
      <c r="C6" s="425" t="s">
        <v>789</v>
      </c>
      <c r="D6" s="421" t="s">
        <v>2147</v>
      </c>
      <c r="E6" s="422" t="s">
        <v>2148</v>
      </c>
      <c r="F6" s="421" t="s">
        <v>2149</v>
      </c>
      <c r="G6" s="422" t="s">
        <v>338</v>
      </c>
      <c r="H6" s="423" t="s">
        <v>339</v>
      </c>
      <c r="I6" s="424"/>
      <c r="J6" s="424"/>
      <c r="K6" s="42"/>
    </row>
    <row r="7" spans="1:11" ht="15">
      <c r="A7" s="410"/>
      <c r="B7" s="419">
        <v>1</v>
      </c>
      <c r="C7" s="426" t="s">
        <v>1719</v>
      </c>
      <c r="D7" s="427"/>
      <c r="E7" s="427"/>
      <c r="F7" s="427"/>
      <c r="G7" s="427"/>
      <c r="H7" s="428"/>
      <c r="I7" s="429"/>
      <c r="J7" s="429"/>
      <c r="K7" s="42"/>
    </row>
    <row r="8" spans="1:11" ht="15">
      <c r="A8" s="410"/>
      <c r="B8" s="430"/>
      <c r="C8" s="431"/>
      <c r="D8" s="432"/>
      <c r="E8" s="432"/>
      <c r="F8" s="432"/>
      <c r="G8" s="432"/>
      <c r="H8" s="432"/>
      <c r="I8" s="432"/>
      <c r="J8" s="432"/>
      <c r="K8" s="42"/>
    </row>
    <row r="9" spans="1:11" ht="15">
      <c r="A9" s="410"/>
      <c r="B9" s="419">
        <v>1.1000000000000001</v>
      </c>
      <c r="C9" s="426" t="s">
        <v>1570</v>
      </c>
      <c r="D9" s="427"/>
      <c r="E9" s="427"/>
      <c r="F9" s="427"/>
      <c r="G9" s="427"/>
      <c r="H9" s="428"/>
      <c r="I9" s="429"/>
      <c r="J9" s="429"/>
      <c r="K9" s="42"/>
    </row>
    <row r="10" spans="1:11" ht="14.25">
      <c r="A10" s="410"/>
      <c r="B10" s="433">
        <v>1.2</v>
      </c>
      <c r="C10" s="434" t="s">
        <v>1571</v>
      </c>
      <c r="D10" s="435"/>
      <c r="E10" s="435"/>
      <c r="F10" s="435"/>
      <c r="G10" s="435"/>
      <c r="H10" s="436"/>
      <c r="I10" s="437"/>
      <c r="J10" s="437"/>
      <c r="K10" s="42"/>
    </row>
    <row r="11" spans="1:11" ht="14.25">
      <c r="A11" s="410"/>
      <c r="B11" s="433">
        <v>1.3</v>
      </c>
      <c r="C11" s="434" t="s">
        <v>13</v>
      </c>
      <c r="D11" s="438"/>
      <c r="E11" s="435">
        <f>+'2 Special Ed'!T64</f>
        <v>0</v>
      </c>
      <c r="F11" s="439"/>
      <c r="G11" s="439"/>
      <c r="H11" s="440">
        <f>D11+E11+F11-G11</f>
        <v>0</v>
      </c>
      <c r="I11" s="2422">
        <f>IF(H11&lt;0,1,0)</f>
        <v>0</v>
      </c>
      <c r="J11" s="437"/>
      <c r="K11" s="441" t="s">
        <v>789</v>
      </c>
    </row>
    <row r="12" spans="1:11" ht="14.25">
      <c r="A12" s="410"/>
      <c r="B12" s="433">
        <v>1.4</v>
      </c>
      <c r="C12" s="434" t="s">
        <v>1943</v>
      </c>
      <c r="D12" s="438"/>
      <c r="E12" s="439"/>
      <c r="F12" s="438"/>
      <c r="G12" s="439"/>
      <c r="H12" s="440">
        <f>D12+E12+F12-G12</f>
        <v>0</v>
      </c>
      <c r="I12" s="2422">
        <f t="shared" ref="I12:I15" si="0">IF(H12&lt;0,1,0)</f>
        <v>0</v>
      </c>
      <c r="J12" s="437"/>
      <c r="K12" s="441"/>
    </row>
    <row r="13" spans="1:11" ht="14.25">
      <c r="A13" s="410"/>
      <c r="B13" s="433" t="s">
        <v>1572</v>
      </c>
      <c r="C13" s="434" t="s">
        <v>922</v>
      </c>
      <c r="D13" s="438"/>
      <c r="E13" s="439"/>
      <c r="F13" s="438"/>
      <c r="G13" s="439"/>
      <c r="H13" s="440">
        <f>D13+E13+F13-G13</f>
        <v>0</v>
      </c>
      <c r="I13" s="2422">
        <f t="shared" si="0"/>
        <v>0</v>
      </c>
      <c r="J13" s="437"/>
      <c r="K13" s="42" t="s">
        <v>789</v>
      </c>
    </row>
    <row r="14" spans="1:11" ht="14.25">
      <c r="A14" s="410"/>
      <c r="B14" s="433" t="s">
        <v>1942</v>
      </c>
      <c r="C14" s="434" t="s">
        <v>1992</v>
      </c>
      <c r="D14" s="438"/>
      <c r="E14" s="439"/>
      <c r="F14" s="438"/>
      <c r="G14" s="439"/>
      <c r="H14" s="440">
        <f>D14+E14+F14-G14</f>
        <v>0</v>
      </c>
      <c r="I14" s="2422">
        <f t="shared" si="0"/>
        <v>0</v>
      </c>
      <c r="J14" s="437"/>
      <c r="K14" s="441"/>
    </row>
    <row r="15" spans="1:11" ht="14.25">
      <c r="A15" s="410"/>
      <c r="B15" s="433" t="s">
        <v>2318</v>
      </c>
      <c r="C15" s="446" t="s">
        <v>2316</v>
      </c>
      <c r="D15" s="438"/>
      <c r="E15" s="435">
        <f>+'13 Learning Opportunities'!H63</f>
        <v>0</v>
      </c>
      <c r="F15" s="438"/>
      <c r="G15" s="439"/>
      <c r="H15" s="440">
        <f>D15+E15+F15-G15</f>
        <v>0</v>
      </c>
      <c r="I15" s="2422">
        <f t="shared" si="0"/>
        <v>0</v>
      </c>
      <c r="J15" s="437"/>
      <c r="K15" s="441"/>
    </row>
    <row r="16" spans="1:11" ht="15">
      <c r="A16" s="416" t="s">
        <v>789</v>
      </c>
      <c r="B16" s="442">
        <v>1.5</v>
      </c>
      <c r="C16" s="443" t="s">
        <v>675</v>
      </c>
      <c r="D16" s="444">
        <f>SUM(D10:D15)</f>
        <v>0</v>
      </c>
      <c r="E16" s="444">
        <f>SUM(E10:E15)</f>
        <v>0</v>
      </c>
      <c r="F16" s="444">
        <f>SUM(F10:F15)</f>
        <v>0</v>
      </c>
      <c r="G16" s="444">
        <f>SUM(G10:G15)</f>
        <v>0</v>
      </c>
      <c r="H16" s="444">
        <f>SUM(H10:H15)</f>
        <v>0</v>
      </c>
      <c r="I16" s="432"/>
      <c r="J16" s="432"/>
      <c r="K16" s="41"/>
    </row>
    <row r="17" spans="1:11" ht="15">
      <c r="A17" s="410"/>
      <c r="B17" s="430"/>
      <c r="C17" s="431"/>
      <c r="D17" s="432"/>
      <c r="E17" s="432"/>
      <c r="F17" s="432"/>
      <c r="G17" s="432"/>
      <c r="H17" s="432"/>
      <c r="I17" s="432"/>
      <c r="J17" s="432"/>
      <c r="K17" s="42"/>
    </row>
    <row r="18" spans="1:11" ht="15">
      <c r="A18" s="410" t="s">
        <v>789</v>
      </c>
      <c r="B18" s="419">
        <v>1.6</v>
      </c>
      <c r="C18" s="426" t="s">
        <v>676</v>
      </c>
      <c r="D18" s="427"/>
      <c r="E18" s="427"/>
      <c r="F18" s="427"/>
      <c r="G18" s="427"/>
      <c r="H18" s="428"/>
      <c r="I18" s="429"/>
      <c r="J18" s="429"/>
      <c r="K18" s="42"/>
    </row>
    <row r="19" spans="1:11" ht="14.25">
      <c r="A19" s="410"/>
      <c r="B19" s="445"/>
      <c r="C19" s="446" t="s">
        <v>1720</v>
      </c>
      <c r="D19" s="438"/>
      <c r="E19" s="438"/>
      <c r="F19" s="438"/>
      <c r="G19" s="438"/>
      <c r="H19" s="440">
        <f t="shared" ref="H19:H24" si="1">+D19+E19+F19-G19</f>
        <v>0</v>
      </c>
      <c r="I19" s="2422">
        <f t="shared" ref="I19:I24" si="2">IF(H19&lt;0,1,0)</f>
        <v>0</v>
      </c>
      <c r="J19" s="437"/>
      <c r="K19" s="42"/>
    </row>
    <row r="20" spans="1:11" ht="14.25">
      <c r="A20" s="410"/>
      <c r="B20" s="445">
        <v>1.8</v>
      </c>
      <c r="C20" s="438"/>
      <c r="D20" s="438"/>
      <c r="E20" s="439"/>
      <c r="F20" s="439"/>
      <c r="G20" s="439"/>
      <c r="H20" s="440">
        <f t="shared" si="1"/>
        <v>0</v>
      </c>
      <c r="I20" s="2422">
        <f t="shared" si="2"/>
        <v>0</v>
      </c>
      <c r="J20" s="437"/>
      <c r="K20" s="42"/>
    </row>
    <row r="21" spans="1:11" ht="14.25">
      <c r="A21" s="410"/>
      <c r="B21" s="445">
        <v>1.9</v>
      </c>
      <c r="C21" s="438"/>
      <c r="D21" s="438"/>
      <c r="E21" s="439"/>
      <c r="F21" s="438"/>
      <c r="G21" s="439"/>
      <c r="H21" s="440">
        <f t="shared" si="1"/>
        <v>0</v>
      </c>
      <c r="I21" s="2422">
        <f t="shared" si="2"/>
        <v>0</v>
      </c>
      <c r="J21" s="437"/>
      <c r="K21" s="42"/>
    </row>
    <row r="22" spans="1:11" ht="14.25">
      <c r="A22" s="410"/>
      <c r="B22" s="447">
        <v>1.1000000000000001</v>
      </c>
      <c r="C22" s="438"/>
      <c r="D22" s="438"/>
      <c r="E22" s="439"/>
      <c r="F22" s="438"/>
      <c r="G22" s="439"/>
      <c r="H22" s="440">
        <f t="shared" si="1"/>
        <v>0</v>
      </c>
      <c r="I22" s="2422">
        <f t="shared" si="2"/>
        <v>0</v>
      </c>
      <c r="J22" s="437"/>
      <c r="K22" s="42"/>
    </row>
    <row r="23" spans="1:11" ht="14.25">
      <c r="A23" s="410"/>
      <c r="B23" s="447">
        <v>1.1100000000000001</v>
      </c>
      <c r="C23" s="438"/>
      <c r="D23" s="438"/>
      <c r="E23" s="439"/>
      <c r="F23" s="438"/>
      <c r="G23" s="439"/>
      <c r="H23" s="440">
        <f t="shared" si="1"/>
        <v>0</v>
      </c>
      <c r="I23" s="2422">
        <f t="shared" si="2"/>
        <v>0</v>
      </c>
      <c r="J23" s="437"/>
      <c r="K23" s="42"/>
    </row>
    <row r="24" spans="1:11" ht="14.25">
      <c r="A24" s="410"/>
      <c r="B24" s="447">
        <v>1.1200000000000001</v>
      </c>
      <c r="C24" s="438"/>
      <c r="D24" s="438"/>
      <c r="E24" s="439"/>
      <c r="F24" s="438"/>
      <c r="G24" s="439"/>
      <c r="H24" s="440">
        <f t="shared" si="1"/>
        <v>0</v>
      </c>
      <c r="I24" s="2422">
        <f t="shared" si="2"/>
        <v>0</v>
      </c>
      <c r="J24" s="437"/>
      <c r="K24" s="42"/>
    </row>
    <row r="25" spans="1:11" ht="15">
      <c r="A25" s="410" t="s">
        <v>789</v>
      </c>
      <c r="B25" s="448">
        <v>1.1299999999999999</v>
      </c>
      <c r="C25" s="443" t="s">
        <v>687</v>
      </c>
      <c r="D25" s="435">
        <f>SUM(D19:D24)</f>
        <v>0</v>
      </c>
      <c r="E25" s="435">
        <f>SUM(E19:E24)</f>
        <v>0</v>
      </c>
      <c r="F25" s="435">
        <f>SUM(F19:F24)</f>
        <v>0</v>
      </c>
      <c r="G25" s="435">
        <f>SUM(G19:G24)</f>
        <v>0</v>
      </c>
      <c r="H25" s="435">
        <f>SUM(H19:H24)</f>
        <v>0</v>
      </c>
      <c r="I25" s="449"/>
      <c r="J25" s="449"/>
      <c r="K25" s="42"/>
    </row>
    <row r="26" spans="1:11" ht="15">
      <c r="A26" s="410"/>
      <c r="B26" s="430"/>
      <c r="C26" s="431"/>
      <c r="D26" s="432"/>
      <c r="E26" s="432"/>
      <c r="F26" s="432"/>
      <c r="G26" s="432"/>
      <c r="H26" s="432"/>
      <c r="I26" s="432"/>
      <c r="J26" s="432"/>
      <c r="K26" s="42"/>
    </row>
    <row r="27" spans="1:11" ht="15">
      <c r="A27" s="410" t="s">
        <v>789</v>
      </c>
      <c r="B27" s="448">
        <v>1.1399999999999999</v>
      </c>
      <c r="C27" s="426" t="s">
        <v>677</v>
      </c>
      <c r="D27" s="431"/>
      <c r="E27" s="431"/>
      <c r="F27" s="431"/>
      <c r="G27" s="431"/>
      <c r="H27" s="450"/>
      <c r="I27" s="451"/>
      <c r="J27" s="451"/>
      <c r="K27" s="42"/>
    </row>
    <row r="28" spans="1:11" ht="14.25">
      <c r="A28" s="410" t="s">
        <v>789</v>
      </c>
      <c r="B28" s="447">
        <v>1.1499999999999999</v>
      </c>
      <c r="C28" s="446" t="s">
        <v>678</v>
      </c>
      <c r="D28" s="438"/>
      <c r="E28" s="439"/>
      <c r="F28" s="439"/>
      <c r="G28" s="439"/>
      <c r="H28" s="440">
        <f>+D28+E28+F28-G28</f>
        <v>0</v>
      </c>
      <c r="I28" s="2422">
        <f t="shared" ref="I28" si="3">IF(H28&lt;0,1,0)</f>
        <v>0</v>
      </c>
      <c r="J28" s="437"/>
      <c r="K28" s="42"/>
    </row>
    <row r="29" spans="1:11" ht="14.25">
      <c r="A29" s="410"/>
      <c r="B29" s="447"/>
      <c r="C29" s="446" t="s">
        <v>1721</v>
      </c>
      <c r="D29" s="435"/>
      <c r="E29" s="435"/>
      <c r="F29" s="435"/>
      <c r="G29" s="435"/>
      <c r="H29" s="436"/>
      <c r="I29" s="437"/>
      <c r="J29" s="437"/>
      <c r="K29" s="42"/>
    </row>
    <row r="30" spans="1:11" ht="14.25">
      <c r="A30" s="410" t="s">
        <v>789</v>
      </c>
      <c r="B30" s="447">
        <v>1.1599999999999999</v>
      </c>
      <c r="C30" s="452"/>
      <c r="D30" s="438"/>
      <c r="E30" s="439"/>
      <c r="F30" s="438"/>
      <c r="G30" s="439"/>
      <c r="H30" s="440">
        <f>+D30+E30+F30-G30</f>
        <v>0</v>
      </c>
      <c r="I30" s="2422">
        <f t="shared" ref="I30:I34" si="4">IF(H30&lt;0,1,0)</f>
        <v>0</v>
      </c>
      <c r="J30" s="437"/>
      <c r="K30" s="42" t="s">
        <v>789</v>
      </c>
    </row>
    <row r="31" spans="1:11" ht="14.25">
      <c r="A31" s="410" t="s">
        <v>789</v>
      </c>
      <c r="B31" s="447">
        <v>1.17</v>
      </c>
      <c r="C31" s="452"/>
      <c r="D31" s="438"/>
      <c r="E31" s="439"/>
      <c r="F31" s="438"/>
      <c r="G31" s="439"/>
      <c r="H31" s="440">
        <f>+D31+E31+F31-G31</f>
        <v>0</v>
      </c>
      <c r="I31" s="2422">
        <f t="shared" si="4"/>
        <v>0</v>
      </c>
      <c r="J31" s="437"/>
      <c r="K31" s="42"/>
    </row>
    <row r="32" spans="1:11" ht="14.25">
      <c r="A32" s="410"/>
      <c r="B32" s="447">
        <v>1.18</v>
      </c>
      <c r="C32" s="452"/>
      <c r="D32" s="438"/>
      <c r="E32" s="439"/>
      <c r="F32" s="438"/>
      <c r="G32" s="439"/>
      <c r="H32" s="440">
        <f>+D32+E32+F32-G32</f>
        <v>0</v>
      </c>
      <c r="I32" s="2422">
        <f t="shared" si="4"/>
        <v>0</v>
      </c>
      <c r="J32" s="437"/>
      <c r="K32" s="42"/>
    </row>
    <row r="33" spans="1:11" ht="14.25">
      <c r="A33" s="410"/>
      <c r="B33" s="447">
        <v>1.19</v>
      </c>
      <c r="C33" s="452"/>
      <c r="D33" s="438"/>
      <c r="E33" s="439"/>
      <c r="F33" s="438"/>
      <c r="G33" s="439"/>
      <c r="H33" s="440">
        <f>+D33+E33+F33-G33</f>
        <v>0</v>
      </c>
      <c r="I33" s="2422">
        <f t="shared" si="4"/>
        <v>0</v>
      </c>
      <c r="J33" s="437"/>
      <c r="K33" s="42"/>
    </row>
    <row r="34" spans="1:11" ht="14.25">
      <c r="A34" s="410"/>
      <c r="B34" s="447">
        <v>1.2</v>
      </c>
      <c r="C34" s="452"/>
      <c r="D34" s="438"/>
      <c r="E34" s="439"/>
      <c r="F34" s="438"/>
      <c r="G34" s="439"/>
      <c r="H34" s="440">
        <f>+D34+E34+F34-G34</f>
        <v>0</v>
      </c>
      <c r="I34" s="2422">
        <f t="shared" si="4"/>
        <v>0</v>
      </c>
      <c r="J34" s="437"/>
      <c r="K34" s="42"/>
    </row>
    <row r="35" spans="1:11" ht="15">
      <c r="A35" s="416" t="s">
        <v>789</v>
      </c>
      <c r="B35" s="448">
        <v>1.21</v>
      </c>
      <c r="C35" s="443" t="s">
        <v>679</v>
      </c>
      <c r="D35" s="444">
        <f>SUM(D28:D34)</f>
        <v>0</v>
      </c>
      <c r="E35" s="444">
        <f>SUM(E28:E34)</f>
        <v>0</v>
      </c>
      <c r="F35" s="444">
        <f>SUM(F28:F34)</f>
        <v>0</v>
      </c>
      <c r="G35" s="444">
        <f>SUM(G28:G34)</f>
        <v>0</v>
      </c>
      <c r="H35" s="444">
        <f>SUM(H28:H34)</f>
        <v>0</v>
      </c>
      <c r="I35" s="432"/>
      <c r="J35" s="432"/>
      <c r="K35" s="41"/>
    </row>
    <row r="36" spans="1:11" ht="15">
      <c r="A36" s="410"/>
      <c r="B36" s="430"/>
      <c r="C36" s="431"/>
      <c r="D36" s="432"/>
      <c r="E36" s="432"/>
      <c r="F36" s="432"/>
      <c r="G36" s="432"/>
      <c r="H36" s="432"/>
      <c r="I36" s="432"/>
      <c r="J36" s="432"/>
      <c r="K36" s="42"/>
    </row>
    <row r="37" spans="1:11" ht="15">
      <c r="A37" s="410" t="s">
        <v>789</v>
      </c>
      <c r="B37" s="453">
        <v>1.22</v>
      </c>
      <c r="C37" s="426" t="s">
        <v>680</v>
      </c>
      <c r="D37" s="431"/>
      <c r="E37" s="431"/>
      <c r="F37" s="431"/>
      <c r="G37" s="431"/>
      <c r="H37" s="450"/>
      <c r="I37" s="451"/>
      <c r="J37" s="451"/>
      <c r="K37" s="42"/>
    </row>
    <row r="38" spans="1:11" ht="14.25">
      <c r="A38" s="410" t="s">
        <v>789</v>
      </c>
      <c r="B38" s="447">
        <v>1.23</v>
      </c>
      <c r="C38" s="446" t="s">
        <v>681</v>
      </c>
      <c r="D38" s="438"/>
      <c r="E38" s="439"/>
      <c r="F38" s="438"/>
      <c r="G38" s="439"/>
      <c r="H38" s="440">
        <f>D38+E38+F38-G38</f>
        <v>0</v>
      </c>
      <c r="I38" s="2422">
        <f t="shared" ref="I38:I41" si="5">IF(H38&lt;0,1,0)</f>
        <v>0</v>
      </c>
      <c r="J38" s="437"/>
      <c r="K38" s="42"/>
    </row>
    <row r="39" spans="1:11" ht="14.25">
      <c r="A39" s="410" t="s">
        <v>789</v>
      </c>
      <c r="B39" s="447">
        <v>1.24</v>
      </c>
      <c r="C39" s="446" t="s">
        <v>682</v>
      </c>
      <c r="D39" s="438"/>
      <c r="E39" s="439"/>
      <c r="F39" s="438"/>
      <c r="G39" s="439"/>
      <c r="H39" s="440">
        <f>D39+E39+F39-G39</f>
        <v>0</v>
      </c>
      <c r="I39" s="2422">
        <f t="shared" si="5"/>
        <v>0</v>
      </c>
      <c r="J39" s="437"/>
      <c r="K39" s="42" t="s">
        <v>789</v>
      </c>
    </row>
    <row r="40" spans="1:11" ht="14.25">
      <c r="A40" s="410" t="s">
        <v>789</v>
      </c>
      <c r="B40" s="447">
        <v>1.25</v>
      </c>
      <c r="C40" s="446" t="s">
        <v>1722</v>
      </c>
      <c r="D40" s="438"/>
      <c r="E40" s="439"/>
      <c r="F40" s="438"/>
      <c r="G40" s="439"/>
      <c r="H40" s="440">
        <f>D40+E40+F40-G40</f>
        <v>0</v>
      </c>
      <c r="I40" s="2422">
        <f t="shared" si="5"/>
        <v>0</v>
      </c>
      <c r="J40" s="437"/>
      <c r="K40" s="42"/>
    </row>
    <row r="41" spans="1:11" ht="14.25">
      <c r="A41" s="410" t="s">
        <v>789</v>
      </c>
      <c r="B41" s="447">
        <v>1.26</v>
      </c>
      <c r="C41" s="446" t="s">
        <v>683</v>
      </c>
      <c r="D41" s="438"/>
      <c r="E41" s="439"/>
      <c r="F41" s="438"/>
      <c r="G41" s="439"/>
      <c r="H41" s="440">
        <f>D41+E41+F41-G41</f>
        <v>0</v>
      </c>
      <c r="I41" s="2422">
        <f t="shared" si="5"/>
        <v>0</v>
      </c>
      <c r="J41" s="437"/>
      <c r="K41" s="42"/>
    </row>
    <row r="42" spans="1:11" ht="14.25">
      <c r="A42" s="410" t="s">
        <v>789</v>
      </c>
      <c r="B42" s="447">
        <v>1.27</v>
      </c>
      <c r="C42" s="446" t="s">
        <v>684</v>
      </c>
      <c r="D42" s="435"/>
      <c r="E42" s="435"/>
      <c r="F42" s="435"/>
      <c r="G42" s="435"/>
      <c r="H42" s="436"/>
      <c r="I42" s="437"/>
      <c r="J42" s="437"/>
      <c r="K42" s="42"/>
    </row>
    <row r="43" spans="1:11" ht="14.25">
      <c r="A43" s="410"/>
      <c r="B43" s="447">
        <v>1.28</v>
      </c>
      <c r="C43" s="446" t="s">
        <v>1176</v>
      </c>
      <c r="D43" s="438"/>
      <c r="E43" s="439"/>
      <c r="F43" s="438"/>
      <c r="G43" s="439"/>
      <c r="H43" s="440">
        <f>D43+E43+F43-G43</f>
        <v>0</v>
      </c>
      <c r="I43" s="2422">
        <f t="shared" ref="I43:I46" si="6">IF(H43&lt;0,1,0)</f>
        <v>0</v>
      </c>
      <c r="J43" s="437"/>
      <c r="K43" s="42"/>
    </row>
    <row r="44" spans="1:11" ht="14.25">
      <c r="A44" s="410"/>
      <c r="B44" s="447">
        <v>1.29</v>
      </c>
      <c r="C44" s="454"/>
      <c r="D44" s="438"/>
      <c r="E44" s="439"/>
      <c r="F44" s="438"/>
      <c r="G44" s="439"/>
      <c r="H44" s="440">
        <f>D44+E44+F44-G44</f>
        <v>0</v>
      </c>
      <c r="I44" s="2422">
        <f t="shared" si="6"/>
        <v>0</v>
      </c>
      <c r="J44" s="437"/>
      <c r="K44" s="42"/>
    </row>
    <row r="45" spans="1:11" ht="14.25">
      <c r="A45" s="410"/>
      <c r="B45" s="447">
        <v>1.3</v>
      </c>
      <c r="C45" s="454"/>
      <c r="D45" s="438"/>
      <c r="E45" s="439"/>
      <c r="F45" s="438"/>
      <c r="G45" s="439"/>
      <c r="H45" s="440">
        <f>D45+E45+F45-G45</f>
        <v>0</v>
      </c>
      <c r="I45" s="2422">
        <f t="shared" si="6"/>
        <v>0</v>
      </c>
      <c r="J45" s="437"/>
      <c r="K45" s="42"/>
    </row>
    <row r="46" spans="1:11" ht="14.25">
      <c r="A46" s="410"/>
      <c r="B46" s="447">
        <v>1.31</v>
      </c>
      <c r="C46" s="454"/>
      <c r="D46" s="438"/>
      <c r="E46" s="439"/>
      <c r="F46" s="438"/>
      <c r="G46" s="439"/>
      <c r="H46" s="440">
        <f>D46+E46+F46-G46</f>
        <v>0</v>
      </c>
      <c r="I46" s="2422">
        <f t="shared" si="6"/>
        <v>0</v>
      </c>
      <c r="J46" s="437"/>
      <c r="K46" s="42"/>
    </row>
    <row r="47" spans="1:11" ht="15">
      <c r="A47" s="416" t="s">
        <v>789</v>
      </c>
      <c r="B47" s="448">
        <v>1.32</v>
      </c>
      <c r="C47" s="443" t="s">
        <v>685</v>
      </c>
      <c r="D47" s="444">
        <f>SUM(D38:D46)</f>
        <v>0</v>
      </c>
      <c r="E47" s="444">
        <f>SUM(E38:E46)</f>
        <v>0</v>
      </c>
      <c r="F47" s="444">
        <f>SUM(F38:F46)</f>
        <v>0</v>
      </c>
      <c r="G47" s="444">
        <f>SUM(G38:G46)</f>
        <v>0</v>
      </c>
      <c r="H47" s="444">
        <f>SUM(H38:H46)</f>
        <v>0</v>
      </c>
      <c r="I47" s="432"/>
      <c r="J47" s="432"/>
      <c r="K47" s="41"/>
    </row>
    <row r="48" spans="1:11" ht="15">
      <c r="A48" s="416"/>
      <c r="B48" s="430"/>
      <c r="C48" s="431"/>
      <c r="D48" s="432"/>
      <c r="E48" s="432"/>
      <c r="F48" s="432"/>
      <c r="G48" s="432"/>
      <c r="H48" s="432"/>
      <c r="I48" s="432"/>
      <c r="J48" s="432"/>
      <c r="K48" s="41"/>
    </row>
    <row r="49" spans="1:11" ht="30">
      <c r="A49" s="416" t="s">
        <v>789</v>
      </c>
      <c r="B49" s="448">
        <v>1.33</v>
      </c>
      <c r="C49" s="443" t="s">
        <v>686</v>
      </c>
      <c r="D49" s="444">
        <f>D16+D35+D47+D25</f>
        <v>0</v>
      </c>
      <c r="E49" s="444">
        <f>E16+E35+E47+E25</f>
        <v>0</v>
      </c>
      <c r="F49" s="444">
        <f>F16+F35+F47+F25</f>
        <v>0</v>
      </c>
      <c r="G49" s="444">
        <f>G16+G35+G47+G25</f>
        <v>0</v>
      </c>
      <c r="H49" s="444">
        <f>H16+H35+H47+H25</f>
        <v>0</v>
      </c>
      <c r="I49" s="432"/>
      <c r="J49" s="432"/>
      <c r="K49" s="41"/>
    </row>
    <row r="50" spans="1:11" ht="15">
      <c r="A50" s="410"/>
      <c r="B50" s="430"/>
      <c r="C50" s="431"/>
      <c r="D50" s="432"/>
      <c r="E50" s="432"/>
      <c r="F50" s="432"/>
      <c r="G50" s="432"/>
      <c r="H50" s="432"/>
      <c r="I50" s="432"/>
      <c r="J50" s="432"/>
      <c r="K50" s="42"/>
    </row>
    <row r="51" spans="1:11" ht="15">
      <c r="A51" s="410"/>
      <c r="B51" s="419">
        <v>2</v>
      </c>
      <c r="C51" s="426" t="s">
        <v>1723</v>
      </c>
      <c r="D51" s="427"/>
      <c r="E51" s="427"/>
      <c r="F51" s="427"/>
      <c r="G51" s="427"/>
      <c r="H51" s="428"/>
      <c r="I51" s="429"/>
      <c r="J51" s="429"/>
      <c r="K51" s="42"/>
    </row>
    <row r="52" spans="1:11" ht="15">
      <c r="A52" s="410"/>
      <c r="B52" s="430"/>
      <c r="C52" s="431"/>
      <c r="D52" s="432"/>
      <c r="E52" s="432"/>
      <c r="F52" s="432"/>
      <c r="G52" s="432"/>
      <c r="H52" s="432"/>
      <c r="I52" s="432"/>
      <c r="J52" s="432"/>
      <c r="K52" s="42"/>
    </row>
    <row r="53" spans="1:11" ht="15">
      <c r="A53" s="410"/>
      <c r="B53" s="419">
        <v>2.1</v>
      </c>
      <c r="C53" s="426" t="s">
        <v>1570</v>
      </c>
      <c r="D53" s="427"/>
      <c r="E53" s="427"/>
      <c r="F53" s="427"/>
      <c r="G53" s="427"/>
      <c r="H53" s="428"/>
      <c r="I53" s="429"/>
      <c r="J53" s="429"/>
      <c r="K53" s="42"/>
    </row>
    <row r="54" spans="1:11" ht="14.25">
      <c r="A54" s="410" t="s">
        <v>789</v>
      </c>
      <c r="B54" s="433" t="s">
        <v>1229</v>
      </c>
      <c r="C54" s="455" t="s">
        <v>1724</v>
      </c>
      <c r="D54" s="438"/>
      <c r="E54" s="435">
        <f>'1 Summary'!K34</f>
        <v>0</v>
      </c>
      <c r="F54" s="439"/>
      <c r="G54" s="438"/>
      <c r="H54" s="440">
        <f>+D54+E54+F54-G54</f>
        <v>0</v>
      </c>
      <c r="I54" s="2422">
        <f t="shared" ref="I54" si="7">IF(H54&lt;0,1,0)</f>
        <v>0</v>
      </c>
      <c r="J54" s="437"/>
      <c r="K54" s="441"/>
    </row>
    <row r="55" spans="1:11" ht="15">
      <c r="A55" s="416" t="s">
        <v>789</v>
      </c>
      <c r="B55" s="442">
        <v>2.2999999999999998</v>
      </c>
      <c r="C55" s="443" t="s">
        <v>675</v>
      </c>
      <c r="D55" s="444">
        <f>D54</f>
        <v>0</v>
      </c>
      <c r="E55" s="444">
        <f>E54</f>
        <v>0</v>
      </c>
      <c r="F55" s="444">
        <f>F54</f>
        <v>0</v>
      </c>
      <c r="G55" s="444">
        <f>G54</f>
        <v>0</v>
      </c>
      <c r="H55" s="456">
        <f>+D55+E55+F55-G55</f>
        <v>0</v>
      </c>
      <c r="I55" s="2423"/>
      <c r="J55" s="432"/>
      <c r="K55" s="41"/>
    </row>
    <row r="56" spans="1:11" ht="15">
      <c r="A56" s="410"/>
      <c r="B56" s="430"/>
      <c r="C56" s="431"/>
      <c r="D56" s="432"/>
      <c r="E56" s="432"/>
      <c r="F56" s="432"/>
      <c r="G56" s="432"/>
      <c r="H56" s="432"/>
      <c r="I56" s="432"/>
      <c r="J56" s="432"/>
      <c r="K56" s="42"/>
    </row>
    <row r="57" spans="1:11" ht="15">
      <c r="A57" s="410" t="s">
        <v>789</v>
      </c>
      <c r="B57" s="457">
        <v>2.5</v>
      </c>
      <c r="C57" s="426" t="s">
        <v>676</v>
      </c>
      <c r="D57" s="458"/>
      <c r="E57" s="458"/>
      <c r="F57" s="458"/>
      <c r="G57" s="458"/>
      <c r="H57" s="459"/>
      <c r="I57" s="460"/>
      <c r="J57" s="460"/>
      <c r="K57" s="42"/>
    </row>
    <row r="58" spans="1:11" ht="14.25">
      <c r="A58" s="410" t="s">
        <v>789</v>
      </c>
      <c r="B58" s="461">
        <v>2.8</v>
      </c>
      <c r="C58" s="462" t="s">
        <v>1720</v>
      </c>
      <c r="D58" s="462"/>
      <c r="E58" s="462"/>
      <c r="F58" s="462"/>
      <c r="G58" s="462"/>
      <c r="H58" s="462"/>
      <c r="I58" s="2422"/>
      <c r="J58" s="449"/>
      <c r="K58" s="42"/>
    </row>
    <row r="59" spans="1:11" ht="14.25">
      <c r="A59" s="410"/>
      <c r="B59" s="463">
        <v>2.9</v>
      </c>
      <c r="C59" s="464"/>
      <c r="D59" s="438"/>
      <c r="E59" s="439"/>
      <c r="F59" s="438"/>
      <c r="G59" s="439"/>
      <c r="H59" s="440">
        <f>+D59+E59+F59-G59</f>
        <v>0</v>
      </c>
      <c r="I59" s="2422">
        <f t="shared" ref="I59:I62" si="8">IF(H59&lt;0,1,0)</f>
        <v>0</v>
      </c>
      <c r="J59" s="449"/>
      <c r="K59" s="42"/>
    </row>
    <row r="60" spans="1:11" ht="14.25">
      <c r="A60" s="410"/>
      <c r="B60" s="465">
        <v>2.1</v>
      </c>
      <c r="C60" s="464"/>
      <c r="D60" s="438"/>
      <c r="E60" s="439"/>
      <c r="F60" s="438"/>
      <c r="G60" s="439"/>
      <c r="H60" s="440">
        <f>+D60+E60+F60-G60</f>
        <v>0</v>
      </c>
      <c r="I60" s="2422">
        <f t="shared" si="8"/>
        <v>0</v>
      </c>
      <c r="J60" s="449"/>
      <c r="K60" s="42"/>
    </row>
    <row r="61" spans="1:11" ht="14.25">
      <c r="A61" s="410"/>
      <c r="B61" s="463">
        <v>2.11</v>
      </c>
      <c r="C61" s="464"/>
      <c r="D61" s="438"/>
      <c r="E61" s="439"/>
      <c r="F61" s="438"/>
      <c r="G61" s="439"/>
      <c r="H61" s="440">
        <f>+D61+E61+F61-G61</f>
        <v>0</v>
      </c>
      <c r="I61" s="2422">
        <f t="shared" si="8"/>
        <v>0</v>
      </c>
      <c r="J61" s="449"/>
      <c r="K61" s="42"/>
    </row>
    <row r="62" spans="1:11" ht="15">
      <c r="A62" s="410"/>
      <c r="B62" s="466">
        <v>2.12</v>
      </c>
      <c r="C62" s="467"/>
      <c r="D62" s="438"/>
      <c r="E62" s="439"/>
      <c r="F62" s="438"/>
      <c r="G62" s="439"/>
      <c r="H62" s="440">
        <f>+D62+E62+F62-G62</f>
        <v>0</v>
      </c>
      <c r="I62" s="2422">
        <f t="shared" si="8"/>
        <v>0</v>
      </c>
      <c r="J62" s="449"/>
      <c r="K62" s="42"/>
    </row>
    <row r="63" spans="1:11" ht="15">
      <c r="A63" s="416" t="s">
        <v>789</v>
      </c>
      <c r="B63" s="448">
        <v>2.13</v>
      </c>
      <c r="C63" s="443" t="s">
        <v>1725</v>
      </c>
      <c r="D63" s="444">
        <f>SUM(D58:D62)</f>
        <v>0</v>
      </c>
      <c r="E63" s="444">
        <f>SUM(E58:E62)</f>
        <v>0</v>
      </c>
      <c r="F63" s="444">
        <f>SUM(F58:F62)</f>
        <v>0</v>
      </c>
      <c r="G63" s="444">
        <f>SUM(G58:G62)</f>
        <v>0</v>
      </c>
      <c r="H63" s="444">
        <f>SUM(H58:H62)</f>
        <v>0</v>
      </c>
      <c r="I63" s="432"/>
      <c r="J63" s="432"/>
      <c r="K63" s="41"/>
    </row>
    <row r="64" spans="1:11" ht="15">
      <c r="A64" s="410"/>
      <c r="B64" s="448"/>
      <c r="C64" s="443"/>
      <c r="D64" s="468"/>
      <c r="E64" s="468"/>
      <c r="F64" s="468"/>
      <c r="G64" s="468"/>
      <c r="H64" s="415"/>
      <c r="I64" s="449"/>
      <c r="J64" s="432"/>
      <c r="K64" s="42"/>
    </row>
    <row r="65" spans="1:11" ht="15">
      <c r="A65" s="410" t="s">
        <v>789</v>
      </c>
      <c r="B65" s="448">
        <v>2.14</v>
      </c>
      <c r="C65" s="426" t="s">
        <v>677</v>
      </c>
      <c r="D65" s="431"/>
      <c r="E65" s="431"/>
      <c r="F65" s="431"/>
      <c r="G65" s="431"/>
      <c r="H65" s="450"/>
      <c r="I65" s="451"/>
      <c r="J65" s="451"/>
      <c r="K65" s="42"/>
    </row>
    <row r="66" spans="1:11" ht="14.25">
      <c r="A66" s="410" t="s">
        <v>789</v>
      </c>
      <c r="B66" s="447">
        <v>2.15</v>
      </c>
      <c r="C66" s="452"/>
      <c r="D66" s="438"/>
      <c r="E66" s="439"/>
      <c r="F66" s="438"/>
      <c r="G66" s="439"/>
      <c r="H66" s="440">
        <f>+D66+E66+F66-G66</f>
        <v>0</v>
      </c>
      <c r="I66" s="2422">
        <f t="shared" ref="I66:I70" si="9">IF(H66&lt;0,1,0)</f>
        <v>0</v>
      </c>
      <c r="J66" s="437"/>
      <c r="K66" s="42" t="s">
        <v>789</v>
      </c>
    </row>
    <row r="67" spans="1:11" ht="14.25">
      <c r="A67" s="410"/>
      <c r="B67" s="447">
        <v>2.16</v>
      </c>
      <c r="C67" s="452"/>
      <c r="D67" s="438"/>
      <c r="E67" s="439"/>
      <c r="F67" s="438"/>
      <c r="G67" s="439"/>
      <c r="H67" s="440">
        <f>+D67+E67+F67-G67</f>
        <v>0</v>
      </c>
      <c r="I67" s="2422">
        <f t="shared" si="9"/>
        <v>0</v>
      </c>
      <c r="J67" s="437"/>
      <c r="K67" s="42"/>
    </row>
    <row r="68" spans="1:11" ht="14.25">
      <c r="A68" s="410"/>
      <c r="B68" s="447">
        <v>2.17</v>
      </c>
      <c r="C68" s="452"/>
      <c r="D68" s="438"/>
      <c r="E68" s="439"/>
      <c r="F68" s="438"/>
      <c r="G68" s="439"/>
      <c r="H68" s="440">
        <f>+D68+E68+F68-G68</f>
        <v>0</v>
      </c>
      <c r="I68" s="2422">
        <f t="shared" si="9"/>
        <v>0</v>
      </c>
      <c r="J68" s="437"/>
      <c r="K68" s="42"/>
    </row>
    <row r="69" spans="1:11" ht="14.25">
      <c r="A69" s="410"/>
      <c r="B69" s="447">
        <v>2.1800000000000002</v>
      </c>
      <c r="C69" s="452"/>
      <c r="D69" s="438"/>
      <c r="E69" s="439"/>
      <c r="F69" s="438"/>
      <c r="G69" s="439"/>
      <c r="H69" s="440">
        <f>+D69+E69+F69-G69</f>
        <v>0</v>
      </c>
      <c r="I69" s="2422">
        <f t="shared" si="9"/>
        <v>0</v>
      </c>
      <c r="J69" s="437"/>
      <c r="K69" s="42"/>
    </row>
    <row r="70" spans="1:11" ht="14.25">
      <c r="A70" s="410"/>
      <c r="B70" s="447">
        <v>2.19</v>
      </c>
      <c r="C70" s="452"/>
      <c r="D70" s="438"/>
      <c r="E70" s="439"/>
      <c r="F70" s="438"/>
      <c r="G70" s="439"/>
      <c r="H70" s="440">
        <f>+D70+E70+F70-G70</f>
        <v>0</v>
      </c>
      <c r="I70" s="2422">
        <f t="shared" si="9"/>
        <v>0</v>
      </c>
      <c r="J70" s="437"/>
      <c r="K70" s="42"/>
    </row>
    <row r="71" spans="1:11" ht="15">
      <c r="A71" s="416" t="s">
        <v>789</v>
      </c>
      <c r="B71" s="448">
        <v>2.2000000000000002</v>
      </c>
      <c r="C71" s="443" t="s">
        <v>679</v>
      </c>
      <c r="D71" s="444">
        <f>SUM(D66:D70)</f>
        <v>0</v>
      </c>
      <c r="E71" s="444">
        <f>SUM(E66:E70)</f>
        <v>0</v>
      </c>
      <c r="F71" s="444">
        <f>SUM(F66:F70)</f>
        <v>0</v>
      </c>
      <c r="G71" s="444">
        <f>SUM(G66:G70)</f>
        <v>0</v>
      </c>
      <c r="H71" s="444">
        <f>SUM(H66:H70)</f>
        <v>0</v>
      </c>
      <c r="I71" s="432"/>
      <c r="J71" s="432"/>
      <c r="K71" s="441" t="s">
        <v>789</v>
      </c>
    </row>
    <row r="72" spans="1:11" ht="15">
      <c r="A72" s="416"/>
      <c r="B72" s="430"/>
      <c r="C72" s="431"/>
      <c r="D72" s="432"/>
      <c r="E72" s="432"/>
      <c r="F72" s="432"/>
      <c r="G72" s="432"/>
      <c r="H72" s="432"/>
      <c r="I72" s="432"/>
      <c r="J72" s="432"/>
      <c r="K72" s="41"/>
    </row>
    <row r="73" spans="1:11" ht="15">
      <c r="A73" s="410" t="s">
        <v>789</v>
      </c>
      <c r="B73" s="453">
        <v>2.21</v>
      </c>
      <c r="C73" s="426" t="s">
        <v>680</v>
      </c>
      <c r="D73" s="431"/>
      <c r="E73" s="431"/>
      <c r="F73" s="431"/>
      <c r="G73" s="431"/>
      <c r="H73" s="450"/>
      <c r="I73" s="451"/>
      <c r="J73" s="451"/>
      <c r="K73" s="42"/>
    </row>
    <row r="74" spans="1:11" ht="14.25">
      <c r="A74" s="410" t="s">
        <v>789</v>
      </c>
      <c r="B74" s="447">
        <v>2.2200000000000002</v>
      </c>
      <c r="C74" s="446" t="s">
        <v>1726</v>
      </c>
      <c r="D74" s="438"/>
      <c r="E74" s="439"/>
      <c r="F74" s="438"/>
      <c r="G74" s="439"/>
      <c r="H74" s="440">
        <f>+D74+E74+F74-G74</f>
        <v>0</v>
      </c>
      <c r="I74" s="2422">
        <f t="shared" ref="I74:I77" si="10">IF(H74&lt;0,1,0)</f>
        <v>0</v>
      </c>
      <c r="J74" s="437"/>
      <c r="K74" s="441"/>
    </row>
    <row r="75" spans="1:11" ht="14.25">
      <c r="A75" s="410" t="s">
        <v>789</v>
      </c>
      <c r="B75" s="447">
        <v>2.23</v>
      </c>
      <c r="C75" s="446" t="s">
        <v>1727</v>
      </c>
      <c r="D75" s="438"/>
      <c r="E75" s="439"/>
      <c r="F75" s="438"/>
      <c r="G75" s="439"/>
      <c r="H75" s="440">
        <f>+D75+E75+F75-G75</f>
        <v>0</v>
      </c>
      <c r="I75" s="2422">
        <f t="shared" si="10"/>
        <v>0</v>
      </c>
      <c r="J75" s="437"/>
      <c r="K75" s="441"/>
    </row>
    <row r="76" spans="1:11" ht="14.25">
      <c r="A76" s="410" t="s">
        <v>789</v>
      </c>
      <c r="B76" s="447">
        <v>2.2400000000000002</v>
      </c>
      <c r="C76" s="446" t="s">
        <v>1728</v>
      </c>
      <c r="D76" s="438"/>
      <c r="E76" s="439"/>
      <c r="F76" s="438"/>
      <c r="G76" s="439"/>
      <c r="H76" s="440">
        <f>+D76+E76+F76-G76</f>
        <v>0</v>
      </c>
      <c r="I76" s="2422">
        <f t="shared" si="10"/>
        <v>0</v>
      </c>
      <c r="J76" s="437"/>
      <c r="K76" s="441"/>
    </row>
    <row r="77" spans="1:11" ht="14.25">
      <c r="A77" s="410" t="s">
        <v>789</v>
      </c>
      <c r="B77" s="447" t="s">
        <v>1729</v>
      </c>
      <c r="C77" s="446" t="s">
        <v>1730</v>
      </c>
      <c r="D77" s="438"/>
      <c r="E77" s="439"/>
      <c r="F77" s="438"/>
      <c r="G77" s="439"/>
      <c r="H77" s="440">
        <f>+D77+E77+F77-G77</f>
        <v>0</v>
      </c>
      <c r="I77" s="2422">
        <f t="shared" si="10"/>
        <v>0</v>
      </c>
      <c r="J77" s="437"/>
      <c r="K77" s="441"/>
    </row>
    <row r="78" spans="1:11" ht="14.25">
      <c r="A78" s="410"/>
      <c r="B78" s="447">
        <v>2.25</v>
      </c>
      <c r="C78" s="446" t="s">
        <v>688</v>
      </c>
      <c r="D78" s="435"/>
      <c r="E78" s="435"/>
      <c r="F78" s="435"/>
      <c r="G78" s="469"/>
      <c r="H78" s="436"/>
      <c r="I78" s="437"/>
      <c r="J78" s="437"/>
      <c r="K78" s="441"/>
    </row>
    <row r="79" spans="1:11" ht="14.25">
      <c r="A79" s="410" t="s">
        <v>789</v>
      </c>
      <c r="B79" s="447">
        <v>2.2599999999999998</v>
      </c>
      <c r="C79" s="446" t="s">
        <v>1731</v>
      </c>
      <c r="D79" s="435"/>
      <c r="E79" s="435"/>
      <c r="F79" s="435"/>
      <c r="G79" s="435"/>
      <c r="H79" s="436"/>
      <c r="I79" s="437"/>
      <c r="J79" s="437"/>
      <c r="K79" s="441" t="s">
        <v>789</v>
      </c>
    </row>
    <row r="80" spans="1:11" ht="14.25">
      <c r="A80" s="410" t="s">
        <v>789</v>
      </c>
      <c r="B80" s="447">
        <v>2.27</v>
      </c>
      <c r="C80" s="446" t="s">
        <v>683</v>
      </c>
      <c r="D80" s="438"/>
      <c r="E80" s="439"/>
      <c r="F80" s="438"/>
      <c r="G80" s="439"/>
      <c r="H80" s="440">
        <f>+D80+E80+F80-G80</f>
        <v>0</v>
      </c>
      <c r="I80" s="2422">
        <f t="shared" ref="I80:I82" si="11">IF(H80&lt;0,1,0)</f>
        <v>0</v>
      </c>
      <c r="J80" s="437"/>
      <c r="K80" s="42"/>
    </row>
    <row r="81" spans="1:11" ht="14.25">
      <c r="A81" s="410" t="s">
        <v>789</v>
      </c>
      <c r="B81" s="447">
        <v>2.2799999999999998</v>
      </c>
      <c r="C81" s="446" t="s">
        <v>689</v>
      </c>
      <c r="D81" s="438"/>
      <c r="E81" s="435">
        <f>+'Sch 14 School Generated Funds'!C14+'Sch 14 School Generated Funds'!D14</f>
        <v>0</v>
      </c>
      <c r="F81" s="438"/>
      <c r="G81" s="439"/>
      <c r="H81" s="440">
        <f>+D81+E81+F81-G81</f>
        <v>0</v>
      </c>
      <c r="I81" s="2422">
        <f t="shared" si="11"/>
        <v>0</v>
      </c>
      <c r="J81" s="437"/>
      <c r="K81" s="441"/>
    </row>
    <row r="82" spans="1:11" ht="14.25">
      <c r="A82" s="410" t="s">
        <v>789</v>
      </c>
      <c r="B82" s="447">
        <v>2.29</v>
      </c>
      <c r="C82" s="446" t="s">
        <v>690</v>
      </c>
      <c r="D82" s="438"/>
      <c r="E82" s="439"/>
      <c r="F82" s="438"/>
      <c r="G82" s="439"/>
      <c r="H82" s="440">
        <f>+D82+E82+F82-G82</f>
        <v>0</v>
      </c>
      <c r="I82" s="2422">
        <f t="shared" si="11"/>
        <v>0</v>
      </c>
      <c r="J82" s="437"/>
      <c r="K82" s="470"/>
    </row>
    <row r="83" spans="1:11" ht="14.25">
      <c r="A83" s="410"/>
      <c r="B83" s="447">
        <v>2.2999999999999998</v>
      </c>
      <c r="C83" s="446" t="s">
        <v>684</v>
      </c>
      <c r="D83" s="435"/>
      <c r="E83" s="435"/>
      <c r="F83" s="435"/>
      <c r="G83" s="435"/>
      <c r="H83" s="436"/>
      <c r="I83" s="437"/>
      <c r="J83" s="437"/>
      <c r="K83" s="470"/>
    </row>
    <row r="84" spans="1:11" ht="14.25">
      <c r="A84" s="410"/>
      <c r="B84" s="447">
        <v>2.31</v>
      </c>
      <c r="C84" s="454"/>
      <c r="D84" s="438"/>
      <c r="E84" s="439"/>
      <c r="F84" s="438"/>
      <c r="G84" s="439"/>
      <c r="H84" s="440">
        <f>+D84+E84+F84-G84</f>
        <v>0</v>
      </c>
      <c r="I84" s="2422">
        <f t="shared" ref="I84:I85" si="12">IF(H84&lt;0,1,0)</f>
        <v>0</v>
      </c>
      <c r="J84" s="437"/>
      <c r="K84" s="470"/>
    </row>
    <row r="85" spans="1:11" ht="14.25">
      <c r="A85" s="410" t="s">
        <v>789</v>
      </c>
      <c r="B85" s="447">
        <v>2.3199999999999998</v>
      </c>
      <c r="C85" s="454"/>
      <c r="D85" s="438"/>
      <c r="E85" s="439"/>
      <c r="F85" s="438"/>
      <c r="G85" s="439"/>
      <c r="H85" s="440">
        <f>+D85+E85+F85-G85</f>
        <v>0</v>
      </c>
      <c r="I85" s="2422">
        <f t="shared" si="12"/>
        <v>0</v>
      </c>
      <c r="J85" s="437"/>
      <c r="K85" s="42"/>
    </row>
    <row r="86" spans="1:11" ht="15">
      <c r="A86" s="416" t="s">
        <v>789</v>
      </c>
      <c r="B86" s="448">
        <v>2.35</v>
      </c>
      <c r="C86" s="443" t="s">
        <v>685</v>
      </c>
      <c r="D86" s="444">
        <f>SUM(D74:D85)</f>
        <v>0</v>
      </c>
      <c r="E86" s="444">
        <f>SUM(E74:E85)</f>
        <v>0</v>
      </c>
      <c r="F86" s="444">
        <f>SUM(F74:F85)</f>
        <v>0</v>
      </c>
      <c r="G86" s="444">
        <f>SUM(G74:G85)</f>
        <v>0</v>
      </c>
      <c r="H86" s="444">
        <f>SUM(H74:H85)</f>
        <v>0</v>
      </c>
      <c r="I86" s="432"/>
      <c r="J86" s="432"/>
      <c r="K86" s="441" t="s">
        <v>789</v>
      </c>
    </row>
    <row r="87" spans="1:11" ht="15">
      <c r="A87" s="416"/>
      <c r="B87" s="430"/>
      <c r="C87" s="431"/>
      <c r="D87" s="432"/>
      <c r="E87" s="432"/>
      <c r="F87" s="432"/>
      <c r="G87" s="432"/>
      <c r="H87" s="432"/>
      <c r="I87" s="432"/>
      <c r="J87" s="432"/>
      <c r="K87" s="41"/>
    </row>
    <row r="88" spans="1:11" ht="15">
      <c r="A88" s="416" t="s">
        <v>789</v>
      </c>
      <c r="B88" s="448">
        <v>2.39</v>
      </c>
      <c r="C88" s="443" t="s">
        <v>691</v>
      </c>
      <c r="D88" s="444">
        <f>D86+D71+D63+D55</f>
        <v>0</v>
      </c>
      <c r="E88" s="444">
        <f>E86+E71+E63+E55</f>
        <v>0</v>
      </c>
      <c r="F88" s="444">
        <f>F86+F71+F63+F55</f>
        <v>0</v>
      </c>
      <c r="G88" s="444">
        <f>G86+G71+G63+G55</f>
        <v>0</v>
      </c>
      <c r="H88" s="444">
        <f>H86+H71+H63+H55</f>
        <v>0</v>
      </c>
      <c r="I88" s="432"/>
      <c r="J88" s="432"/>
      <c r="K88" s="41"/>
    </row>
    <row r="89" spans="1:11" ht="15">
      <c r="A89" s="416"/>
      <c r="B89" s="430"/>
      <c r="C89" s="431"/>
      <c r="D89" s="432"/>
      <c r="E89" s="432"/>
      <c r="F89" s="432"/>
      <c r="G89" s="432"/>
      <c r="H89" s="432"/>
      <c r="I89" s="432"/>
      <c r="J89" s="432"/>
      <c r="K89" s="41"/>
    </row>
    <row r="90" spans="1:11" ht="15">
      <c r="A90" s="416"/>
      <c r="B90" s="457">
        <v>3</v>
      </c>
      <c r="C90" s="443" t="s">
        <v>692</v>
      </c>
      <c r="D90" s="444">
        <f>D49+D88</f>
        <v>0</v>
      </c>
      <c r="E90" s="444">
        <f>E49+E88</f>
        <v>0</v>
      </c>
      <c r="F90" s="444">
        <f>F49+F88</f>
        <v>0</v>
      </c>
      <c r="G90" s="444">
        <f>G49+G88</f>
        <v>0</v>
      </c>
      <c r="H90" s="444">
        <f>H49+H88</f>
        <v>0</v>
      </c>
      <c r="I90" s="432">
        <f>SUM(I11:I89)</f>
        <v>0</v>
      </c>
      <c r="J90" s="432"/>
      <c r="K90" s="41"/>
    </row>
    <row r="91" spans="1:11" ht="15">
      <c r="A91" s="416"/>
      <c r="B91" s="471"/>
      <c r="C91" s="472"/>
      <c r="D91" s="473" t="s">
        <v>789</v>
      </c>
      <c r="E91" s="432"/>
      <c r="F91" s="432"/>
      <c r="G91" s="473" t="s">
        <v>789</v>
      </c>
      <c r="H91" s="432"/>
      <c r="I91" s="432"/>
      <c r="J91" s="432"/>
      <c r="K91" s="41"/>
    </row>
    <row r="92" spans="1:11" ht="14.25">
      <c r="A92" s="474"/>
      <c r="B92" s="84"/>
      <c r="C92" s="475"/>
      <c r="D92" s="476"/>
      <c r="E92" s="476"/>
      <c r="F92" s="476"/>
      <c r="G92" s="476" t="s">
        <v>789</v>
      </c>
      <c r="H92" s="476"/>
      <c r="I92" s="476"/>
      <c r="J92" s="476"/>
      <c r="K92" s="42"/>
    </row>
    <row r="93" spans="1:11" ht="14.25">
      <c r="A93" s="477"/>
      <c r="B93" s="441"/>
      <c r="C93" s="478"/>
      <c r="D93" s="479"/>
      <c r="E93" s="479"/>
      <c r="F93" s="479"/>
      <c r="G93" s="479"/>
      <c r="H93" s="479"/>
      <c r="I93" s="479"/>
      <c r="J93" s="479"/>
      <c r="K93" s="42"/>
    </row>
    <row r="94" spans="1:11" ht="14.25">
      <c r="A94" s="477"/>
      <c r="B94" s="480" t="s">
        <v>789</v>
      </c>
      <c r="C94" s="478" t="s">
        <v>789</v>
      </c>
      <c r="D94" s="481"/>
      <c r="E94" s="481"/>
      <c r="F94" s="481"/>
      <c r="G94" s="481"/>
      <c r="H94" s="481"/>
      <c r="I94" s="481"/>
      <c r="J94" s="481"/>
      <c r="K94" s="42"/>
    </row>
    <row r="95" spans="1:11" ht="14.25">
      <c r="A95" s="477"/>
      <c r="B95" s="482"/>
      <c r="C95" s="478"/>
      <c r="D95" s="481"/>
      <c r="E95" s="481"/>
      <c r="F95" s="481"/>
      <c r="G95" s="481"/>
      <c r="H95" s="481"/>
      <c r="I95" s="481"/>
      <c r="J95" s="481"/>
      <c r="K95" s="42"/>
    </row>
    <row r="96" spans="1:11" ht="14.25">
      <c r="A96" s="477"/>
      <c r="B96" s="483" t="s">
        <v>141</v>
      </c>
      <c r="C96" s="475"/>
      <c r="D96" s="476"/>
      <c r="E96" s="476"/>
      <c r="F96" s="476"/>
      <c r="G96" s="476"/>
      <c r="H96" s="476"/>
      <c r="I96" s="476"/>
      <c r="J96" s="479"/>
      <c r="K96" s="42"/>
    </row>
    <row r="97" spans="1:11" ht="58.5" customHeight="1">
      <c r="A97" s="477"/>
      <c r="B97" s="483" t="s">
        <v>1732</v>
      </c>
      <c r="C97" s="2048" t="s">
        <v>2927</v>
      </c>
      <c r="D97" s="2048"/>
      <c r="E97" s="2048"/>
      <c r="F97" s="2048"/>
      <c r="G97" s="2048"/>
      <c r="H97" s="2048"/>
      <c r="I97" s="2048"/>
      <c r="J97" s="481"/>
      <c r="K97" s="42"/>
    </row>
    <row r="98" spans="1:11" ht="14.25">
      <c r="A98" s="477"/>
      <c r="B98" s="483"/>
      <c r="C98" s="409"/>
      <c r="D98" s="484"/>
      <c r="E98" s="484"/>
      <c r="F98" s="484"/>
      <c r="G98" s="484"/>
      <c r="H98" s="484"/>
      <c r="I98" s="484"/>
      <c r="J98" s="479"/>
      <c r="K98" s="42"/>
    </row>
    <row r="99" spans="1:11" ht="14.25">
      <c r="A99" s="477"/>
      <c r="B99" s="483"/>
      <c r="C99" s="475"/>
      <c r="D99" s="475"/>
      <c r="E99" s="475"/>
      <c r="F99" s="475"/>
      <c r="G99" s="475"/>
      <c r="H99" s="475"/>
      <c r="I99" s="475"/>
      <c r="J99" s="485"/>
      <c r="K99" s="42"/>
    </row>
    <row r="100" spans="1:11" hidden="1"/>
    <row r="101" spans="1:11" hidden="1"/>
    <row r="102" spans="1:11" hidden="1"/>
  </sheetData>
  <sheetProtection password="C7B7" sheet="1" objects="1" scenarios="1"/>
  <phoneticPr fontId="13" type="noConversion"/>
  <hyperlinks>
    <hyperlink ref="A4" location="OPERATING_DEFERRED_REVENUE" display="OPERATING DEFERRED REVENUE"/>
    <hyperlink ref="B4" location="Legislative_Grants" display="Legislative Grants"/>
    <hyperlink ref="C4" location="Other_Ministry_of_Education_Grants" display="Other Ministry of Education Grants"/>
    <hyperlink ref="D4" location="Other_Provincial_Grants" display="Other Provincial Grants"/>
    <hyperlink ref="E4" location="Third_Party" display="Third Party"/>
    <hyperlink ref="F4" location="LegislativeGrants2" display="Legislative Grants"/>
    <hyperlink ref="G4" location="OtherMinEdGrants2" display="Other Ministry of Education Grants 2"/>
    <hyperlink ref="H4" location="OtherProvGrnats2" display="Other Provincial Grants"/>
    <hyperlink ref="J4" location="ThirdParty2" display="Third Party"/>
    <hyperlink ref="K4" location="Note" display="Notes"/>
  </hyperlinks>
  <pageMargins left="0" right="0" top="1" bottom="1" header="0.5" footer="0.5"/>
  <pageSetup scale="68" orientation="portrait" horizontalDpi="4294967295" verticalDpi="4294967295" r:id="rId1"/>
  <headerFooter alignWithMargins="0">
    <oddFooter>&amp;L&amp;D,&amp;" ,Regular" &amp;T
&amp;CPage &amp;P of &amp;N&amp;R2015/16 School Authority Estimates
&amp;A</oddFooter>
  </headerFooter>
  <rowBreaks count="1" manualBreakCount="1">
    <brk id="4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645"/>
  <sheetViews>
    <sheetView topLeftCell="A31" zoomScaleNormal="100" workbookViewId="0">
      <selection activeCell="E10" sqref="E10"/>
    </sheetView>
  </sheetViews>
  <sheetFormatPr defaultRowHeight="12.75"/>
  <cols>
    <col min="1" max="1" width="2.7109375" customWidth="1"/>
    <col min="2" max="2" width="9.7109375" customWidth="1"/>
    <col min="3" max="3" width="48.7109375" customWidth="1"/>
    <col min="4" max="7" width="14.7109375" customWidth="1"/>
    <col min="8" max="99" width="9.140625" style="1783"/>
  </cols>
  <sheetData>
    <row r="1" spans="1:7">
      <c r="A1" s="3"/>
      <c r="B1" s="3"/>
      <c r="C1" s="1703" t="s">
        <v>163</v>
      </c>
      <c r="D1" s="1781" t="str">
        <f>'1 Summary'!G2</f>
        <v/>
      </c>
      <c r="E1" s="1727"/>
      <c r="F1" s="1782"/>
      <c r="G1" s="30"/>
    </row>
    <row r="2" spans="1:7">
      <c r="A2" s="3"/>
      <c r="B2" s="3"/>
      <c r="C2" s="13" t="s">
        <v>653</v>
      </c>
      <c r="D2" s="1784">
        <f>'1 Summary'!G3</f>
        <v>0</v>
      </c>
      <c r="E2" s="1730"/>
      <c r="F2" s="1730"/>
      <c r="G2" s="1730"/>
    </row>
    <row r="3" spans="1:7">
      <c r="A3" s="3"/>
      <c r="B3" s="3"/>
      <c r="C3" s="3"/>
      <c r="D3" s="1730"/>
      <c r="E3" s="1730"/>
      <c r="F3" s="1730"/>
      <c r="G3" s="1730"/>
    </row>
    <row r="4" spans="1:7">
      <c r="A4" s="1732"/>
      <c r="B4" s="1733"/>
      <c r="C4" s="1732"/>
      <c r="D4" s="1745"/>
      <c r="E4" s="1745"/>
      <c r="F4" s="1745"/>
      <c r="G4" s="1745"/>
    </row>
    <row r="5" spans="1:7">
      <c r="A5" s="2433" t="s">
        <v>2565</v>
      </c>
      <c r="B5" s="2433"/>
      <c r="C5" s="2433"/>
      <c r="D5" s="2433"/>
      <c r="E5" s="2433"/>
      <c r="F5" s="2433"/>
      <c r="G5" s="2433"/>
    </row>
    <row r="6" spans="1:7">
      <c r="A6" s="2434" t="s">
        <v>2566</v>
      </c>
      <c r="B6" s="2434"/>
      <c r="C6" s="2434"/>
      <c r="D6" s="2434"/>
      <c r="E6" s="2434"/>
      <c r="F6" s="2434"/>
      <c r="G6" s="2434"/>
    </row>
    <row r="7" spans="1:7">
      <c r="A7" s="2434" t="s">
        <v>2489</v>
      </c>
      <c r="B7" s="2434"/>
      <c r="C7" s="2434"/>
      <c r="D7" s="2434"/>
      <c r="E7" s="2434"/>
      <c r="F7" s="2434"/>
      <c r="G7" s="2434"/>
    </row>
    <row r="8" spans="1:7">
      <c r="A8" s="1731"/>
      <c r="B8" s="1731"/>
      <c r="C8" s="1731"/>
      <c r="D8" s="1785"/>
      <c r="E8" s="1785"/>
      <c r="F8" s="1785"/>
      <c r="G8" s="1785"/>
    </row>
    <row r="9" spans="1:7">
      <c r="A9" s="1732"/>
      <c r="B9" s="1733"/>
      <c r="C9" s="1732"/>
      <c r="D9" s="1734" t="s">
        <v>2917</v>
      </c>
      <c r="E9" s="1734" t="s">
        <v>2697</v>
      </c>
      <c r="F9" s="1734"/>
      <c r="G9" s="1734"/>
    </row>
    <row r="10" spans="1:7">
      <c r="A10" s="1732"/>
      <c r="B10" s="1733"/>
      <c r="C10" s="1732"/>
      <c r="D10" s="1732"/>
      <c r="E10" s="1731"/>
      <c r="F10" s="1731"/>
      <c r="G10" s="1731"/>
    </row>
    <row r="11" spans="1:7">
      <c r="A11" s="1732"/>
      <c r="B11" s="1733"/>
      <c r="C11" s="1732"/>
      <c r="D11" s="1734" t="s">
        <v>2147</v>
      </c>
      <c r="E11" s="1734" t="s">
        <v>2148</v>
      </c>
      <c r="F11" s="1734"/>
      <c r="G11" s="1734"/>
    </row>
    <row r="12" spans="1:7">
      <c r="A12" s="1732"/>
      <c r="B12" s="1733">
        <v>1</v>
      </c>
      <c r="C12" s="1732" t="s">
        <v>2491</v>
      </c>
      <c r="D12" s="1745"/>
      <c r="E12" s="1745"/>
      <c r="F12" s="1745"/>
      <c r="G12" s="1745"/>
    </row>
    <row r="13" spans="1:7">
      <c r="A13" s="1732"/>
      <c r="B13" s="1733">
        <v>1.1000000000000001</v>
      </c>
      <c r="C13" s="1732" t="s">
        <v>2492</v>
      </c>
      <c r="D13" s="1786"/>
      <c r="E13" s="1787"/>
      <c r="F13" s="1732"/>
      <c r="G13" s="30" t="s">
        <v>789</v>
      </c>
    </row>
    <row r="14" spans="1:7">
      <c r="A14" s="1732"/>
      <c r="B14" s="1733">
        <v>1.2</v>
      </c>
      <c r="C14" s="1732" t="s">
        <v>2493</v>
      </c>
      <c r="D14" s="1786"/>
      <c r="E14" s="1787"/>
      <c r="F14" s="1732"/>
      <c r="G14" s="30"/>
    </row>
    <row r="15" spans="1:7">
      <c r="A15" s="1732"/>
      <c r="B15" s="1733">
        <v>1.3</v>
      </c>
      <c r="C15" s="1788" t="s">
        <v>2494</v>
      </c>
      <c r="D15" s="1789"/>
      <c r="E15" s="1789"/>
      <c r="F15" s="1732"/>
      <c r="G15" s="30"/>
    </row>
    <row r="16" spans="1:7">
      <c r="A16" s="1732"/>
      <c r="B16" s="1733" t="s">
        <v>185</v>
      </c>
      <c r="C16" s="1732" t="s">
        <v>2567</v>
      </c>
      <c r="D16" s="1786"/>
      <c r="E16" s="1787"/>
      <c r="F16" s="1732"/>
      <c r="G16" s="30"/>
    </row>
    <row r="17" spans="1:7">
      <c r="A17" s="1732"/>
      <c r="B17" s="1733" t="s">
        <v>2414</v>
      </c>
      <c r="C17" s="1732" t="s">
        <v>2568</v>
      </c>
      <c r="D17" s="1786"/>
      <c r="E17" s="1787"/>
      <c r="F17" s="1732"/>
      <c r="G17" s="30"/>
    </row>
    <row r="18" spans="1:7">
      <c r="A18" s="1732"/>
      <c r="B18" s="1733" t="s">
        <v>2415</v>
      </c>
      <c r="C18" s="1732" t="s">
        <v>2569</v>
      </c>
      <c r="D18" s="1786"/>
      <c r="E18" s="1787"/>
      <c r="F18" s="1732"/>
      <c r="G18" s="30"/>
    </row>
    <row r="19" spans="1:7">
      <c r="A19" s="1732"/>
      <c r="B19" s="1733" t="s">
        <v>2416</v>
      </c>
      <c r="C19" s="1732" t="s">
        <v>2570</v>
      </c>
      <c r="D19" s="1786"/>
      <c r="E19" s="1787"/>
      <c r="F19" s="1732"/>
      <c r="G19" s="30"/>
    </row>
    <row r="20" spans="1:7">
      <c r="A20" s="1732"/>
      <c r="B20" s="1733" t="s">
        <v>1188</v>
      </c>
      <c r="C20" s="1732" t="s">
        <v>2571</v>
      </c>
      <c r="D20" s="1786"/>
      <c r="E20" s="1787"/>
      <c r="F20" s="1732"/>
      <c r="G20" s="30"/>
    </row>
    <row r="21" spans="1:7">
      <c r="A21" s="1732"/>
      <c r="B21" s="1733">
        <v>1.4</v>
      </c>
      <c r="C21" s="1732" t="s">
        <v>2495</v>
      </c>
      <c r="D21" s="1786"/>
      <c r="E21" s="1787"/>
      <c r="F21" s="1732"/>
      <c r="G21" s="30"/>
    </row>
    <row r="22" spans="1:7">
      <c r="A22" s="1732"/>
      <c r="B22" s="1733">
        <v>1.5</v>
      </c>
      <c r="C22" s="1732" t="s">
        <v>642</v>
      </c>
      <c r="D22" s="1786"/>
      <c r="E22" s="1787"/>
      <c r="F22" s="1732"/>
      <c r="G22" s="30"/>
    </row>
    <row r="23" spans="1:7">
      <c r="A23" s="1732"/>
      <c r="B23" s="1733">
        <v>1.9</v>
      </c>
      <c r="C23" s="1742" t="s">
        <v>2496</v>
      </c>
      <c r="D23" s="1790">
        <f>SUM(D13:D22)</f>
        <v>0</v>
      </c>
      <c r="E23" s="1790">
        <f>SUM(E13:E22)</f>
        <v>0</v>
      </c>
      <c r="F23" s="1732"/>
      <c r="G23" s="30"/>
    </row>
    <row r="24" spans="1:7">
      <c r="A24" s="1732"/>
      <c r="B24" s="1733"/>
      <c r="C24" s="1732"/>
      <c r="D24" s="1791"/>
      <c r="E24" s="1791"/>
      <c r="F24" s="1732"/>
      <c r="G24" s="30"/>
    </row>
    <row r="25" spans="1:7">
      <c r="A25" s="1732"/>
      <c r="B25" s="1733">
        <v>2</v>
      </c>
      <c r="C25" s="1732" t="s">
        <v>2497</v>
      </c>
      <c r="D25" s="1791"/>
      <c r="E25" s="1791"/>
      <c r="F25" s="1732"/>
      <c r="G25" s="30"/>
    </row>
    <row r="26" spans="1:7">
      <c r="A26" s="1732"/>
      <c r="B26" s="1733">
        <v>2.1</v>
      </c>
      <c r="C26" s="1732" t="s">
        <v>2498</v>
      </c>
      <c r="D26" s="1786"/>
      <c r="E26" s="1787"/>
      <c r="F26" s="1732"/>
      <c r="G26" s="30"/>
    </row>
    <row r="27" spans="1:7">
      <c r="A27" s="1732"/>
      <c r="B27" s="1733">
        <v>2.2000000000000002</v>
      </c>
      <c r="C27" s="1788" t="s">
        <v>2572</v>
      </c>
      <c r="D27" s="1789"/>
      <c r="E27" s="1789"/>
      <c r="F27" s="1732"/>
      <c r="G27" s="30"/>
    </row>
    <row r="28" spans="1:7">
      <c r="A28" s="1732"/>
      <c r="B28" s="1733" t="s">
        <v>1229</v>
      </c>
      <c r="C28" s="1732" t="s">
        <v>2567</v>
      </c>
      <c r="D28" s="1786"/>
      <c r="E28" s="1787"/>
      <c r="F28" s="1732"/>
      <c r="G28" s="30"/>
    </row>
    <row r="29" spans="1:7">
      <c r="A29" s="1732"/>
      <c r="B29" s="1733" t="s">
        <v>1967</v>
      </c>
      <c r="C29" s="1732" t="s">
        <v>2568</v>
      </c>
      <c r="D29" s="1786"/>
      <c r="E29" s="1787"/>
      <c r="F29" s="1732"/>
      <c r="G29" s="30"/>
    </row>
    <row r="30" spans="1:7">
      <c r="A30" s="1732"/>
      <c r="B30" s="1733" t="s">
        <v>2573</v>
      </c>
      <c r="C30" s="1732" t="s">
        <v>2569</v>
      </c>
      <c r="D30" s="1786"/>
      <c r="E30" s="1787"/>
      <c r="F30" s="1732"/>
      <c r="G30" s="30"/>
    </row>
    <row r="31" spans="1:7">
      <c r="A31" s="1732"/>
      <c r="B31" s="1733" t="s">
        <v>2574</v>
      </c>
      <c r="C31" s="1732" t="s">
        <v>2570</v>
      </c>
      <c r="D31" s="1786"/>
      <c r="E31" s="1787"/>
      <c r="F31" s="1732"/>
      <c r="G31" s="30"/>
    </row>
    <row r="32" spans="1:7">
      <c r="A32" s="1732"/>
      <c r="B32" s="1733" t="s">
        <v>2575</v>
      </c>
      <c r="C32" s="1732" t="s">
        <v>2571</v>
      </c>
      <c r="D32" s="1786"/>
      <c r="E32" s="1787"/>
      <c r="F32" s="1732"/>
      <c r="G32" s="30" t="s">
        <v>789</v>
      </c>
    </row>
    <row r="33" spans="1:7">
      <c r="A33" s="1732"/>
      <c r="B33" s="1733">
        <v>2.2999999999999998</v>
      </c>
      <c r="C33" s="1732" t="s">
        <v>2576</v>
      </c>
      <c r="D33" s="1786"/>
      <c r="E33" s="1787"/>
      <c r="F33" s="1732"/>
      <c r="G33" s="30"/>
    </row>
    <row r="34" spans="1:7">
      <c r="A34" s="1732"/>
      <c r="B34" s="1733">
        <v>2.4</v>
      </c>
      <c r="C34" s="1732" t="s">
        <v>642</v>
      </c>
      <c r="D34" s="1786"/>
      <c r="E34" s="1787"/>
      <c r="F34" s="1732"/>
      <c r="G34" s="30"/>
    </row>
    <row r="35" spans="1:7">
      <c r="A35" s="1732"/>
      <c r="B35" s="1733">
        <v>2.5</v>
      </c>
      <c r="C35" s="1788" t="s">
        <v>2500</v>
      </c>
      <c r="D35" s="1789"/>
      <c r="E35" s="1789"/>
      <c r="F35" s="1732"/>
      <c r="G35" s="30"/>
    </row>
    <row r="36" spans="1:7">
      <c r="A36" s="1732"/>
      <c r="B36" s="1733" t="s">
        <v>2577</v>
      </c>
      <c r="C36" s="1732" t="s">
        <v>2578</v>
      </c>
      <c r="D36" s="1786"/>
      <c r="E36" s="1787"/>
      <c r="F36" s="1732"/>
      <c r="G36" s="30"/>
    </row>
    <row r="37" spans="1:7">
      <c r="A37" s="1732"/>
      <c r="B37" s="1733" t="s">
        <v>2579</v>
      </c>
      <c r="C37" s="1732" t="s">
        <v>2580</v>
      </c>
      <c r="D37" s="1786"/>
      <c r="E37" s="1787"/>
      <c r="F37" s="1732"/>
      <c r="G37" s="30"/>
    </row>
    <row r="38" spans="1:7">
      <c r="A38" s="1732"/>
      <c r="B38" s="1733" t="s">
        <v>2581</v>
      </c>
      <c r="C38" s="1732" t="s">
        <v>2582</v>
      </c>
      <c r="D38" s="1790">
        <f>D36-D37</f>
        <v>0</v>
      </c>
      <c r="E38" s="1790">
        <f>E36-E37</f>
        <v>0</v>
      </c>
      <c r="F38" s="1732"/>
      <c r="G38" s="30"/>
    </row>
    <row r="39" spans="1:7">
      <c r="A39" s="1732"/>
      <c r="B39" s="1733" t="s">
        <v>2583</v>
      </c>
      <c r="C39" s="1732" t="s">
        <v>2584</v>
      </c>
      <c r="D39" s="1786"/>
      <c r="E39" s="1787"/>
      <c r="F39" s="1732"/>
      <c r="G39" s="30"/>
    </row>
    <row r="40" spans="1:7">
      <c r="A40" s="1732"/>
      <c r="B40" s="1733" t="s">
        <v>2585</v>
      </c>
      <c r="C40" s="1732" t="s">
        <v>2586</v>
      </c>
      <c r="D40" s="1792"/>
      <c r="E40" s="1792"/>
      <c r="F40" s="1732"/>
      <c r="G40" s="30"/>
    </row>
    <row r="41" spans="1:7">
      <c r="A41" s="1732"/>
      <c r="B41" s="1733" t="s">
        <v>2587</v>
      </c>
      <c r="C41" s="1732" t="s">
        <v>2500</v>
      </c>
      <c r="D41" s="1790">
        <f>D40+D39+D38</f>
        <v>0</v>
      </c>
      <c r="E41" s="1790">
        <f>E40+E39+E38</f>
        <v>0</v>
      </c>
      <c r="F41" s="1732"/>
      <c r="G41" s="30"/>
    </row>
    <row r="42" spans="1:7">
      <c r="A42" s="1732"/>
      <c r="B42" s="1733">
        <v>2.6</v>
      </c>
      <c r="C42" s="1732" t="s">
        <v>2588</v>
      </c>
      <c r="D42" s="1790">
        <f>'Schedule 5.1'!H90</f>
        <v>0</v>
      </c>
      <c r="E42" s="1790">
        <f>'Schedule 5.1'!D90</f>
        <v>0</v>
      </c>
      <c r="F42" s="1732"/>
      <c r="G42" s="30"/>
    </row>
    <row r="43" spans="1:7">
      <c r="A43" s="1732"/>
      <c r="B43" s="1733">
        <v>2.7</v>
      </c>
      <c r="C43" s="1732" t="s">
        <v>2503</v>
      </c>
      <c r="D43" s="1792"/>
      <c r="E43" s="1792"/>
      <c r="F43" s="1732"/>
      <c r="G43" s="30"/>
    </row>
    <row r="44" spans="1:7">
      <c r="A44" s="1732"/>
      <c r="B44" s="1733">
        <v>2.8</v>
      </c>
      <c r="C44" s="1742" t="s">
        <v>2589</v>
      </c>
      <c r="D44" s="1790">
        <f>+D26+D28+D29+D30+D31+D32+D33+D34+D41+D42+D43</f>
        <v>0</v>
      </c>
      <c r="E44" s="1790">
        <f>+E26+E28+E29+E30+E31+E32+E33+E34+E41+E42+E43</f>
        <v>0</v>
      </c>
      <c r="F44" s="1732"/>
      <c r="G44" s="30"/>
    </row>
    <row r="45" spans="1:7">
      <c r="A45" s="1732"/>
      <c r="B45" s="1733"/>
      <c r="C45" s="1732"/>
      <c r="D45" s="1791"/>
      <c r="E45" s="1791"/>
      <c r="F45" s="1732"/>
      <c r="G45" s="30"/>
    </row>
    <row r="46" spans="1:7">
      <c r="A46" s="1732"/>
      <c r="B46" s="1733">
        <v>3</v>
      </c>
      <c r="C46" s="1742" t="s">
        <v>2590</v>
      </c>
      <c r="D46" s="1790">
        <f>+D23-D44</f>
        <v>0</v>
      </c>
      <c r="E46" s="1790">
        <f>+E23-E44</f>
        <v>0</v>
      </c>
      <c r="F46" s="1732"/>
      <c r="G46" s="30"/>
    </row>
    <row r="47" spans="1:7">
      <c r="A47" s="1732"/>
      <c r="B47" s="1733"/>
      <c r="C47" s="1732"/>
      <c r="D47" s="1793"/>
      <c r="E47" s="1793"/>
      <c r="F47" s="1732"/>
      <c r="G47" s="30"/>
    </row>
    <row r="48" spans="1:7">
      <c r="A48" s="1732"/>
      <c r="B48" s="1733">
        <v>4</v>
      </c>
      <c r="C48" s="1742" t="s">
        <v>2506</v>
      </c>
      <c r="D48" s="1791"/>
      <c r="E48" s="1791"/>
      <c r="F48" s="1732"/>
      <c r="G48" s="30"/>
    </row>
    <row r="49" spans="1:7">
      <c r="A49" s="1732"/>
      <c r="B49" s="1733">
        <v>4.0999999999999996</v>
      </c>
      <c r="C49" s="1732" t="s">
        <v>2507</v>
      </c>
      <c r="D49" s="1792"/>
      <c r="E49" s="1792"/>
      <c r="F49" s="1732"/>
      <c r="G49" s="30"/>
    </row>
    <row r="50" spans="1:7">
      <c r="A50" s="1732"/>
      <c r="B50" s="1733">
        <v>4.2</v>
      </c>
      <c r="C50" s="1732" t="s">
        <v>2508</v>
      </c>
      <c r="D50" s="1792"/>
      <c r="E50" s="1792"/>
      <c r="F50" s="1732"/>
      <c r="G50" s="30"/>
    </row>
    <row r="51" spans="1:7">
      <c r="A51" s="1732"/>
      <c r="B51" s="1733">
        <v>4.3</v>
      </c>
      <c r="C51" s="1732" t="s">
        <v>2509</v>
      </c>
      <c r="D51" s="1790">
        <f>'[4]Sch 3C Tang Cap Asset Con'!B120</f>
        <v>0</v>
      </c>
      <c r="E51" s="1790">
        <f>'[4]Sch 3C Tang Cap Asset Con'!C120</f>
        <v>0</v>
      </c>
      <c r="F51" s="1732"/>
      <c r="G51" s="30"/>
    </row>
    <row r="52" spans="1:7">
      <c r="A52" s="1732"/>
      <c r="B52" s="1733">
        <v>4.4000000000000004</v>
      </c>
      <c r="C52" s="1742" t="s">
        <v>2510</v>
      </c>
      <c r="D52" s="1790">
        <f>SUM(D49:D51)</f>
        <v>0</v>
      </c>
      <c r="E52" s="1790">
        <f>SUM(E49:E51)</f>
        <v>0</v>
      </c>
      <c r="F52" s="1732"/>
      <c r="G52" s="30"/>
    </row>
    <row r="53" spans="1:7">
      <c r="A53" s="1732"/>
      <c r="B53" s="1733"/>
      <c r="C53" s="1732"/>
      <c r="D53" s="1791"/>
      <c r="E53" s="1791"/>
      <c r="F53" s="1732"/>
      <c r="G53" s="30"/>
    </row>
    <row r="54" spans="1:7">
      <c r="A54" s="1732"/>
      <c r="B54" s="1733">
        <v>5</v>
      </c>
      <c r="C54" s="1742" t="s">
        <v>2591</v>
      </c>
      <c r="D54" s="1790">
        <f>+D46+D52</f>
        <v>0</v>
      </c>
      <c r="E54" s="1790">
        <f>+E46+E52</f>
        <v>0</v>
      </c>
      <c r="F54" s="1732"/>
      <c r="G54" s="30"/>
    </row>
    <row r="55" spans="1:7">
      <c r="A55" s="1732"/>
      <c r="B55" s="1733"/>
      <c r="C55" s="1749" t="s">
        <v>2592</v>
      </c>
      <c r="D55" s="1750">
        <f>'[4]Schedule 1 Stmt of Fin Pos.'!E37</f>
        <v>0</v>
      </c>
      <c r="E55" s="1750">
        <f>'[4]Schedule 1 Stmt of Fin Pos.'!F37</f>
        <v>0</v>
      </c>
      <c r="F55" s="1732"/>
      <c r="G55" s="30"/>
    </row>
    <row r="56" spans="1:7">
      <c r="A56" s="88"/>
      <c r="B56" s="1778"/>
      <c r="C56" s="1749" t="s">
        <v>2593</v>
      </c>
      <c r="D56" s="1750">
        <f>D54-D55</f>
        <v>0</v>
      </c>
      <c r="E56" s="1750">
        <f>E54-E55</f>
        <v>0</v>
      </c>
      <c r="F56" s="88"/>
      <c r="G56" s="88"/>
    </row>
    <row r="57" spans="1:7">
      <c r="A57" s="88"/>
      <c r="B57" s="1778"/>
      <c r="C57" s="1749"/>
      <c r="D57" s="1794" t="str">
        <f>IF(AND(D56&gt;-5, D56&lt;5), "BALANCES", "ERROR")</f>
        <v>BALANCES</v>
      </c>
      <c r="E57" s="1794" t="str">
        <f>IF(AND(E56&gt;-5, E56&lt;5), "BALANCES", "ERROR")</f>
        <v>BALANCES</v>
      </c>
      <c r="F57" s="88"/>
      <c r="G57" s="88"/>
    </row>
    <row r="58" spans="1:7">
      <c r="A58" s="30"/>
      <c r="B58" s="30"/>
      <c r="C58" s="30"/>
      <c r="D58" s="1795"/>
      <c r="E58" s="1795"/>
      <c r="F58" s="3"/>
      <c r="G58" s="30"/>
    </row>
    <row r="59" spans="1:7">
      <c r="A59" s="30"/>
      <c r="B59" s="30"/>
      <c r="C59" s="30"/>
      <c r="D59" s="1795"/>
      <c r="E59" s="1795"/>
      <c r="F59" s="3"/>
      <c r="G59" s="30" t="s">
        <v>789</v>
      </c>
    </row>
    <row r="60" spans="1:7">
      <c r="A60" s="30"/>
      <c r="B60" s="30"/>
      <c r="C60" s="30"/>
      <c r="D60" s="1795"/>
      <c r="E60" s="1795"/>
      <c r="F60" s="3"/>
      <c r="G60" s="30"/>
    </row>
    <row r="61" spans="1:7">
      <c r="A61" s="30"/>
      <c r="B61" s="30"/>
      <c r="C61" s="30"/>
      <c r="D61" s="1795"/>
      <c r="E61" s="1795"/>
      <c r="F61" s="3"/>
      <c r="G61" s="30" t="s">
        <v>789</v>
      </c>
    </row>
    <row r="62" spans="1:7" s="1783" customFormat="1"/>
    <row r="63" spans="1:7" s="1783" customFormat="1"/>
    <row r="64" spans="1:7" s="1783" customFormat="1"/>
    <row r="65" s="1783" customFormat="1"/>
    <row r="66" s="1783" customFormat="1"/>
    <row r="67" s="1783" customFormat="1"/>
    <row r="68" s="1783" customFormat="1"/>
    <row r="69" s="1783" customFormat="1"/>
    <row r="70" s="1783" customFormat="1"/>
    <row r="71" s="1783" customFormat="1"/>
    <row r="72" s="1783" customFormat="1"/>
    <row r="73" s="1783" customFormat="1"/>
    <row r="74" s="1783" customFormat="1"/>
    <row r="75" s="1783" customFormat="1"/>
    <row r="76" s="1783" customFormat="1"/>
    <row r="77" s="1783" customFormat="1"/>
    <row r="78" s="1783" customFormat="1"/>
    <row r="79" s="1783" customFormat="1"/>
    <row r="80" s="1783" customFormat="1"/>
    <row r="81" s="1783" customFormat="1"/>
    <row r="82" s="1783" customFormat="1"/>
    <row r="83" s="1783" customFormat="1"/>
    <row r="84" s="1783" customFormat="1"/>
    <row r="85" s="1783" customFormat="1"/>
    <row r="86" s="1783" customFormat="1"/>
    <row r="87" s="1783" customFormat="1"/>
    <row r="88" s="1783" customFormat="1"/>
    <row r="89" s="1783" customFormat="1"/>
    <row r="90" s="1783" customFormat="1"/>
    <row r="91" s="1783" customFormat="1"/>
    <row r="92" s="1783" customFormat="1"/>
    <row r="93" s="1783" customFormat="1"/>
    <row r="94" s="1783" customFormat="1"/>
    <row r="95" s="1783" customFormat="1"/>
    <row r="96" s="1783" customFormat="1"/>
    <row r="97" s="1783" customFormat="1"/>
    <row r="98" s="1783" customFormat="1"/>
    <row r="99" s="1783" customFormat="1"/>
    <row r="100" s="1783" customFormat="1"/>
    <row r="101" s="1783" customFormat="1"/>
    <row r="102" s="1783" customFormat="1"/>
    <row r="103" s="1783" customFormat="1"/>
    <row r="104" s="1783" customFormat="1"/>
    <row r="105" s="1783" customFormat="1"/>
    <row r="106" s="1783" customFormat="1"/>
    <row r="107" s="1783" customFormat="1"/>
    <row r="108" s="1783" customFormat="1"/>
    <row r="109" s="1783" customFormat="1"/>
    <row r="110" s="1783" customFormat="1"/>
    <row r="111" s="1783" customFormat="1"/>
    <row r="112" s="1783" customFormat="1"/>
    <row r="113" s="1783" customFormat="1"/>
    <row r="114" s="1783" customFormat="1"/>
    <row r="115" s="1783" customFormat="1"/>
    <row r="116" s="1783" customFormat="1"/>
    <row r="117" s="1783" customFormat="1"/>
    <row r="118" s="1783" customFormat="1"/>
    <row r="119" s="1783" customFormat="1"/>
    <row r="120" s="1783" customFormat="1"/>
    <row r="121" s="1783" customFormat="1"/>
    <row r="122" s="1783" customFormat="1"/>
    <row r="123" s="1783" customFormat="1"/>
    <row r="124" s="1783" customFormat="1"/>
    <row r="125" s="1783" customFormat="1"/>
    <row r="126" s="1783" customFormat="1"/>
    <row r="127" s="1783" customFormat="1"/>
    <row r="128" s="1783" customFormat="1"/>
    <row r="129" s="1783" customFormat="1"/>
    <row r="130" s="1783" customFormat="1"/>
    <row r="131" s="1783" customFormat="1"/>
    <row r="132" s="1783" customFormat="1"/>
    <row r="133" s="1783" customFormat="1"/>
    <row r="134" s="1783" customFormat="1"/>
    <row r="135" s="1783" customFormat="1"/>
    <row r="136" s="1783" customFormat="1"/>
    <row r="137" s="1783" customFormat="1"/>
    <row r="138" s="1783" customFormat="1"/>
    <row r="139" s="1783" customFormat="1"/>
    <row r="140" s="1783" customFormat="1"/>
    <row r="141" s="1783" customFormat="1"/>
    <row r="142" s="1783" customFormat="1"/>
    <row r="143" s="1783" customFormat="1"/>
    <row r="144" s="1783" customFormat="1"/>
    <row r="145" s="1783" customFormat="1"/>
    <row r="146" s="1783" customFormat="1"/>
    <row r="147" s="1783" customFormat="1"/>
    <row r="148" s="1783" customFormat="1"/>
    <row r="149" s="1783" customFormat="1"/>
    <row r="150" s="1783" customFormat="1"/>
    <row r="151" s="1783" customFormat="1"/>
    <row r="152" s="1783" customFormat="1"/>
    <row r="153" s="1783" customFormat="1"/>
    <row r="154" s="1783" customFormat="1"/>
    <row r="155" s="1783" customFormat="1"/>
    <row r="156" s="1783" customFormat="1"/>
    <row r="157" s="1783" customFormat="1"/>
    <row r="158" s="1783" customFormat="1"/>
    <row r="159" s="1783" customFormat="1"/>
    <row r="160" s="1783" customFormat="1"/>
    <row r="161" s="1783" customFormat="1"/>
    <row r="162" s="1783" customFormat="1"/>
    <row r="163" s="1783" customFormat="1"/>
    <row r="164" s="1783" customFormat="1"/>
    <row r="165" s="1783" customFormat="1"/>
    <row r="166" s="1783" customFormat="1"/>
    <row r="167" s="1783" customFormat="1"/>
    <row r="168" s="1783" customFormat="1"/>
    <row r="169" s="1783" customFormat="1"/>
    <row r="170" s="1783" customFormat="1"/>
    <row r="171" s="1783" customFormat="1"/>
    <row r="172" s="1783" customFormat="1"/>
    <row r="173" s="1783" customFormat="1"/>
    <row r="174" s="1783" customFormat="1"/>
    <row r="175" s="1783" customFormat="1"/>
    <row r="176" s="1783" customFormat="1"/>
    <row r="177" s="1783" customFormat="1"/>
    <row r="178" s="1783" customFormat="1"/>
    <row r="179" s="1783" customFormat="1"/>
    <row r="180" s="1783" customFormat="1"/>
    <row r="181" s="1783" customFormat="1"/>
    <row r="182" s="1783" customFormat="1"/>
    <row r="183" s="1783" customFormat="1"/>
    <row r="184" s="1783" customFormat="1"/>
    <row r="185" s="1783" customFormat="1"/>
    <row r="186" s="1783" customFormat="1"/>
    <row r="187" s="1783" customFormat="1"/>
    <row r="188" s="1783" customFormat="1"/>
    <row r="189" s="1783" customFormat="1"/>
    <row r="190" s="1783" customFormat="1"/>
    <row r="191" s="1783" customFormat="1"/>
    <row r="192" s="1783" customFormat="1"/>
    <row r="193" s="1783" customFormat="1"/>
    <row r="194" s="1783" customFormat="1"/>
    <row r="195" s="1783" customFormat="1"/>
    <row r="196" s="1783" customFormat="1"/>
    <row r="197" s="1783" customFormat="1"/>
    <row r="198" s="1783" customFormat="1"/>
    <row r="199" s="1783" customFormat="1"/>
    <row r="200" s="1783" customFormat="1"/>
    <row r="201" s="1783" customFormat="1"/>
    <row r="202" s="1783" customFormat="1"/>
    <row r="203" s="1783" customFormat="1"/>
    <row r="204" s="1783" customFormat="1"/>
    <row r="205" s="1783" customFormat="1"/>
    <row r="206" s="1783" customFormat="1"/>
    <row r="207" s="1783" customFormat="1"/>
    <row r="208" s="1783" customFormat="1"/>
    <row r="209" s="1783" customFormat="1"/>
    <row r="210" s="1783" customFormat="1"/>
    <row r="211" s="1783" customFormat="1"/>
    <row r="212" s="1783" customFormat="1"/>
    <row r="213" s="1783" customFormat="1"/>
    <row r="214" s="1783" customFormat="1"/>
    <row r="215" s="1783" customFormat="1"/>
    <row r="216" s="1783" customFormat="1"/>
    <row r="217" s="1783" customFormat="1"/>
    <row r="218" s="1783" customFormat="1"/>
    <row r="219" s="1783" customFormat="1"/>
    <row r="220" s="1783" customFormat="1"/>
    <row r="221" s="1783" customFormat="1"/>
    <row r="222" s="1783" customFormat="1"/>
    <row r="223" s="1783" customFormat="1"/>
    <row r="224" s="1783" customFormat="1"/>
    <row r="225" s="1783" customFormat="1"/>
    <row r="226" s="1783" customFormat="1"/>
    <row r="227" s="1783" customFormat="1"/>
    <row r="228" s="1783" customFormat="1"/>
    <row r="229" s="1783" customFormat="1"/>
    <row r="230" s="1783" customFormat="1"/>
    <row r="231" s="1783" customFormat="1"/>
    <row r="232" s="1783" customFormat="1"/>
    <row r="233" s="1783" customFormat="1"/>
    <row r="234" s="1783" customFormat="1"/>
    <row r="235" s="1783" customFormat="1"/>
    <row r="236" s="1783" customFormat="1"/>
    <row r="237" s="1783" customFormat="1"/>
    <row r="238" s="1783" customFormat="1"/>
    <row r="239" s="1783" customFormat="1"/>
    <row r="240" s="1783" customFormat="1"/>
    <row r="241" s="1783" customFormat="1"/>
    <row r="242" s="1783" customFormat="1"/>
    <row r="243" s="1783" customFormat="1"/>
    <row r="244" s="1783" customFormat="1"/>
    <row r="245" s="1783" customFormat="1"/>
    <row r="246" s="1783" customFormat="1"/>
    <row r="247" s="1783" customFormat="1"/>
    <row r="248" s="1783" customFormat="1"/>
    <row r="249" s="1783" customFormat="1"/>
    <row r="250" s="1783" customFormat="1"/>
    <row r="251" s="1783" customFormat="1"/>
    <row r="252" s="1783" customFormat="1"/>
    <row r="253" s="1783" customFormat="1"/>
    <row r="254" s="1783" customFormat="1"/>
    <row r="255" s="1783" customFormat="1"/>
    <row r="256" s="1783" customFormat="1"/>
    <row r="257" s="1783" customFormat="1"/>
    <row r="258" s="1783" customFormat="1"/>
    <row r="259" s="1783" customFormat="1"/>
    <row r="260" s="1783" customFormat="1"/>
    <row r="261" s="1783" customFormat="1"/>
    <row r="262" s="1783" customFormat="1"/>
    <row r="263" s="1783" customFormat="1"/>
    <row r="264" s="1783" customFormat="1"/>
    <row r="265" s="1783" customFormat="1"/>
    <row r="266" s="1783" customFormat="1"/>
    <row r="267" s="1783" customFormat="1"/>
    <row r="268" s="1783" customFormat="1"/>
    <row r="269" s="1783" customFormat="1"/>
    <row r="270" s="1783" customFormat="1"/>
    <row r="271" s="1783" customFormat="1"/>
    <row r="272" s="1783" customFormat="1"/>
    <row r="273" s="1783" customFormat="1"/>
    <row r="274" s="1783" customFormat="1"/>
    <row r="275" s="1783" customFormat="1"/>
    <row r="276" s="1783" customFormat="1"/>
    <row r="277" s="1783" customFormat="1"/>
    <row r="278" s="1783" customFormat="1"/>
    <row r="279" s="1783" customFormat="1"/>
    <row r="280" s="1783" customFormat="1"/>
    <row r="281" s="1783" customFormat="1"/>
    <row r="282" s="1783" customFormat="1"/>
    <row r="283" s="1783" customFormat="1"/>
    <row r="284" s="1783" customFormat="1"/>
    <row r="285" s="1783" customFormat="1"/>
    <row r="286" s="1783" customFormat="1"/>
    <row r="287" s="1783" customFormat="1"/>
    <row r="288" s="1783" customFormat="1"/>
    <row r="289" s="1783" customFormat="1"/>
    <row r="290" s="1783" customFormat="1"/>
    <row r="291" s="1783" customFormat="1"/>
    <row r="292" s="1783" customFormat="1"/>
    <row r="293" s="1783" customFormat="1"/>
    <row r="294" s="1783" customFormat="1"/>
    <row r="295" s="1783" customFormat="1"/>
    <row r="296" s="1783" customFormat="1"/>
    <row r="297" s="1783" customFormat="1"/>
    <row r="298" s="1783" customFormat="1"/>
    <row r="299" s="1783" customFormat="1"/>
    <row r="300" s="1783" customFormat="1"/>
    <row r="301" s="1783" customFormat="1"/>
    <row r="302" s="1783" customFormat="1"/>
    <row r="303" s="1783" customFormat="1"/>
    <row r="304" s="1783" customFormat="1"/>
    <row r="305" s="1783" customFormat="1"/>
    <row r="306" s="1783" customFormat="1"/>
    <row r="307" s="1783" customFormat="1"/>
    <row r="308" s="1783" customFormat="1"/>
    <row r="309" s="1783" customFormat="1"/>
    <row r="310" s="1783" customFormat="1"/>
    <row r="311" s="1783" customFormat="1"/>
    <row r="312" s="1783" customFormat="1"/>
    <row r="313" s="1783" customFormat="1"/>
    <row r="314" s="1783" customFormat="1"/>
    <row r="315" s="1783" customFormat="1"/>
    <row r="316" s="1783" customFormat="1"/>
    <row r="317" s="1783" customFormat="1"/>
    <row r="318" s="1783" customFormat="1"/>
    <row r="319" s="1783" customFormat="1"/>
    <row r="320" s="1783" customFormat="1"/>
    <row r="321" s="1783" customFormat="1"/>
    <row r="322" s="1783" customFormat="1"/>
    <row r="323" s="1783" customFormat="1"/>
    <row r="324" s="1783" customFormat="1"/>
    <row r="325" s="1783" customFormat="1"/>
    <row r="326" s="1783" customFormat="1"/>
    <row r="327" s="1783" customFormat="1"/>
    <row r="328" s="1783" customFormat="1"/>
    <row r="329" s="1783" customFormat="1"/>
    <row r="330" s="1783" customFormat="1"/>
    <row r="331" s="1783" customFormat="1"/>
    <row r="332" s="1783" customFormat="1"/>
    <row r="333" s="1783" customFormat="1"/>
    <row r="334" s="1783" customFormat="1"/>
    <row r="335" s="1783" customFormat="1"/>
    <row r="336" s="1783" customFormat="1"/>
    <row r="337" s="1783" customFormat="1"/>
    <row r="338" s="1783" customFormat="1"/>
    <row r="339" s="1783" customFormat="1"/>
    <row r="340" s="1783" customFormat="1"/>
    <row r="341" s="1783" customFormat="1"/>
    <row r="342" s="1783" customFormat="1"/>
    <row r="343" s="1783" customFormat="1"/>
    <row r="344" s="1783" customFormat="1"/>
    <row r="345" s="1783" customFormat="1"/>
    <row r="346" s="1783" customFormat="1"/>
    <row r="347" s="1783" customFormat="1"/>
    <row r="348" s="1783" customFormat="1"/>
    <row r="349" s="1783" customFormat="1"/>
    <row r="350" s="1783" customFormat="1"/>
    <row r="351" s="1783" customFormat="1"/>
    <row r="352" s="1783" customFormat="1"/>
    <row r="353" s="1783" customFormat="1"/>
    <row r="354" s="1783" customFormat="1"/>
    <row r="355" s="1783" customFormat="1"/>
    <row r="356" s="1783" customFormat="1"/>
    <row r="357" s="1783" customFormat="1"/>
    <row r="358" s="1783" customFormat="1"/>
    <row r="359" s="1783" customFormat="1"/>
    <row r="360" s="1783" customFormat="1"/>
    <row r="361" s="1783" customFormat="1"/>
    <row r="362" s="1783" customFormat="1"/>
    <row r="363" s="1783" customFormat="1"/>
    <row r="364" s="1783" customFormat="1"/>
    <row r="365" s="1783" customFormat="1"/>
    <row r="366" s="1783" customFormat="1"/>
    <row r="367" s="1783" customFormat="1"/>
    <row r="368" s="1783" customFormat="1"/>
    <row r="369" s="1783" customFormat="1"/>
    <row r="370" s="1783" customFormat="1"/>
    <row r="371" s="1783" customFormat="1"/>
    <row r="372" s="1783" customFormat="1"/>
    <row r="373" s="1783" customFormat="1"/>
    <row r="374" s="1783" customFormat="1"/>
    <row r="375" s="1783" customFormat="1"/>
    <row r="376" s="1783" customFormat="1"/>
    <row r="377" s="1783" customFormat="1"/>
    <row r="378" s="1783" customFormat="1"/>
    <row r="379" s="1783" customFormat="1"/>
    <row r="380" s="1783" customFormat="1"/>
    <row r="381" s="1783" customFormat="1"/>
    <row r="382" s="1783" customFormat="1"/>
    <row r="383" s="1783" customFormat="1"/>
    <row r="384" s="1783" customFormat="1"/>
    <row r="385" s="1783" customFormat="1"/>
    <row r="386" s="1783" customFormat="1"/>
    <row r="387" s="1783" customFormat="1"/>
    <row r="388" s="1783" customFormat="1"/>
    <row r="389" s="1783" customFormat="1"/>
    <row r="390" s="1783" customFormat="1"/>
    <row r="391" s="1783" customFormat="1"/>
    <row r="392" s="1783" customFormat="1"/>
    <row r="393" s="1783" customFormat="1"/>
    <row r="394" s="1783" customFormat="1"/>
    <row r="395" s="1783" customFormat="1"/>
    <row r="396" s="1783" customFormat="1"/>
    <row r="397" s="1783" customFormat="1"/>
    <row r="398" s="1783" customFormat="1"/>
    <row r="399" s="1783" customFormat="1"/>
    <row r="400" s="1783" customFormat="1"/>
    <row r="401" s="1783" customFormat="1"/>
    <row r="402" s="1783" customFormat="1"/>
    <row r="403" s="1783" customFormat="1"/>
    <row r="404" s="1783" customFormat="1"/>
    <row r="405" s="1783" customFormat="1"/>
    <row r="406" s="1783" customFormat="1"/>
    <row r="407" s="1783" customFormat="1"/>
    <row r="408" s="1783" customFormat="1"/>
    <row r="409" s="1783" customFormat="1"/>
    <row r="410" s="1783" customFormat="1"/>
    <row r="411" s="1783" customFormat="1"/>
    <row r="412" s="1783" customFormat="1"/>
    <row r="413" s="1783" customFormat="1"/>
    <row r="414" s="1783" customFormat="1"/>
    <row r="415" s="1783" customFormat="1"/>
    <row r="416" s="1783" customFormat="1"/>
    <row r="417" s="1783" customFormat="1"/>
    <row r="418" s="1783" customFormat="1"/>
    <row r="419" s="1783" customFormat="1"/>
    <row r="420" s="1783" customFormat="1"/>
    <row r="421" s="1783" customFormat="1"/>
    <row r="422" s="1783" customFormat="1"/>
    <row r="423" s="1783" customFormat="1"/>
    <row r="424" s="1783" customFormat="1"/>
    <row r="425" s="1783" customFormat="1"/>
    <row r="426" s="1783" customFormat="1"/>
    <row r="427" s="1783" customFormat="1"/>
    <row r="428" s="1783" customFormat="1"/>
    <row r="429" s="1783" customFormat="1"/>
    <row r="430" s="1783" customFormat="1"/>
    <row r="431" s="1783" customFormat="1"/>
    <row r="432" s="1783" customFormat="1"/>
    <row r="433" s="1783" customFormat="1"/>
    <row r="434" s="1783" customFormat="1"/>
    <row r="435" s="1783" customFormat="1"/>
    <row r="436" s="1783" customFormat="1"/>
    <row r="437" s="1783" customFormat="1"/>
    <row r="438" s="1783" customFormat="1"/>
    <row r="439" s="1783" customFormat="1"/>
    <row r="440" s="1783" customFormat="1"/>
    <row r="441" s="1783" customFormat="1"/>
    <row r="442" s="1783" customFormat="1"/>
    <row r="443" s="1783" customFormat="1"/>
    <row r="444" s="1783" customFormat="1"/>
    <row r="445" s="1783" customFormat="1"/>
    <row r="446" s="1783" customFormat="1"/>
    <row r="447" s="1783" customFormat="1"/>
    <row r="448" s="1783" customFormat="1"/>
    <row r="449" s="1783" customFormat="1"/>
    <row r="450" s="1783" customFormat="1"/>
    <row r="451" s="1783" customFormat="1"/>
    <row r="452" s="1783" customFormat="1"/>
    <row r="453" s="1783" customFormat="1"/>
    <row r="454" s="1783" customFormat="1"/>
    <row r="455" s="1783" customFormat="1"/>
    <row r="456" s="1783" customFormat="1"/>
    <row r="457" s="1783" customFormat="1"/>
    <row r="458" s="1783" customFormat="1"/>
    <row r="459" s="1783" customFormat="1"/>
    <row r="460" s="1783" customFormat="1"/>
    <row r="461" s="1783" customFormat="1"/>
    <row r="462" s="1783" customFormat="1"/>
    <row r="463" s="1783" customFormat="1"/>
    <row r="464" s="1783" customFormat="1"/>
    <row r="465" s="1783" customFormat="1"/>
    <row r="466" s="1783" customFormat="1"/>
    <row r="467" s="1783" customFormat="1"/>
    <row r="468" s="1783" customFormat="1"/>
    <row r="469" s="1783" customFormat="1"/>
    <row r="470" s="1783" customFormat="1"/>
    <row r="471" s="1783" customFormat="1"/>
    <row r="472" s="1783" customFormat="1"/>
    <row r="473" s="1783" customFormat="1"/>
    <row r="474" s="1783" customFormat="1"/>
    <row r="475" s="1783" customFormat="1"/>
    <row r="476" s="1783" customFormat="1"/>
    <row r="477" s="1783" customFormat="1"/>
    <row r="478" s="1783" customFormat="1"/>
    <row r="479" s="1783" customFormat="1"/>
    <row r="480" s="1783" customFormat="1"/>
    <row r="481" s="1783" customFormat="1"/>
    <row r="482" s="1783" customFormat="1"/>
    <row r="483" s="1783" customFormat="1"/>
    <row r="484" s="1783" customFormat="1"/>
    <row r="485" s="1783" customFormat="1"/>
    <row r="486" s="1783" customFormat="1"/>
    <row r="487" s="1783" customFormat="1"/>
    <row r="488" s="1783" customFormat="1"/>
    <row r="489" s="1783" customFormat="1"/>
    <row r="490" s="1783" customFormat="1"/>
    <row r="491" s="1783" customFormat="1"/>
    <row r="492" s="1783" customFormat="1"/>
    <row r="493" s="1783" customFormat="1"/>
    <row r="494" s="1783" customFormat="1"/>
    <row r="495" s="1783" customFormat="1"/>
    <row r="496" s="1783" customFormat="1"/>
    <row r="497" s="1783" customFormat="1"/>
    <row r="498" s="1783" customFormat="1"/>
    <row r="499" s="1783" customFormat="1"/>
    <row r="500" s="1783" customFormat="1"/>
    <row r="501" s="1783" customFormat="1"/>
    <row r="502" s="1783" customFormat="1"/>
    <row r="503" s="1783" customFormat="1"/>
    <row r="504" s="1783" customFormat="1"/>
    <row r="505" s="1783" customFormat="1"/>
    <row r="506" s="1783" customFormat="1"/>
    <row r="507" s="1783" customFormat="1"/>
    <row r="508" s="1783" customFormat="1"/>
    <row r="509" s="1783" customFormat="1"/>
    <row r="510" s="1783" customFormat="1"/>
    <row r="511" s="1783" customFormat="1"/>
    <row r="512" s="1783" customFormat="1"/>
    <row r="513" s="1783" customFormat="1"/>
    <row r="514" s="1783" customFormat="1"/>
    <row r="515" s="1783" customFormat="1"/>
    <row r="516" s="1783" customFormat="1"/>
    <row r="517" s="1783" customFormat="1"/>
    <row r="518" s="1783" customFormat="1"/>
    <row r="519" s="1783" customFormat="1"/>
    <row r="520" s="1783" customFormat="1"/>
    <row r="521" s="1783" customFormat="1"/>
    <row r="522" s="1783" customFormat="1"/>
    <row r="523" s="1783" customFormat="1"/>
    <row r="524" s="1783" customFormat="1"/>
    <row r="525" s="1783" customFormat="1"/>
    <row r="526" s="1783" customFormat="1"/>
    <row r="527" s="1783" customFormat="1"/>
    <row r="528" s="1783" customFormat="1"/>
    <row r="529" s="1783" customFormat="1"/>
    <row r="530" s="1783" customFormat="1"/>
    <row r="531" s="1783" customFormat="1"/>
    <row r="532" s="1783" customFormat="1"/>
    <row r="533" s="1783" customFormat="1"/>
    <row r="534" s="1783" customFormat="1"/>
    <row r="535" s="1783" customFormat="1"/>
    <row r="536" s="1783" customFormat="1"/>
    <row r="537" s="1783" customFormat="1"/>
    <row r="538" s="1783" customFormat="1"/>
    <row r="539" s="1783" customFormat="1"/>
    <row r="540" s="1783" customFormat="1"/>
    <row r="541" s="1783" customFormat="1"/>
    <row r="542" s="1783" customFormat="1"/>
    <row r="543" s="1783" customFormat="1"/>
    <row r="544" s="1783" customFormat="1"/>
    <row r="545" s="1783" customFormat="1"/>
    <row r="546" s="1783" customFormat="1"/>
    <row r="547" s="1783" customFormat="1"/>
    <row r="548" s="1783" customFormat="1"/>
    <row r="549" s="1783" customFormat="1"/>
    <row r="550" s="1783" customFormat="1"/>
    <row r="551" s="1783" customFormat="1"/>
    <row r="552" s="1783" customFormat="1"/>
    <row r="553" s="1783" customFormat="1"/>
    <row r="554" s="1783" customFormat="1"/>
    <row r="555" s="1783" customFormat="1"/>
    <row r="556" s="1783" customFormat="1"/>
    <row r="557" s="1783" customFormat="1"/>
    <row r="558" s="1783" customFormat="1"/>
    <row r="559" s="1783" customFormat="1"/>
    <row r="560" s="1783" customFormat="1"/>
    <row r="561" s="1783" customFormat="1"/>
    <row r="562" s="1783" customFormat="1"/>
    <row r="563" s="1783" customFormat="1"/>
    <row r="564" s="1783" customFormat="1"/>
    <row r="565" s="1783" customFormat="1"/>
    <row r="566" s="1783" customFormat="1"/>
    <row r="567" s="1783" customFormat="1"/>
    <row r="568" s="1783" customFormat="1"/>
    <row r="569" s="1783" customFormat="1"/>
    <row r="570" s="1783" customFormat="1"/>
    <row r="571" s="1783" customFormat="1"/>
    <row r="572" s="1783" customFormat="1"/>
    <row r="573" s="1783" customFormat="1"/>
    <row r="574" s="1783" customFormat="1"/>
    <row r="575" s="1783" customFormat="1"/>
    <row r="576" s="1783" customFormat="1"/>
    <row r="577" s="1783" customFormat="1"/>
    <row r="578" s="1783" customFormat="1"/>
    <row r="579" s="1783" customFormat="1"/>
    <row r="580" s="1783" customFormat="1"/>
    <row r="581" s="1783" customFormat="1"/>
    <row r="582" s="1783" customFormat="1"/>
    <row r="583" s="1783" customFormat="1"/>
    <row r="584" s="1783" customFormat="1"/>
    <row r="585" s="1783" customFormat="1"/>
    <row r="586" s="1783" customFormat="1"/>
    <row r="587" s="1783" customFormat="1"/>
    <row r="588" s="1783" customFormat="1"/>
    <row r="589" s="1783" customFormat="1"/>
    <row r="590" s="1783" customFormat="1"/>
    <row r="591" s="1783" customFormat="1"/>
    <row r="592" s="1783" customFormat="1"/>
    <row r="593" s="1783" customFormat="1"/>
    <row r="594" s="1783" customFormat="1"/>
    <row r="595" s="1783" customFormat="1"/>
    <row r="596" s="1783" customFormat="1"/>
    <row r="597" s="1783" customFormat="1"/>
    <row r="598" s="1783" customFormat="1"/>
    <row r="599" s="1783" customFormat="1"/>
    <row r="600" s="1783" customFormat="1"/>
    <row r="601" s="1783" customFormat="1"/>
    <row r="602" s="1783" customFormat="1"/>
    <row r="603" s="1783" customFormat="1"/>
    <row r="604" s="1783" customFormat="1"/>
    <row r="605" s="1783" customFormat="1"/>
    <row r="606" s="1783" customFormat="1"/>
    <row r="607" s="1783" customFormat="1"/>
    <row r="608" s="1783" customFormat="1"/>
    <row r="609" s="1783" customFormat="1"/>
    <row r="610" s="1783" customFormat="1"/>
    <row r="611" s="1783" customFormat="1"/>
    <row r="612" s="1783" customFormat="1"/>
    <row r="613" s="1783" customFormat="1"/>
    <row r="614" s="1783" customFormat="1"/>
    <row r="615" s="1783" customFormat="1"/>
    <row r="616" s="1783" customFormat="1"/>
    <row r="617" s="1783" customFormat="1"/>
    <row r="618" s="1783" customFormat="1"/>
    <row r="619" s="1783" customFormat="1"/>
    <row r="620" s="1783" customFormat="1"/>
    <row r="621" s="1783" customFormat="1"/>
    <row r="622" s="1783" customFormat="1"/>
    <row r="623" s="1783" customFormat="1"/>
    <row r="624" s="1783" customFormat="1"/>
    <row r="625" s="1783" customFormat="1"/>
    <row r="626" s="1783" customFormat="1"/>
    <row r="627" s="1783" customFormat="1"/>
    <row r="628" s="1783" customFormat="1"/>
    <row r="629" s="1783" customFormat="1"/>
    <row r="630" s="1783" customFormat="1"/>
    <row r="631" s="1783" customFormat="1"/>
    <row r="632" s="1783" customFormat="1"/>
    <row r="633" s="1783" customFormat="1"/>
    <row r="634" s="1783" customFormat="1"/>
    <row r="635" s="1783" customFormat="1"/>
    <row r="636" s="1783" customFormat="1"/>
    <row r="637" s="1783" customFormat="1"/>
    <row r="638" s="1783" customFormat="1"/>
    <row r="639" s="1783" customFormat="1"/>
    <row r="640" s="1783" customFormat="1"/>
    <row r="641" s="1783" customFormat="1"/>
    <row r="642" s="1783" customFormat="1"/>
    <row r="643" s="1783" customFormat="1"/>
    <row r="644" s="1783" customFormat="1"/>
    <row r="645" s="1783" customFormat="1"/>
  </sheetData>
  <mergeCells count="3">
    <mergeCell ref="A5:G5"/>
    <mergeCell ref="A6:G6"/>
    <mergeCell ref="A7:G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9"/>
  <sheetViews>
    <sheetView zoomScaleNormal="100" workbookViewId="0">
      <selection activeCell="D5" sqref="D5"/>
    </sheetView>
  </sheetViews>
  <sheetFormatPr defaultColWidth="0" defaultRowHeight="12.75" zeroHeight="1"/>
  <cols>
    <col min="1" max="1" width="6.140625" style="617" customWidth="1"/>
    <col min="2" max="2" width="76.5703125" style="617" customWidth="1"/>
    <col min="3" max="3" width="5.140625" style="617" customWidth="1"/>
    <col min="4" max="4" width="12.140625" style="617" customWidth="1"/>
    <col min="5" max="5" width="13.85546875" style="617" customWidth="1"/>
    <col min="6" max="16384" width="0" style="617" hidden="1"/>
  </cols>
  <sheetData>
    <row r="1" spans="1:5" ht="15.75">
      <c r="A1" s="805" t="s">
        <v>622</v>
      </c>
      <c r="B1" s="116"/>
      <c r="C1" s="116"/>
      <c r="D1" s="806" t="str">
        <f>'1 Summary'!G2</f>
        <v/>
      </c>
      <c r="E1" s="807"/>
    </row>
    <row r="2" spans="1:5" s="688" customFormat="1" ht="15">
      <c r="A2" s="2148" t="s">
        <v>2785</v>
      </c>
      <c r="B2" s="1952" t="s">
        <v>693</v>
      </c>
      <c r="C2" s="1952"/>
      <c r="D2" s="1953">
        <f>'1 Summary'!G3</f>
        <v>0</v>
      </c>
      <c r="E2" s="1954"/>
    </row>
    <row r="3" spans="1:5" s="688" customFormat="1" ht="14.25">
      <c r="A3" s="1951"/>
      <c r="B3" s="1951"/>
      <c r="C3" s="1951"/>
      <c r="D3" s="1954"/>
      <c r="E3" s="1954"/>
    </row>
    <row r="4" spans="1:5" s="688" customFormat="1" ht="15">
      <c r="A4" s="1952">
        <v>1</v>
      </c>
      <c r="B4" s="1952" t="s">
        <v>694</v>
      </c>
      <c r="C4" s="1952"/>
      <c r="D4" s="1954"/>
      <c r="E4" s="1954"/>
    </row>
    <row r="5" spans="1:5" s="688" customFormat="1" ht="14.25">
      <c r="A5" s="1955">
        <v>1.1000000000000001</v>
      </c>
      <c r="B5" s="1955" t="s">
        <v>1599</v>
      </c>
      <c r="C5" s="1955"/>
      <c r="D5" s="1956">
        <f>'1 Summary'!K67</f>
        <v>47042</v>
      </c>
      <c r="E5" s="1954"/>
    </row>
    <row r="6" spans="1:5" s="688" customFormat="1" ht="14.25">
      <c r="A6" s="1955">
        <v>1.2</v>
      </c>
      <c r="B6" s="1955" t="s">
        <v>695</v>
      </c>
      <c r="C6" s="1955"/>
      <c r="D6" s="1956">
        <f>'Schedule 5.1'!G16+'Schedule 5.1'!G55</f>
        <v>0</v>
      </c>
      <c r="E6" s="1954"/>
    </row>
    <row r="7" spans="1:5" s="688" customFormat="1" ht="14.25">
      <c r="A7" s="1955" t="s">
        <v>1819</v>
      </c>
      <c r="B7" s="1955" t="s">
        <v>1944</v>
      </c>
      <c r="C7" s="1955"/>
      <c r="D7" s="1956">
        <f>'Schedule 5.1'!E16+'Schedule 5.1'!E55</f>
        <v>0</v>
      </c>
      <c r="E7" s="1954"/>
    </row>
    <row r="8" spans="1:5" s="688" customFormat="1" ht="15">
      <c r="A8" s="1952">
        <v>1.3</v>
      </c>
      <c r="B8" s="1952" t="s">
        <v>696</v>
      </c>
      <c r="C8" s="1952"/>
      <c r="D8" s="1954"/>
      <c r="E8" s="1956">
        <f>D5+D6-D7</f>
        <v>47042</v>
      </c>
    </row>
    <row r="9" spans="1:5" s="688" customFormat="1" ht="14.25">
      <c r="A9" s="1951"/>
      <c r="B9" s="1951"/>
      <c r="C9" s="1951"/>
      <c r="D9" s="1954"/>
      <c r="E9" s="1954"/>
    </row>
    <row r="10" spans="1:5" s="688" customFormat="1" ht="15">
      <c r="A10" s="1952">
        <v>2</v>
      </c>
      <c r="B10" s="1952" t="s">
        <v>697</v>
      </c>
      <c r="C10" s="1952"/>
      <c r="D10" s="1954"/>
      <c r="E10" s="1954"/>
    </row>
    <row r="11" spans="1:5" s="688" customFormat="1" ht="14.25">
      <c r="A11" s="1955">
        <v>2.8</v>
      </c>
      <c r="B11" s="1955" t="s">
        <v>698</v>
      </c>
      <c r="C11" s="1955"/>
      <c r="D11" s="1956">
        <f>'Schedule 5.1'!G25+'Schedule 5.1'!G63</f>
        <v>0</v>
      </c>
      <c r="E11" s="1954"/>
    </row>
    <row r="12" spans="1:5" s="688" customFormat="1" ht="14.25">
      <c r="A12" s="1951"/>
      <c r="B12" s="1955" t="s">
        <v>699</v>
      </c>
      <c r="C12" s="1955"/>
      <c r="D12" s="1957"/>
      <c r="E12" s="1954"/>
    </row>
    <row r="13" spans="1:5" s="688" customFormat="1" ht="14.25">
      <c r="A13" s="1955">
        <v>2.9</v>
      </c>
      <c r="B13" s="1958"/>
      <c r="C13" s="1955"/>
      <c r="D13" s="1959"/>
      <c r="E13" s="1954"/>
    </row>
    <row r="14" spans="1:5" s="688" customFormat="1" ht="14.25">
      <c r="A14" s="1955">
        <v>2.1</v>
      </c>
      <c r="B14" s="1958"/>
      <c r="C14" s="1955"/>
      <c r="D14" s="1959"/>
      <c r="E14" s="1954"/>
    </row>
    <row r="15" spans="1:5" s="688" customFormat="1" ht="14.25">
      <c r="A15" s="1955">
        <v>2.11</v>
      </c>
      <c r="B15" s="1958"/>
      <c r="C15" s="1955"/>
      <c r="D15" s="1959"/>
      <c r="E15" s="1954"/>
    </row>
    <row r="16" spans="1:5" s="688" customFormat="1" ht="14.25">
      <c r="A16" s="1955">
        <v>2.12</v>
      </c>
      <c r="B16" s="1958"/>
      <c r="C16" s="1955"/>
      <c r="D16" s="1959"/>
      <c r="E16" s="1954"/>
    </row>
    <row r="17" spans="1:5" s="688" customFormat="1" ht="14.25">
      <c r="A17" s="1955">
        <v>2.13</v>
      </c>
      <c r="B17" s="1958"/>
      <c r="C17" s="1955"/>
      <c r="D17" s="1959"/>
      <c r="E17" s="1954"/>
    </row>
    <row r="18" spans="1:5" s="688" customFormat="1" ht="14.25">
      <c r="A18" s="1955">
        <v>2.14</v>
      </c>
      <c r="B18" s="1958"/>
      <c r="C18" s="1955"/>
      <c r="D18" s="1959"/>
      <c r="E18" s="1954"/>
    </row>
    <row r="19" spans="1:5" s="688" customFormat="1" ht="15">
      <c r="A19" s="1955">
        <v>2.15</v>
      </c>
      <c r="B19" s="1952" t="s">
        <v>700</v>
      </c>
      <c r="C19" s="1952"/>
      <c r="D19" s="1956">
        <f>SUM(D11:D18)</f>
        <v>0</v>
      </c>
      <c r="E19" s="1954"/>
    </row>
    <row r="20" spans="1:5" s="688" customFormat="1" ht="14.25">
      <c r="A20" s="1951"/>
      <c r="B20" s="1951"/>
      <c r="C20" s="1951"/>
      <c r="D20" s="1954"/>
      <c r="E20" s="1954"/>
    </row>
    <row r="21" spans="1:5" s="688" customFormat="1" ht="30">
      <c r="A21" s="1951"/>
      <c r="B21" s="1952" t="s">
        <v>701</v>
      </c>
      <c r="C21" s="1952"/>
      <c r="D21" s="1954"/>
      <c r="E21" s="1954"/>
    </row>
    <row r="22" spans="1:5" s="688" customFormat="1" ht="14.25">
      <c r="A22" s="1955">
        <v>2.16</v>
      </c>
      <c r="B22" s="1955" t="s">
        <v>702</v>
      </c>
      <c r="C22" s="1955"/>
      <c r="D22" s="1959"/>
      <c r="E22" s="1954"/>
    </row>
    <row r="23" spans="1:5" s="688" customFormat="1" ht="14.25">
      <c r="A23" s="1955">
        <v>2.17</v>
      </c>
      <c r="B23" s="1955" t="s">
        <v>1027</v>
      </c>
      <c r="C23" s="1955"/>
      <c r="D23" s="1959"/>
      <c r="E23" s="1954"/>
    </row>
    <row r="24" spans="1:5" s="688" customFormat="1" ht="14.25">
      <c r="A24" s="1955">
        <v>2.1800000000000002</v>
      </c>
      <c r="B24" s="1955" t="s">
        <v>703</v>
      </c>
      <c r="C24" s="1955"/>
      <c r="D24" s="1959"/>
      <c r="E24" s="1954"/>
    </row>
    <row r="25" spans="1:5" s="688" customFormat="1" ht="14.25">
      <c r="A25" s="1955">
        <v>2.19</v>
      </c>
      <c r="B25" s="1955" t="s">
        <v>704</v>
      </c>
      <c r="C25" s="1955"/>
      <c r="D25" s="1959"/>
      <c r="E25" s="1954"/>
    </row>
    <row r="26" spans="1:5" s="688" customFormat="1" ht="28.5">
      <c r="A26" s="1960">
        <v>2.2000000000000002</v>
      </c>
      <c r="B26" s="1955" t="s">
        <v>1528</v>
      </c>
      <c r="C26" s="1955"/>
      <c r="D26" s="1959"/>
      <c r="E26" s="1954"/>
    </row>
    <row r="27" spans="1:5" s="688" customFormat="1" ht="14.25">
      <c r="A27" s="1955">
        <v>2.21</v>
      </c>
      <c r="B27" s="1955" t="s">
        <v>705</v>
      </c>
      <c r="C27" s="1955"/>
      <c r="D27" s="1956">
        <f>'Schedule 5.1'!G35+'Schedule 5.1'!G71</f>
        <v>0</v>
      </c>
      <c r="E27" s="1954"/>
    </row>
    <row r="28" spans="1:5" s="688" customFormat="1" ht="14.25">
      <c r="A28" s="1951"/>
      <c r="B28" s="1955" t="s">
        <v>706</v>
      </c>
      <c r="C28" s="1955"/>
      <c r="D28" s="1954"/>
      <c r="E28" s="1954"/>
    </row>
    <row r="29" spans="1:5" s="688" customFormat="1" ht="14.25">
      <c r="A29" s="1955">
        <v>2.2200000000000002</v>
      </c>
      <c r="B29" s="1958"/>
      <c r="C29" s="1955"/>
      <c r="D29" s="1959"/>
      <c r="E29" s="1954"/>
    </row>
    <row r="30" spans="1:5" s="688" customFormat="1" ht="14.25">
      <c r="A30" s="1955">
        <v>2.23</v>
      </c>
      <c r="B30" s="1958"/>
      <c r="C30" s="1955"/>
      <c r="D30" s="1959"/>
      <c r="E30" s="1954"/>
    </row>
    <row r="31" spans="1:5" s="688" customFormat="1" ht="14.25">
      <c r="A31" s="1955">
        <v>2.2400000000000002</v>
      </c>
      <c r="B31" s="1955" t="s">
        <v>1973</v>
      </c>
      <c r="C31" s="1955"/>
      <c r="D31" s="1956">
        <f>'Schedule 5.1'!G38+'Schedule 5.1'!G39+'Schedule 5.1'!G40</f>
        <v>0</v>
      </c>
      <c r="E31" s="1954"/>
    </row>
    <row r="32" spans="1:5" s="688" customFormat="1" ht="14.25">
      <c r="A32" s="1951"/>
      <c r="B32" s="1955" t="s">
        <v>723</v>
      </c>
      <c r="C32" s="1955"/>
      <c r="D32" s="1954"/>
      <c r="E32" s="1954"/>
    </row>
    <row r="33" spans="1:5" s="688" customFormat="1" ht="14.25">
      <c r="A33" s="1955">
        <v>2.25</v>
      </c>
      <c r="B33" s="1958"/>
      <c r="C33" s="1955"/>
      <c r="D33" s="1959"/>
      <c r="E33" s="1954"/>
    </row>
    <row r="34" spans="1:5" s="688" customFormat="1" ht="14.25">
      <c r="A34" s="1955">
        <v>2.2599999999999998</v>
      </c>
      <c r="B34" s="1958"/>
      <c r="C34" s="1955"/>
      <c r="D34" s="1959"/>
      <c r="E34" s="1954"/>
    </row>
    <row r="35" spans="1:5" s="688" customFormat="1" ht="15">
      <c r="A35" s="1955">
        <v>2.27</v>
      </c>
      <c r="B35" s="1952" t="s">
        <v>235</v>
      </c>
      <c r="C35" s="1952"/>
      <c r="D35" s="1956">
        <f>SUM(D22:D34)</f>
        <v>0</v>
      </c>
      <c r="E35" s="1954"/>
    </row>
    <row r="36" spans="1:5" s="688" customFormat="1" ht="14.25">
      <c r="A36" s="1951"/>
      <c r="B36" s="1951"/>
      <c r="C36" s="1951"/>
      <c r="D36" s="1954"/>
      <c r="E36" s="1954"/>
    </row>
    <row r="37" spans="1:5" s="688" customFormat="1" ht="14.25">
      <c r="A37" s="1955">
        <v>2.3199999999999998</v>
      </c>
      <c r="B37" s="1955" t="s">
        <v>2928</v>
      </c>
      <c r="C37" s="1955"/>
      <c r="D37" s="1956">
        <f>D50*-1</f>
        <v>0</v>
      </c>
      <c r="E37" s="1954"/>
    </row>
    <row r="38" spans="1:5" s="688" customFormat="1" ht="14.25">
      <c r="A38" s="1951"/>
      <c r="B38" s="1951"/>
      <c r="C38" s="1951"/>
      <c r="D38" s="1954"/>
      <c r="E38" s="1954"/>
    </row>
    <row r="39" spans="1:5" s="688" customFormat="1" ht="14.25">
      <c r="A39" s="1951"/>
      <c r="B39" s="1955" t="s">
        <v>236</v>
      </c>
      <c r="C39" s="1955"/>
      <c r="D39" s="1954"/>
      <c r="E39" s="1954"/>
    </row>
    <row r="40" spans="1:5" s="688" customFormat="1" ht="14.25">
      <c r="A40" s="1955">
        <v>2.33</v>
      </c>
      <c r="B40" s="1958"/>
      <c r="C40" s="1955"/>
      <c r="D40" s="1959"/>
      <c r="E40" s="1954"/>
    </row>
    <row r="41" spans="1:5" s="688" customFormat="1" ht="14.25">
      <c r="A41" s="1955">
        <v>2.34</v>
      </c>
      <c r="B41" s="1958"/>
      <c r="C41" s="1955"/>
      <c r="D41" s="1959"/>
      <c r="E41" s="1954"/>
    </row>
    <row r="42" spans="1:5" s="688" customFormat="1" ht="15">
      <c r="A42" s="1955">
        <v>2.35</v>
      </c>
      <c r="B42" s="1952" t="s">
        <v>237</v>
      </c>
      <c r="C42" s="1952"/>
      <c r="D42" s="1956">
        <f>SUM(D40:D41)</f>
        <v>0</v>
      </c>
      <c r="E42" s="1954"/>
    </row>
    <row r="43" spans="1:5" s="688" customFormat="1" ht="14.25">
      <c r="A43" s="1951"/>
      <c r="B43" s="1951"/>
      <c r="C43" s="1951"/>
      <c r="D43" s="1954"/>
      <c r="E43" s="1954"/>
    </row>
    <row r="44" spans="1:5" s="688" customFormat="1" ht="15">
      <c r="A44" s="1952">
        <v>2.4</v>
      </c>
      <c r="B44" s="1952" t="s">
        <v>238</v>
      </c>
      <c r="C44" s="1952"/>
      <c r="D44" s="1954"/>
      <c r="E44" s="1956">
        <f>D42+D37+D35+D19</f>
        <v>0</v>
      </c>
    </row>
    <row r="45" spans="1:5" s="688" customFormat="1" ht="14.25">
      <c r="A45" s="1951"/>
      <c r="B45" s="1951"/>
      <c r="C45" s="1951"/>
      <c r="D45" s="1954"/>
      <c r="E45" s="1954"/>
    </row>
    <row r="46" spans="1:5" s="688" customFormat="1" ht="15">
      <c r="A46" s="1952">
        <v>3</v>
      </c>
      <c r="B46" s="1952" t="s">
        <v>239</v>
      </c>
      <c r="C46" s="1952"/>
      <c r="D46" s="1954"/>
      <c r="E46" s="1954"/>
    </row>
    <row r="47" spans="1:5" s="688" customFormat="1" ht="14.25">
      <c r="A47" s="1955">
        <v>3.1</v>
      </c>
      <c r="B47" s="1955" t="s">
        <v>240</v>
      </c>
      <c r="C47" s="1955"/>
      <c r="D47" s="1956">
        <f>+'Sch 11A Tax Revenue Adj '!J50</f>
        <v>0</v>
      </c>
      <c r="E47" s="1954"/>
    </row>
    <row r="48" spans="1:5" s="688" customFormat="1" ht="14.25">
      <c r="A48" s="1955">
        <v>3.2</v>
      </c>
      <c r="B48" s="1955" t="s">
        <v>241</v>
      </c>
      <c r="C48" s="1955"/>
      <c r="D48" s="1961"/>
      <c r="E48" s="1954"/>
    </row>
    <row r="49" spans="1:5" s="688" customFormat="1" ht="14.25">
      <c r="A49" s="1955">
        <v>3.3</v>
      </c>
      <c r="B49" s="1955" t="s">
        <v>2403</v>
      </c>
      <c r="C49" s="1955"/>
      <c r="D49" s="1956"/>
      <c r="E49" s="1954"/>
    </row>
    <row r="50" spans="1:5" s="688" customFormat="1" ht="14.25">
      <c r="A50" s="1955">
        <v>3.4</v>
      </c>
      <c r="B50" s="1955" t="s">
        <v>2929</v>
      </c>
      <c r="C50" s="1955"/>
      <c r="D50" s="1961"/>
      <c r="E50" s="1954"/>
    </row>
    <row r="51" spans="1:5" s="688" customFormat="1" ht="15">
      <c r="A51" s="1952">
        <v>3.5</v>
      </c>
      <c r="B51" s="1952" t="s">
        <v>242</v>
      </c>
      <c r="C51" s="1952"/>
      <c r="D51" s="1954"/>
      <c r="E51" s="1956">
        <f>SUM(D47:D50)</f>
        <v>0</v>
      </c>
    </row>
    <row r="52" spans="1:5" ht="15.75">
      <c r="A52" s="805" t="s">
        <v>622</v>
      </c>
      <c r="B52" s="808"/>
      <c r="C52" s="808"/>
      <c r="D52" s="809"/>
      <c r="E52" s="809"/>
    </row>
    <row r="53" spans="1:5" s="688" customFormat="1" ht="15">
      <c r="A53" s="1951"/>
      <c r="B53" s="1952" t="s">
        <v>243</v>
      </c>
      <c r="C53" s="1952"/>
      <c r="D53" s="1954"/>
      <c r="E53" s="1954"/>
    </row>
    <row r="54" spans="1:5" s="688" customFormat="1" ht="14.25">
      <c r="A54" s="1951"/>
      <c r="B54" s="1951"/>
      <c r="C54" s="1951"/>
      <c r="D54" s="1954"/>
      <c r="E54" s="1954"/>
    </row>
    <row r="55" spans="1:5" s="688" customFormat="1" ht="15">
      <c r="A55" s="1952">
        <v>4</v>
      </c>
      <c r="B55" s="1952" t="s">
        <v>244</v>
      </c>
      <c r="C55" s="1952"/>
      <c r="D55" s="1954"/>
      <c r="E55" s="1954"/>
    </row>
    <row r="56" spans="1:5" s="688" customFormat="1" ht="14.25">
      <c r="A56" s="1955">
        <v>4.0999999999999996</v>
      </c>
      <c r="B56" s="1955" t="s">
        <v>245</v>
      </c>
      <c r="C56" s="1955"/>
      <c r="D56" s="1956">
        <f>'Sch 14 School Generated Funds'!C12</f>
        <v>0</v>
      </c>
      <c r="E56" s="1954"/>
    </row>
    <row r="57" spans="1:5" s="688" customFormat="1" ht="14.25">
      <c r="A57" s="1955">
        <v>4.2</v>
      </c>
      <c r="B57" s="1955" t="s">
        <v>1008</v>
      </c>
      <c r="C57" s="1955"/>
      <c r="D57" s="1956">
        <f>+'Sch 14 School Generated Funds'!D12</f>
        <v>0</v>
      </c>
      <c r="E57" s="1954"/>
    </row>
    <row r="58" spans="1:5" s="688" customFormat="1" ht="15">
      <c r="A58" s="1952">
        <v>4.3</v>
      </c>
      <c r="B58" s="1952" t="s">
        <v>1009</v>
      </c>
      <c r="C58" s="1952"/>
      <c r="D58" s="1954"/>
      <c r="E58" s="1956">
        <f>SUM(D56:D57)</f>
        <v>0</v>
      </c>
    </row>
    <row r="59" spans="1:5" s="688" customFormat="1" ht="14.25">
      <c r="A59" s="1951"/>
      <c r="B59" s="1951"/>
      <c r="C59" s="1951"/>
      <c r="D59" s="1954"/>
      <c r="E59" s="1954"/>
    </row>
    <row r="60" spans="1:5" s="688" customFormat="1" ht="15">
      <c r="A60" s="1952">
        <v>5</v>
      </c>
      <c r="B60" s="1952" t="s">
        <v>1010</v>
      </c>
      <c r="C60" s="1952"/>
      <c r="D60" s="1954"/>
      <c r="E60" s="1954"/>
    </row>
    <row r="61" spans="1:5" s="688" customFormat="1" ht="14.25">
      <c r="A61" s="1955">
        <v>5.0999999999999996</v>
      </c>
      <c r="B61" s="1955" t="s">
        <v>633</v>
      </c>
      <c r="C61" s="1955"/>
      <c r="D61" s="1956">
        <f>'App B1 Tuition Fees'!M15+'App B1 Tuition Fees'!M25</f>
        <v>0</v>
      </c>
      <c r="E61" s="1954"/>
    </row>
    <row r="62" spans="1:5" s="688" customFormat="1" ht="14.25">
      <c r="A62" s="1955">
        <v>5.2</v>
      </c>
      <c r="B62" s="1955" t="s">
        <v>634</v>
      </c>
      <c r="C62" s="1955"/>
      <c r="D62" s="1959"/>
      <c r="E62" s="1954"/>
    </row>
    <row r="63" spans="1:5" s="688" customFormat="1" ht="14.25">
      <c r="A63" s="1955">
        <v>5.3</v>
      </c>
      <c r="B63" s="1955" t="s">
        <v>635</v>
      </c>
      <c r="C63" s="1955"/>
      <c r="D63" s="1959"/>
      <c r="E63" s="1954"/>
    </row>
    <row r="64" spans="1:5" s="688" customFormat="1" ht="14.25">
      <c r="A64" s="1955">
        <v>5.4</v>
      </c>
      <c r="B64" s="1955" t="s">
        <v>1137</v>
      </c>
      <c r="C64" s="1955"/>
      <c r="D64" s="1959"/>
      <c r="E64" s="1954"/>
    </row>
    <row r="65" spans="1:5" s="688" customFormat="1" ht="14.25">
      <c r="A65" s="1955">
        <v>5.5</v>
      </c>
      <c r="B65" s="1955" t="s">
        <v>357</v>
      </c>
      <c r="C65" s="1955"/>
      <c r="D65" s="1956">
        <f>'Schedule 5.1'!G41+'Schedule 5.1'!G80</f>
        <v>0</v>
      </c>
      <c r="E65" s="1954"/>
    </row>
    <row r="66" spans="1:5" s="688" customFormat="1" ht="14.25">
      <c r="A66" s="1951"/>
      <c r="B66" s="1955" t="s">
        <v>358</v>
      </c>
      <c r="C66" s="1955"/>
      <c r="D66" s="1954"/>
      <c r="E66" s="1954"/>
    </row>
    <row r="67" spans="1:5" s="688" customFormat="1" ht="14.25">
      <c r="A67" s="1955">
        <v>5.6</v>
      </c>
      <c r="B67" s="1958"/>
      <c r="C67" s="1955"/>
      <c r="D67" s="1959"/>
      <c r="E67" s="1954"/>
    </row>
    <row r="68" spans="1:5" s="688" customFormat="1" ht="14.25">
      <c r="A68" s="1955">
        <v>5.7</v>
      </c>
      <c r="B68" s="1958"/>
      <c r="C68" s="1955"/>
      <c r="D68" s="1959"/>
      <c r="E68" s="1954"/>
    </row>
    <row r="69" spans="1:5" s="688" customFormat="1" ht="15">
      <c r="A69" s="1952">
        <v>5.8</v>
      </c>
      <c r="B69" s="1952" t="s">
        <v>359</v>
      </c>
      <c r="C69" s="1952"/>
      <c r="D69" s="1954"/>
      <c r="E69" s="1956">
        <f>SUM(D61:D68)</f>
        <v>0</v>
      </c>
    </row>
    <row r="70" spans="1:5" s="688" customFormat="1" ht="14.25">
      <c r="A70" s="1951"/>
      <c r="B70" s="1951"/>
      <c r="C70" s="1951"/>
      <c r="D70" s="1954"/>
      <c r="E70" s="1954"/>
    </row>
    <row r="71" spans="1:5" s="688" customFormat="1" ht="15">
      <c r="A71" s="1952">
        <v>6</v>
      </c>
      <c r="B71" s="1952" t="s">
        <v>360</v>
      </c>
      <c r="C71" s="1952"/>
      <c r="D71" s="1954"/>
      <c r="E71" s="1954"/>
    </row>
    <row r="72" spans="1:5" s="688" customFormat="1" ht="14.25">
      <c r="A72" s="1955">
        <v>6.1</v>
      </c>
      <c r="B72" s="1955" t="s">
        <v>1482</v>
      </c>
      <c r="C72" s="1955"/>
      <c r="D72" s="1962"/>
      <c r="E72" s="1954"/>
    </row>
    <row r="73" spans="1:5" s="688" customFormat="1" ht="14.25">
      <c r="A73" s="1955">
        <v>6.2</v>
      </c>
      <c r="B73" s="1955" t="s">
        <v>1483</v>
      </c>
      <c r="C73" s="1955"/>
      <c r="D73" s="1962"/>
      <c r="E73" s="1954"/>
    </row>
    <row r="74" spans="1:5" s="688" customFormat="1" ht="15">
      <c r="A74" s="1952">
        <v>6.3</v>
      </c>
      <c r="B74" s="1952" t="s">
        <v>361</v>
      </c>
      <c r="C74" s="1952"/>
      <c r="D74" s="1954"/>
      <c r="E74" s="1956">
        <f>SUM(D72:D73)</f>
        <v>0</v>
      </c>
    </row>
    <row r="75" spans="1:5" s="688" customFormat="1" ht="14.25">
      <c r="A75" s="1951"/>
      <c r="B75" s="1951"/>
      <c r="C75" s="1951"/>
      <c r="D75" s="1954"/>
      <c r="E75" s="1954"/>
    </row>
    <row r="76" spans="1:5" s="688" customFormat="1" ht="15">
      <c r="A76" s="1952">
        <v>7</v>
      </c>
      <c r="B76" s="1952" t="s">
        <v>362</v>
      </c>
      <c r="C76" s="1952"/>
      <c r="D76" s="1954"/>
      <c r="E76" s="1954"/>
    </row>
    <row r="77" spans="1:5" s="688" customFormat="1" ht="14.25">
      <c r="A77" s="1955">
        <v>7.1</v>
      </c>
      <c r="B77" s="1955" t="s">
        <v>634</v>
      </c>
      <c r="C77" s="1955"/>
      <c r="D77" s="1959"/>
      <c r="E77" s="1954"/>
    </row>
    <row r="78" spans="1:5" s="688" customFormat="1" ht="14.25">
      <c r="A78" s="1955">
        <v>7.2</v>
      </c>
      <c r="B78" s="1955" t="s">
        <v>363</v>
      </c>
      <c r="C78" s="1955"/>
      <c r="D78" s="1959"/>
      <c r="E78" s="1954"/>
    </row>
    <row r="79" spans="1:5" s="688" customFormat="1" ht="14.25">
      <c r="A79" s="1955">
        <v>7.3</v>
      </c>
      <c r="B79" s="1955" t="s">
        <v>364</v>
      </c>
      <c r="C79" s="1955"/>
      <c r="D79" s="1959"/>
      <c r="E79" s="1954"/>
    </row>
    <row r="80" spans="1:5" s="688" customFormat="1" ht="14.25">
      <c r="A80" s="1951"/>
      <c r="B80" s="1955" t="s">
        <v>358</v>
      </c>
      <c r="C80" s="1955"/>
      <c r="D80" s="1954"/>
      <c r="E80" s="1954"/>
    </row>
    <row r="81" spans="1:5" s="688" customFormat="1" ht="14.25">
      <c r="A81" s="1955">
        <v>7.5</v>
      </c>
      <c r="B81" s="1958"/>
      <c r="C81" s="1955"/>
      <c r="D81" s="1959"/>
      <c r="E81" s="1954"/>
    </row>
    <row r="82" spans="1:5" s="688" customFormat="1" ht="14.25">
      <c r="A82" s="1955">
        <v>7.6</v>
      </c>
      <c r="B82" s="1958"/>
      <c r="C82" s="1955"/>
      <c r="D82" s="1959"/>
      <c r="E82" s="1954"/>
    </row>
    <row r="83" spans="1:5" s="688" customFormat="1" ht="15">
      <c r="A83" s="1952">
        <v>7.7</v>
      </c>
      <c r="B83" s="1952" t="s">
        <v>365</v>
      </c>
      <c r="C83" s="1952"/>
      <c r="D83" s="1954"/>
      <c r="E83" s="1956">
        <f>SUM(D77:D82)</f>
        <v>0</v>
      </c>
    </row>
    <row r="84" spans="1:5" s="688" customFormat="1" ht="14.25">
      <c r="A84" s="1951"/>
      <c r="B84" s="1951"/>
      <c r="C84" s="1951"/>
      <c r="D84" s="1954"/>
      <c r="E84" s="1954"/>
    </row>
    <row r="85" spans="1:5" s="688" customFormat="1" ht="15">
      <c r="A85" s="1952">
        <v>8</v>
      </c>
      <c r="B85" s="1952" t="s">
        <v>366</v>
      </c>
      <c r="C85" s="1952"/>
      <c r="D85" s="1954"/>
      <c r="E85" s="1954"/>
    </row>
    <row r="86" spans="1:5" s="688" customFormat="1" ht="14.25">
      <c r="A86" s="1955">
        <v>8.1</v>
      </c>
      <c r="B86" s="1955" t="s">
        <v>367</v>
      </c>
      <c r="C86" s="1955"/>
      <c r="D86" s="1956">
        <f>'App B1 Tuition Fees'!M18+'App B1 Tuition Fees'!M28</f>
        <v>0</v>
      </c>
      <c r="E86" s="1954"/>
    </row>
    <row r="87" spans="1:5" s="688" customFormat="1" ht="14.25">
      <c r="A87" s="1955">
        <v>8.1999999999999993</v>
      </c>
      <c r="B87" s="1955" t="s">
        <v>368</v>
      </c>
      <c r="C87" s="1955"/>
      <c r="D87" s="1956">
        <f>'App B1 Tuition Fees'!M16+'App B1 Tuition Fees'!M17+'App B1 Tuition Fees'!M26+'App B1 Tuition Fees'!M27</f>
        <v>0</v>
      </c>
      <c r="E87" s="1954"/>
    </row>
    <row r="88" spans="1:5" s="688" customFormat="1" ht="14.25">
      <c r="A88" s="1955">
        <v>8.3000000000000007</v>
      </c>
      <c r="B88" s="1955" t="s">
        <v>369</v>
      </c>
      <c r="C88" s="1955"/>
      <c r="D88" s="1956">
        <f>'App B1 Tuition Fees'!M19+'App B1 Tuition Fees'!M29</f>
        <v>0</v>
      </c>
      <c r="E88" s="1954"/>
    </row>
    <row r="89" spans="1:5" s="688" customFormat="1" ht="14.25">
      <c r="A89" s="1955">
        <v>8.4</v>
      </c>
      <c r="B89" s="1955" t="s">
        <v>370</v>
      </c>
      <c r="C89" s="1955"/>
      <c r="D89" s="1956">
        <f>'App B1 Tuition Fees'!M22+'App B1 Tuition Fees'!M55</f>
        <v>0</v>
      </c>
      <c r="E89" s="1954"/>
    </row>
    <row r="90" spans="1:5" s="688" customFormat="1" ht="14.25">
      <c r="A90" s="1955">
        <v>8.5</v>
      </c>
      <c r="B90" s="1955" t="s">
        <v>634</v>
      </c>
      <c r="C90" s="1955"/>
      <c r="D90" s="1959"/>
      <c r="E90" s="1954"/>
    </row>
    <row r="91" spans="1:5" s="688" customFormat="1" ht="14.25">
      <c r="A91" s="1955">
        <v>8.6</v>
      </c>
      <c r="B91" s="1955" t="s">
        <v>363</v>
      </c>
      <c r="C91" s="1955"/>
      <c r="D91" s="1959"/>
      <c r="E91" s="1954"/>
    </row>
    <row r="92" spans="1:5" s="688" customFormat="1" ht="14.25">
      <c r="A92" s="1955">
        <v>8.6999999999999993</v>
      </c>
      <c r="B92" s="1955" t="s">
        <v>371</v>
      </c>
      <c r="C92" s="1955"/>
      <c r="D92" s="1959"/>
      <c r="E92" s="1954"/>
    </row>
    <row r="93" spans="1:5" s="688" customFormat="1" ht="14.25">
      <c r="A93" s="1955">
        <v>8.8000000000000007</v>
      </c>
      <c r="B93" s="1955" t="s">
        <v>372</v>
      </c>
      <c r="C93" s="1955"/>
      <c r="D93" s="1959"/>
      <c r="E93" s="1954"/>
    </row>
    <row r="94" spans="1:5" s="688" customFormat="1" ht="14.25">
      <c r="A94" s="1955">
        <v>8.9</v>
      </c>
      <c r="B94" s="1955" t="s">
        <v>373</v>
      </c>
      <c r="C94" s="1955"/>
      <c r="D94" s="1959"/>
      <c r="E94" s="1954"/>
    </row>
    <row r="95" spans="1:5" s="688" customFormat="1" ht="14.25">
      <c r="A95" s="1960">
        <v>8.1</v>
      </c>
      <c r="B95" s="1955" t="s">
        <v>374</v>
      </c>
      <c r="C95" s="1955"/>
      <c r="D95" s="1959"/>
      <c r="E95" s="1954"/>
    </row>
    <row r="96" spans="1:5" s="688" customFormat="1" ht="14.25">
      <c r="A96" s="1955">
        <v>8.11</v>
      </c>
      <c r="B96" s="1955" t="s">
        <v>525</v>
      </c>
      <c r="C96" s="1955"/>
      <c r="D96" s="1959"/>
      <c r="E96" s="1954"/>
    </row>
    <row r="97" spans="1:5" s="688" customFormat="1" ht="14.25">
      <c r="A97" s="1955">
        <v>8.1199999999999992</v>
      </c>
      <c r="B97" s="1955" t="s">
        <v>375</v>
      </c>
      <c r="C97" s="1955"/>
      <c r="D97" s="1959"/>
      <c r="E97" s="1954"/>
    </row>
    <row r="98" spans="1:5" s="688" customFormat="1" ht="14.25">
      <c r="A98" s="1955">
        <v>8.1300000000000008</v>
      </c>
      <c r="B98" s="1955" t="s">
        <v>376</v>
      </c>
      <c r="C98" s="1955"/>
      <c r="D98" s="1959"/>
      <c r="E98" s="1954"/>
    </row>
    <row r="99" spans="1:5" s="688" customFormat="1" ht="14.25">
      <c r="A99" s="1955">
        <v>8.14</v>
      </c>
      <c r="B99" s="1955" t="s">
        <v>377</v>
      </c>
      <c r="C99" s="1955"/>
      <c r="D99" s="1959"/>
      <c r="E99" s="1954"/>
    </row>
    <row r="100" spans="1:5" s="688" customFormat="1" ht="14.25">
      <c r="A100" s="1955">
        <v>8.15</v>
      </c>
      <c r="B100" s="1955" t="s">
        <v>378</v>
      </c>
      <c r="C100" s="1955"/>
      <c r="D100" s="1956">
        <f>'Schedule 5.1'!G43+'Schedule 5.1'!G44+'Schedule 5.1'!G45+'Schedule 5.1'!G46</f>
        <v>0</v>
      </c>
      <c r="E100" s="1954"/>
    </row>
    <row r="101" spans="1:5" s="688" customFormat="1" ht="14.25">
      <c r="A101" s="1955"/>
      <c r="B101" s="1955" t="s">
        <v>921</v>
      </c>
      <c r="C101" s="1955"/>
      <c r="D101" s="1963"/>
      <c r="E101" s="1954"/>
    </row>
    <row r="102" spans="1:5" s="688" customFormat="1" ht="14.25">
      <c r="A102" s="1955">
        <v>8.16</v>
      </c>
      <c r="B102" s="1958"/>
      <c r="C102" s="1955"/>
      <c r="D102" s="1961"/>
      <c r="E102" s="1954"/>
    </row>
    <row r="103" spans="1:5" s="688" customFormat="1" ht="14.25">
      <c r="A103" s="1955">
        <v>8.17</v>
      </c>
      <c r="B103" s="1958"/>
      <c r="C103" s="1955"/>
      <c r="D103" s="1961"/>
      <c r="E103" s="1954"/>
    </row>
    <row r="104" spans="1:5" s="688" customFormat="1" ht="14.25">
      <c r="A104" s="1951"/>
      <c r="B104" s="1955" t="s">
        <v>358</v>
      </c>
      <c r="C104" s="1955"/>
      <c r="D104" s="1954"/>
      <c r="E104" s="1954"/>
    </row>
    <row r="105" spans="1:5" s="688" customFormat="1" ht="14.25">
      <c r="A105" s="1955">
        <v>8.18</v>
      </c>
      <c r="B105" s="1958"/>
      <c r="C105" s="1955"/>
      <c r="D105" s="1959"/>
      <c r="E105" s="1954"/>
    </row>
    <row r="106" spans="1:5" s="688" customFormat="1" ht="14.25">
      <c r="A106" s="1960">
        <v>8.19</v>
      </c>
      <c r="B106" s="1958"/>
      <c r="C106" s="1955"/>
      <c r="D106" s="1959"/>
      <c r="E106" s="1954"/>
    </row>
    <row r="107" spans="1:5" s="688" customFormat="1" ht="14.25">
      <c r="A107" s="1960">
        <v>8.1999999999999993</v>
      </c>
      <c r="B107" s="1958"/>
      <c r="C107" s="1955"/>
      <c r="D107" s="1959"/>
      <c r="E107" s="1954"/>
    </row>
    <row r="108" spans="1:5" s="688" customFormat="1" ht="14.25">
      <c r="A108" s="1960">
        <v>8.2100000000000009</v>
      </c>
      <c r="B108" s="1958"/>
      <c r="C108" s="1955"/>
      <c r="D108" s="1959"/>
      <c r="E108" s="1954"/>
    </row>
    <row r="109" spans="1:5" s="688" customFormat="1" ht="14.25">
      <c r="A109" s="1960">
        <v>8.2200000000000006</v>
      </c>
      <c r="B109" s="1958"/>
      <c r="C109" s="1955"/>
      <c r="D109" s="1959"/>
      <c r="E109" s="1954"/>
    </row>
    <row r="110" spans="1:5" s="688" customFormat="1" ht="14.25">
      <c r="A110" s="1960">
        <v>8.23</v>
      </c>
      <c r="B110" s="1958"/>
      <c r="C110" s="1955"/>
      <c r="D110" s="1959"/>
      <c r="E110" s="1954"/>
    </row>
    <row r="111" spans="1:5" s="688" customFormat="1" ht="14.25">
      <c r="A111" s="1960">
        <v>8.24</v>
      </c>
      <c r="B111" s="1958"/>
      <c r="C111" s="1955"/>
      <c r="D111" s="1959"/>
      <c r="E111" s="1954"/>
    </row>
    <row r="112" spans="1:5" s="688" customFormat="1" ht="14.25">
      <c r="A112" s="1960">
        <v>8.25</v>
      </c>
      <c r="B112" s="1958"/>
      <c r="C112" s="1955"/>
      <c r="D112" s="1959"/>
      <c r="E112" s="1954"/>
    </row>
    <row r="113" spans="1:5" s="688" customFormat="1" ht="14.25">
      <c r="A113" s="1960">
        <v>8.26</v>
      </c>
      <c r="B113" s="1958"/>
      <c r="C113" s="1955"/>
      <c r="D113" s="1959"/>
      <c r="E113" s="1954"/>
    </row>
    <row r="114" spans="1:5" s="688" customFormat="1" ht="15">
      <c r="A114" s="1964">
        <v>8.27</v>
      </c>
      <c r="B114" s="1952" t="s">
        <v>379</v>
      </c>
      <c r="C114" s="1952"/>
      <c r="D114" s="1954"/>
      <c r="E114" s="1956">
        <f>SUM(D86:D113)</f>
        <v>0</v>
      </c>
    </row>
    <row r="115" spans="1:5" s="688" customFormat="1" ht="14.25">
      <c r="A115" s="1951"/>
      <c r="B115" s="1951"/>
      <c r="C115" s="1951"/>
      <c r="D115" s="1954"/>
      <c r="E115" s="1954"/>
    </row>
    <row r="116" spans="1:5" s="688" customFormat="1" ht="15">
      <c r="A116" s="1952">
        <v>9</v>
      </c>
      <c r="B116" s="1952" t="s">
        <v>1067</v>
      </c>
      <c r="C116" s="1952"/>
      <c r="D116" s="1951"/>
      <c r="E116" s="1965">
        <f>SUM(E8:E114)</f>
        <v>47042</v>
      </c>
    </row>
    <row r="117" spans="1:5" ht="13.5" thickBot="1">
      <c r="A117" s="810"/>
      <c r="B117" s="810"/>
      <c r="C117" s="810"/>
      <c r="D117" s="810"/>
      <c r="E117" s="810"/>
    </row>
    <row r="118" spans="1:5" hidden="1"/>
    <row r="119" spans="1:5" hidden="1"/>
    <row r="120" spans="1:5" hidden="1"/>
    <row r="121" spans="1:5" hidden="1"/>
    <row r="122" spans="1:5" hidden="1"/>
    <row r="123" spans="1:5" hidden="1"/>
    <row r="124" spans="1:5" hidden="1"/>
    <row r="125" spans="1:5" hidden="1"/>
    <row r="126" spans="1:5" hidden="1"/>
    <row r="127" spans="1:5" hidden="1"/>
    <row r="128" spans="1:5" hidden="1"/>
    <row r="129" hidden="1"/>
  </sheetData>
  <sheetProtection password="C7B7" sheet="1" objects="1" scenarios="1"/>
  <protectedRanges>
    <protectedRange sqref="E126" name="Range27"/>
    <protectedRange sqref="B67:B68" name="Range22"/>
    <protectedRange sqref="D105:D113" name="Range20"/>
    <protectedRange sqref="B105:B113" name="Range19"/>
    <protectedRange sqref="B81:B82" name="Range17"/>
    <protectedRange sqref="D81:D82" name="Range16"/>
    <protectedRange sqref="D77:D79" name="Range15"/>
    <protectedRange sqref="D72:D73" name="Range14"/>
    <protectedRange sqref="B13:B18" name="Range13"/>
    <protectedRange sqref="B29:B30" name="Range12"/>
    <protectedRange sqref="B33:B34" name="Range11"/>
    <protectedRange sqref="D67:D68" name="Range9"/>
    <protectedRange sqref="D61:D64" name="Range8"/>
    <protectedRange sqref="D40:D41" name="Range7"/>
    <protectedRange sqref="D33:D34" name="Range5"/>
    <protectedRange sqref="D29:D30" name="Range4"/>
    <protectedRange sqref="D22:D26" name="Range3"/>
    <protectedRange sqref="D13:D18" name="Range2"/>
    <protectedRange sqref="B40:B41" name="Range21"/>
    <protectedRange sqref="D48" name="Range23"/>
    <protectedRange sqref="D50" name="Range24"/>
    <protectedRange sqref="D90:D99" name="Range25"/>
    <protectedRange sqref="E120" name="Range26"/>
  </protectedRanges>
  <phoneticPr fontId="13" type="noConversion"/>
  <pageMargins left="0" right="0" top="1" bottom="1" header="0.5" footer="0.5"/>
  <pageSetup scale="68" orientation="portrait" r:id="rId1"/>
  <headerFooter alignWithMargins="0">
    <oddFooter>&amp;L&amp;D,&amp;" ,Regular" &amp;T
&amp;CPage &amp;P of &amp;N&amp;R2015/16 School Authority Estimates
&amp;A</oddFooter>
  </headerFooter>
  <rowBreaks count="2" manualBreakCount="2">
    <brk id="51" max="4" man="1"/>
    <brk id="117" max="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O59"/>
  <sheetViews>
    <sheetView zoomScaleNormal="100" workbookViewId="0">
      <selection activeCell="E11" sqref="E11"/>
    </sheetView>
  </sheetViews>
  <sheetFormatPr defaultColWidth="0" defaultRowHeight="0" customHeight="1" zeroHeight="1"/>
  <cols>
    <col min="1" max="1" width="52.85546875" style="617" customWidth="1"/>
    <col min="2" max="2" width="6.5703125" style="617" customWidth="1"/>
    <col min="3" max="3" width="14.7109375" style="617" customWidth="1"/>
    <col min="4" max="4" width="12.42578125" style="617" customWidth="1"/>
    <col min="5" max="5" width="17.7109375" style="617" customWidth="1"/>
    <col min="6" max="6" width="13.42578125" style="617" customWidth="1"/>
    <col min="7" max="7" width="11.5703125" style="617" customWidth="1"/>
    <col min="8" max="8" width="13.28515625" style="617" customWidth="1"/>
    <col min="9" max="9" width="13.140625" style="617" customWidth="1"/>
    <col min="10" max="12" width="14.5703125" style="617" customWidth="1"/>
    <col min="13" max="13" width="17" style="617" customWidth="1"/>
    <col min="14" max="14" width="4" style="617" customWidth="1"/>
    <col min="15" max="15" width="2.28515625" style="617" customWidth="1"/>
    <col min="16" max="16384" width="0" style="617" hidden="1"/>
  </cols>
  <sheetData>
    <row r="1" spans="1:15" ht="18">
      <c r="A1" s="2049" t="s">
        <v>622</v>
      </c>
      <c r="B1" s="86"/>
      <c r="C1" s="632"/>
      <c r="D1" s="632"/>
      <c r="E1" s="632"/>
      <c r="F1" s="78"/>
      <c r="G1" s="78"/>
      <c r="H1" s="78"/>
      <c r="I1" s="78"/>
      <c r="J1" s="78"/>
      <c r="K1" s="78"/>
      <c r="L1" s="78"/>
      <c r="M1" s="78"/>
      <c r="N1" s="78"/>
      <c r="O1" s="78"/>
    </row>
    <row r="2" spans="1:15" ht="15.75" thickBot="1">
      <c r="A2" s="2149" t="s">
        <v>2788</v>
      </c>
      <c r="B2" s="2136" t="s">
        <v>2069</v>
      </c>
      <c r="C2" s="2136" t="s">
        <v>1623</v>
      </c>
      <c r="D2" s="2136" t="s">
        <v>742</v>
      </c>
      <c r="E2" s="2136" t="s">
        <v>1624</v>
      </c>
      <c r="F2" s="2137" t="s">
        <v>195</v>
      </c>
      <c r="G2" s="2137" t="s">
        <v>1625</v>
      </c>
      <c r="H2" s="2137" t="s">
        <v>2071</v>
      </c>
      <c r="I2" s="2137" t="s">
        <v>1626</v>
      </c>
      <c r="J2" s="2137" t="s">
        <v>642</v>
      </c>
      <c r="K2" s="2137" t="s">
        <v>2786</v>
      </c>
      <c r="L2" s="2137" t="s">
        <v>664</v>
      </c>
      <c r="M2" s="2137" t="s">
        <v>2787</v>
      </c>
      <c r="N2" s="78"/>
      <c r="O2" s="78"/>
    </row>
    <row r="3" spans="1:15" ht="18.75" thickBot="1">
      <c r="A3" s="43" t="s">
        <v>1619</v>
      </c>
      <c r="B3" s="43"/>
      <c r="C3" s="811"/>
      <c r="D3" s="811"/>
      <c r="E3" s="811"/>
      <c r="F3" s="811"/>
      <c r="G3" s="811"/>
      <c r="H3" s="1245" t="s">
        <v>163</v>
      </c>
      <c r="I3" s="172"/>
      <c r="J3" s="2018" t="str">
        <f>'1 Summary'!G2</f>
        <v/>
      </c>
      <c r="K3" s="2019"/>
      <c r="L3" s="2019"/>
      <c r="M3" s="2050"/>
      <c r="N3" s="78"/>
      <c r="O3" s="78"/>
    </row>
    <row r="4" spans="1:15" ht="18.75" thickBot="1">
      <c r="A4" s="43" t="s">
        <v>2916</v>
      </c>
      <c r="B4" s="43"/>
      <c r="C4" s="811"/>
      <c r="D4" s="811"/>
      <c r="E4" s="811"/>
      <c r="F4" s="811"/>
      <c r="G4" s="811"/>
      <c r="H4" s="78" t="s">
        <v>653</v>
      </c>
      <c r="I4" s="158"/>
      <c r="J4" s="851">
        <f>'1 Summary'!G3</f>
        <v>0</v>
      </c>
      <c r="K4" s="88"/>
      <c r="L4" s="88"/>
      <c r="M4" s="88"/>
      <c r="N4" s="812"/>
      <c r="O4" s="78"/>
    </row>
    <row r="5" spans="1:15" ht="18">
      <c r="A5" s="43"/>
      <c r="B5" s="43"/>
      <c r="C5" s="43"/>
      <c r="D5" s="43"/>
      <c r="E5" s="43"/>
      <c r="F5" s="43"/>
      <c r="G5" s="43"/>
      <c r="H5" s="43"/>
      <c r="I5" s="43"/>
      <c r="J5" s="43"/>
      <c r="K5" s="43"/>
      <c r="L5" s="43"/>
      <c r="M5" s="43"/>
      <c r="N5" s="78"/>
      <c r="O5" s="78"/>
    </row>
    <row r="6" spans="1:15" ht="15.75">
      <c r="A6" s="86"/>
      <c r="B6" s="86"/>
      <c r="C6" s="78"/>
      <c r="D6" s="78"/>
      <c r="E6" s="813"/>
      <c r="F6" s="814"/>
      <c r="G6" s="815"/>
      <c r="H6" s="78"/>
      <c r="I6" s="78"/>
      <c r="J6" s="78"/>
      <c r="K6" s="78"/>
      <c r="L6" s="78"/>
      <c r="M6" s="78"/>
      <c r="N6" s="78"/>
      <c r="O6" s="78"/>
    </row>
    <row r="7" spans="1:15" ht="15.75">
      <c r="A7" s="2051" t="s">
        <v>789</v>
      </c>
      <c r="B7" s="2051" t="s">
        <v>789</v>
      </c>
      <c r="C7" s="2052" t="s">
        <v>733</v>
      </c>
      <c r="D7" s="2053"/>
      <c r="E7" s="2053"/>
      <c r="F7" s="2053"/>
      <c r="G7" s="2053"/>
      <c r="H7" s="2053"/>
      <c r="I7" s="2053"/>
      <c r="J7" s="2053"/>
      <c r="K7" s="2053"/>
      <c r="L7" s="2053"/>
      <c r="M7" s="2054"/>
      <c r="N7" s="78" t="s">
        <v>789</v>
      </c>
      <c r="O7" s="78" t="s">
        <v>789</v>
      </c>
    </row>
    <row r="8" spans="1:15" ht="75">
      <c r="A8" s="817" t="s">
        <v>1859</v>
      </c>
      <c r="B8" s="817"/>
      <c r="C8" s="818" t="s">
        <v>1194</v>
      </c>
      <c r="D8" s="818" t="s">
        <v>1195</v>
      </c>
      <c r="E8" s="818" t="s">
        <v>1196</v>
      </c>
      <c r="F8" s="818" t="s">
        <v>1197</v>
      </c>
      <c r="G8" s="818" t="s">
        <v>734</v>
      </c>
      <c r="H8" s="818" t="s">
        <v>1795</v>
      </c>
      <c r="I8" s="818" t="s">
        <v>1796</v>
      </c>
      <c r="J8" s="818" t="s">
        <v>642</v>
      </c>
      <c r="K8" s="818" t="s">
        <v>1839</v>
      </c>
      <c r="L8" s="818" t="s">
        <v>1620</v>
      </c>
      <c r="M8" s="818" t="s">
        <v>1840</v>
      </c>
      <c r="N8" s="819"/>
      <c r="O8" s="78"/>
    </row>
    <row r="9" spans="1:15" ht="15.75">
      <c r="A9" s="820" t="s">
        <v>580</v>
      </c>
      <c r="B9" s="820"/>
      <c r="C9" s="821" t="s">
        <v>205</v>
      </c>
      <c r="D9" s="821" t="s">
        <v>1884</v>
      </c>
      <c r="E9" s="821" t="s">
        <v>1885</v>
      </c>
      <c r="F9" s="821" t="s">
        <v>1886</v>
      </c>
      <c r="G9" s="821">
        <v>7</v>
      </c>
      <c r="H9" s="821">
        <v>8</v>
      </c>
      <c r="I9" s="821">
        <v>9</v>
      </c>
      <c r="J9" s="821">
        <v>10</v>
      </c>
      <c r="K9" s="821">
        <v>11</v>
      </c>
      <c r="L9" s="821"/>
      <c r="M9" s="821">
        <v>12</v>
      </c>
      <c r="N9" s="819"/>
      <c r="O9" s="78"/>
    </row>
    <row r="10" spans="1:15" ht="15.75">
      <c r="A10" s="822" t="s">
        <v>1311</v>
      </c>
      <c r="B10" s="823">
        <v>51</v>
      </c>
      <c r="C10" s="824"/>
      <c r="D10" s="824"/>
      <c r="E10" s="825"/>
      <c r="F10" s="824"/>
      <c r="G10" s="825"/>
      <c r="H10" s="824"/>
      <c r="I10" s="824"/>
      <c r="J10" s="825"/>
      <c r="K10" s="825"/>
      <c r="L10" s="825"/>
      <c r="M10" s="826">
        <f>SUM(C10:L10)</f>
        <v>0</v>
      </c>
      <c r="N10" s="819"/>
      <c r="O10" s="78"/>
    </row>
    <row r="11" spans="1:15" ht="15.75">
      <c r="A11" s="822" t="s">
        <v>2864</v>
      </c>
      <c r="B11" s="823">
        <v>52</v>
      </c>
      <c r="C11" s="824"/>
      <c r="D11" s="824"/>
      <c r="E11" s="825"/>
      <c r="F11" s="825"/>
      <c r="G11" s="825"/>
      <c r="H11" s="825"/>
      <c r="I11" s="825"/>
      <c r="J11" s="825"/>
      <c r="K11" s="825"/>
      <c r="L11" s="825"/>
      <c r="M11" s="826">
        <f t="shared" ref="M11:M25" si="0">SUM(C11:L11)</f>
        <v>0</v>
      </c>
      <c r="N11" s="819"/>
      <c r="O11" s="78"/>
    </row>
    <row r="12" spans="1:15" ht="15.75">
      <c r="A12" s="822" t="s">
        <v>1813</v>
      </c>
      <c r="B12" s="823">
        <v>53.1</v>
      </c>
      <c r="C12" s="824"/>
      <c r="D12" s="824"/>
      <c r="E12" s="825"/>
      <c r="F12" s="825"/>
      <c r="G12" s="825"/>
      <c r="H12" s="825"/>
      <c r="I12" s="825"/>
      <c r="J12" s="825"/>
      <c r="K12" s="825"/>
      <c r="L12" s="825"/>
      <c r="M12" s="826">
        <f t="shared" si="0"/>
        <v>0</v>
      </c>
      <c r="N12" s="819"/>
      <c r="O12" s="78"/>
    </row>
    <row r="13" spans="1:15" ht="15.75">
      <c r="A13" s="822" t="s">
        <v>2268</v>
      </c>
      <c r="B13" s="823">
        <v>53.2</v>
      </c>
      <c r="C13" s="824"/>
      <c r="D13" s="824"/>
      <c r="E13" s="825"/>
      <c r="F13" s="825"/>
      <c r="G13" s="825"/>
      <c r="H13" s="825"/>
      <c r="I13" s="825"/>
      <c r="J13" s="825"/>
      <c r="K13" s="825"/>
      <c r="L13" s="825"/>
      <c r="M13" s="826">
        <f t="shared" si="0"/>
        <v>0</v>
      </c>
      <c r="N13" s="819"/>
      <c r="O13" s="78"/>
    </row>
    <row r="14" spans="1:15" ht="30.75">
      <c r="A14" s="817" t="s">
        <v>2126</v>
      </c>
      <c r="B14" s="827">
        <v>55</v>
      </c>
      <c r="C14" s="825"/>
      <c r="D14" s="825"/>
      <c r="E14" s="825"/>
      <c r="F14" s="824"/>
      <c r="G14" s="828"/>
      <c r="H14" s="824"/>
      <c r="I14" s="824"/>
      <c r="J14" s="824"/>
      <c r="K14" s="825"/>
      <c r="L14" s="825"/>
      <c r="M14" s="826">
        <f t="shared" si="0"/>
        <v>0</v>
      </c>
      <c r="N14" s="819"/>
      <c r="O14" s="78"/>
    </row>
    <row r="15" spans="1:15" ht="15.75">
      <c r="A15" s="822" t="s">
        <v>1814</v>
      </c>
      <c r="B15" s="823">
        <v>54</v>
      </c>
      <c r="C15" s="825"/>
      <c r="D15" s="825"/>
      <c r="E15" s="825"/>
      <c r="F15" s="824"/>
      <c r="G15" s="824"/>
      <c r="H15" s="824"/>
      <c r="I15" s="824"/>
      <c r="J15" s="825"/>
      <c r="K15" s="825"/>
      <c r="L15" s="825"/>
      <c r="M15" s="826">
        <f t="shared" si="0"/>
        <v>0</v>
      </c>
      <c r="N15" s="819"/>
      <c r="O15" s="78"/>
    </row>
    <row r="16" spans="1:15" ht="15.75">
      <c r="A16" s="817" t="s">
        <v>1543</v>
      </c>
      <c r="B16" s="827">
        <v>56</v>
      </c>
      <c r="C16" s="824"/>
      <c r="D16" s="824"/>
      <c r="E16" s="825"/>
      <c r="F16" s="824"/>
      <c r="G16" s="828"/>
      <c r="H16" s="824"/>
      <c r="I16" s="824"/>
      <c r="J16" s="824"/>
      <c r="K16" s="825"/>
      <c r="L16" s="825"/>
      <c r="M16" s="826">
        <f t="shared" si="0"/>
        <v>0</v>
      </c>
      <c r="N16" s="819"/>
      <c r="O16" s="78"/>
    </row>
    <row r="17" spans="1:15" ht="15.75">
      <c r="A17" s="822" t="s">
        <v>197</v>
      </c>
      <c r="B17" s="823">
        <v>57</v>
      </c>
      <c r="C17" s="824"/>
      <c r="D17" s="824"/>
      <c r="E17" s="825"/>
      <c r="F17" s="824"/>
      <c r="G17" s="825"/>
      <c r="H17" s="825"/>
      <c r="I17" s="824"/>
      <c r="J17" s="824"/>
      <c r="K17" s="825"/>
      <c r="L17" s="825"/>
      <c r="M17" s="826">
        <f t="shared" si="0"/>
        <v>0</v>
      </c>
      <c r="N17" s="819"/>
      <c r="O17" s="78"/>
    </row>
    <row r="18" spans="1:15" ht="15.75">
      <c r="A18" s="822" t="s">
        <v>1196</v>
      </c>
      <c r="B18" s="823">
        <v>58</v>
      </c>
      <c r="C18" s="824"/>
      <c r="D18" s="824"/>
      <c r="E18" s="824"/>
      <c r="F18" s="825"/>
      <c r="G18" s="825"/>
      <c r="H18" s="825"/>
      <c r="I18" s="825"/>
      <c r="J18" s="824"/>
      <c r="K18" s="825"/>
      <c r="L18" s="825"/>
      <c r="M18" s="826">
        <f t="shared" si="0"/>
        <v>0</v>
      </c>
      <c r="N18" s="819"/>
      <c r="O18" s="78"/>
    </row>
    <row r="19" spans="1:15" ht="15.75">
      <c r="A19" s="817" t="s">
        <v>1389</v>
      </c>
      <c r="B19" s="827">
        <v>67</v>
      </c>
      <c r="C19" s="824"/>
      <c r="D19" s="824"/>
      <c r="E19" s="825"/>
      <c r="F19" s="829"/>
      <c r="G19" s="829"/>
      <c r="H19" s="829"/>
      <c r="I19" s="825"/>
      <c r="J19" s="825"/>
      <c r="K19" s="829"/>
      <c r="L19" s="829"/>
      <c r="M19" s="826">
        <f t="shared" si="0"/>
        <v>0</v>
      </c>
      <c r="N19" s="819"/>
      <c r="O19" s="78"/>
    </row>
    <row r="20" spans="1:15" ht="15.75">
      <c r="A20" s="817" t="s">
        <v>1388</v>
      </c>
      <c r="B20" s="827">
        <v>61</v>
      </c>
      <c r="C20" s="824"/>
      <c r="D20" s="824"/>
      <c r="E20" s="824"/>
      <c r="F20" s="824"/>
      <c r="G20" s="825"/>
      <c r="H20" s="825"/>
      <c r="I20" s="825"/>
      <c r="J20" s="824"/>
      <c r="K20" s="825"/>
      <c r="L20" s="825"/>
      <c r="M20" s="826">
        <f t="shared" si="0"/>
        <v>0</v>
      </c>
      <c r="N20" s="819"/>
      <c r="O20" s="78"/>
    </row>
    <row r="21" spans="1:15" ht="15.75">
      <c r="A21" s="817" t="s">
        <v>2054</v>
      </c>
      <c r="B21" s="827">
        <v>62</v>
      </c>
      <c r="C21" s="824"/>
      <c r="D21" s="824"/>
      <c r="E21" s="824"/>
      <c r="F21" s="824"/>
      <c r="G21" s="824"/>
      <c r="H21" s="824"/>
      <c r="I21" s="824"/>
      <c r="J21" s="825"/>
      <c r="K21" s="824"/>
      <c r="L21" s="825"/>
      <c r="M21" s="826">
        <f t="shared" si="0"/>
        <v>0</v>
      </c>
      <c r="N21" s="819"/>
      <c r="O21" s="78"/>
    </row>
    <row r="22" spans="1:15" ht="15.75">
      <c r="A22" s="822" t="s">
        <v>624</v>
      </c>
      <c r="B22" s="823">
        <v>59</v>
      </c>
      <c r="C22" s="824"/>
      <c r="D22" s="824"/>
      <c r="E22" s="825"/>
      <c r="F22" s="830"/>
      <c r="G22" s="825"/>
      <c r="H22" s="824"/>
      <c r="I22" s="824"/>
      <c r="J22" s="824"/>
      <c r="K22" s="824"/>
      <c r="L22" s="825"/>
      <c r="M22" s="826">
        <f t="shared" si="0"/>
        <v>0</v>
      </c>
      <c r="N22" s="819"/>
      <c r="O22" s="200"/>
    </row>
    <row r="23" spans="1:15" ht="30.75">
      <c r="A23" s="817" t="s">
        <v>741</v>
      </c>
      <c r="B23" s="827">
        <v>63</v>
      </c>
      <c r="C23" s="824"/>
      <c r="D23" s="824"/>
      <c r="E23" s="824"/>
      <c r="F23" s="824"/>
      <c r="G23" s="825"/>
      <c r="H23" s="824"/>
      <c r="I23" s="824"/>
      <c r="J23" s="824"/>
      <c r="K23" s="824"/>
      <c r="L23" s="825"/>
      <c r="M23" s="826">
        <f t="shared" si="0"/>
        <v>0</v>
      </c>
      <c r="N23" s="819"/>
      <c r="O23" s="200"/>
    </row>
    <row r="24" spans="1:15" ht="15.75">
      <c r="A24" s="831" t="s">
        <v>1621</v>
      </c>
      <c r="B24" s="832">
        <v>72</v>
      </c>
      <c r="C24" s="828"/>
      <c r="D24" s="828"/>
      <c r="E24" s="828"/>
      <c r="F24" s="828"/>
      <c r="G24" s="825"/>
      <c r="H24" s="828"/>
      <c r="I24" s="828"/>
      <c r="J24" s="828"/>
      <c r="K24" s="828"/>
      <c r="L24" s="824"/>
      <c r="M24" s="826">
        <f t="shared" si="0"/>
        <v>0</v>
      </c>
      <c r="N24" s="819"/>
      <c r="O24" s="200"/>
    </row>
    <row r="25" spans="1:15" ht="15.75">
      <c r="A25" s="831" t="s">
        <v>1622</v>
      </c>
      <c r="B25" s="832">
        <v>72.099999999999994</v>
      </c>
      <c r="C25" s="828"/>
      <c r="D25" s="828"/>
      <c r="E25" s="828"/>
      <c r="F25" s="828"/>
      <c r="G25" s="825"/>
      <c r="H25" s="828"/>
      <c r="I25" s="828"/>
      <c r="J25" s="828"/>
      <c r="K25" s="828"/>
      <c r="L25" s="824"/>
      <c r="M25" s="826">
        <f t="shared" si="0"/>
        <v>0</v>
      </c>
      <c r="N25" s="819"/>
      <c r="O25" s="200"/>
    </row>
    <row r="26" spans="1:15" ht="15.75">
      <c r="A26" s="833" t="s">
        <v>1623</v>
      </c>
      <c r="B26" s="832"/>
      <c r="C26" s="826">
        <f>SUM(C10:C25)</f>
        <v>0</v>
      </c>
      <c r="D26" s="826">
        <f t="shared" ref="D26:L26" si="1">SUM(D10:D25)</f>
        <v>0</v>
      </c>
      <c r="E26" s="826">
        <f t="shared" si="1"/>
        <v>0</v>
      </c>
      <c r="F26" s="826">
        <f t="shared" si="1"/>
        <v>0</v>
      </c>
      <c r="G26" s="826">
        <f t="shared" si="1"/>
        <v>0</v>
      </c>
      <c r="H26" s="826">
        <f t="shared" si="1"/>
        <v>0</v>
      </c>
      <c r="I26" s="826">
        <f t="shared" si="1"/>
        <v>0</v>
      </c>
      <c r="J26" s="826">
        <f t="shared" si="1"/>
        <v>0</v>
      </c>
      <c r="K26" s="826">
        <f t="shared" si="1"/>
        <v>0</v>
      </c>
      <c r="L26" s="826">
        <f t="shared" si="1"/>
        <v>0</v>
      </c>
      <c r="M26" s="826">
        <f>SUM(M10:M25)</f>
        <v>0</v>
      </c>
      <c r="N26" s="819"/>
      <c r="O26" s="200"/>
    </row>
    <row r="27" spans="1:15" ht="15.75">
      <c r="A27" s="834" t="s">
        <v>742</v>
      </c>
      <c r="B27" s="835"/>
      <c r="C27" s="836"/>
      <c r="D27" s="836"/>
      <c r="E27" s="836"/>
      <c r="F27" s="836"/>
      <c r="G27" s="836"/>
      <c r="H27" s="836"/>
      <c r="I27" s="836"/>
      <c r="J27" s="836"/>
      <c r="K27" s="836"/>
      <c r="L27" s="836"/>
      <c r="M27" s="837" t="s">
        <v>789</v>
      </c>
      <c r="N27" s="819"/>
      <c r="O27" s="200"/>
    </row>
    <row r="28" spans="1:15" ht="15.75">
      <c r="A28" s="822" t="s">
        <v>743</v>
      </c>
      <c r="B28" s="823">
        <v>64</v>
      </c>
      <c r="C28" s="824"/>
      <c r="D28" s="824"/>
      <c r="E28" s="824"/>
      <c r="F28" s="824"/>
      <c r="G28" s="825"/>
      <c r="H28" s="825"/>
      <c r="I28" s="825"/>
      <c r="J28" s="824"/>
      <c r="K28" s="825"/>
      <c r="L28" s="825"/>
      <c r="M28" s="826">
        <f>SUM(C28:L28)</f>
        <v>0</v>
      </c>
      <c r="N28" s="819"/>
      <c r="O28" s="78"/>
    </row>
    <row r="29" spans="1:15" ht="15.75">
      <c r="A29" s="822" t="s">
        <v>744</v>
      </c>
      <c r="B29" s="823">
        <v>65</v>
      </c>
      <c r="C29" s="824"/>
      <c r="D29" s="824"/>
      <c r="E29" s="824"/>
      <c r="F29" s="824"/>
      <c r="G29" s="825"/>
      <c r="H29" s="825"/>
      <c r="I29" s="825"/>
      <c r="J29" s="824"/>
      <c r="K29" s="824"/>
      <c r="L29" s="825"/>
      <c r="M29" s="826">
        <f>SUM(C29:L29)</f>
        <v>0</v>
      </c>
      <c r="N29" s="819"/>
      <c r="O29" s="78"/>
    </row>
    <row r="30" spans="1:15" ht="30.75">
      <c r="A30" s="817" t="s">
        <v>1553</v>
      </c>
      <c r="B30" s="827">
        <v>66</v>
      </c>
      <c r="C30" s="824"/>
      <c r="D30" s="824"/>
      <c r="E30" s="824"/>
      <c r="F30" s="824"/>
      <c r="G30" s="824"/>
      <c r="H30" s="824"/>
      <c r="I30" s="824"/>
      <c r="J30" s="824"/>
      <c r="K30" s="824"/>
      <c r="L30" s="825"/>
      <c r="M30" s="826">
        <f>SUM(C30:L30)</f>
        <v>0</v>
      </c>
      <c r="N30" s="819"/>
      <c r="O30" s="78"/>
    </row>
    <row r="31" spans="1:15" ht="15.75">
      <c r="A31" s="831" t="s">
        <v>1621</v>
      </c>
      <c r="B31" s="832">
        <v>73</v>
      </c>
      <c r="C31" s="828"/>
      <c r="D31" s="828"/>
      <c r="E31" s="828"/>
      <c r="F31" s="828"/>
      <c r="G31" s="828"/>
      <c r="H31" s="828"/>
      <c r="I31" s="828"/>
      <c r="J31" s="828"/>
      <c r="K31" s="828"/>
      <c r="L31" s="824"/>
      <c r="M31" s="826">
        <f>SUM(C31:L31)</f>
        <v>0</v>
      </c>
      <c r="N31" s="819"/>
      <c r="O31" s="78"/>
    </row>
    <row r="32" spans="1:15" ht="15.75">
      <c r="A32" s="831" t="s">
        <v>1622</v>
      </c>
      <c r="B32" s="832">
        <v>73.099999999999994</v>
      </c>
      <c r="C32" s="828"/>
      <c r="D32" s="828"/>
      <c r="E32" s="828"/>
      <c r="F32" s="828"/>
      <c r="G32" s="828"/>
      <c r="H32" s="828"/>
      <c r="I32" s="828"/>
      <c r="J32" s="828"/>
      <c r="K32" s="828"/>
      <c r="L32" s="824"/>
      <c r="M32" s="826">
        <f>SUM(C32:L32)</f>
        <v>0</v>
      </c>
      <c r="N32" s="819"/>
      <c r="O32" s="78"/>
    </row>
    <row r="33" spans="1:15" ht="15.75">
      <c r="A33" s="833" t="s">
        <v>1624</v>
      </c>
      <c r="B33" s="832"/>
      <c r="C33" s="826">
        <f>SUM(C28:C32)</f>
        <v>0</v>
      </c>
      <c r="D33" s="826">
        <f t="shared" ref="D33:L33" si="2">SUM(D28:D32)</f>
        <v>0</v>
      </c>
      <c r="E33" s="826">
        <f t="shared" si="2"/>
        <v>0</v>
      </c>
      <c r="F33" s="826">
        <f t="shared" si="2"/>
        <v>0</v>
      </c>
      <c r="G33" s="826">
        <f t="shared" si="2"/>
        <v>0</v>
      </c>
      <c r="H33" s="826">
        <f t="shared" si="2"/>
        <v>0</v>
      </c>
      <c r="I33" s="826">
        <f t="shared" si="2"/>
        <v>0</v>
      </c>
      <c r="J33" s="826">
        <f t="shared" si="2"/>
        <v>0</v>
      </c>
      <c r="K33" s="826">
        <f t="shared" si="2"/>
        <v>0</v>
      </c>
      <c r="L33" s="826">
        <f t="shared" si="2"/>
        <v>0</v>
      </c>
      <c r="M33" s="826">
        <f>SUM(M27:M32)</f>
        <v>0</v>
      </c>
      <c r="N33" s="819"/>
      <c r="O33" s="78"/>
    </row>
    <row r="34" spans="1:15" ht="15.75">
      <c r="A34" s="834" t="s">
        <v>1554</v>
      </c>
      <c r="B34" s="835"/>
      <c r="C34" s="836"/>
      <c r="D34" s="836"/>
      <c r="E34" s="836"/>
      <c r="F34" s="836"/>
      <c r="G34" s="836"/>
      <c r="H34" s="836"/>
      <c r="I34" s="836"/>
      <c r="J34" s="836"/>
      <c r="K34" s="836"/>
      <c r="L34" s="836"/>
      <c r="M34" s="837"/>
      <c r="N34" s="819"/>
      <c r="O34" s="200"/>
    </row>
    <row r="35" spans="1:15" ht="30.75">
      <c r="A35" s="817" t="s">
        <v>753</v>
      </c>
      <c r="B35" s="827">
        <v>68</v>
      </c>
      <c r="C35" s="824"/>
      <c r="D35" s="824"/>
      <c r="E35" s="824"/>
      <c r="F35" s="824"/>
      <c r="G35" s="824"/>
      <c r="H35" s="824"/>
      <c r="I35" s="824"/>
      <c r="J35" s="824"/>
      <c r="K35" s="824"/>
      <c r="L35" s="825"/>
      <c r="M35" s="826">
        <f>SUM(C35:L35)</f>
        <v>0</v>
      </c>
      <c r="N35" s="819"/>
      <c r="O35" s="78"/>
    </row>
    <row r="36" spans="1:15" ht="15.75">
      <c r="A36" s="817" t="s">
        <v>852</v>
      </c>
      <c r="B36" s="827">
        <v>69</v>
      </c>
      <c r="C36" s="824"/>
      <c r="D36" s="824"/>
      <c r="E36" s="824"/>
      <c r="F36" s="824"/>
      <c r="G36" s="825"/>
      <c r="H36" s="824"/>
      <c r="I36" s="824"/>
      <c r="J36" s="824"/>
      <c r="K36" s="824"/>
      <c r="L36" s="825"/>
      <c r="M36" s="826">
        <f>SUM(C36:L36)</f>
        <v>0</v>
      </c>
      <c r="N36" s="819"/>
      <c r="O36" s="78"/>
    </row>
    <row r="37" spans="1:15" ht="15.75">
      <c r="A37" s="831" t="s">
        <v>1621</v>
      </c>
      <c r="B37" s="832">
        <v>74</v>
      </c>
      <c r="C37" s="828"/>
      <c r="D37" s="828"/>
      <c r="E37" s="828"/>
      <c r="F37" s="828"/>
      <c r="G37" s="825"/>
      <c r="H37" s="828"/>
      <c r="I37" s="828"/>
      <c r="J37" s="828"/>
      <c r="K37" s="828"/>
      <c r="L37" s="838"/>
      <c r="M37" s="826">
        <f>SUM(C37:L37)</f>
        <v>0</v>
      </c>
      <c r="N37" s="819"/>
      <c r="O37" s="78"/>
    </row>
    <row r="38" spans="1:15" ht="15.75">
      <c r="A38" s="831" t="s">
        <v>1622</v>
      </c>
      <c r="B38" s="832">
        <v>74.099999999999994</v>
      </c>
      <c r="C38" s="828"/>
      <c r="D38" s="828"/>
      <c r="E38" s="828"/>
      <c r="F38" s="828"/>
      <c r="G38" s="825"/>
      <c r="H38" s="828"/>
      <c r="I38" s="828"/>
      <c r="J38" s="828"/>
      <c r="K38" s="828"/>
      <c r="L38" s="838"/>
      <c r="M38" s="826">
        <f>SUM(C38:L38)</f>
        <v>0</v>
      </c>
      <c r="N38" s="819"/>
      <c r="O38" s="78"/>
    </row>
    <row r="39" spans="1:15" ht="15.75">
      <c r="A39" s="833" t="s">
        <v>1625</v>
      </c>
      <c r="B39" s="832"/>
      <c r="C39" s="826">
        <f>SUM(C35:C38)</f>
        <v>0</v>
      </c>
      <c r="D39" s="826">
        <f t="shared" ref="D39:L39" si="3">SUM(D35:D38)</f>
        <v>0</v>
      </c>
      <c r="E39" s="826">
        <f t="shared" si="3"/>
        <v>0</v>
      </c>
      <c r="F39" s="826">
        <f t="shared" si="3"/>
        <v>0</v>
      </c>
      <c r="G39" s="826">
        <f t="shared" si="3"/>
        <v>0</v>
      </c>
      <c r="H39" s="826">
        <f t="shared" si="3"/>
        <v>0</v>
      </c>
      <c r="I39" s="826">
        <f t="shared" si="3"/>
        <v>0</v>
      </c>
      <c r="J39" s="826">
        <f t="shared" si="3"/>
        <v>0</v>
      </c>
      <c r="K39" s="826">
        <f t="shared" si="3"/>
        <v>0</v>
      </c>
      <c r="L39" s="826">
        <f t="shared" si="3"/>
        <v>0</v>
      </c>
      <c r="M39" s="826">
        <f>SUM(M35:M38)</f>
        <v>0</v>
      </c>
      <c r="N39" s="819"/>
      <c r="O39" s="78"/>
    </row>
    <row r="40" spans="1:15" ht="15.75">
      <c r="A40" s="834" t="s">
        <v>853</v>
      </c>
      <c r="B40" s="835"/>
      <c r="C40" s="836"/>
      <c r="D40" s="836"/>
      <c r="E40" s="836"/>
      <c r="F40" s="836"/>
      <c r="G40" s="836"/>
      <c r="H40" s="836"/>
      <c r="I40" s="836"/>
      <c r="J40" s="836"/>
      <c r="K40" s="836"/>
      <c r="L40" s="836"/>
      <c r="M40" s="837"/>
      <c r="N40" s="819"/>
      <c r="O40" s="200"/>
    </row>
    <row r="41" spans="1:15" ht="15.75">
      <c r="A41" s="817" t="s">
        <v>1605</v>
      </c>
      <c r="B41" s="827">
        <v>70</v>
      </c>
      <c r="C41" s="824"/>
      <c r="D41" s="824"/>
      <c r="E41" s="824"/>
      <c r="F41" s="824"/>
      <c r="G41" s="824"/>
      <c r="H41" s="824"/>
      <c r="I41" s="824"/>
      <c r="J41" s="824"/>
      <c r="K41" s="825"/>
      <c r="L41" s="825"/>
      <c r="M41" s="826">
        <f>SUM(C41:L41)</f>
        <v>0</v>
      </c>
      <c r="N41" s="819"/>
      <c r="O41" s="78"/>
    </row>
    <row r="42" spans="1:15" ht="15.75">
      <c r="A42" s="822" t="s">
        <v>1606</v>
      </c>
      <c r="B42" s="823">
        <v>71</v>
      </c>
      <c r="C42" s="825"/>
      <c r="D42" s="825"/>
      <c r="E42" s="825"/>
      <c r="F42" s="839"/>
      <c r="G42" s="824"/>
      <c r="H42" s="825"/>
      <c r="I42" s="824"/>
      <c r="J42" s="824"/>
      <c r="K42" s="825"/>
      <c r="L42" s="825"/>
      <c r="M42" s="826">
        <f t="shared" ref="M42:M47" si="4">SUM(C42:L42)</f>
        <v>0</v>
      </c>
      <c r="N42" s="819"/>
      <c r="O42" s="78"/>
    </row>
    <row r="43" spans="1:15" ht="15.75">
      <c r="A43" s="822" t="s">
        <v>1962</v>
      </c>
      <c r="B43" s="823">
        <v>72</v>
      </c>
      <c r="C43" s="825"/>
      <c r="D43" s="825"/>
      <c r="E43" s="825"/>
      <c r="F43" s="824"/>
      <c r="G43" s="824"/>
      <c r="H43" s="824"/>
      <c r="I43" s="824"/>
      <c r="J43" s="824"/>
      <c r="K43" s="824"/>
      <c r="L43" s="825"/>
      <c r="M43" s="826">
        <f t="shared" si="4"/>
        <v>0</v>
      </c>
      <c r="N43" s="819"/>
      <c r="O43" s="78"/>
    </row>
    <row r="44" spans="1:15" ht="15.75">
      <c r="A44" s="822" t="s">
        <v>7</v>
      </c>
      <c r="B44" s="823">
        <v>73</v>
      </c>
      <c r="C44" s="825"/>
      <c r="D44" s="825"/>
      <c r="E44" s="825"/>
      <c r="F44" s="825"/>
      <c r="G44" s="824"/>
      <c r="H44" s="825"/>
      <c r="I44" s="825"/>
      <c r="J44" s="824"/>
      <c r="K44" s="825"/>
      <c r="L44" s="825"/>
      <c r="M44" s="826">
        <f t="shared" si="4"/>
        <v>0</v>
      </c>
      <c r="N44" s="819"/>
      <c r="O44" s="78"/>
    </row>
    <row r="45" spans="1:15" ht="15.75">
      <c r="A45" s="822" t="s">
        <v>922</v>
      </c>
      <c r="B45" s="823">
        <v>80</v>
      </c>
      <c r="C45" s="824"/>
      <c r="D45" s="824"/>
      <c r="E45" s="824"/>
      <c r="F45" s="824"/>
      <c r="G45" s="825"/>
      <c r="H45" s="824"/>
      <c r="I45" s="824"/>
      <c r="J45" s="824"/>
      <c r="K45" s="825"/>
      <c r="L45" s="825"/>
      <c r="M45" s="826">
        <f t="shared" si="4"/>
        <v>0</v>
      </c>
      <c r="N45" s="819"/>
      <c r="O45" s="78"/>
    </row>
    <row r="46" spans="1:15" ht="15.75">
      <c r="A46" s="831" t="s">
        <v>1621</v>
      </c>
      <c r="B46" s="840">
        <v>75</v>
      </c>
      <c r="C46" s="841"/>
      <c r="D46" s="841"/>
      <c r="E46" s="841"/>
      <c r="F46" s="841"/>
      <c r="G46" s="825"/>
      <c r="H46" s="841"/>
      <c r="I46" s="841"/>
      <c r="J46" s="841"/>
      <c r="K46" s="825"/>
      <c r="L46" s="839"/>
      <c r="M46" s="826">
        <f t="shared" si="4"/>
        <v>0</v>
      </c>
      <c r="N46" s="819"/>
      <c r="O46" s="78"/>
    </row>
    <row r="47" spans="1:15" ht="15.75">
      <c r="A47" s="831" t="s">
        <v>1622</v>
      </c>
      <c r="B47" s="840">
        <v>80.099999999999994</v>
      </c>
      <c r="C47" s="841"/>
      <c r="D47" s="841"/>
      <c r="E47" s="841"/>
      <c r="F47" s="841"/>
      <c r="G47" s="825"/>
      <c r="H47" s="841"/>
      <c r="I47" s="841"/>
      <c r="J47" s="841"/>
      <c r="K47" s="825"/>
      <c r="L47" s="839"/>
      <c r="M47" s="826">
        <f t="shared" si="4"/>
        <v>0</v>
      </c>
      <c r="N47" s="819"/>
      <c r="O47" s="78"/>
    </row>
    <row r="48" spans="1:15" ht="15.75">
      <c r="A48" s="842" t="s">
        <v>1626</v>
      </c>
      <c r="B48" s="840"/>
      <c r="C48" s="826">
        <f>SUM(C41:C47)</f>
        <v>0</v>
      </c>
      <c r="D48" s="826">
        <f>SUM(D41:D47)</f>
        <v>0</v>
      </c>
      <c r="E48" s="826">
        <f t="shared" ref="E48:L48" si="5">SUM(E41:E47)</f>
        <v>0</v>
      </c>
      <c r="F48" s="826">
        <f t="shared" si="5"/>
        <v>0</v>
      </c>
      <c r="G48" s="826">
        <f t="shared" si="5"/>
        <v>0</v>
      </c>
      <c r="H48" s="826">
        <f t="shared" si="5"/>
        <v>0</v>
      </c>
      <c r="I48" s="826">
        <f t="shared" si="5"/>
        <v>0</v>
      </c>
      <c r="J48" s="826">
        <f t="shared" si="5"/>
        <v>0</v>
      </c>
      <c r="K48" s="826">
        <f t="shared" si="5"/>
        <v>0</v>
      </c>
      <c r="L48" s="826">
        <f t="shared" si="5"/>
        <v>0</v>
      </c>
      <c r="M48" s="826">
        <f>SUM(M41:M47)</f>
        <v>0</v>
      </c>
      <c r="N48" s="819"/>
      <c r="O48" s="78"/>
    </row>
    <row r="49" spans="1:15" ht="15.75">
      <c r="A49" s="834" t="s">
        <v>2107</v>
      </c>
      <c r="B49" s="835"/>
      <c r="C49" s="836"/>
      <c r="D49" s="836"/>
      <c r="E49" s="836"/>
      <c r="F49" s="836"/>
      <c r="G49" s="836"/>
      <c r="H49" s="836"/>
      <c r="I49" s="836"/>
      <c r="J49" s="836"/>
      <c r="K49" s="836"/>
      <c r="L49" s="836"/>
      <c r="M49" s="837"/>
      <c r="N49" s="819"/>
      <c r="O49" s="200"/>
    </row>
    <row r="50" spans="1:15" ht="15.75">
      <c r="A50" s="822" t="s">
        <v>2108</v>
      </c>
      <c r="B50" s="823">
        <v>78</v>
      </c>
      <c r="C50" s="824"/>
      <c r="D50" s="824"/>
      <c r="E50" s="824"/>
      <c r="F50" s="824"/>
      <c r="G50" s="825"/>
      <c r="H50" s="825"/>
      <c r="I50" s="825"/>
      <c r="J50" s="824"/>
      <c r="K50" s="824"/>
      <c r="L50" s="825"/>
      <c r="M50" s="826">
        <f>SUM(C50:L50)</f>
        <v>0</v>
      </c>
      <c r="N50" s="819"/>
      <c r="O50" s="78"/>
    </row>
    <row r="51" spans="1:15" ht="15.75">
      <c r="A51" s="843" t="s">
        <v>1715</v>
      </c>
      <c r="B51" s="840">
        <v>79</v>
      </c>
      <c r="C51" s="844"/>
      <c r="D51" s="844"/>
      <c r="E51" s="844"/>
      <c r="F51" s="845">
        <f>'Sch 14 School Generated Funds'!C22+'Sch 14 School Generated Funds'!D22</f>
        <v>0</v>
      </c>
      <c r="G51" s="844"/>
      <c r="H51" s="844"/>
      <c r="I51" s="844"/>
      <c r="J51" s="844"/>
      <c r="K51" s="844"/>
      <c r="L51" s="844"/>
      <c r="M51" s="826">
        <f>SUM(C51:L51)</f>
        <v>0</v>
      </c>
      <c r="N51" s="819"/>
      <c r="O51" s="78"/>
    </row>
    <row r="52" spans="1:15" ht="15.75">
      <c r="A52" s="831" t="s">
        <v>1621</v>
      </c>
      <c r="B52" s="840">
        <v>76</v>
      </c>
      <c r="C52" s="844"/>
      <c r="D52" s="844"/>
      <c r="E52" s="844"/>
      <c r="F52" s="846"/>
      <c r="G52" s="844"/>
      <c r="H52" s="844"/>
      <c r="I52" s="844"/>
      <c r="J52" s="844"/>
      <c r="K52" s="844"/>
      <c r="L52" s="838"/>
      <c r="M52" s="826">
        <f>SUM(C52:L52)</f>
        <v>0</v>
      </c>
      <c r="N52" s="819"/>
      <c r="O52" s="78"/>
    </row>
    <row r="53" spans="1:15" ht="15.75">
      <c r="A53" s="831" t="s">
        <v>1622</v>
      </c>
      <c r="B53" s="823">
        <v>81</v>
      </c>
      <c r="C53" s="828"/>
      <c r="D53" s="828"/>
      <c r="E53" s="828"/>
      <c r="F53" s="847"/>
      <c r="G53" s="825"/>
      <c r="H53" s="825"/>
      <c r="I53" s="825"/>
      <c r="J53" s="828"/>
      <c r="K53" s="828"/>
      <c r="L53" s="838"/>
      <c r="M53" s="826">
        <f>SUM(C53:L53)</f>
        <v>0</v>
      </c>
      <c r="N53" s="819"/>
      <c r="O53" s="78"/>
    </row>
    <row r="54" spans="1:15" ht="15.75">
      <c r="A54" s="848" t="s">
        <v>1627</v>
      </c>
      <c r="B54" s="823">
        <v>82</v>
      </c>
      <c r="C54" s="826">
        <f>SUM(C50:C53)</f>
        <v>0</v>
      </c>
      <c r="D54" s="826">
        <f t="shared" ref="D54:L54" si="6">SUM(D50:D53)</f>
        <v>0</v>
      </c>
      <c r="E54" s="826">
        <f t="shared" si="6"/>
        <v>0</v>
      </c>
      <c r="F54" s="826">
        <f t="shared" si="6"/>
        <v>0</v>
      </c>
      <c r="G54" s="826">
        <f t="shared" si="6"/>
        <v>0</v>
      </c>
      <c r="H54" s="826">
        <f t="shared" si="6"/>
        <v>0</v>
      </c>
      <c r="I54" s="826">
        <f t="shared" si="6"/>
        <v>0</v>
      </c>
      <c r="J54" s="826">
        <f t="shared" si="6"/>
        <v>0</v>
      </c>
      <c r="K54" s="826">
        <f t="shared" si="6"/>
        <v>0</v>
      </c>
      <c r="L54" s="826">
        <f t="shared" si="6"/>
        <v>0</v>
      </c>
      <c r="M54" s="826">
        <f>SUM(M50:M53)</f>
        <v>0</v>
      </c>
      <c r="N54" s="819"/>
      <c r="O54" s="78"/>
    </row>
    <row r="55" spans="1:15" ht="15.75">
      <c r="A55" s="848" t="s">
        <v>664</v>
      </c>
      <c r="B55" s="823">
        <v>90</v>
      </c>
      <c r="C55" s="849">
        <f>C54+C48+C39+C33+C26</f>
        <v>0</v>
      </c>
      <c r="D55" s="849">
        <f t="shared" ref="D55:L55" si="7">D54+D48+D39+D33+D26</f>
        <v>0</v>
      </c>
      <c r="E55" s="849">
        <f t="shared" si="7"/>
        <v>0</v>
      </c>
      <c r="F55" s="849">
        <f t="shared" si="7"/>
        <v>0</v>
      </c>
      <c r="G55" s="849">
        <f t="shared" si="7"/>
        <v>0</v>
      </c>
      <c r="H55" s="849">
        <f t="shared" si="7"/>
        <v>0</v>
      </c>
      <c r="I55" s="849">
        <f t="shared" si="7"/>
        <v>0</v>
      </c>
      <c r="J55" s="849">
        <f t="shared" si="7"/>
        <v>0</v>
      </c>
      <c r="K55" s="849">
        <f t="shared" si="7"/>
        <v>0</v>
      </c>
      <c r="L55" s="849">
        <f t="shared" si="7"/>
        <v>0</v>
      </c>
      <c r="M55" s="849">
        <f>M26+M33+M39+M48+M54</f>
        <v>0</v>
      </c>
      <c r="N55" s="819"/>
      <c r="O55" s="78"/>
    </row>
    <row r="56" spans="1:15" ht="15.75">
      <c r="A56" s="1460"/>
      <c r="B56" s="1460"/>
      <c r="C56" s="1911"/>
      <c r="D56" s="1911"/>
      <c r="E56" s="1911"/>
      <c r="F56" s="1911"/>
      <c r="G56" s="1911"/>
      <c r="H56" s="1911"/>
      <c r="I56" s="1911"/>
      <c r="J56" s="1911"/>
      <c r="K56" s="1911"/>
      <c r="L56" s="1911"/>
      <c r="M56" s="1911"/>
      <c r="N56" s="819"/>
      <c r="O56" s="78"/>
    </row>
    <row r="57" spans="1:15" ht="18.75">
      <c r="A57" s="1912" t="s">
        <v>2693</v>
      </c>
      <c r="B57" s="1460"/>
      <c r="C57" s="1911"/>
      <c r="D57" s="1911"/>
      <c r="E57" s="1911"/>
      <c r="F57" s="1911"/>
      <c r="G57" s="1911"/>
      <c r="H57" s="1911"/>
      <c r="I57" s="1911"/>
      <c r="J57" s="1911"/>
      <c r="K57" s="1911"/>
      <c r="L57" s="1911"/>
      <c r="M57" s="1911"/>
      <c r="N57" s="819"/>
      <c r="O57" s="78"/>
    </row>
    <row r="58" spans="1:15" ht="15.75">
      <c r="A58" s="1460"/>
      <c r="B58" s="1460"/>
      <c r="C58" s="1911"/>
      <c r="D58" s="1911"/>
      <c r="E58" s="1911"/>
      <c r="F58" s="1911"/>
      <c r="G58" s="1911"/>
      <c r="H58" s="1911"/>
      <c r="I58" s="1911"/>
      <c r="J58" s="1911"/>
      <c r="K58" s="1911"/>
      <c r="L58" s="1911"/>
      <c r="M58" s="1911"/>
      <c r="N58" s="819"/>
      <c r="O58" s="78"/>
    </row>
    <row r="59" spans="1:15" ht="15">
      <c r="A59" s="78"/>
      <c r="B59" s="78"/>
      <c r="C59" s="78"/>
      <c r="D59" s="78"/>
      <c r="E59" s="78"/>
      <c r="F59" s="78"/>
      <c r="G59" s="78"/>
      <c r="H59" s="78"/>
      <c r="I59" s="78"/>
      <c r="J59" s="78"/>
      <c r="K59" s="78"/>
      <c r="L59" s="78"/>
      <c r="M59" s="78"/>
      <c r="N59" s="78"/>
      <c r="O59" s="78"/>
    </row>
  </sheetData>
  <sheetProtection password="C7B7" sheet="1" objects="1" scenarios="1"/>
  <protectedRanges>
    <protectedRange sqref="L39:M39" name="Range27"/>
    <protectedRange sqref="J37:L37" name="Range25"/>
    <protectedRange sqref="K34:L34" name="Range21"/>
    <protectedRange sqref="D33:L33" name="Range19"/>
    <protectedRange sqref="D31:H31" name="Range17"/>
    <protectedRange sqref="K27:M27" name="Range14"/>
    <protectedRange sqref="D26:G28" name="Range12"/>
    <protectedRange sqref="F23:H23" name="Range10"/>
    <protectedRange sqref="M21" name="Range7"/>
    <protectedRange sqref="J22:K22 M22" name="Range5"/>
    <protectedRange sqref="D22:D24 E22:E23 E24:N24" name="Range1"/>
    <protectedRange sqref="D20:G21" name="Range2"/>
    <protectedRange sqref="G22:H22 G20:H20" name="Range6"/>
    <protectedRange sqref="J21:K21 J23:K23 M21 M23" name="Range11"/>
    <protectedRange sqref="L20:L23" name="Range13"/>
    <protectedRange sqref="G22:H22" name="Range15"/>
    <protectedRange sqref="H21:K21" name="Range16"/>
    <protectedRange sqref="J23:K23 M23" name="Range18"/>
    <protectedRange sqref="I34" name="Range20"/>
    <protectedRange sqref="I36" name="Range22"/>
    <protectedRange sqref="D37:H37" name="Range24"/>
    <protectedRange sqref="D39:G39" name="Range26"/>
  </protectedRanges>
  <phoneticPr fontId="0" type="noConversion"/>
  <hyperlinks>
    <hyperlink ref="B2" location="INSTRUCTION" display="Instruction"/>
    <hyperlink ref="C2" location="Instruction_Subtotal" display="Instruction Subtotal"/>
    <hyperlink ref="D2" location="ADMINISTRATION" display="ADMINISTRATION"/>
    <hyperlink ref="E2" location="Administration_Subtotal" display="Administration Subtotal"/>
    <hyperlink ref="F2" location="TRANSPORTATION" display="Transportation"/>
    <hyperlink ref="G2" location="Transportation_Subtotal" display="Transportation Subtotal"/>
    <hyperlink ref="H2" location="PUPIL_ACCOMMODATION" display="Pupil Accommodation"/>
    <hyperlink ref="I2" location="Pupil_Accomodation_and_Teacherage_Subtotal" display="Pupil Accomodation and Teacherage Subtotal"/>
    <hyperlink ref="J2" location="OTHER" display="Other"/>
    <hyperlink ref="L2" location="TOTAL_EXPENDITURE" display="TOTAL EXPENDITURE  "/>
    <hyperlink ref="M2" location="Note__Please_report_the__1_000_Trustees_Association_Fee_as_an_expense." display="Note"/>
    <hyperlink ref="K2" location="Subtotal___Other" display="Other Subtotal"/>
  </hyperlinks>
  <printOptions horizontalCentered="1"/>
  <pageMargins left="0" right="0" top="1" bottom="1" header="0.5" footer="0.5"/>
  <pageSetup scale="68" orientation="landscape" copies="2" r:id="rId1"/>
  <headerFooter alignWithMargins="0">
    <oddFooter>&amp;L&amp;D,&amp;" ,Regular" &amp;T
&amp;CPage &amp;P of &amp;N&amp;R2015/16 School Authority Estimates
&amp;A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N65"/>
  <sheetViews>
    <sheetView topLeftCell="A37" zoomScaleNormal="100" workbookViewId="0">
      <selection activeCell="G51" sqref="G51"/>
    </sheetView>
  </sheetViews>
  <sheetFormatPr defaultColWidth="0" defaultRowHeight="12.75" zeroHeight="1"/>
  <cols>
    <col min="1" max="1" width="4.7109375" style="617" customWidth="1"/>
    <col min="2" max="2" width="41" style="617" customWidth="1"/>
    <col min="3" max="3" width="9.7109375" style="617" customWidth="1"/>
    <col min="4" max="4" width="23.85546875" style="617" customWidth="1"/>
    <col min="5" max="5" width="4" style="617" customWidth="1"/>
    <col min="6" max="7" width="19.5703125" style="617" customWidth="1"/>
    <col min="8" max="8" width="24" style="617" bestFit="1" customWidth="1"/>
    <col min="9" max="11" width="18.7109375" style="617" customWidth="1"/>
    <col min="12" max="12" width="3.85546875" style="617" customWidth="1"/>
    <col min="13" max="13" width="15.42578125" style="617" customWidth="1"/>
    <col min="14" max="14" width="3" style="617" customWidth="1"/>
    <col min="15" max="16384" width="0" style="617" hidden="1"/>
  </cols>
  <sheetData>
    <row r="1" spans="1:14" ht="18">
      <c r="A1" s="815"/>
      <c r="B1" s="2055" t="s">
        <v>622</v>
      </c>
      <c r="C1" s="852"/>
      <c r="D1" s="853"/>
      <c r="E1" s="853"/>
      <c r="F1" s="815"/>
      <c r="G1" s="815"/>
      <c r="H1" s="815"/>
      <c r="I1" s="815"/>
      <c r="J1" s="815"/>
      <c r="K1" s="815"/>
      <c r="L1" s="815"/>
      <c r="M1" s="815"/>
      <c r="N1" s="815"/>
    </row>
    <row r="2" spans="1:14" ht="15.75" thickBot="1">
      <c r="A2" s="2150" t="s">
        <v>2791</v>
      </c>
      <c r="B2" s="2151" t="s">
        <v>2069</v>
      </c>
      <c r="C2" s="2151" t="s">
        <v>1623</v>
      </c>
      <c r="D2" s="2151" t="s">
        <v>2070</v>
      </c>
      <c r="E2" s="2151" t="s">
        <v>1624</v>
      </c>
      <c r="F2" s="2152" t="s">
        <v>195</v>
      </c>
      <c r="G2" s="2152" t="s">
        <v>1625</v>
      </c>
      <c r="H2" s="2152" t="s">
        <v>2071</v>
      </c>
      <c r="I2" s="2152" t="s">
        <v>2789</v>
      </c>
      <c r="J2" s="2152" t="s">
        <v>642</v>
      </c>
      <c r="K2" s="2152" t="s">
        <v>2786</v>
      </c>
      <c r="L2" s="2152" t="s">
        <v>2790</v>
      </c>
      <c r="M2" s="815"/>
      <c r="N2" s="815"/>
    </row>
    <row r="3" spans="1:14" ht="18.75" thickBot="1">
      <c r="A3" s="59"/>
      <c r="B3" s="854" t="s">
        <v>2453</v>
      </c>
      <c r="C3" s="854"/>
      <c r="D3" s="855"/>
      <c r="E3" s="855"/>
      <c r="F3" s="855"/>
      <c r="G3" s="855"/>
      <c r="H3" s="887" t="s">
        <v>163</v>
      </c>
      <c r="I3" s="2018" t="str">
        <f>'1 Summary'!G2</f>
        <v/>
      </c>
      <c r="J3" s="2019"/>
      <c r="K3" s="2019"/>
      <c r="L3" s="2050"/>
      <c r="M3" s="855"/>
      <c r="N3" s="815"/>
    </row>
    <row r="4" spans="1:14" ht="18.75" thickBot="1">
      <c r="A4" s="59"/>
      <c r="B4" s="854" t="s">
        <v>2916</v>
      </c>
      <c r="C4" s="855"/>
      <c r="D4" s="855"/>
      <c r="E4" s="855"/>
      <c r="F4" s="855"/>
      <c r="G4" s="855"/>
      <c r="H4" s="42" t="s">
        <v>653</v>
      </c>
      <c r="I4" s="851">
        <f>'1 Summary'!G3</f>
        <v>0</v>
      </c>
      <c r="J4" s="886"/>
      <c r="K4" s="200"/>
      <c r="L4" s="812"/>
      <c r="M4" s="855"/>
      <c r="N4" s="815"/>
    </row>
    <row r="5" spans="1:14" ht="18">
      <c r="A5" s="59"/>
      <c r="B5" s="855"/>
      <c r="C5" s="855"/>
      <c r="D5" s="855"/>
      <c r="E5" s="855"/>
      <c r="F5" s="855"/>
      <c r="G5" s="855"/>
      <c r="H5" s="855"/>
      <c r="I5" s="855"/>
      <c r="J5" s="855"/>
      <c r="K5" s="855"/>
      <c r="L5" s="855"/>
      <c r="M5" s="855"/>
      <c r="N5" s="815"/>
    </row>
    <row r="6" spans="1:14" ht="18">
      <c r="A6" s="59"/>
      <c r="B6" s="852"/>
      <c r="C6" s="852"/>
      <c r="D6" s="856"/>
      <c r="E6" s="856"/>
      <c r="F6" s="856"/>
      <c r="G6" s="856"/>
      <c r="H6" s="856"/>
      <c r="I6" s="856"/>
      <c r="J6" s="856"/>
      <c r="K6" s="856"/>
      <c r="L6" s="856"/>
      <c r="M6" s="855"/>
      <c r="N6" s="815"/>
    </row>
    <row r="7" spans="1:14" ht="3" customHeight="1">
      <c r="A7" s="812"/>
      <c r="B7" s="852"/>
      <c r="C7" s="852"/>
      <c r="D7" s="59"/>
      <c r="E7" s="815"/>
      <c r="F7" s="815"/>
      <c r="G7" s="815"/>
      <c r="H7" s="815"/>
      <c r="I7" s="815"/>
      <c r="J7" s="815"/>
      <c r="K7" s="815"/>
      <c r="L7" s="815"/>
      <c r="M7" s="855"/>
      <c r="N7" s="815"/>
    </row>
    <row r="8" spans="1:14" ht="149.25" customHeight="1">
      <c r="A8" s="812"/>
      <c r="B8" s="857" t="s">
        <v>1859</v>
      </c>
      <c r="C8" s="857"/>
      <c r="D8" s="858" t="s">
        <v>1840</v>
      </c>
      <c r="E8" s="859"/>
      <c r="F8" s="858" t="s">
        <v>973</v>
      </c>
      <c r="G8" s="858" t="s">
        <v>2930</v>
      </c>
      <c r="H8" s="858" t="s">
        <v>2254</v>
      </c>
      <c r="I8" s="858" t="s">
        <v>2931</v>
      </c>
      <c r="J8" s="858" t="s">
        <v>2410</v>
      </c>
      <c r="K8" s="858" t="s">
        <v>150</v>
      </c>
      <c r="L8" s="815"/>
      <c r="M8" s="855"/>
      <c r="N8" s="815"/>
    </row>
    <row r="9" spans="1:14" ht="18">
      <c r="A9" s="815"/>
      <c r="B9" s="860"/>
      <c r="C9" s="860"/>
      <c r="D9" s="861" t="s">
        <v>1001</v>
      </c>
      <c r="E9" s="859"/>
      <c r="F9" s="862">
        <v>14</v>
      </c>
      <c r="G9" s="862">
        <v>15</v>
      </c>
      <c r="H9" s="862">
        <v>16</v>
      </c>
      <c r="I9" s="862">
        <v>18</v>
      </c>
      <c r="J9" s="862">
        <v>19</v>
      </c>
      <c r="K9" s="862">
        <v>20</v>
      </c>
      <c r="L9" s="815"/>
      <c r="M9" s="855"/>
      <c r="N9" s="815"/>
    </row>
    <row r="10" spans="1:14" s="636" customFormat="1" ht="18">
      <c r="A10" s="863"/>
      <c r="B10" s="820" t="s">
        <v>580</v>
      </c>
      <c r="C10" s="834"/>
      <c r="D10" s="864"/>
      <c r="E10" s="865"/>
      <c r="F10" s="864"/>
      <c r="G10" s="864"/>
      <c r="H10" s="864"/>
      <c r="I10" s="864"/>
      <c r="J10" s="866"/>
      <c r="K10" s="867"/>
      <c r="L10" s="863"/>
      <c r="M10" s="855"/>
      <c r="N10" s="863"/>
    </row>
    <row r="11" spans="1:14" s="636" customFormat="1" ht="18">
      <c r="A11" s="863"/>
      <c r="B11" s="822" t="s">
        <v>1311</v>
      </c>
      <c r="C11" s="868">
        <v>51</v>
      </c>
      <c r="D11" s="869">
        <f>'Sch. 10 Operating Fund - Exp'!M10</f>
        <v>0</v>
      </c>
      <c r="E11" s="870"/>
      <c r="F11" s="871"/>
      <c r="G11" s="871"/>
      <c r="H11" s="871"/>
      <c r="I11" s="871"/>
      <c r="J11" s="872">
        <f>-F11+G11-H11+I11</f>
        <v>0</v>
      </c>
      <c r="K11" s="869">
        <f t="shared" ref="K11:K27" si="0">D11+J11</f>
        <v>0</v>
      </c>
      <c r="L11" s="873"/>
      <c r="M11" s="855"/>
      <c r="N11" s="863"/>
    </row>
    <row r="12" spans="1:14" s="636" customFormat="1" ht="18">
      <c r="A12" s="863"/>
      <c r="B12" s="822" t="s">
        <v>2864</v>
      </c>
      <c r="C12" s="868">
        <v>52</v>
      </c>
      <c r="D12" s="869">
        <f>'Sch. 10 Operating Fund - Exp'!M11</f>
        <v>0</v>
      </c>
      <c r="E12" s="870"/>
      <c r="F12" s="871"/>
      <c r="G12" s="871"/>
      <c r="H12" s="871"/>
      <c r="I12" s="871"/>
      <c r="J12" s="872">
        <f t="shared" ref="J12:J56" si="1">-F12+G12-H12+I12</f>
        <v>0</v>
      </c>
      <c r="K12" s="869">
        <f t="shared" si="0"/>
        <v>0</v>
      </c>
      <c r="L12" s="873"/>
      <c r="M12" s="855"/>
      <c r="N12" s="863"/>
    </row>
    <row r="13" spans="1:14" s="636" customFormat="1" ht="18">
      <c r="A13" s="863"/>
      <c r="B13" s="822" t="s">
        <v>1813</v>
      </c>
      <c r="C13" s="868">
        <v>53.1</v>
      </c>
      <c r="D13" s="869">
        <f>'Sch. 10 Operating Fund - Exp'!M12</f>
        <v>0</v>
      </c>
      <c r="E13" s="870"/>
      <c r="F13" s="871"/>
      <c r="G13" s="871"/>
      <c r="H13" s="871"/>
      <c r="I13" s="871"/>
      <c r="J13" s="872">
        <f t="shared" si="1"/>
        <v>0</v>
      </c>
      <c r="K13" s="869">
        <f t="shared" si="0"/>
        <v>0</v>
      </c>
      <c r="L13" s="873"/>
      <c r="M13" s="855"/>
      <c r="N13" s="863"/>
    </row>
    <row r="14" spans="1:14" s="636" customFormat="1" ht="18">
      <c r="A14" s="863"/>
      <c r="B14" s="822" t="s">
        <v>2269</v>
      </c>
      <c r="C14" s="868">
        <v>53.2</v>
      </c>
      <c r="D14" s="869">
        <f>'Sch. 10 Operating Fund - Exp'!M13</f>
        <v>0</v>
      </c>
      <c r="E14" s="870"/>
      <c r="F14" s="871"/>
      <c r="G14" s="871"/>
      <c r="H14" s="871"/>
      <c r="I14" s="871"/>
      <c r="J14" s="872">
        <f t="shared" si="1"/>
        <v>0</v>
      </c>
      <c r="K14" s="869">
        <f t="shared" si="0"/>
        <v>0</v>
      </c>
      <c r="L14" s="873"/>
      <c r="M14" s="855"/>
      <c r="N14" s="863"/>
    </row>
    <row r="15" spans="1:14" s="636" customFormat="1" ht="30.75">
      <c r="A15" s="863"/>
      <c r="B15" s="817" t="s">
        <v>2126</v>
      </c>
      <c r="C15" s="874">
        <v>55</v>
      </c>
      <c r="D15" s="869">
        <f>'Sch. 10 Operating Fund - Exp'!M14</f>
        <v>0</v>
      </c>
      <c r="E15" s="870"/>
      <c r="F15" s="871"/>
      <c r="G15" s="871"/>
      <c r="H15" s="871"/>
      <c r="I15" s="871"/>
      <c r="J15" s="872">
        <f t="shared" si="1"/>
        <v>0</v>
      </c>
      <c r="K15" s="869">
        <f t="shared" si="0"/>
        <v>0</v>
      </c>
      <c r="L15" s="873"/>
      <c r="M15" s="855"/>
      <c r="N15" s="863"/>
    </row>
    <row r="16" spans="1:14" s="636" customFormat="1" ht="18">
      <c r="A16" s="863"/>
      <c r="B16" s="822" t="s">
        <v>1814</v>
      </c>
      <c r="C16" s="868">
        <v>54</v>
      </c>
      <c r="D16" s="869">
        <f>'Sch. 10 Operating Fund - Exp'!M15</f>
        <v>0</v>
      </c>
      <c r="E16" s="870"/>
      <c r="F16" s="871"/>
      <c r="G16" s="871"/>
      <c r="H16" s="871"/>
      <c r="I16" s="871"/>
      <c r="J16" s="872">
        <f t="shared" si="1"/>
        <v>0</v>
      </c>
      <c r="K16" s="869">
        <f t="shared" si="0"/>
        <v>0</v>
      </c>
      <c r="L16" s="873"/>
      <c r="M16" s="855"/>
      <c r="N16" s="863"/>
    </row>
    <row r="17" spans="1:14" s="636" customFormat="1" ht="30.75">
      <c r="A17" s="863"/>
      <c r="B17" s="817" t="s">
        <v>1543</v>
      </c>
      <c r="C17" s="874">
        <v>56</v>
      </c>
      <c r="D17" s="869">
        <f>'Sch. 10 Operating Fund - Exp'!M16</f>
        <v>0</v>
      </c>
      <c r="E17" s="870"/>
      <c r="F17" s="871"/>
      <c r="G17" s="871"/>
      <c r="H17" s="871"/>
      <c r="I17" s="871"/>
      <c r="J17" s="872">
        <f t="shared" si="1"/>
        <v>0</v>
      </c>
      <c r="K17" s="869">
        <f t="shared" si="0"/>
        <v>0</v>
      </c>
      <c r="L17" s="873"/>
      <c r="M17" s="855"/>
      <c r="N17" s="863"/>
    </row>
    <row r="18" spans="1:14" s="636" customFormat="1" ht="18">
      <c r="A18" s="863"/>
      <c r="B18" s="822" t="s">
        <v>197</v>
      </c>
      <c r="C18" s="868">
        <v>57</v>
      </c>
      <c r="D18" s="869">
        <f>'Sch. 10 Operating Fund - Exp'!M17</f>
        <v>0</v>
      </c>
      <c r="E18" s="870"/>
      <c r="F18" s="871"/>
      <c r="G18" s="871"/>
      <c r="H18" s="871"/>
      <c r="I18" s="871"/>
      <c r="J18" s="872">
        <f t="shared" si="1"/>
        <v>0</v>
      </c>
      <c r="K18" s="869">
        <f t="shared" si="0"/>
        <v>0</v>
      </c>
      <c r="L18" s="873"/>
      <c r="M18" s="855"/>
      <c r="N18" s="863"/>
    </row>
    <row r="19" spans="1:14" s="636" customFormat="1" ht="18">
      <c r="A19" s="863"/>
      <c r="B19" s="822" t="s">
        <v>1196</v>
      </c>
      <c r="C19" s="868">
        <v>58</v>
      </c>
      <c r="D19" s="869">
        <f>'Sch. 10 Operating Fund - Exp'!M18</f>
        <v>0</v>
      </c>
      <c r="E19" s="870"/>
      <c r="F19" s="871"/>
      <c r="G19" s="871"/>
      <c r="H19" s="871"/>
      <c r="I19" s="871"/>
      <c r="J19" s="872">
        <f t="shared" si="1"/>
        <v>0</v>
      </c>
      <c r="K19" s="869">
        <f t="shared" si="0"/>
        <v>0</v>
      </c>
      <c r="L19" s="873"/>
      <c r="M19" s="855"/>
      <c r="N19" s="863"/>
    </row>
    <row r="20" spans="1:14" s="636" customFormat="1" ht="18">
      <c r="A20" s="863"/>
      <c r="B20" s="817" t="s">
        <v>1389</v>
      </c>
      <c r="C20" s="874">
        <v>67</v>
      </c>
      <c r="D20" s="869">
        <f>'Sch. 10 Operating Fund - Exp'!M19</f>
        <v>0</v>
      </c>
      <c r="E20" s="870"/>
      <c r="F20" s="871"/>
      <c r="G20" s="871"/>
      <c r="H20" s="871"/>
      <c r="I20" s="871"/>
      <c r="J20" s="872">
        <f t="shared" si="1"/>
        <v>0</v>
      </c>
      <c r="K20" s="869">
        <f t="shared" si="0"/>
        <v>0</v>
      </c>
      <c r="L20" s="873"/>
      <c r="M20" s="855"/>
      <c r="N20" s="863"/>
    </row>
    <row r="21" spans="1:14" s="636" customFormat="1" ht="18">
      <c r="A21" s="863"/>
      <c r="B21" s="817" t="s">
        <v>1388</v>
      </c>
      <c r="C21" s="874">
        <v>61</v>
      </c>
      <c r="D21" s="869">
        <f>'Sch. 10 Operating Fund - Exp'!M20</f>
        <v>0</v>
      </c>
      <c r="E21" s="870"/>
      <c r="F21" s="871"/>
      <c r="G21" s="871"/>
      <c r="H21" s="871"/>
      <c r="I21" s="871"/>
      <c r="J21" s="872">
        <f t="shared" si="1"/>
        <v>0</v>
      </c>
      <c r="K21" s="869">
        <f t="shared" si="0"/>
        <v>0</v>
      </c>
      <c r="L21" s="873"/>
      <c r="M21" s="855"/>
      <c r="N21" s="863"/>
    </row>
    <row r="22" spans="1:14" s="636" customFormat="1" ht="18">
      <c r="A22" s="863"/>
      <c r="B22" s="817" t="s">
        <v>2054</v>
      </c>
      <c r="C22" s="874">
        <v>62</v>
      </c>
      <c r="D22" s="869">
        <f>'Sch. 10 Operating Fund - Exp'!M21</f>
        <v>0</v>
      </c>
      <c r="E22" s="870"/>
      <c r="F22" s="871"/>
      <c r="G22" s="871"/>
      <c r="H22" s="871"/>
      <c r="I22" s="871"/>
      <c r="J22" s="872">
        <f t="shared" si="1"/>
        <v>0</v>
      </c>
      <c r="K22" s="869">
        <f t="shared" si="0"/>
        <v>0</v>
      </c>
      <c r="L22" s="873"/>
      <c r="M22" s="855"/>
      <c r="N22" s="863"/>
    </row>
    <row r="23" spans="1:14" s="636" customFormat="1" ht="18">
      <c r="A23" s="863"/>
      <c r="B23" s="822" t="s">
        <v>624</v>
      </c>
      <c r="C23" s="868">
        <v>59</v>
      </c>
      <c r="D23" s="869">
        <f>'Sch. 10 Operating Fund - Exp'!M22</f>
        <v>0</v>
      </c>
      <c r="E23" s="870"/>
      <c r="F23" s="871"/>
      <c r="G23" s="871"/>
      <c r="H23" s="871"/>
      <c r="I23" s="871"/>
      <c r="J23" s="872">
        <f t="shared" si="1"/>
        <v>0</v>
      </c>
      <c r="K23" s="869">
        <f t="shared" si="0"/>
        <v>0</v>
      </c>
      <c r="L23" s="873"/>
      <c r="M23" s="855"/>
      <c r="N23" s="863"/>
    </row>
    <row r="24" spans="1:14" s="636" customFormat="1" ht="30.75">
      <c r="A24" s="863"/>
      <c r="B24" s="817" t="s">
        <v>741</v>
      </c>
      <c r="C24" s="874">
        <v>63</v>
      </c>
      <c r="D24" s="869">
        <f>'Sch. 10 Operating Fund - Exp'!M23</f>
        <v>0</v>
      </c>
      <c r="E24" s="870"/>
      <c r="F24" s="871"/>
      <c r="G24" s="871"/>
      <c r="H24" s="871"/>
      <c r="I24" s="871"/>
      <c r="J24" s="872">
        <f t="shared" si="1"/>
        <v>0</v>
      </c>
      <c r="K24" s="869">
        <f t="shared" si="0"/>
        <v>0</v>
      </c>
      <c r="L24" s="873"/>
      <c r="M24" s="855"/>
      <c r="N24" s="863"/>
    </row>
    <row r="25" spans="1:14" s="636" customFormat="1" ht="18">
      <c r="A25" s="863"/>
      <c r="B25" s="831" t="s">
        <v>1621</v>
      </c>
      <c r="C25" s="832">
        <v>72</v>
      </c>
      <c r="D25" s="869">
        <f>'Sch. 10 Operating Fund - Exp'!M24</f>
        <v>0</v>
      </c>
      <c r="E25" s="870"/>
      <c r="F25" s="875"/>
      <c r="G25" s="875"/>
      <c r="H25" s="875"/>
      <c r="I25" s="875"/>
      <c r="J25" s="872">
        <f t="shared" si="1"/>
        <v>0</v>
      </c>
      <c r="K25" s="869">
        <f t="shared" si="0"/>
        <v>0</v>
      </c>
      <c r="L25" s="873"/>
      <c r="M25" s="855"/>
      <c r="N25" s="863"/>
    </row>
    <row r="26" spans="1:14" s="636" customFormat="1" ht="18">
      <c r="A26" s="863"/>
      <c r="B26" s="831" t="s">
        <v>1541</v>
      </c>
      <c r="C26" s="832">
        <v>72.099999999999994</v>
      </c>
      <c r="D26" s="869">
        <f>'Sch. 10 Operating Fund - Exp'!M25</f>
        <v>0</v>
      </c>
      <c r="E26" s="870"/>
      <c r="F26" s="875"/>
      <c r="G26" s="875"/>
      <c r="H26" s="875"/>
      <c r="I26" s="875"/>
      <c r="J26" s="872">
        <f t="shared" si="1"/>
        <v>0</v>
      </c>
      <c r="K26" s="869">
        <f t="shared" si="0"/>
        <v>0</v>
      </c>
      <c r="L26" s="873"/>
      <c r="M26" s="855"/>
      <c r="N26" s="863"/>
    </row>
    <row r="27" spans="1:14" s="636" customFormat="1" ht="18">
      <c r="A27" s="863"/>
      <c r="B27" s="833" t="s">
        <v>1623</v>
      </c>
      <c r="C27" s="832"/>
      <c r="D27" s="869">
        <f>SUM(D11:D26)</f>
        <v>0</v>
      </c>
      <c r="E27" s="870"/>
      <c r="F27" s="875">
        <f>SUM(F11:F26)</f>
        <v>0</v>
      </c>
      <c r="G27" s="875">
        <f>SUM(G11:G26)</f>
        <v>0</v>
      </c>
      <c r="H27" s="875">
        <f>SUM(H11:H26)</f>
        <v>0</v>
      </c>
      <c r="I27" s="875">
        <f>SUM(I11:I26)</f>
        <v>0</v>
      </c>
      <c r="J27" s="872">
        <f t="shared" si="1"/>
        <v>0</v>
      </c>
      <c r="K27" s="869">
        <f t="shared" si="0"/>
        <v>0</v>
      </c>
      <c r="L27" s="873"/>
      <c r="M27" s="855"/>
      <c r="N27" s="863"/>
    </row>
    <row r="28" spans="1:14" s="636" customFormat="1" ht="18">
      <c r="A28" s="863"/>
      <c r="B28" s="834" t="s">
        <v>742</v>
      </c>
      <c r="C28" s="835"/>
      <c r="D28" s="876"/>
      <c r="E28" s="870"/>
      <c r="F28" s="877"/>
      <c r="G28" s="877"/>
      <c r="H28" s="877"/>
      <c r="I28" s="877"/>
      <c r="J28" s="876"/>
      <c r="K28" s="876"/>
      <c r="L28" s="873"/>
      <c r="M28" s="855"/>
      <c r="N28" s="863"/>
    </row>
    <row r="29" spans="1:14" s="636" customFormat="1" ht="18">
      <c r="A29" s="863"/>
      <c r="B29" s="822" t="s">
        <v>743</v>
      </c>
      <c r="C29" s="868">
        <v>64</v>
      </c>
      <c r="D29" s="869">
        <f>'Sch. 10 Operating Fund - Exp'!M28</f>
        <v>0</v>
      </c>
      <c r="E29" s="870"/>
      <c r="F29" s="871"/>
      <c r="G29" s="871"/>
      <c r="H29" s="871"/>
      <c r="I29" s="871"/>
      <c r="J29" s="872">
        <f t="shared" si="1"/>
        <v>0</v>
      </c>
      <c r="K29" s="869">
        <f t="shared" ref="K29:K34" si="2">D29+J29</f>
        <v>0</v>
      </c>
      <c r="L29" s="873"/>
      <c r="M29" s="855"/>
      <c r="N29" s="863"/>
    </row>
    <row r="30" spans="1:14" s="636" customFormat="1" ht="18">
      <c r="A30" s="863"/>
      <c r="B30" s="822" t="s">
        <v>744</v>
      </c>
      <c r="C30" s="868">
        <v>65</v>
      </c>
      <c r="D30" s="869">
        <f>'Sch. 10 Operating Fund - Exp'!M29</f>
        <v>0</v>
      </c>
      <c r="E30" s="870"/>
      <c r="F30" s="871"/>
      <c r="G30" s="871"/>
      <c r="H30" s="871"/>
      <c r="I30" s="871"/>
      <c r="J30" s="872">
        <f t="shared" si="1"/>
        <v>0</v>
      </c>
      <c r="K30" s="869">
        <f t="shared" si="2"/>
        <v>0</v>
      </c>
      <c r="L30" s="873"/>
      <c r="M30" s="855"/>
      <c r="N30" s="863"/>
    </row>
    <row r="31" spans="1:14" s="636" customFormat="1" ht="45.75">
      <c r="A31" s="863"/>
      <c r="B31" s="817" t="s">
        <v>1553</v>
      </c>
      <c r="C31" s="874">
        <v>66</v>
      </c>
      <c r="D31" s="869">
        <f>'Sch. 10 Operating Fund - Exp'!M30</f>
        <v>0</v>
      </c>
      <c r="E31" s="870"/>
      <c r="F31" s="871"/>
      <c r="G31" s="871"/>
      <c r="H31" s="871"/>
      <c r="I31" s="871"/>
      <c r="J31" s="872">
        <f t="shared" si="1"/>
        <v>0</v>
      </c>
      <c r="K31" s="869">
        <f t="shared" si="2"/>
        <v>0</v>
      </c>
      <c r="L31" s="873"/>
      <c r="M31" s="855"/>
      <c r="N31" s="863"/>
    </row>
    <row r="32" spans="1:14" s="636" customFormat="1" ht="18">
      <c r="A32" s="863"/>
      <c r="B32" s="831" t="s">
        <v>1621</v>
      </c>
      <c r="C32" s="832">
        <v>73</v>
      </c>
      <c r="D32" s="869">
        <f>'Sch. 10 Operating Fund - Exp'!M31</f>
        <v>0</v>
      </c>
      <c r="E32" s="870"/>
      <c r="F32" s="875"/>
      <c r="G32" s="875"/>
      <c r="H32" s="875"/>
      <c r="I32" s="875"/>
      <c r="J32" s="872">
        <f t="shared" si="1"/>
        <v>0</v>
      </c>
      <c r="K32" s="869">
        <f t="shared" si="2"/>
        <v>0</v>
      </c>
      <c r="L32" s="873"/>
      <c r="M32" s="855"/>
      <c r="N32" s="863"/>
    </row>
    <row r="33" spans="1:14" s="636" customFormat="1" ht="18">
      <c r="A33" s="863"/>
      <c r="B33" s="831" t="s">
        <v>1541</v>
      </c>
      <c r="C33" s="832">
        <v>73.099999999999994</v>
      </c>
      <c r="D33" s="869">
        <f>'Sch. 10 Operating Fund - Exp'!M32</f>
        <v>0</v>
      </c>
      <c r="E33" s="870"/>
      <c r="F33" s="875"/>
      <c r="G33" s="875"/>
      <c r="H33" s="875"/>
      <c r="I33" s="875"/>
      <c r="J33" s="872">
        <f t="shared" si="1"/>
        <v>0</v>
      </c>
      <c r="K33" s="869">
        <f t="shared" si="2"/>
        <v>0</v>
      </c>
      <c r="L33" s="873"/>
      <c r="M33" s="855"/>
      <c r="N33" s="863"/>
    </row>
    <row r="34" spans="1:14" s="636" customFormat="1" ht="18">
      <c r="A34" s="863"/>
      <c r="B34" s="833" t="s">
        <v>1624</v>
      </c>
      <c r="C34" s="832"/>
      <c r="D34" s="869">
        <f>SUM(D29:D33)</f>
        <v>0</v>
      </c>
      <c r="E34" s="870"/>
      <c r="F34" s="875">
        <f>SUM(F29:F33)</f>
        <v>0</v>
      </c>
      <c r="G34" s="875">
        <f>SUM(G29:G33)</f>
        <v>0</v>
      </c>
      <c r="H34" s="875">
        <f>SUM(H29:H33)</f>
        <v>0</v>
      </c>
      <c r="I34" s="875">
        <f>SUM(I29:I33)</f>
        <v>0</v>
      </c>
      <c r="J34" s="872">
        <f t="shared" si="1"/>
        <v>0</v>
      </c>
      <c r="K34" s="869">
        <f t="shared" si="2"/>
        <v>0</v>
      </c>
      <c r="L34" s="873"/>
      <c r="M34" s="855"/>
      <c r="N34" s="863"/>
    </row>
    <row r="35" spans="1:14" s="636" customFormat="1" ht="18">
      <c r="A35" s="863"/>
      <c r="B35" s="834" t="s">
        <v>1554</v>
      </c>
      <c r="C35" s="835"/>
      <c r="D35" s="876"/>
      <c r="E35" s="870"/>
      <c r="F35" s="877"/>
      <c r="G35" s="877"/>
      <c r="H35" s="877"/>
      <c r="I35" s="877"/>
      <c r="J35" s="876"/>
      <c r="K35" s="876"/>
      <c r="L35" s="873"/>
      <c r="M35" s="855"/>
      <c r="N35" s="863"/>
    </row>
    <row r="36" spans="1:14" s="636" customFormat="1" ht="45.75">
      <c r="A36" s="863"/>
      <c r="B36" s="817" t="s">
        <v>753</v>
      </c>
      <c r="C36" s="874">
        <v>68</v>
      </c>
      <c r="D36" s="869">
        <f>'Sch. 10 Operating Fund - Exp'!M35</f>
        <v>0</v>
      </c>
      <c r="E36" s="870"/>
      <c r="F36" s="871"/>
      <c r="G36" s="871"/>
      <c r="H36" s="871"/>
      <c r="I36" s="871"/>
      <c r="J36" s="872">
        <f t="shared" si="1"/>
        <v>0</v>
      </c>
      <c r="K36" s="869">
        <f>D36+J36</f>
        <v>0</v>
      </c>
      <c r="L36" s="873"/>
      <c r="M36" s="855"/>
      <c r="N36" s="863"/>
    </row>
    <row r="37" spans="1:14" s="636" customFormat="1" ht="30.75">
      <c r="A37" s="863"/>
      <c r="B37" s="817" t="s">
        <v>852</v>
      </c>
      <c r="C37" s="874">
        <v>69</v>
      </c>
      <c r="D37" s="869">
        <f>'Sch. 10 Operating Fund - Exp'!M36</f>
        <v>0</v>
      </c>
      <c r="E37" s="870"/>
      <c r="F37" s="871"/>
      <c r="G37" s="871"/>
      <c r="H37" s="871"/>
      <c r="I37" s="871"/>
      <c r="J37" s="872">
        <f t="shared" si="1"/>
        <v>0</v>
      </c>
      <c r="K37" s="869">
        <f>D37+J37</f>
        <v>0</v>
      </c>
      <c r="L37" s="873"/>
      <c r="M37" s="855"/>
      <c r="N37" s="863"/>
    </row>
    <row r="38" spans="1:14" s="636" customFormat="1" ht="18">
      <c r="A38" s="863"/>
      <c r="B38" s="831" t="s">
        <v>1621</v>
      </c>
      <c r="C38" s="832">
        <v>74</v>
      </c>
      <c r="D38" s="869">
        <f>'Sch. 10 Operating Fund - Exp'!M37</f>
        <v>0</v>
      </c>
      <c r="E38" s="870"/>
      <c r="F38" s="875"/>
      <c r="G38" s="875"/>
      <c r="H38" s="875"/>
      <c r="I38" s="875"/>
      <c r="J38" s="872">
        <f t="shared" si="1"/>
        <v>0</v>
      </c>
      <c r="K38" s="869">
        <f>D38+J38</f>
        <v>0</v>
      </c>
      <c r="L38" s="873"/>
      <c r="M38" s="855"/>
      <c r="N38" s="863"/>
    </row>
    <row r="39" spans="1:14" s="636" customFormat="1" ht="18">
      <c r="A39" s="863"/>
      <c r="B39" s="831" t="s">
        <v>1541</v>
      </c>
      <c r="C39" s="832">
        <v>74.099999999999994</v>
      </c>
      <c r="D39" s="869">
        <f>'Sch. 10 Operating Fund - Exp'!M38</f>
        <v>0</v>
      </c>
      <c r="E39" s="870"/>
      <c r="F39" s="875"/>
      <c r="G39" s="875"/>
      <c r="H39" s="875"/>
      <c r="I39" s="875"/>
      <c r="J39" s="872">
        <f t="shared" si="1"/>
        <v>0</v>
      </c>
      <c r="K39" s="869">
        <f>D39+J39</f>
        <v>0</v>
      </c>
      <c r="L39" s="873"/>
      <c r="M39" s="855"/>
      <c r="N39" s="863"/>
    </row>
    <row r="40" spans="1:14" s="636" customFormat="1" ht="18">
      <c r="A40" s="863"/>
      <c r="B40" s="833" t="s">
        <v>1625</v>
      </c>
      <c r="C40" s="832"/>
      <c r="D40" s="869">
        <f>SUM(D36:D39)</f>
        <v>0</v>
      </c>
      <c r="E40" s="870"/>
      <c r="F40" s="875">
        <f>SUM(F36:F39)</f>
        <v>0</v>
      </c>
      <c r="G40" s="875">
        <f>SUM(G36:G39)</f>
        <v>0</v>
      </c>
      <c r="H40" s="875">
        <f>SUM(H36:H39)</f>
        <v>0</v>
      </c>
      <c r="I40" s="875">
        <f>SUM(I36:I39)</f>
        <v>0</v>
      </c>
      <c r="J40" s="872">
        <f t="shared" si="1"/>
        <v>0</v>
      </c>
      <c r="K40" s="869">
        <f>D40+J40</f>
        <v>0</v>
      </c>
      <c r="L40" s="873"/>
      <c r="M40" s="855"/>
      <c r="N40" s="863"/>
    </row>
    <row r="41" spans="1:14" s="636" customFormat="1" ht="18">
      <c r="A41" s="863"/>
      <c r="B41" s="834" t="s">
        <v>853</v>
      </c>
      <c r="C41" s="835"/>
      <c r="D41" s="876"/>
      <c r="E41" s="870"/>
      <c r="F41" s="877"/>
      <c r="G41" s="877"/>
      <c r="H41" s="877"/>
      <c r="I41" s="877"/>
      <c r="J41" s="876"/>
      <c r="K41" s="876"/>
      <c r="L41" s="873"/>
      <c r="M41" s="855"/>
      <c r="N41" s="863"/>
    </row>
    <row r="42" spans="1:14" s="636" customFormat="1" ht="18">
      <c r="A42" s="200"/>
      <c r="B42" s="817" t="s">
        <v>1605</v>
      </c>
      <c r="C42" s="874">
        <v>70</v>
      </c>
      <c r="D42" s="869">
        <f>'Sch. 10 Operating Fund - Exp'!M41</f>
        <v>0</v>
      </c>
      <c r="E42" s="870"/>
      <c r="F42" s="871"/>
      <c r="G42" s="871"/>
      <c r="H42" s="871"/>
      <c r="I42" s="871"/>
      <c r="J42" s="872">
        <f t="shared" si="1"/>
        <v>0</v>
      </c>
      <c r="K42" s="869">
        <f t="shared" ref="K42:K49" si="3">D42+J42</f>
        <v>0</v>
      </c>
      <c r="L42" s="873"/>
      <c r="M42" s="855"/>
      <c r="N42" s="863"/>
    </row>
    <row r="43" spans="1:14" s="636" customFormat="1" ht="18">
      <c r="A43" s="863"/>
      <c r="B43" s="822" t="s">
        <v>1606</v>
      </c>
      <c r="C43" s="868">
        <v>71</v>
      </c>
      <c r="D43" s="869">
        <f>'Sch. 10 Operating Fund - Exp'!M42</f>
        <v>0</v>
      </c>
      <c r="E43" s="870"/>
      <c r="F43" s="871"/>
      <c r="G43" s="871"/>
      <c r="H43" s="871"/>
      <c r="I43" s="871"/>
      <c r="J43" s="872">
        <f t="shared" si="1"/>
        <v>0</v>
      </c>
      <c r="K43" s="869">
        <f t="shared" si="3"/>
        <v>0</v>
      </c>
      <c r="L43" s="873"/>
      <c r="M43" s="855"/>
      <c r="N43" s="863"/>
    </row>
    <row r="44" spans="1:14" s="636" customFormat="1" ht="18">
      <c r="A44" s="863"/>
      <c r="B44" s="822" t="s">
        <v>1962</v>
      </c>
      <c r="C44" s="868">
        <v>72</v>
      </c>
      <c r="D44" s="869">
        <f>'Sch. 10 Operating Fund - Exp'!M43</f>
        <v>0</v>
      </c>
      <c r="E44" s="870"/>
      <c r="F44" s="875"/>
      <c r="G44" s="875"/>
      <c r="H44" s="875"/>
      <c r="I44" s="875"/>
      <c r="J44" s="872">
        <f t="shared" si="1"/>
        <v>0</v>
      </c>
      <c r="K44" s="869">
        <f t="shared" si="3"/>
        <v>0</v>
      </c>
      <c r="L44" s="873"/>
      <c r="M44" s="855"/>
      <c r="N44" s="863"/>
    </row>
    <row r="45" spans="1:14" s="636" customFormat="1" ht="18">
      <c r="A45" s="863"/>
      <c r="B45" s="822" t="s">
        <v>7</v>
      </c>
      <c r="C45" s="868">
        <v>73</v>
      </c>
      <c r="D45" s="869">
        <f>'Sch. 10 Operating Fund - Exp'!M44</f>
        <v>0</v>
      </c>
      <c r="E45" s="878"/>
      <c r="F45" s="871"/>
      <c r="G45" s="871"/>
      <c r="H45" s="871"/>
      <c r="I45" s="871"/>
      <c r="J45" s="872">
        <f t="shared" si="1"/>
        <v>0</v>
      </c>
      <c r="K45" s="869">
        <f t="shared" si="3"/>
        <v>0</v>
      </c>
      <c r="L45" s="873"/>
      <c r="M45" s="855"/>
      <c r="N45" s="863"/>
    </row>
    <row r="46" spans="1:14" s="636" customFormat="1" ht="18">
      <c r="A46" s="863"/>
      <c r="B46" s="822" t="s">
        <v>922</v>
      </c>
      <c r="C46" s="868">
        <v>75</v>
      </c>
      <c r="D46" s="869">
        <f>'Sch. 10 Operating Fund - Exp'!M45</f>
        <v>0</v>
      </c>
      <c r="E46" s="870"/>
      <c r="F46" s="871"/>
      <c r="G46" s="871"/>
      <c r="H46" s="871"/>
      <c r="I46" s="871"/>
      <c r="J46" s="872">
        <f t="shared" si="1"/>
        <v>0</v>
      </c>
      <c r="K46" s="869">
        <f t="shared" si="3"/>
        <v>0</v>
      </c>
      <c r="L46" s="879"/>
      <c r="M46" s="855"/>
      <c r="N46" s="863"/>
    </row>
    <row r="47" spans="1:14" s="636" customFormat="1" ht="18">
      <c r="A47" s="863"/>
      <c r="B47" s="831" t="s">
        <v>1621</v>
      </c>
      <c r="C47" s="840">
        <v>80</v>
      </c>
      <c r="D47" s="869">
        <f>'Sch. 10 Operating Fund - Exp'!M46</f>
        <v>0</v>
      </c>
      <c r="E47" s="873"/>
      <c r="F47" s="875"/>
      <c r="G47" s="875"/>
      <c r="H47" s="875"/>
      <c r="I47" s="875"/>
      <c r="J47" s="872">
        <f t="shared" si="1"/>
        <v>0</v>
      </c>
      <c r="K47" s="869">
        <f t="shared" si="3"/>
        <v>0</v>
      </c>
      <c r="L47" s="873"/>
      <c r="M47" s="855"/>
      <c r="N47" s="863"/>
    </row>
    <row r="48" spans="1:14" s="636" customFormat="1" ht="18">
      <c r="A48" s="863"/>
      <c r="B48" s="831" t="s">
        <v>1541</v>
      </c>
      <c r="C48" s="840">
        <v>80.099999999999994</v>
      </c>
      <c r="D48" s="869">
        <f>'Sch. 10 Operating Fund - Exp'!M47</f>
        <v>0</v>
      </c>
      <c r="E48" s="873"/>
      <c r="F48" s="875"/>
      <c r="G48" s="875"/>
      <c r="H48" s="875"/>
      <c r="I48" s="875"/>
      <c r="J48" s="872">
        <f t="shared" si="1"/>
        <v>0</v>
      </c>
      <c r="K48" s="869">
        <f t="shared" si="3"/>
        <v>0</v>
      </c>
      <c r="L48" s="873"/>
      <c r="M48" s="855"/>
      <c r="N48" s="863"/>
    </row>
    <row r="49" spans="1:14" s="636" customFormat="1" ht="18">
      <c r="A49" s="863"/>
      <c r="B49" s="842" t="s">
        <v>1626</v>
      </c>
      <c r="C49" s="840"/>
      <c r="D49" s="869">
        <f>SUM(D42:D48)</f>
        <v>0</v>
      </c>
      <c r="E49" s="873"/>
      <c r="F49" s="875">
        <f>SUM(F42:F48)</f>
        <v>0</v>
      </c>
      <c r="G49" s="875">
        <f>SUM(G42:G48)</f>
        <v>0</v>
      </c>
      <c r="H49" s="875">
        <f>SUM(H42:H48)</f>
        <v>0</v>
      </c>
      <c r="I49" s="875">
        <f>SUM(I42:I48)</f>
        <v>0</v>
      </c>
      <c r="J49" s="872">
        <f t="shared" si="1"/>
        <v>0</v>
      </c>
      <c r="K49" s="869">
        <f t="shared" si="3"/>
        <v>0</v>
      </c>
      <c r="L49" s="873"/>
      <c r="M49" s="855"/>
      <c r="N49" s="863"/>
    </row>
    <row r="50" spans="1:14" s="636" customFormat="1" ht="18">
      <c r="A50" s="88"/>
      <c r="B50" s="834" t="s">
        <v>2107</v>
      </c>
      <c r="C50" s="835"/>
      <c r="D50" s="880"/>
      <c r="E50" s="873"/>
      <c r="F50" s="877"/>
      <c r="G50" s="877"/>
      <c r="H50" s="877"/>
      <c r="I50" s="877"/>
      <c r="J50" s="880"/>
      <c r="K50" s="880"/>
      <c r="L50" s="873"/>
      <c r="M50" s="855"/>
      <c r="N50" s="88"/>
    </row>
    <row r="51" spans="1:14" s="636" customFormat="1" ht="18">
      <c r="A51" s="88"/>
      <c r="B51" s="822" t="s">
        <v>2108</v>
      </c>
      <c r="C51" s="868">
        <v>78</v>
      </c>
      <c r="D51" s="869">
        <f>'Sch. 10 Operating Fund - Exp'!M50</f>
        <v>0</v>
      </c>
      <c r="E51" s="873"/>
      <c r="F51" s="871"/>
      <c r="G51" s="871"/>
      <c r="H51" s="871"/>
      <c r="I51" s="871"/>
      <c r="J51" s="872">
        <f t="shared" si="1"/>
        <v>0</v>
      </c>
      <c r="K51" s="869">
        <f t="shared" ref="K51:K56" si="4">D51+J51</f>
        <v>0</v>
      </c>
      <c r="L51" s="873"/>
      <c r="M51" s="855"/>
      <c r="N51" s="88"/>
    </row>
    <row r="52" spans="1:14" s="636" customFormat="1" ht="18">
      <c r="A52" s="88"/>
      <c r="B52" s="843" t="s">
        <v>1715</v>
      </c>
      <c r="C52" s="840">
        <v>79</v>
      </c>
      <c r="D52" s="869">
        <f>'Sch. 10 Operating Fund - Exp'!M51</f>
        <v>0</v>
      </c>
      <c r="E52" s="873"/>
      <c r="F52" s="875"/>
      <c r="G52" s="875"/>
      <c r="H52" s="875"/>
      <c r="I52" s="875"/>
      <c r="J52" s="872">
        <f t="shared" si="1"/>
        <v>0</v>
      </c>
      <c r="K52" s="869">
        <f t="shared" si="4"/>
        <v>0</v>
      </c>
      <c r="L52" s="873"/>
      <c r="M52" s="855"/>
      <c r="N52" s="88"/>
    </row>
    <row r="53" spans="1:14" s="636" customFormat="1" ht="18">
      <c r="A53" s="88"/>
      <c r="B53" s="831" t="s">
        <v>1621</v>
      </c>
      <c r="C53" s="840"/>
      <c r="D53" s="869">
        <f>'Sch. 10 Operating Fund - Exp'!M52</f>
        <v>0</v>
      </c>
      <c r="E53" s="873"/>
      <c r="F53" s="875"/>
      <c r="G53" s="875"/>
      <c r="H53" s="875"/>
      <c r="I53" s="875"/>
      <c r="J53" s="872">
        <f t="shared" si="1"/>
        <v>0</v>
      </c>
      <c r="K53" s="869">
        <f t="shared" si="4"/>
        <v>0</v>
      </c>
      <c r="L53" s="873"/>
      <c r="M53" s="855"/>
      <c r="N53" s="88"/>
    </row>
    <row r="54" spans="1:14" s="636" customFormat="1" ht="18">
      <c r="A54" s="88"/>
      <c r="B54" s="831" t="s">
        <v>1541</v>
      </c>
      <c r="C54" s="868">
        <v>81</v>
      </c>
      <c r="D54" s="869">
        <f>'Sch. 10 Operating Fund - Exp'!M53</f>
        <v>0</v>
      </c>
      <c r="E54" s="873"/>
      <c r="F54" s="875"/>
      <c r="G54" s="875"/>
      <c r="H54" s="875"/>
      <c r="I54" s="875"/>
      <c r="J54" s="872">
        <f t="shared" si="1"/>
        <v>0</v>
      </c>
      <c r="K54" s="869">
        <f t="shared" si="4"/>
        <v>0</v>
      </c>
      <c r="L54" s="873"/>
      <c r="M54" s="855"/>
      <c r="N54" s="88"/>
    </row>
    <row r="55" spans="1:14" s="636" customFormat="1" ht="18">
      <c r="A55" s="88"/>
      <c r="B55" s="881" t="s">
        <v>1627</v>
      </c>
      <c r="C55" s="882">
        <v>82</v>
      </c>
      <c r="D55" s="869">
        <f>SUM(D51:D54)</f>
        <v>0</v>
      </c>
      <c r="E55" s="873"/>
      <c r="F55" s="883">
        <f>SUM(F51:F54)</f>
        <v>0</v>
      </c>
      <c r="G55" s="883">
        <f>SUM(G51:G54)</f>
        <v>0</v>
      </c>
      <c r="H55" s="883">
        <f>SUM(H51:H54)</f>
        <v>0</v>
      </c>
      <c r="I55" s="883">
        <f>SUM(I51:I54)</f>
        <v>0</v>
      </c>
      <c r="J55" s="872">
        <f t="shared" si="1"/>
        <v>0</v>
      </c>
      <c r="K55" s="869">
        <f t="shared" si="4"/>
        <v>0</v>
      </c>
      <c r="L55" s="873"/>
      <c r="M55" s="855"/>
      <c r="N55" s="88"/>
    </row>
    <row r="56" spans="1:14" s="636" customFormat="1" ht="18">
      <c r="A56" s="88"/>
      <c r="B56" s="848" t="s">
        <v>664</v>
      </c>
      <c r="C56" s="823">
        <v>90</v>
      </c>
      <c r="D56" s="869">
        <f>D55+D49+D40+D34+D27</f>
        <v>0</v>
      </c>
      <c r="E56" s="884"/>
      <c r="F56" s="884">
        <f>+F27+F34+F40+F49+F55</f>
        <v>0</v>
      </c>
      <c r="G56" s="884">
        <f>ROUND(+'Schedule 5'!D24,0)</f>
        <v>0</v>
      </c>
      <c r="H56" s="884">
        <f>+H27+H34+H40+H49+H55</f>
        <v>0</v>
      </c>
      <c r="I56" s="884">
        <f>ROUND('Schedule 5'!D22+'Schedule 5'!D23,0)</f>
        <v>0</v>
      </c>
      <c r="J56" s="872">
        <f t="shared" si="1"/>
        <v>0</v>
      </c>
      <c r="K56" s="869">
        <f t="shared" si="4"/>
        <v>0</v>
      </c>
      <c r="L56" s="873"/>
      <c r="M56" s="855"/>
      <c r="N56" s="88"/>
    </row>
    <row r="57" spans="1:14" s="379" customFormat="1" ht="18">
      <c r="A57" s="88"/>
      <c r="B57" s="200"/>
      <c r="C57" s="885"/>
      <c r="D57" s="88"/>
      <c r="E57" s="88"/>
      <c r="F57" s="510" t="s">
        <v>789</v>
      </c>
      <c r="G57" s="510" t="str">
        <f>IF(G55+G49+G40+G34+G27=G56,"","ERROR")</f>
        <v/>
      </c>
      <c r="H57" s="510" t="s">
        <v>789</v>
      </c>
      <c r="I57" s="510" t="str">
        <f>IF(I55+I49+I40+I34+I27=I56,"","ERROR")</f>
        <v/>
      </c>
      <c r="J57" s="511"/>
      <c r="K57" s="88"/>
      <c r="L57" s="88"/>
      <c r="M57" s="855"/>
      <c r="N57" s="88"/>
    </row>
    <row r="58" spans="1:14" s="379" customFormat="1" ht="18">
      <c r="A58" s="88"/>
      <c r="B58" s="88"/>
      <c r="C58" s="88"/>
      <c r="D58" s="88"/>
      <c r="E58" s="88"/>
      <c r="F58" s="88"/>
      <c r="G58" s="88"/>
      <c r="H58" s="509"/>
      <c r="I58" s="88"/>
      <c r="J58" s="88"/>
      <c r="K58" s="88"/>
      <c r="L58" s="88"/>
      <c r="M58" s="855"/>
      <c r="N58" s="88"/>
    </row>
    <row r="59" spans="1:14" s="379" customFormat="1" ht="18">
      <c r="A59" s="88"/>
      <c r="B59" s="88"/>
      <c r="C59" s="88"/>
      <c r="D59" s="88"/>
      <c r="E59" s="88"/>
      <c r="F59" s="88"/>
      <c r="G59" s="88"/>
      <c r="H59" s="88"/>
      <c r="I59" s="88"/>
      <c r="J59" s="88"/>
      <c r="K59" s="88"/>
      <c r="L59" s="88"/>
      <c r="M59" s="855"/>
      <c r="N59" s="88"/>
    </row>
    <row r="60" spans="1:14" s="379" customFormat="1">
      <c r="A60" s="88"/>
      <c r="B60" s="88"/>
      <c r="C60" s="88"/>
      <c r="D60" s="88"/>
      <c r="E60" s="88"/>
      <c r="F60" s="88"/>
      <c r="G60" s="88"/>
      <c r="H60" s="88"/>
      <c r="I60" s="88"/>
      <c r="J60" s="88"/>
      <c r="K60" s="88"/>
      <c r="L60" s="88"/>
      <c r="M60" s="88"/>
      <c r="N60" s="88"/>
    </row>
    <row r="61" spans="1:14" s="379" customFormat="1">
      <c r="A61" s="88"/>
      <c r="B61" s="88"/>
      <c r="C61" s="88"/>
      <c r="D61" s="88"/>
      <c r="E61" s="88"/>
      <c r="F61" s="88"/>
      <c r="G61" s="88"/>
      <c r="H61" s="88"/>
      <c r="I61" s="88"/>
      <c r="J61" s="88"/>
      <c r="K61" s="88"/>
      <c r="L61" s="88"/>
      <c r="M61" s="88"/>
      <c r="N61" s="88"/>
    </row>
    <row r="62" spans="1:14" s="636" customFormat="1" hidden="1"/>
    <row r="63" spans="1:14" s="636" customFormat="1" hidden="1"/>
    <row r="64" spans="1:14" s="636" customFormat="1" hidden="1"/>
    <row r="65" s="636" customFormat="1" hidden="1"/>
  </sheetData>
  <sheetProtection password="C7B7" sheet="1" objects="1" scenarios="1"/>
  <protectedRanges>
    <protectedRange sqref="F41:I41" name="Range6"/>
    <protectedRange sqref="F32:I33" name="Range4"/>
    <protectedRange sqref="F25:I26" name="Range2"/>
    <protectedRange sqref="F11:I24 F45:I46 F42:I43 F36:I37 F29:I31" name="Range1"/>
    <protectedRange sqref="F28:I28" name="Range3"/>
    <protectedRange sqref="F38:I39 F35:I35" name="Range5"/>
  </protectedRanges>
  <phoneticPr fontId="0" type="noConversion"/>
  <hyperlinks>
    <hyperlink ref="B2" location="Instructions2" display="Instruction"/>
    <hyperlink ref="C2" location="InstructionSubtotal2" display="Instruction Subtotal"/>
    <hyperlink ref="D2" location="Administration2" display="Administration"/>
    <hyperlink ref="E2" location="AdministrationSubtotal2" display="Administration Subtotal"/>
    <hyperlink ref="F2" location="Transportation2" display="Transportation"/>
    <hyperlink ref="G2" location="TransportationSubtotal2" display="Transportation Subtotal"/>
    <hyperlink ref="H2" location="PupilAccommodation2" display="Pupil Accommodation"/>
    <hyperlink ref="I2" location="PupilAccommodationAndTeacherages2" display="Pupil Accommodation and teacherages Subtotal"/>
    <hyperlink ref="J2" location="Other2" display="Other"/>
    <hyperlink ref="K2" location="SubtotalOther2" display="Other Subtotal"/>
    <hyperlink ref="L2" location="TotalExpenditure2" display="Total Expenditures"/>
  </hyperlinks>
  <printOptions horizontalCentered="1"/>
  <pageMargins left="0" right="0" top="1" bottom="1" header="0.5" footer="0.5"/>
  <pageSetup scale="68" orientation="landscape" copies="2" r:id="rId1"/>
  <headerFooter alignWithMargins="0">
    <oddFooter>&amp;L&amp;D,&amp;" ,Regular" &amp;T
&amp;CPage &amp;P of &amp;N&amp;R2015/16 School Authority Estimates
&amp;A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E1575"/>
  <sheetViews>
    <sheetView workbookViewId="0">
      <selection activeCell="B5" sqref="B5"/>
    </sheetView>
  </sheetViews>
  <sheetFormatPr defaultRowHeight="15.75"/>
  <cols>
    <col min="1" max="1" width="3.5703125" style="1820" bestFit="1" customWidth="1"/>
    <col min="2" max="2" width="47.85546875" style="1821" customWidth="1"/>
    <col min="3" max="3" width="14.7109375" style="1821" customWidth="1"/>
    <col min="4" max="4" width="20.5703125" style="1821" customWidth="1"/>
    <col min="5" max="5" width="17.7109375" style="1821" customWidth="1"/>
    <col min="6" max="6" width="10.7109375" style="1821" customWidth="1"/>
    <col min="7" max="7" width="3.5703125" style="1821" customWidth="1"/>
  </cols>
  <sheetData>
    <row r="1" spans="1:187">
      <c r="A1" s="1796"/>
      <c r="B1" s="86" t="s">
        <v>622</v>
      </c>
      <c r="C1" s="1798"/>
      <c r="D1" s="1798"/>
      <c r="E1" s="1798"/>
      <c r="F1" s="1799"/>
      <c r="G1" s="1799"/>
      <c r="H1" s="1783"/>
      <c r="I1" s="1783"/>
      <c r="J1" s="1783"/>
      <c r="K1" s="1783"/>
      <c r="L1" s="1783"/>
      <c r="M1" s="1783"/>
      <c r="N1" s="1783"/>
      <c r="O1" s="1783"/>
      <c r="P1" s="1783"/>
      <c r="Q1" s="1783"/>
      <c r="R1" s="1783"/>
      <c r="S1" s="1783"/>
      <c r="T1" s="1783"/>
      <c r="U1" s="1783"/>
      <c r="V1" s="1783"/>
      <c r="W1" s="1783"/>
      <c r="X1" s="1783"/>
      <c r="Y1" s="1783"/>
      <c r="Z1" s="1783"/>
      <c r="AA1" s="1783"/>
      <c r="AB1" s="1783"/>
      <c r="AC1" s="1783"/>
      <c r="AD1" s="1783"/>
      <c r="AE1" s="1783"/>
      <c r="AF1" s="1783"/>
      <c r="AG1" s="1783"/>
      <c r="AH1" s="1783"/>
      <c r="AI1" s="1783"/>
      <c r="AJ1" s="1783"/>
      <c r="AK1" s="1783"/>
      <c r="AL1" s="1783"/>
      <c r="AM1" s="1783"/>
      <c r="AN1" s="1783"/>
      <c r="AO1" s="1783"/>
      <c r="AP1" s="1783"/>
      <c r="AQ1" s="1783"/>
      <c r="AR1" s="1783"/>
      <c r="AS1" s="1783"/>
      <c r="AT1" s="1783"/>
      <c r="AU1" s="1783"/>
      <c r="AV1" s="1783"/>
      <c r="AW1" s="1783"/>
      <c r="AX1" s="1783"/>
      <c r="AY1" s="1783"/>
      <c r="AZ1" s="1783"/>
      <c r="BA1" s="1783"/>
      <c r="BB1" s="1783"/>
      <c r="BC1" s="1783"/>
      <c r="BD1" s="1783"/>
      <c r="BE1" s="1783"/>
      <c r="BF1" s="1783"/>
      <c r="BG1" s="1783"/>
      <c r="BH1" s="1783"/>
      <c r="BI1" s="1783"/>
      <c r="BJ1" s="1783"/>
      <c r="BK1" s="1783"/>
      <c r="BL1" s="1783"/>
      <c r="BM1" s="1783"/>
      <c r="BN1" s="1783"/>
      <c r="BO1" s="1783"/>
      <c r="BP1" s="1783"/>
      <c r="BQ1" s="1783"/>
      <c r="BR1" s="1783"/>
      <c r="BS1" s="1783"/>
      <c r="BT1" s="1783"/>
      <c r="BU1" s="1783"/>
      <c r="BV1" s="1783"/>
      <c r="BW1" s="1783"/>
      <c r="BX1" s="1783"/>
      <c r="BY1" s="1783"/>
      <c r="BZ1" s="1783"/>
      <c r="CA1" s="1783"/>
      <c r="CB1" s="1783"/>
      <c r="CC1" s="1783"/>
      <c r="CD1" s="1783"/>
      <c r="CE1" s="1783"/>
      <c r="CF1" s="1783"/>
      <c r="CG1" s="1783"/>
      <c r="CH1" s="1783"/>
      <c r="CI1" s="1783"/>
      <c r="CJ1" s="1783"/>
      <c r="CK1" s="1783"/>
      <c r="CL1" s="1783"/>
      <c r="CM1" s="1783"/>
      <c r="CN1" s="1783"/>
      <c r="CO1" s="1783"/>
      <c r="CP1" s="1783"/>
      <c r="CQ1" s="1783"/>
      <c r="CR1" s="1783"/>
      <c r="CS1" s="1783"/>
      <c r="CT1" s="1783"/>
      <c r="CU1" s="1783"/>
      <c r="CV1" s="1783"/>
      <c r="CW1" s="1783"/>
      <c r="CX1" s="1783"/>
      <c r="CY1" s="1783"/>
      <c r="CZ1" s="1783"/>
      <c r="DA1" s="1783"/>
      <c r="DB1" s="1783"/>
      <c r="DC1" s="1783"/>
      <c r="DD1" s="1783"/>
      <c r="DE1" s="1783"/>
      <c r="DF1" s="1783"/>
      <c r="DG1" s="1783"/>
      <c r="DH1" s="1783"/>
      <c r="DI1" s="1783"/>
      <c r="DJ1" s="1783"/>
      <c r="DK1" s="1783"/>
      <c r="DL1" s="1783"/>
      <c r="DM1" s="1783"/>
      <c r="DN1" s="1783"/>
      <c r="DO1" s="1783"/>
      <c r="DP1" s="1783"/>
      <c r="DQ1" s="1783"/>
      <c r="DR1" s="1783"/>
      <c r="DS1" s="1783"/>
      <c r="DT1" s="1783"/>
      <c r="DU1" s="1783"/>
      <c r="DV1" s="1783"/>
      <c r="DW1" s="1783"/>
      <c r="DX1" s="1783"/>
      <c r="DY1" s="1783"/>
      <c r="DZ1" s="1783"/>
      <c r="EA1" s="1783"/>
      <c r="EB1" s="1783"/>
      <c r="EC1" s="1783"/>
      <c r="ED1" s="1783"/>
      <c r="EE1" s="1783"/>
      <c r="EF1" s="1783"/>
      <c r="EG1" s="1783"/>
      <c r="EH1" s="1783"/>
      <c r="EI1" s="1783"/>
      <c r="EJ1" s="1783"/>
      <c r="EK1" s="1783"/>
      <c r="EL1" s="1783"/>
      <c r="EM1" s="1783"/>
      <c r="EN1" s="1783"/>
      <c r="EO1" s="1783"/>
      <c r="EP1" s="1783"/>
      <c r="EQ1" s="1783"/>
      <c r="ER1" s="1783"/>
      <c r="ES1" s="1783"/>
      <c r="ET1" s="1783"/>
      <c r="EU1" s="1783"/>
      <c r="EV1" s="1783"/>
      <c r="EW1" s="1783"/>
      <c r="EX1" s="1783"/>
      <c r="EY1" s="1783"/>
      <c r="EZ1" s="1783"/>
      <c r="FA1" s="1783"/>
      <c r="FB1" s="1783"/>
      <c r="FC1" s="1783"/>
      <c r="FD1" s="1783"/>
      <c r="FE1" s="1783"/>
      <c r="FF1" s="1783"/>
      <c r="FG1" s="1783"/>
      <c r="FH1" s="1783"/>
      <c r="FI1" s="1783"/>
      <c r="FJ1" s="1783"/>
      <c r="FK1" s="1783"/>
      <c r="FL1" s="1783"/>
      <c r="FM1" s="1783"/>
      <c r="FN1" s="1783"/>
      <c r="FO1" s="1783"/>
      <c r="FP1" s="1783"/>
      <c r="FQ1" s="1783"/>
      <c r="FR1" s="1783"/>
      <c r="FS1" s="1783"/>
      <c r="FT1" s="1783"/>
      <c r="FU1" s="1783"/>
      <c r="FV1" s="1783"/>
      <c r="FW1" s="1783"/>
      <c r="FX1" s="1783"/>
      <c r="FY1" s="1783"/>
      <c r="FZ1" s="1783"/>
      <c r="GA1" s="1783"/>
      <c r="GB1" s="1783"/>
      <c r="GC1" s="1783"/>
      <c r="GD1" s="1783"/>
      <c r="GE1" s="1783"/>
    </row>
    <row r="2" spans="1:187" ht="16.5" thickBot="1">
      <c r="A2" s="1796"/>
      <c r="B2" s="1798"/>
      <c r="C2" s="1798"/>
      <c r="D2" s="1798"/>
      <c r="E2" s="1798"/>
      <c r="F2" s="1799"/>
      <c r="G2" s="1799"/>
      <c r="H2" s="1783"/>
      <c r="I2" s="1783"/>
      <c r="J2" s="1783"/>
      <c r="K2" s="1783"/>
      <c r="L2" s="1783"/>
      <c r="M2" s="1783"/>
      <c r="N2" s="1783"/>
      <c r="O2" s="1783"/>
      <c r="P2" s="1783"/>
      <c r="Q2" s="1783"/>
      <c r="R2" s="1783"/>
      <c r="S2" s="1783"/>
      <c r="T2" s="1783"/>
      <c r="U2" s="1783"/>
      <c r="V2" s="1783"/>
      <c r="W2" s="1783"/>
      <c r="X2" s="1783"/>
      <c r="Y2" s="1783"/>
      <c r="Z2" s="1783"/>
      <c r="AA2" s="1783"/>
      <c r="AB2" s="1783"/>
      <c r="AC2" s="1783"/>
      <c r="AD2" s="1783"/>
      <c r="AE2" s="1783"/>
      <c r="AF2" s="1783"/>
      <c r="AG2" s="1783"/>
      <c r="AH2" s="1783"/>
      <c r="AI2" s="1783"/>
      <c r="AJ2" s="1783"/>
      <c r="AK2" s="1783"/>
      <c r="AL2" s="1783"/>
      <c r="AM2" s="1783"/>
      <c r="AN2" s="1783"/>
      <c r="AO2" s="1783"/>
      <c r="AP2" s="1783"/>
      <c r="AQ2" s="1783"/>
      <c r="AR2" s="1783"/>
      <c r="AS2" s="1783"/>
      <c r="AT2" s="1783"/>
      <c r="AU2" s="1783"/>
      <c r="AV2" s="1783"/>
      <c r="AW2" s="1783"/>
      <c r="AX2" s="1783"/>
      <c r="AY2" s="1783"/>
      <c r="AZ2" s="1783"/>
      <c r="BA2" s="1783"/>
      <c r="BB2" s="1783"/>
      <c r="BC2" s="1783"/>
      <c r="BD2" s="1783"/>
      <c r="BE2" s="1783"/>
      <c r="BF2" s="1783"/>
      <c r="BG2" s="1783"/>
      <c r="BH2" s="1783"/>
      <c r="BI2" s="1783"/>
      <c r="BJ2" s="1783"/>
      <c r="BK2" s="1783"/>
      <c r="BL2" s="1783"/>
      <c r="BM2" s="1783"/>
      <c r="BN2" s="1783"/>
      <c r="BO2" s="1783"/>
      <c r="BP2" s="1783"/>
      <c r="BQ2" s="1783"/>
      <c r="BR2" s="1783"/>
      <c r="BS2" s="1783"/>
      <c r="BT2" s="1783"/>
      <c r="BU2" s="1783"/>
      <c r="BV2" s="1783"/>
      <c r="BW2" s="1783"/>
      <c r="BX2" s="1783"/>
      <c r="BY2" s="1783"/>
      <c r="BZ2" s="1783"/>
      <c r="CA2" s="1783"/>
      <c r="CB2" s="1783"/>
      <c r="CC2" s="1783"/>
      <c r="CD2" s="1783"/>
      <c r="CE2" s="1783"/>
      <c r="CF2" s="1783"/>
      <c r="CG2" s="1783"/>
      <c r="CH2" s="1783"/>
      <c r="CI2" s="1783"/>
      <c r="CJ2" s="1783"/>
      <c r="CK2" s="1783"/>
      <c r="CL2" s="1783"/>
      <c r="CM2" s="1783"/>
      <c r="CN2" s="1783"/>
      <c r="CO2" s="1783"/>
      <c r="CP2" s="1783"/>
      <c r="CQ2" s="1783"/>
      <c r="CR2" s="1783"/>
      <c r="CS2" s="1783"/>
      <c r="CT2" s="1783"/>
      <c r="CU2" s="1783"/>
      <c r="CV2" s="1783"/>
      <c r="CW2" s="1783"/>
      <c r="CX2" s="1783"/>
      <c r="CY2" s="1783"/>
      <c r="CZ2" s="1783"/>
      <c r="DA2" s="1783"/>
      <c r="DB2" s="1783"/>
      <c r="DC2" s="1783"/>
      <c r="DD2" s="1783"/>
      <c r="DE2" s="1783"/>
      <c r="DF2" s="1783"/>
      <c r="DG2" s="1783"/>
      <c r="DH2" s="1783"/>
      <c r="DI2" s="1783"/>
      <c r="DJ2" s="1783"/>
      <c r="DK2" s="1783"/>
      <c r="DL2" s="1783"/>
      <c r="DM2" s="1783"/>
      <c r="DN2" s="1783"/>
      <c r="DO2" s="1783"/>
      <c r="DP2" s="1783"/>
      <c r="DQ2" s="1783"/>
      <c r="DR2" s="1783"/>
      <c r="DS2" s="1783"/>
      <c r="DT2" s="1783"/>
      <c r="DU2" s="1783"/>
      <c r="DV2" s="1783"/>
      <c r="DW2" s="1783"/>
      <c r="DX2" s="1783"/>
      <c r="DY2" s="1783"/>
      <c r="DZ2" s="1783"/>
      <c r="EA2" s="1783"/>
      <c r="EB2" s="1783"/>
      <c r="EC2" s="1783"/>
      <c r="ED2" s="1783"/>
      <c r="EE2" s="1783"/>
      <c r="EF2" s="1783"/>
      <c r="EG2" s="1783"/>
      <c r="EH2" s="1783"/>
      <c r="EI2" s="1783"/>
      <c r="EJ2" s="1783"/>
      <c r="EK2" s="1783"/>
      <c r="EL2" s="1783"/>
      <c r="EM2" s="1783"/>
      <c r="EN2" s="1783"/>
      <c r="EO2" s="1783"/>
      <c r="EP2" s="1783"/>
      <c r="EQ2" s="1783"/>
      <c r="ER2" s="1783"/>
      <c r="ES2" s="1783"/>
      <c r="ET2" s="1783"/>
      <c r="EU2" s="1783"/>
      <c r="EV2" s="1783"/>
      <c r="EW2" s="1783"/>
      <c r="EX2" s="1783"/>
      <c r="EY2" s="1783"/>
      <c r="EZ2" s="1783"/>
      <c r="FA2" s="1783"/>
      <c r="FB2" s="1783"/>
      <c r="FC2" s="1783"/>
      <c r="FD2" s="1783"/>
      <c r="FE2" s="1783"/>
      <c r="FF2" s="1783"/>
      <c r="FG2" s="1783"/>
      <c r="FH2" s="1783"/>
      <c r="FI2" s="1783"/>
      <c r="FJ2" s="1783"/>
      <c r="FK2" s="1783"/>
      <c r="FL2" s="1783"/>
      <c r="FM2" s="1783"/>
      <c r="FN2" s="1783"/>
      <c r="FO2" s="1783"/>
      <c r="FP2" s="1783"/>
      <c r="FQ2" s="1783"/>
      <c r="FR2" s="1783"/>
      <c r="FS2" s="1783"/>
      <c r="FT2" s="1783"/>
      <c r="FU2" s="1783"/>
      <c r="FV2" s="1783"/>
      <c r="FW2" s="1783"/>
      <c r="FX2" s="1783"/>
      <c r="FY2" s="1783"/>
      <c r="FZ2" s="1783"/>
      <c r="GA2" s="1783"/>
      <c r="GB2" s="1783"/>
      <c r="GC2" s="1783"/>
      <c r="GD2" s="1783"/>
      <c r="GE2" s="1783"/>
    </row>
    <row r="3" spans="1:187" ht="16.5" thickBot="1">
      <c r="A3" s="1800"/>
      <c r="B3" s="104" t="s">
        <v>2594</v>
      </c>
      <c r="C3" s="195"/>
      <c r="D3" s="172" t="s">
        <v>163</v>
      </c>
      <c r="E3" s="1802" t="str">
        <f>'1 Summary'!$G$2</f>
        <v/>
      </c>
      <c r="F3" s="1803"/>
      <c r="G3" s="1804"/>
      <c r="H3" s="1783"/>
      <c r="I3" s="1783"/>
      <c r="J3" s="1783"/>
      <c r="K3" s="1783"/>
      <c r="L3" s="1783"/>
      <c r="M3" s="1783"/>
      <c r="N3" s="1783"/>
      <c r="O3" s="1783"/>
      <c r="P3" s="1783"/>
      <c r="Q3" s="1783"/>
      <c r="R3" s="1783"/>
      <c r="S3" s="1783"/>
      <c r="T3" s="1783"/>
      <c r="U3" s="1783"/>
      <c r="V3" s="1783"/>
      <c r="W3" s="1783"/>
      <c r="X3" s="1783"/>
      <c r="Y3" s="1783"/>
      <c r="Z3" s="1783"/>
      <c r="AA3" s="1783"/>
      <c r="AB3" s="1783"/>
      <c r="AC3" s="1783"/>
      <c r="AD3" s="1783"/>
      <c r="AE3" s="1783"/>
      <c r="AF3" s="1783"/>
      <c r="AG3" s="1783"/>
      <c r="AH3" s="1783"/>
      <c r="AI3" s="1783"/>
      <c r="AJ3" s="1783"/>
      <c r="AK3" s="1783"/>
      <c r="AL3" s="1783"/>
      <c r="AM3" s="1783"/>
      <c r="AN3" s="1783"/>
      <c r="AO3" s="1783"/>
      <c r="AP3" s="1783"/>
      <c r="AQ3" s="1783"/>
      <c r="AR3" s="1783"/>
      <c r="AS3" s="1783"/>
      <c r="AT3" s="1783"/>
      <c r="AU3" s="1783"/>
      <c r="AV3" s="1783"/>
      <c r="AW3" s="1783"/>
      <c r="AX3" s="1783"/>
      <c r="AY3" s="1783"/>
      <c r="AZ3" s="1783"/>
      <c r="BA3" s="1783"/>
      <c r="BB3" s="1783"/>
      <c r="BC3" s="1783"/>
      <c r="BD3" s="1783"/>
      <c r="BE3" s="1783"/>
      <c r="BF3" s="1783"/>
      <c r="BG3" s="1783"/>
      <c r="BH3" s="1783"/>
      <c r="BI3" s="1783"/>
      <c r="BJ3" s="1783"/>
      <c r="BK3" s="1783"/>
      <c r="BL3" s="1783"/>
      <c r="BM3" s="1783"/>
      <c r="BN3" s="1783"/>
      <c r="BO3" s="1783"/>
      <c r="BP3" s="1783"/>
      <c r="BQ3" s="1783"/>
      <c r="BR3" s="1783"/>
      <c r="BS3" s="1783"/>
      <c r="BT3" s="1783"/>
      <c r="BU3" s="1783"/>
      <c r="BV3" s="1783"/>
      <c r="BW3" s="1783"/>
      <c r="BX3" s="1783"/>
      <c r="BY3" s="1783"/>
      <c r="BZ3" s="1783"/>
      <c r="CA3" s="1783"/>
      <c r="CB3" s="1783"/>
      <c r="CC3" s="1783"/>
      <c r="CD3" s="1783"/>
      <c r="CE3" s="1783"/>
      <c r="CF3" s="1783"/>
      <c r="CG3" s="1783"/>
      <c r="CH3" s="1783"/>
      <c r="CI3" s="1783"/>
      <c r="CJ3" s="1783"/>
      <c r="CK3" s="1783"/>
      <c r="CL3" s="1783"/>
      <c r="CM3" s="1783"/>
      <c r="CN3" s="1783"/>
      <c r="CO3" s="1783"/>
      <c r="CP3" s="1783"/>
      <c r="CQ3" s="1783"/>
      <c r="CR3" s="1783"/>
      <c r="CS3" s="1783"/>
      <c r="CT3" s="1783"/>
      <c r="CU3" s="1783"/>
      <c r="CV3" s="1783"/>
      <c r="CW3" s="1783"/>
      <c r="CX3" s="1783"/>
      <c r="CY3" s="1783"/>
      <c r="CZ3" s="1783"/>
      <c r="DA3" s="1783"/>
      <c r="DB3" s="1783"/>
      <c r="DC3" s="1783"/>
      <c r="DD3" s="1783"/>
      <c r="DE3" s="1783"/>
      <c r="DF3" s="1783"/>
      <c r="DG3" s="1783"/>
      <c r="DH3" s="1783"/>
      <c r="DI3" s="1783"/>
      <c r="DJ3" s="1783"/>
      <c r="DK3" s="1783"/>
      <c r="DL3" s="1783"/>
      <c r="DM3" s="1783"/>
      <c r="DN3" s="1783"/>
      <c r="DO3" s="1783"/>
      <c r="DP3" s="1783"/>
      <c r="DQ3" s="1783"/>
      <c r="DR3" s="1783"/>
      <c r="DS3" s="1783"/>
      <c r="DT3" s="1783"/>
      <c r="DU3" s="1783"/>
      <c r="DV3" s="1783"/>
      <c r="DW3" s="1783"/>
      <c r="DX3" s="1783"/>
      <c r="DY3" s="1783"/>
      <c r="DZ3" s="1783"/>
      <c r="EA3" s="1783"/>
      <c r="EB3" s="1783"/>
      <c r="EC3" s="1783"/>
      <c r="ED3" s="1783"/>
      <c r="EE3" s="1783"/>
      <c r="EF3" s="1783"/>
      <c r="EG3" s="1783"/>
      <c r="EH3" s="1783"/>
      <c r="EI3" s="1783"/>
      <c r="EJ3" s="1783"/>
      <c r="EK3" s="1783"/>
      <c r="EL3" s="1783"/>
      <c r="EM3" s="1783"/>
      <c r="EN3" s="1783"/>
      <c r="EO3" s="1783"/>
      <c r="EP3" s="1783"/>
      <c r="EQ3" s="1783"/>
      <c r="ER3" s="1783"/>
      <c r="ES3" s="1783"/>
      <c r="ET3" s="1783"/>
      <c r="EU3" s="1783"/>
      <c r="EV3" s="1783"/>
      <c r="EW3" s="1783"/>
      <c r="EX3" s="1783"/>
      <c r="EY3" s="1783"/>
      <c r="EZ3" s="1783"/>
      <c r="FA3" s="1783"/>
      <c r="FB3" s="1783"/>
      <c r="FC3" s="1783"/>
      <c r="FD3" s="1783"/>
      <c r="FE3" s="1783"/>
      <c r="FF3" s="1783"/>
      <c r="FG3" s="1783"/>
      <c r="FH3" s="1783"/>
      <c r="FI3" s="1783"/>
      <c r="FJ3" s="1783"/>
      <c r="FK3" s="1783"/>
      <c r="FL3" s="1783"/>
      <c r="FM3" s="1783"/>
      <c r="FN3" s="1783"/>
      <c r="FO3" s="1783"/>
      <c r="FP3" s="1783"/>
      <c r="FQ3" s="1783"/>
      <c r="FR3" s="1783"/>
      <c r="FS3" s="1783"/>
      <c r="FT3" s="1783"/>
      <c r="FU3" s="1783"/>
      <c r="FV3" s="1783"/>
      <c r="FW3" s="1783"/>
      <c r="FX3" s="1783"/>
      <c r="FY3" s="1783"/>
      <c r="FZ3" s="1783"/>
      <c r="GA3" s="1783"/>
      <c r="GB3" s="1783"/>
      <c r="GC3" s="1783"/>
      <c r="GD3" s="1783"/>
      <c r="GE3" s="1783"/>
    </row>
    <row r="4" spans="1:187" ht="16.5" thickBot="1">
      <c r="A4" s="1800"/>
      <c r="B4" s="104" t="s">
        <v>2916</v>
      </c>
      <c r="C4" s="195"/>
      <c r="D4" s="3" t="s">
        <v>653</v>
      </c>
      <c r="E4" s="1805">
        <f>'1 Summary'!G3</f>
        <v>0</v>
      </c>
      <c r="F4" s="15"/>
      <c r="G4" s="1806"/>
      <c r="H4" s="1783"/>
      <c r="I4" s="1783"/>
      <c r="J4" s="1783"/>
      <c r="K4" s="1783"/>
      <c r="L4" s="1783"/>
      <c r="M4" s="1783"/>
      <c r="N4" s="1783"/>
      <c r="O4" s="1783"/>
      <c r="P4" s="1783"/>
      <c r="Q4" s="1783"/>
      <c r="R4" s="1783"/>
      <c r="S4" s="1783"/>
      <c r="T4" s="1783"/>
      <c r="U4" s="1783"/>
      <c r="V4" s="1783"/>
      <c r="W4" s="1783"/>
      <c r="X4" s="1783"/>
      <c r="Y4" s="1783"/>
      <c r="Z4" s="1783"/>
      <c r="AA4" s="1783"/>
      <c r="AB4" s="1783"/>
      <c r="AC4" s="1783"/>
      <c r="AD4" s="1783"/>
      <c r="AE4" s="1783"/>
      <c r="AF4" s="1783"/>
      <c r="AG4" s="1783"/>
      <c r="AH4" s="1783"/>
      <c r="AI4" s="1783"/>
      <c r="AJ4" s="1783"/>
      <c r="AK4" s="1783"/>
      <c r="AL4" s="1783"/>
      <c r="AM4" s="1783"/>
      <c r="AN4" s="1783"/>
      <c r="AO4" s="1783"/>
      <c r="AP4" s="1783"/>
      <c r="AQ4" s="1783"/>
      <c r="AR4" s="1783"/>
      <c r="AS4" s="1783"/>
      <c r="AT4" s="1783"/>
      <c r="AU4" s="1783"/>
      <c r="AV4" s="1783"/>
      <c r="AW4" s="1783"/>
      <c r="AX4" s="1783"/>
      <c r="AY4" s="1783"/>
      <c r="AZ4" s="1783"/>
      <c r="BA4" s="1783"/>
      <c r="BB4" s="1783"/>
      <c r="BC4" s="1783"/>
      <c r="BD4" s="1783"/>
      <c r="BE4" s="1783"/>
      <c r="BF4" s="1783"/>
      <c r="BG4" s="1783"/>
      <c r="BH4" s="1783"/>
      <c r="BI4" s="1783"/>
      <c r="BJ4" s="1783"/>
      <c r="BK4" s="1783"/>
      <c r="BL4" s="1783"/>
      <c r="BM4" s="1783"/>
      <c r="BN4" s="1783"/>
      <c r="BO4" s="1783"/>
      <c r="BP4" s="1783"/>
      <c r="BQ4" s="1783"/>
      <c r="BR4" s="1783"/>
      <c r="BS4" s="1783"/>
      <c r="BT4" s="1783"/>
      <c r="BU4" s="1783"/>
      <c r="BV4" s="1783"/>
      <c r="BW4" s="1783"/>
      <c r="BX4" s="1783"/>
      <c r="BY4" s="1783"/>
      <c r="BZ4" s="1783"/>
      <c r="CA4" s="1783"/>
      <c r="CB4" s="1783"/>
      <c r="CC4" s="1783"/>
      <c r="CD4" s="1783"/>
      <c r="CE4" s="1783"/>
      <c r="CF4" s="1783"/>
      <c r="CG4" s="1783"/>
      <c r="CH4" s="1783"/>
      <c r="CI4" s="1783"/>
      <c r="CJ4" s="1783"/>
      <c r="CK4" s="1783"/>
      <c r="CL4" s="1783"/>
      <c r="CM4" s="1783"/>
      <c r="CN4" s="1783"/>
      <c r="CO4" s="1783"/>
      <c r="CP4" s="1783"/>
      <c r="CQ4" s="1783"/>
      <c r="CR4" s="1783"/>
      <c r="CS4" s="1783"/>
      <c r="CT4" s="1783"/>
      <c r="CU4" s="1783"/>
      <c r="CV4" s="1783"/>
      <c r="CW4" s="1783"/>
      <c r="CX4" s="1783"/>
      <c r="CY4" s="1783"/>
      <c r="CZ4" s="1783"/>
      <c r="DA4" s="1783"/>
      <c r="DB4" s="1783"/>
      <c r="DC4" s="1783"/>
      <c r="DD4" s="1783"/>
      <c r="DE4" s="1783"/>
      <c r="DF4" s="1783"/>
      <c r="DG4" s="1783"/>
      <c r="DH4" s="1783"/>
      <c r="DI4" s="1783"/>
      <c r="DJ4" s="1783"/>
      <c r="DK4" s="1783"/>
      <c r="DL4" s="1783"/>
      <c r="DM4" s="1783"/>
      <c r="DN4" s="1783"/>
      <c r="DO4" s="1783"/>
      <c r="DP4" s="1783"/>
      <c r="DQ4" s="1783"/>
      <c r="DR4" s="1783"/>
      <c r="DS4" s="1783"/>
      <c r="DT4" s="1783"/>
      <c r="DU4" s="1783"/>
      <c r="DV4" s="1783"/>
      <c r="DW4" s="1783"/>
      <c r="DX4" s="1783"/>
      <c r="DY4" s="1783"/>
      <c r="DZ4" s="1783"/>
      <c r="EA4" s="1783"/>
      <c r="EB4" s="1783"/>
      <c r="EC4" s="1783"/>
      <c r="ED4" s="1783"/>
      <c r="EE4" s="1783"/>
      <c r="EF4" s="1783"/>
      <c r="EG4" s="1783"/>
      <c r="EH4" s="1783"/>
      <c r="EI4" s="1783"/>
      <c r="EJ4" s="1783"/>
      <c r="EK4" s="1783"/>
      <c r="EL4" s="1783"/>
      <c r="EM4" s="1783"/>
      <c r="EN4" s="1783"/>
      <c r="EO4" s="1783"/>
      <c r="EP4" s="1783"/>
      <c r="EQ4" s="1783"/>
      <c r="ER4" s="1783"/>
      <c r="ES4" s="1783"/>
      <c r="ET4" s="1783"/>
      <c r="EU4" s="1783"/>
      <c r="EV4" s="1783"/>
      <c r="EW4" s="1783"/>
      <c r="EX4" s="1783"/>
      <c r="EY4" s="1783"/>
      <c r="EZ4" s="1783"/>
      <c r="FA4" s="1783"/>
      <c r="FB4" s="1783"/>
      <c r="FC4" s="1783"/>
      <c r="FD4" s="1783"/>
      <c r="FE4" s="1783"/>
      <c r="FF4" s="1783"/>
      <c r="FG4" s="1783"/>
      <c r="FH4" s="1783"/>
      <c r="FI4" s="1783"/>
      <c r="FJ4" s="1783"/>
      <c r="FK4" s="1783"/>
      <c r="FL4" s="1783"/>
      <c r="FM4" s="1783"/>
      <c r="FN4" s="1783"/>
      <c r="FO4" s="1783"/>
      <c r="FP4" s="1783"/>
      <c r="FQ4" s="1783"/>
      <c r="FR4" s="1783"/>
      <c r="FS4" s="1783"/>
      <c r="FT4" s="1783"/>
      <c r="FU4" s="1783"/>
      <c r="FV4" s="1783"/>
      <c r="FW4" s="1783"/>
      <c r="FX4" s="1783"/>
      <c r="FY4" s="1783"/>
      <c r="FZ4" s="1783"/>
      <c r="GA4" s="1783"/>
      <c r="GB4" s="1783"/>
      <c r="GC4" s="1783"/>
      <c r="GD4" s="1783"/>
      <c r="GE4" s="1783"/>
    </row>
    <row r="5" spans="1:187">
      <c r="A5" s="1807"/>
      <c r="B5" s="1801"/>
      <c r="C5" s="1801"/>
      <c r="D5" s="1801"/>
      <c r="E5" s="1801"/>
      <c r="F5" s="1799"/>
      <c r="G5" s="1799"/>
      <c r="H5" s="1783"/>
      <c r="I5" s="1783"/>
      <c r="J5" s="1783"/>
      <c r="K5" s="1783"/>
      <c r="L5" s="1783"/>
      <c r="M5" s="1783"/>
      <c r="N5" s="1783"/>
      <c r="O5" s="1783"/>
      <c r="P5" s="1783"/>
      <c r="Q5" s="1783"/>
      <c r="R5" s="1783"/>
      <c r="S5" s="1783"/>
      <c r="T5" s="1783"/>
      <c r="U5" s="1783"/>
      <c r="V5" s="1783"/>
      <c r="W5" s="1783"/>
      <c r="X5" s="1783"/>
      <c r="Y5" s="1783"/>
      <c r="Z5" s="1783"/>
      <c r="AA5" s="1783"/>
      <c r="AB5" s="1783"/>
      <c r="AC5" s="1783"/>
      <c r="AD5" s="1783"/>
      <c r="AE5" s="1783"/>
      <c r="AF5" s="1783"/>
      <c r="AG5" s="1783"/>
      <c r="AH5" s="1783"/>
      <c r="AI5" s="1783"/>
      <c r="AJ5" s="1783"/>
      <c r="AK5" s="1783"/>
      <c r="AL5" s="1783"/>
      <c r="AM5" s="1783"/>
      <c r="AN5" s="1783"/>
      <c r="AO5" s="1783"/>
      <c r="AP5" s="1783"/>
      <c r="AQ5" s="1783"/>
      <c r="AR5" s="1783"/>
      <c r="AS5" s="1783"/>
      <c r="AT5" s="1783"/>
      <c r="AU5" s="1783"/>
      <c r="AV5" s="1783"/>
      <c r="AW5" s="1783"/>
      <c r="AX5" s="1783"/>
      <c r="AY5" s="1783"/>
      <c r="AZ5" s="1783"/>
      <c r="BA5" s="1783"/>
      <c r="BB5" s="1783"/>
      <c r="BC5" s="1783"/>
      <c r="BD5" s="1783"/>
      <c r="BE5" s="1783"/>
      <c r="BF5" s="1783"/>
      <c r="BG5" s="1783"/>
      <c r="BH5" s="1783"/>
      <c r="BI5" s="1783"/>
      <c r="BJ5" s="1783"/>
      <c r="BK5" s="1783"/>
      <c r="BL5" s="1783"/>
      <c r="BM5" s="1783"/>
      <c r="BN5" s="1783"/>
      <c r="BO5" s="1783"/>
      <c r="BP5" s="1783"/>
      <c r="BQ5" s="1783"/>
      <c r="BR5" s="1783"/>
      <c r="BS5" s="1783"/>
      <c r="BT5" s="1783"/>
      <c r="BU5" s="1783"/>
      <c r="BV5" s="1783"/>
      <c r="BW5" s="1783"/>
      <c r="BX5" s="1783"/>
      <c r="BY5" s="1783"/>
      <c r="BZ5" s="1783"/>
      <c r="CA5" s="1783"/>
      <c r="CB5" s="1783"/>
      <c r="CC5" s="1783"/>
      <c r="CD5" s="1783"/>
      <c r="CE5" s="1783"/>
      <c r="CF5" s="1783"/>
      <c r="CG5" s="1783"/>
      <c r="CH5" s="1783"/>
      <c r="CI5" s="1783"/>
      <c r="CJ5" s="1783"/>
      <c r="CK5" s="1783"/>
      <c r="CL5" s="1783"/>
      <c r="CM5" s="1783"/>
      <c r="CN5" s="1783"/>
      <c r="CO5" s="1783"/>
      <c r="CP5" s="1783"/>
      <c r="CQ5" s="1783"/>
      <c r="CR5" s="1783"/>
      <c r="CS5" s="1783"/>
      <c r="CT5" s="1783"/>
      <c r="CU5" s="1783"/>
      <c r="CV5" s="1783"/>
      <c r="CW5" s="1783"/>
      <c r="CX5" s="1783"/>
      <c r="CY5" s="1783"/>
      <c r="CZ5" s="1783"/>
      <c r="DA5" s="1783"/>
      <c r="DB5" s="1783"/>
      <c r="DC5" s="1783"/>
      <c r="DD5" s="1783"/>
      <c r="DE5" s="1783"/>
      <c r="DF5" s="1783"/>
      <c r="DG5" s="1783"/>
      <c r="DH5" s="1783"/>
      <c r="DI5" s="1783"/>
      <c r="DJ5" s="1783"/>
      <c r="DK5" s="1783"/>
      <c r="DL5" s="1783"/>
      <c r="DM5" s="1783"/>
      <c r="DN5" s="1783"/>
      <c r="DO5" s="1783"/>
      <c r="DP5" s="1783"/>
      <c r="DQ5" s="1783"/>
      <c r="DR5" s="1783"/>
      <c r="DS5" s="1783"/>
      <c r="DT5" s="1783"/>
      <c r="DU5" s="1783"/>
      <c r="DV5" s="1783"/>
      <c r="DW5" s="1783"/>
      <c r="DX5" s="1783"/>
      <c r="DY5" s="1783"/>
      <c r="DZ5" s="1783"/>
      <c r="EA5" s="1783"/>
      <c r="EB5" s="1783"/>
      <c r="EC5" s="1783"/>
      <c r="ED5" s="1783"/>
      <c r="EE5" s="1783"/>
      <c r="EF5" s="1783"/>
      <c r="EG5" s="1783"/>
      <c r="EH5" s="1783"/>
      <c r="EI5" s="1783"/>
      <c r="EJ5" s="1783"/>
      <c r="EK5" s="1783"/>
      <c r="EL5" s="1783"/>
      <c r="EM5" s="1783"/>
      <c r="EN5" s="1783"/>
      <c r="EO5" s="1783"/>
      <c r="EP5" s="1783"/>
      <c r="EQ5" s="1783"/>
      <c r="ER5" s="1783"/>
      <c r="ES5" s="1783"/>
      <c r="ET5" s="1783"/>
      <c r="EU5" s="1783"/>
      <c r="EV5" s="1783"/>
      <c r="EW5" s="1783"/>
      <c r="EX5" s="1783"/>
      <c r="EY5" s="1783"/>
      <c r="EZ5" s="1783"/>
      <c r="FA5" s="1783"/>
      <c r="FB5" s="1783"/>
      <c r="FC5" s="1783"/>
      <c r="FD5" s="1783"/>
      <c r="FE5" s="1783"/>
      <c r="FF5" s="1783"/>
      <c r="FG5" s="1783"/>
      <c r="FH5" s="1783"/>
      <c r="FI5" s="1783"/>
      <c r="FJ5" s="1783"/>
      <c r="FK5" s="1783"/>
      <c r="FL5" s="1783"/>
      <c r="FM5" s="1783"/>
      <c r="FN5" s="1783"/>
      <c r="FO5" s="1783"/>
      <c r="FP5" s="1783"/>
      <c r="FQ5" s="1783"/>
      <c r="FR5" s="1783"/>
      <c r="FS5" s="1783"/>
      <c r="FT5" s="1783"/>
      <c r="FU5" s="1783"/>
      <c r="FV5" s="1783"/>
      <c r="FW5" s="1783"/>
      <c r="FX5" s="1783"/>
      <c r="FY5" s="1783"/>
      <c r="FZ5" s="1783"/>
      <c r="GA5" s="1783"/>
      <c r="GB5" s="1783"/>
      <c r="GC5" s="1783"/>
      <c r="GD5" s="1783"/>
      <c r="GE5" s="1783"/>
    </row>
    <row r="6" spans="1:187">
      <c r="A6" s="1800"/>
      <c r="B6" s="1797"/>
      <c r="C6" s="1799"/>
      <c r="D6" s="1799"/>
      <c r="E6" s="1808"/>
      <c r="F6" s="1799"/>
      <c r="G6" s="1799"/>
      <c r="H6" s="1783"/>
      <c r="I6" s="1783"/>
      <c r="J6" s="1783"/>
      <c r="K6" s="1783"/>
      <c r="L6" s="1783"/>
      <c r="M6" s="1783"/>
      <c r="N6" s="1783"/>
      <c r="O6" s="1783"/>
      <c r="P6" s="1783"/>
      <c r="Q6" s="1783"/>
      <c r="R6" s="1783"/>
      <c r="S6" s="1783"/>
      <c r="T6" s="1783"/>
      <c r="U6" s="1783"/>
      <c r="V6" s="1783"/>
      <c r="W6" s="1783"/>
      <c r="X6" s="1783"/>
      <c r="Y6" s="1783"/>
      <c r="Z6" s="1783"/>
      <c r="AA6" s="1783"/>
      <c r="AB6" s="1783"/>
      <c r="AC6" s="1783"/>
      <c r="AD6" s="1783"/>
      <c r="AE6" s="1783"/>
      <c r="AF6" s="1783"/>
      <c r="AG6" s="1783"/>
      <c r="AH6" s="1783"/>
      <c r="AI6" s="1783"/>
      <c r="AJ6" s="1783"/>
      <c r="AK6" s="1783"/>
      <c r="AL6" s="1783"/>
      <c r="AM6" s="1783"/>
      <c r="AN6" s="1783"/>
      <c r="AO6" s="1783"/>
      <c r="AP6" s="1783"/>
      <c r="AQ6" s="1783"/>
      <c r="AR6" s="1783"/>
      <c r="AS6" s="1783"/>
      <c r="AT6" s="1783"/>
      <c r="AU6" s="1783"/>
      <c r="AV6" s="1783"/>
      <c r="AW6" s="1783"/>
      <c r="AX6" s="1783"/>
      <c r="AY6" s="1783"/>
      <c r="AZ6" s="1783"/>
      <c r="BA6" s="1783"/>
      <c r="BB6" s="1783"/>
      <c r="BC6" s="1783"/>
      <c r="BD6" s="1783"/>
      <c r="BE6" s="1783"/>
      <c r="BF6" s="1783"/>
      <c r="BG6" s="1783"/>
      <c r="BH6" s="1783"/>
      <c r="BI6" s="1783"/>
      <c r="BJ6" s="1783"/>
      <c r="BK6" s="1783"/>
      <c r="BL6" s="1783"/>
      <c r="BM6" s="1783"/>
      <c r="BN6" s="1783"/>
      <c r="BO6" s="1783"/>
      <c r="BP6" s="1783"/>
      <c r="BQ6" s="1783"/>
      <c r="BR6" s="1783"/>
      <c r="BS6" s="1783"/>
      <c r="BT6" s="1783"/>
      <c r="BU6" s="1783"/>
      <c r="BV6" s="1783"/>
      <c r="BW6" s="1783"/>
      <c r="BX6" s="1783"/>
      <c r="BY6" s="1783"/>
      <c r="BZ6" s="1783"/>
      <c r="CA6" s="1783"/>
      <c r="CB6" s="1783"/>
      <c r="CC6" s="1783"/>
      <c r="CD6" s="1783"/>
      <c r="CE6" s="1783"/>
      <c r="CF6" s="1783"/>
      <c r="CG6" s="1783"/>
      <c r="CH6" s="1783"/>
      <c r="CI6" s="1783"/>
      <c r="CJ6" s="1783"/>
      <c r="CK6" s="1783"/>
      <c r="CL6" s="1783"/>
      <c r="CM6" s="1783"/>
      <c r="CN6" s="1783"/>
      <c r="CO6" s="1783"/>
      <c r="CP6" s="1783"/>
      <c r="CQ6" s="1783"/>
      <c r="CR6" s="1783"/>
      <c r="CS6" s="1783"/>
      <c r="CT6" s="1783"/>
      <c r="CU6" s="1783"/>
      <c r="CV6" s="1783"/>
      <c r="CW6" s="1783"/>
      <c r="CX6" s="1783"/>
      <c r="CY6" s="1783"/>
      <c r="CZ6" s="1783"/>
      <c r="DA6" s="1783"/>
      <c r="DB6" s="1783"/>
      <c r="DC6" s="1783"/>
      <c r="DD6" s="1783"/>
      <c r="DE6" s="1783"/>
      <c r="DF6" s="1783"/>
      <c r="DG6" s="1783"/>
      <c r="DH6" s="1783"/>
      <c r="DI6" s="1783"/>
      <c r="DJ6" s="1783"/>
      <c r="DK6" s="1783"/>
      <c r="DL6" s="1783"/>
      <c r="DM6" s="1783"/>
      <c r="DN6" s="1783"/>
      <c r="DO6" s="1783"/>
      <c r="DP6" s="1783"/>
      <c r="DQ6" s="1783"/>
      <c r="DR6" s="1783"/>
      <c r="DS6" s="1783"/>
      <c r="DT6" s="1783"/>
      <c r="DU6" s="1783"/>
      <c r="DV6" s="1783"/>
      <c r="DW6" s="1783"/>
      <c r="DX6" s="1783"/>
      <c r="DY6" s="1783"/>
      <c r="DZ6" s="1783"/>
      <c r="EA6" s="1783"/>
      <c r="EB6" s="1783"/>
      <c r="EC6" s="1783"/>
      <c r="ED6" s="1783"/>
      <c r="EE6" s="1783"/>
      <c r="EF6" s="1783"/>
      <c r="EG6" s="1783"/>
      <c r="EH6" s="1783"/>
      <c r="EI6" s="1783"/>
      <c r="EJ6" s="1783"/>
      <c r="EK6" s="1783"/>
      <c r="EL6" s="1783"/>
      <c r="EM6" s="1783"/>
      <c r="EN6" s="1783"/>
      <c r="EO6" s="1783"/>
      <c r="EP6" s="1783"/>
      <c r="EQ6" s="1783"/>
      <c r="ER6" s="1783"/>
      <c r="ES6" s="1783"/>
      <c r="ET6" s="1783"/>
      <c r="EU6" s="1783"/>
      <c r="EV6" s="1783"/>
      <c r="EW6" s="1783"/>
      <c r="EX6" s="1783"/>
      <c r="EY6" s="1783"/>
      <c r="EZ6" s="1783"/>
      <c r="FA6" s="1783"/>
      <c r="FB6" s="1783"/>
      <c r="FC6" s="1783"/>
      <c r="FD6" s="1783"/>
      <c r="FE6" s="1783"/>
      <c r="FF6" s="1783"/>
      <c r="FG6" s="1783"/>
      <c r="FH6" s="1783"/>
      <c r="FI6" s="1783"/>
      <c r="FJ6" s="1783"/>
      <c r="FK6" s="1783"/>
      <c r="FL6" s="1783"/>
      <c r="FM6" s="1783"/>
      <c r="FN6" s="1783"/>
      <c r="FO6" s="1783"/>
      <c r="FP6" s="1783"/>
      <c r="FQ6" s="1783"/>
      <c r="FR6" s="1783"/>
      <c r="FS6" s="1783"/>
      <c r="FT6" s="1783"/>
      <c r="FU6" s="1783"/>
      <c r="FV6" s="1783"/>
      <c r="FW6" s="1783"/>
      <c r="FX6" s="1783"/>
      <c r="FY6" s="1783"/>
      <c r="FZ6" s="1783"/>
      <c r="GA6" s="1783"/>
      <c r="GB6" s="1783"/>
      <c r="GC6" s="1783"/>
      <c r="GD6" s="1783"/>
      <c r="GE6" s="1783"/>
    </row>
    <row r="7" spans="1:187" ht="31.5">
      <c r="A7" s="1800"/>
      <c r="B7" s="1809"/>
      <c r="C7" s="1688" t="s">
        <v>2595</v>
      </c>
      <c r="D7" s="906" t="s">
        <v>2596</v>
      </c>
      <c r="E7" s="1688" t="s">
        <v>2597</v>
      </c>
      <c r="F7" s="1799"/>
      <c r="G7" s="1799"/>
      <c r="H7" s="1783"/>
      <c r="I7" s="1783"/>
      <c r="J7" s="1783"/>
      <c r="K7" s="1783"/>
      <c r="L7" s="1783"/>
      <c r="M7" s="1783"/>
      <c r="N7" s="1783"/>
      <c r="O7" s="1783"/>
      <c r="P7" s="1783"/>
      <c r="Q7" s="1783"/>
      <c r="R7" s="1783"/>
      <c r="S7" s="1783"/>
      <c r="T7" s="1783"/>
      <c r="U7" s="1783"/>
      <c r="V7" s="1783"/>
      <c r="W7" s="1783"/>
      <c r="X7" s="1783"/>
      <c r="Y7" s="1783"/>
      <c r="Z7" s="1783"/>
      <c r="AA7" s="1783"/>
      <c r="AB7" s="1783"/>
      <c r="AC7" s="1783"/>
      <c r="AD7" s="1783"/>
      <c r="AE7" s="1783"/>
      <c r="AF7" s="1783"/>
      <c r="AG7" s="1783"/>
      <c r="AH7" s="1783"/>
      <c r="AI7" s="1783"/>
      <c r="AJ7" s="1783"/>
      <c r="AK7" s="1783"/>
      <c r="AL7" s="1783"/>
      <c r="AM7" s="1783"/>
      <c r="AN7" s="1783"/>
      <c r="AO7" s="1783"/>
      <c r="AP7" s="1783"/>
      <c r="AQ7" s="1783"/>
      <c r="AR7" s="1783"/>
      <c r="AS7" s="1783"/>
      <c r="AT7" s="1783"/>
      <c r="AU7" s="1783"/>
      <c r="AV7" s="1783"/>
      <c r="AW7" s="1783"/>
      <c r="AX7" s="1783"/>
      <c r="AY7" s="1783"/>
      <c r="AZ7" s="1783"/>
      <c r="BA7" s="1783"/>
      <c r="BB7" s="1783"/>
      <c r="BC7" s="1783"/>
      <c r="BD7" s="1783"/>
      <c r="BE7" s="1783"/>
      <c r="BF7" s="1783"/>
      <c r="BG7" s="1783"/>
      <c r="BH7" s="1783"/>
      <c r="BI7" s="1783"/>
      <c r="BJ7" s="1783"/>
      <c r="BK7" s="1783"/>
      <c r="BL7" s="1783"/>
      <c r="BM7" s="1783"/>
      <c r="BN7" s="1783"/>
      <c r="BO7" s="1783"/>
      <c r="BP7" s="1783"/>
      <c r="BQ7" s="1783"/>
      <c r="BR7" s="1783"/>
      <c r="BS7" s="1783"/>
      <c r="BT7" s="1783"/>
      <c r="BU7" s="1783"/>
      <c r="BV7" s="1783"/>
      <c r="BW7" s="1783"/>
      <c r="BX7" s="1783"/>
      <c r="BY7" s="1783"/>
      <c r="BZ7" s="1783"/>
      <c r="CA7" s="1783"/>
      <c r="CB7" s="1783"/>
      <c r="CC7" s="1783"/>
      <c r="CD7" s="1783"/>
      <c r="CE7" s="1783"/>
      <c r="CF7" s="1783"/>
      <c r="CG7" s="1783"/>
      <c r="CH7" s="1783"/>
      <c r="CI7" s="1783"/>
      <c r="CJ7" s="1783"/>
      <c r="CK7" s="1783"/>
      <c r="CL7" s="1783"/>
      <c r="CM7" s="1783"/>
      <c r="CN7" s="1783"/>
      <c r="CO7" s="1783"/>
      <c r="CP7" s="1783"/>
      <c r="CQ7" s="1783"/>
      <c r="CR7" s="1783"/>
      <c r="CS7" s="1783"/>
      <c r="CT7" s="1783"/>
      <c r="CU7" s="1783"/>
      <c r="CV7" s="1783"/>
      <c r="CW7" s="1783"/>
      <c r="CX7" s="1783"/>
      <c r="CY7" s="1783"/>
      <c r="CZ7" s="1783"/>
      <c r="DA7" s="1783"/>
      <c r="DB7" s="1783"/>
      <c r="DC7" s="1783"/>
      <c r="DD7" s="1783"/>
      <c r="DE7" s="1783"/>
      <c r="DF7" s="1783"/>
      <c r="DG7" s="1783"/>
      <c r="DH7" s="1783"/>
      <c r="DI7" s="1783"/>
      <c r="DJ7" s="1783"/>
      <c r="DK7" s="1783"/>
      <c r="DL7" s="1783"/>
      <c r="DM7" s="1783"/>
      <c r="DN7" s="1783"/>
      <c r="DO7" s="1783"/>
      <c r="DP7" s="1783"/>
      <c r="DQ7" s="1783"/>
      <c r="DR7" s="1783"/>
      <c r="DS7" s="1783"/>
      <c r="DT7" s="1783"/>
      <c r="DU7" s="1783"/>
      <c r="DV7" s="1783"/>
      <c r="DW7" s="1783"/>
      <c r="DX7" s="1783"/>
      <c r="DY7" s="1783"/>
      <c r="DZ7" s="1783"/>
      <c r="EA7" s="1783"/>
      <c r="EB7" s="1783"/>
      <c r="EC7" s="1783"/>
      <c r="ED7" s="1783"/>
      <c r="EE7" s="1783"/>
      <c r="EF7" s="1783"/>
      <c r="EG7" s="1783"/>
      <c r="EH7" s="1783"/>
      <c r="EI7" s="1783"/>
      <c r="EJ7" s="1783"/>
      <c r="EK7" s="1783"/>
      <c r="EL7" s="1783"/>
      <c r="EM7" s="1783"/>
      <c r="EN7" s="1783"/>
      <c r="EO7" s="1783"/>
      <c r="EP7" s="1783"/>
      <c r="EQ7" s="1783"/>
      <c r="ER7" s="1783"/>
      <c r="ES7" s="1783"/>
      <c r="ET7" s="1783"/>
      <c r="EU7" s="1783"/>
      <c r="EV7" s="1783"/>
      <c r="EW7" s="1783"/>
      <c r="EX7" s="1783"/>
      <c r="EY7" s="1783"/>
      <c r="EZ7" s="1783"/>
      <c r="FA7" s="1783"/>
      <c r="FB7" s="1783"/>
      <c r="FC7" s="1783"/>
      <c r="FD7" s="1783"/>
      <c r="FE7" s="1783"/>
      <c r="FF7" s="1783"/>
      <c r="FG7" s="1783"/>
      <c r="FH7" s="1783"/>
      <c r="FI7" s="1783"/>
      <c r="FJ7" s="1783"/>
      <c r="FK7" s="1783"/>
      <c r="FL7" s="1783"/>
      <c r="FM7" s="1783"/>
      <c r="FN7" s="1783"/>
      <c r="FO7" s="1783"/>
      <c r="FP7" s="1783"/>
      <c r="FQ7" s="1783"/>
      <c r="FR7" s="1783"/>
      <c r="FS7" s="1783"/>
      <c r="FT7" s="1783"/>
      <c r="FU7" s="1783"/>
      <c r="FV7" s="1783"/>
      <c r="FW7" s="1783"/>
      <c r="FX7" s="1783"/>
      <c r="FY7" s="1783"/>
      <c r="FZ7" s="1783"/>
      <c r="GA7" s="1783"/>
      <c r="GB7" s="1783"/>
      <c r="GC7" s="1783"/>
      <c r="GD7" s="1783"/>
      <c r="GE7" s="1783"/>
    </row>
    <row r="8" spans="1:187">
      <c r="A8" s="899" t="s">
        <v>1868</v>
      </c>
      <c r="B8" s="907" t="s">
        <v>2598</v>
      </c>
      <c r="C8" s="2219">
        <v>320321</v>
      </c>
      <c r="D8" s="907" t="s">
        <v>2599</v>
      </c>
      <c r="E8" s="824"/>
      <c r="F8" s="1811"/>
      <c r="G8" s="1799"/>
      <c r="H8" s="1783"/>
      <c r="I8" s="1783"/>
      <c r="J8" s="1783"/>
      <c r="K8" s="1783"/>
      <c r="L8" s="1783"/>
      <c r="M8" s="1783"/>
      <c r="N8" s="1783"/>
      <c r="O8" s="1783"/>
      <c r="P8" s="1783"/>
      <c r="Q8" s="1783"/>
      <c r="R8" s="1783"/>
      <c r="S8" s="1783"/>
      <c r="T8" s="1783"/>
      <c r="U8" s="1783"/>
      <c r="V8" s="1783"/>
      <c r="W8" s="1783"/>
      <c r="X8" s="1783"/>
      <c r="Y8" s="1783"/>
      <c r="Z8" s="1783"/>
      <c r="AA8" s="1783"/>
      <c r="AB8" s="1783"/>
      <c r="AC8" s="1783"/>
      <c r="AD8" s="1783"/>
      <c r="AE8" s="1783"/>
      <c r="AF8" s="1783"/>
      <c r="AG8" s="1783"/>
      <c r="AH8" s="1783"/>
      <c r="AI8" s="1783"/>
      <c r="AJ8" s="1783"/>
      <c r="AK8" s="1783"/>
      <c r="AL8" s="1783"/>
      <c r="AM8" s="1783"/>
      <c r="AN8" s="1783"/>
      <c r="AO8" s="1783"/>
      <c r="AP8" s="1783"/>
      <c r="AQ8" s="1783"/>
      <c r="AR8" s="1783"/>
      <c r="AS8" s="1783"/>
      <c r="AT8" s="1783"/>
      <c r="AU8" s="1783"/>
      <c r="AV8" s="1783"/>
      <c r="AW8" s="1783"/>
      <c r="AX8" s="1783"/>
      <c r="AY8" s="1783"/>
      <c r="AZ8" s="1783"/>
      <c r="BA8" s="1783"/>
      <c r="BB8" s="1783"/>
      <c r="BC8" s="1783"/>
      <c r="BD8" s="1783"/>
      <c r="BE8" s="1783"/>
      <c r="BF8" s="1783"/>
      <c r="BG8" s="1783"/>
      <c r="BH8" s="1783"/>
      <c r="BI8" s="1783"/>
      <c r="BJ8" s="1783"/>
      <c r="BK8" s="1783"/>
      <c r="BL8" s="1783"/>
      <c r="BM8" s="1783"/>
      <c r="BN8" s="1783"/>
      <c r="BO8" s="1783"/>
      <c r="BP8" s="1783"/>
      <c r="BQ8" s="1783"/>
      <c r="BR8" s="1783"/>
      <c r="BS8" s="1783"/>
      <c r="BT8" s="1783"/>
      <c r="BU8" s="1783"/>
      <c r="BV8" s="1783"/>
      <c r="BW8" s="1783"/>
      <c r="BX8" s="1783"/>
      <c r="BY8" s="1783"/>
      <c r="BZ8" s="1783"/>
      <c r="CA8" s="1783"/>
      <c r="CB8" s="1783"/>
      <c r="CC8" s="1783"/>
      <c r="CD8" s="1783"/>
      <c r="CE8" s="1783"/>
      <c r="CF8" s="1783"/>
      <c r="CG8" s="1783"/>
      <c r="CH8" s="1783"/>
      <c r="CI8" s="1783"/>
      <c r="CJ8" s="1783"/>
      <c r="CK8" s="1783"/>
      <c r="CL8" s="1783"/>
      <c r="CM8" s="1783"/>
      <c r="CN8" s="1783"/>
      <c r="CO8" s="1783"/>
      <c r="CP8" s="1783"/>
      <c r="CQ8" s="1783"/>
      <c r="CR8" s="1783"/>
      <c r="CS8" s="1783"/>
      <c r="CT8" s="1783"/>
      <c r="CU8" s="1783"/>
      <c r="CV8" s="1783"/>
      <c r="CW8" s="1783"/>
      <c r="CX8" s="1783"/>
      <c r="CY8" s="1783"/>
      <c r="CZ8" s="1783"/>
      <c r="DA8" s="1783"/>
      <c r="DB8" s="1783"/>
      <c r="DC8" s="1783"/>
      <c r="DD8" s="1783"/>
      <c r="DE8" s="1783"/>
      <c r="DF8" s="1783"/>
      <c r="DG8" s="1783"/>
      <c r="DH8" s="1783"/>
      <c r="DI8" s="1783"/>
      <c r="DJ8" s="1783"/>
      <c r="DK8" s="1783"/>
      <c r="DL8" s="1783"/>
      <c r="DM8" s="1783"/>
      <c r="DN8" s="1783"/>
      <c r="DO8" s="1783"/>
      <c r="DP8" s="1783"/>
      <c r="DQ8" s="1783"/>
      <c r="DR8" s="1783"/>
      <c r="DS8" s="1783"/>
      <c r="DT8" s="1783"/>
      <c r="DU8" s="1783"/>
      <c r="DV8" s="1783"/>
      <c r="DW8" s="1783"/>
      <c r="DX8" s="1783"/>
      <c r="DY8" s="1783"/>
      <c r="DZ8" s="1783"/>
      <c r="EA8" s="1783"/>
      <c r="EB8" s="1783"/>
      <c r="EC8" s="1783"/>
      <c r="ED8" s="1783"/>
      <c r="EE8" s="1783"/>
      <c r="EF8" s="1783"/>
      <c r="EG8" s="1783"/>
      <c r="EH8" s="1783"/>
      <c r="EI8" s="1783"/>
      <c r="EJ8" s="1783"/>
      <c r="EK8" s="1783"/>
      <c r="EL8" s="1783"/>
      <c r="EM8" s="1783"/>
      <c r="EN8" s="1783"/>
      <c r="EO8" s="1783"/>
      <c r="EP8" s="1783"/>
      <c r="EQ8" s="1783"/>
      <c r="ER8" s="1783"/>
      <c r="ES8" s="1783"/>
      <c r="ET8" s="1783"/>
      <c r="EU8" s="1783"/>
      <c r="EV8" s="1783"/>
      <c r="EW8" s="1783"/>
      <c r="EX8" s="1783"/>
      <c r="EY8" s="1783"/>
      <c r="EZ8" s="1783"/>
      <c r="FA8" s="1783"/>
      <c r="FB8" s="1783"/>
      <c r="FC8" s="1783"/>
      <c r="FD8" s="1783"/>
      <c r="FE8" s="1783"/>
      <c r="FF8" s="1783"/>
      <c r="FG8" s="1783"/>
      <c r="FH8" s="1783"/>
      <c r="FI8" s="1783"/>
      <c r="FJ8" s="1783"/>
      <c r="FK8" s="1783"/>
      <c r="FL8" s="1783"/>
      <c r="FM8" s="1783"/>
      <c r="FN8" s="1783"/>
      <c r="FO8" s="1783"/>
      <c r="FP8" s="1783"/>
      <c r="FQ8" s="1783"/>
      <c r="FR8" s="1783"/>
      <c r="FS8" s="1783"/>
      <c r="FT8" s="1783"/>
      <c r="FU8" s="1783"/>
      <c r="FV8" s="1783"/>
      <c r="FW8" s="1783"/>
      <c r="FX8" s="1783"/>
      <c r="FY8" s="1783"/>
      <c r="FZ8" s="1783"/>
      <c r="GA8" s="1783"/>
      <c r="GB8" s="1783"/>
      <c r="GC8" s="1783"/>
      <c r="GD8" s="1783"/>
      <c r="GE8" s="1783"/>
    </row>
    <row r="9" spans="1:187">
      <c r="A9" s="899" t="s">
        <v>2114</v>
      </c>
      <c r="B9" s="2446" t="s">
        <v>2600</v>
      </c>
      <c r="C9" s="2220">
        <v>331661</v>
      </c>
      <c r="D9" s="913" t="s">
        <v>2601</v>
      </c>
      <c r="E9" s="2448"/>
      <c r="F9" s="1811"/>
      <c r="G9" s="1799"/>
      <c r="H9" s="1783"/>
      <c r="I9" s="1783"/>
      <c r="J9" s="1783"/>
      <c r="K9" s="1783"/>
      <c r="L9" s="1783"/>
      <c r="M9" s="1783"/>
      <c r="N9" s="1783"/>
      <c r="O9" s="1783"/>
      <c r="P9" s="1783"/>
      <c r="Q9" s="1783"/>
      <c r="R9" s="1783"/>
      <c r="S9" s="1783"/>
      <c r="T9" s="1783"/>
      <c r="U9" s="1783"/>
      <c r="V9" s="1783"/>
      <c r="W9" s="1783"/>
      <c r="X9" s="1783"/>
      <c r="Y9" s="1783"/>
      <c r="Z9" s="1783"/>
      <c r="AA9" s="1783"/>
      <c r="AB9" s="1783"/>
      <c r="AC9" s="1783"/>
      <c r="AD9" s="1783"/>
      <c r="AE9" s="1783"/>
      <c r="AF9" s="1783"/>
      <c r="AG9" s="1783"/>
      <c r="AH9" s="1783"/>
      <c r="AI9" s="1783"/>
      <c r="AJ9" s="1783"/>
      <c r="AK9" s="1783"/>
      <c r="AL9" s="1783"/>
      <c r="AM9" s="1783"/>
      <c r="AN9" s="1783"/>
      <c r="AO9" s="1783"/>
      <c r="AP9" s="1783"/>
      <c r="AQ9" s="1783"/>
      <c r="AR9" s="1783"/>
      <c r="AS9" s="1783"/>
      <c r="AT9" s="1783"/>
      <c r="AU9" s="1783"/>
      <c r="AV9" s="1783"/>
      <c r="AW9" s="1783"/>
      <c r="AX9" s="1783"/>
      <c r="AY9" s="1783"/>
      <c r="AZ9" s="1783"/>
      <c r="BA9" s="1783"/>
      <c r="BB9" s="1783"/>
      <c r="BC9" s="1783"/>
      <c r="BD9" s="1783"/>
      <c r="BE9" s="1783"/>
      <c r="BF9" s="1783"/>
      <c r="BG9" s="1783"/>
      <c r="BH9" s="1783"/>
      <c r="BI9" s="1783"/>
      <c r="BJ9" s="1783"/>
      <c r="BK9" s="1783"/>
      <c r="BL9" s="1783"/>
      <c r="BM9" s="1783"/>
      <c r="BN9" s="1783"/>
      <c r="BO9" s="1783"/>
      <c r="BP9" s="1783"/>
      <c r="BQ9" s="1783"/>
      <c r="BR9" s="1783"/>
      <c r="BS9" s="1783"/>
      <c r="BT9" s="1783"/>
      <c r="BU9" s="1783"/>
      <c r="BV9" s="1783"/>
      <c r="BW9" s="1783"/>
      <c r="BX9" s="1783"/>
      <c r="BY9" s="1783"/>
      <c r="BZ9" s="1783"/>
      <c r="CA9" s="1783"/>
      <c r="CB9" s="1783"/>
      <c r="CC9" s="1783"/>
      <c r="CD9" s="1783"/>
      <c r="CE9" s="1783"/>
      <c r="CF9" s="1783"/>
      <c r="CG9" s="1783"/>
      <c r="CH9" s="1783"/>
      <c r="CI9" s="1783"/>
      <c r="CJ9" s="1783"/>
      <c r="CK9" s="1783"/>
      <c r="CL9" s="1783"/>
      <c r="CM9" s="1783"/>
      <c r="CN9" s="1783"/>
      <c r="CO9" s="1783"/>
      <c r="CP9" s="1783"/>
      <c r="CQ9" s="1783"/>
      <c r="CR9" s="1783"/>
      <c r="CS9" s="1783"/>
      <c r="CT9" s="1783"/>
      <c r="CU9" s="1783"/>
      <c r="CV9" s="1783"/>
      <c r="CW9" s="1783"/>
      <c r="CX9" s="1783"/>
      <c r="CY9" s="1783"/>
      <c r="CZ9" s="1783"/>
      <c r="DA9" s="1783"/>
      <c r="DB9" s="1783"/>
      <c r="DC9" s="1783"/>
      <c r="DD9" s="1783"/>
      <c r="DE9" s="1783"/>
      <c r="DF9" s="1783"/>
      <c r="DG9" s="1783"/>
      <c r="DH9" s="1783"/>
      <c r="DI9" s="1783"/>
      <c r="DJ9" s="1783"/>
      <c r="DK9" s="1783"/>
      <c r="DL9" s="1783"/>
      <c r="DM9" s="1783"/>
      <c r="DN9" s="1783"/>
      <c r="DO9" s="1783"/>
      <c r="DP9" s="1783"/>
      <c r="DQ9" s="1783"/>
      <c r="DR9" s="1783"/>
      <c r="DS9" s="1783"/>
      <c r="DT9" s="1783"/>
      <c r="DU9" s="1783"/>
      <c r="DV9" s="1783"/>
      <c r="DW9" s="1783"/>
      <c r="DX9" s="1783"/>
      <c r="DY9" s="1783"/>
      <c r="DZ9" s="1783"/>
      <c r="EA9" s="1783"/>
      <c r="EB9" s="1783"/>
      <c r="EC9" s="1783"/>
      <c r="ED9" s="1783"/>
      <c r="EE9" s="1783"/>
      <c r="EF9" s="1783"/>
      <c r="EG9" s="1783"/>
      <c r="EH9" s="1783"/>
      <c r="EI9" s="1783"/>
      <c r="EJ9" s="1783"/>
      <c r="EK9" s="1783"/>
      <c r="EL9" s="1783"/>
      <c r="EM9" s="1783"/>
      <c r="EN9" s="1783"/>
      <c r="EO9" s="1783"/>
      <c r="EP9" s="1783"/>
      <c r="EQ9" s="1783"/>
      <c r="ER9" s="1783"/>
      <c r="ES9" s="1783"/>
      <c r="ET9" s="1783"/>
      <c r="EU9" s="1783"/>
      <c r="EV9" s="1783"/>
      <c r="EW9" s="1783"/>
      <c r="EX9" s="1783"/>
      <c r="EY9" s="1783"/>
      <c r="EZ9" s="1783"/>
      <c r="FA9" s="1783"/>
      <c r="FB9" s="1783"/>
      <c r="FC9" s="1783"/>
      <c r="FD9" s="1783"/>
      <c r="FE9" s="1783"/>
      <c r="FF9" s="1783"/>
      <c r="FG9" s="1783"/>
      <c r="FH9" s="1783"/>
      <c r="FI9" s="1783"/>
      <c r="FJ9" s="1783"/>
      <c r="FK9" s="1783"/>
      <c r="FL9" s="1783"/>
      <c r="FM9" s="1783"/>
      <c r="FN9" s="1783"/>
      <c r="FO9" s="1783"/>
      <c r="FP9" s="1783"/>
      <c r="FQ9" s="1783"/>
      <c r="FR9" s="1783"/>
      <c r="FS9" s="1783"/>
      <c r="FT9" s="1783"/>
      <c r="FU9" s="1783"/>
      <c r="FV9" s="1783"/>
      <c r="FW9" s="1783"/>
      <c r="FX9" s="1783"/>
      <c r="FY9" s="1783"/>
      <c r="FZ9" s="1783"/>
      <c r="GA9" s="1783"/>
      <c r="GB9" s="1783"/>
      <c r="GC9" s="1783"/>
      <c r="GD9" s="1783"/>
      <c r="GE9" s="1783"/>
    </row>
    <row r="10" spans="1:187">
      <c r="A10" s="1796"/>
      <c r="B10" s="2447"/>
      <c r="C10" s="1812">
        <v>406</v>
      </c>
      <c r="D10" s="2224" t="s">
        <v>2602</v>
      </c>
      <c r="E10" s="2449"/>
      <c r="F10" s="1811"/>
      <c r="G10" s="1799"/>
      <c r="H10" s="1783"/>
      <c r="I10" s="1783"/>
      <c r="J10" s="1783"/>
      <c r="K10" s="1783"/>
      <c r="L10" s="1783"/>
      <c r="M10" s="1783"/>
      <c r="N10" s="1783"/>
      <c r="O10" s="1783"/>
      <c r="P10" s="1783"/>
      <c r="Q10" s="1783"/>
      <c r="R10" s="1783"/>
      <c r="S10" s="1783"/>
      <c r="T10" s="1783"/>
      <c r="U10" s="1783"/>
      <c r="V10" s="1783"/>
      <c r="W10" s="1783"/>
      <c r="X10" s="1783"/>
      <c r="Y10" s="1783"/>
      <c r="Z10" s="1783"/>
      <c r="AA10" s="1783"/>
      <c r="AB10" s="1783"/>
      <c r="AC10" s="1783"/>
      <c r="AD10" s="1783"/>
      <c r="AE10" s="1783"/>
      <c r="AF10" s="1783"/>
      <c r="AG10" s="1783"/>
      <c r="AH10" s="1783"/>
      <c r="AI10" s="1783"/>
      <c r="AJ10" s="1783"/>
      <c r="AK10" s="1783"/>
      <c r="AL10" s="1783"/>
      <c r="AM10" s="1783"/>
      <c r="AN10" s="1783"/>
      <c r="AO10" s="1783"/>
      <c r="AP10" s="1783"/>
      <c r="AQ10" s="1783"/>
      <c r="AR10" s="1783"/>
      <c r="AS10" s="1783"/>
      <c r="AT10" s="1783"/>
      <c r="AU10" s="1783"/>
      <c r="AV10" s="1783"/>
      <c r="AW10" s="1783"/>
      <c r="AX10" s="1783"/>
      <c r="AY10" s="1783"/>
      <c r="AZ10" s="1783"/>
      <c r="BA10" s="1783"/>
      <c r="BB10" s="1783"/>
      <c r="BC10" s="1783"/>
      <c r="BD10" s="1783"/>
      <c r="BE10" s="1783"/>
      <c r="BF10" s="1783"/>
      <c r="BG10" s="1783"/>
      <c r="BH10" s="1783"/>
      <c r="BI10" s="1783"/>
      <c r="BJ10" s="1783"/>
      <c r="BK10" s="1783"/>
      <c r="BL10" s="1783"/>
      <c r="BM10" s="1783"/>
      <c r="BN10" s="1783"/>
      <c r="BO10" s="1783"/>
      <c r="BP10" s="1783"/>
      <c r="BQ10" s="1783"/>
      <c r="BR10" s="1783"/>
      <c r="BS10" s="1783"/>
      <c r="BT10" s="1783"/>
      <c r="BU10" s="1783"/>
      <c r="BV10" s="1783"/>
      <c r="BW10" s="1783"/>
      <c r="BX10" s="1783"/>
      <c r="BY10" s="1783"/>
      <c r="BZ10" s="1783"/>
      <c r="CA10" s="1783"/>
      <c r="CB10" s="1783"/>
      <c r="CC10" s="1783"/>
      <c r="CD10" s="1783"/>
      <c r="CE10" s="1783"/>
      <c r="CF10" s="1783"/>
      <c r="CG10" s="1783"/>
      <c r="CH10" s="1783"/>
      <c r="CI10" s="1783"/>
      <c r="CJ10" s="1783"/>
      <c r="CK10" s="1783"/>
      <c r="CL10" s="1783"/>
      <c r="CM10" s="1783"/>
      <c r="CN10" s="1783"/>
      <c r="CO10" s="1783"/>
      <c r="CP10" s="1783"/>
      <c r="CQ10" s="1783"/>
      <c r="CR10" s="1783"/>
      <c r="CS10" s="1783"/>
      <c r="CT10" s="1783"/>
      <c r="CU10" s="1783"/>
      <c r="CV10" s="1783"/>
      <c r="CW10" s="1783"/>
      <c r="CX10" s="1783"/>
      <c r="CY10" s="1783"/>
      <c r="CZ10" s="1783"/>
      <c r="DA10" s="1783"/>
      <c r="DB10" s="1783"/>
      <c r="DC10" s="1783"/>
      <c r="DD10" s="1783"/>
      <c r="DE10" s="1783"/>
      <c r="DF10" s="1783"/>
      <c r="DG10" s="1783"/>
      <c r="DH10" s="1783"/>
      <c r="DI10" s="1783"/>
      <c r="DJ10" s="1783"/>
      <c r="DK10" s="1783"/>
      <c r="DL10" s="1783"/>
      <c r="DM10" s="1783"/>
      <c r="DN10" s="1783"/>
      <c r="DO10" s="1783"/>
      <c r="DP10" s="1783"/>
      <c r="DQ10" s="1783"/>
      <c r="DR10" s="1783"/>
      <c r="DS10" s="1783"/>
      <c r="DT10" s="1783"/>
      <c r="DU10" s="1783"/>
      <c r="DV10" s="1783"/>
      <c r="DW10" s="1783"/>
      <c r="DX10" s="1783"/>
      <c r="DY10" s="1783"/>
      <c r="DZ10" s="1783"/>
      <c r="EA10" s="1783"/>
      <c r="EB10" s="1783"/>
      <c r="EC10" s="1783"/>
      <c r="ED10" s="1783"/>
      <c r="EE10" s="1783"/>
      <c r="EF10" s="1783"/>
      <c r="EG10" s="1783"/>
      <c r="EH10" s="1783"/>
      <c r="EI10" s="1783"/>
      <c r="EJ10" s="1783"/>
      <c r="EK10" s="1783"/>
      <c r="EL10" s="1783"/>
      <c r="EM10" s="1783"/>
      <c r="EN10" s="1783"/>
      <c r="EO10" s="1783"/>
      <c r="EP10" s="1783"/>
      <c r="EQ10" s="1783"/>
      <c r="ER10" s="1783"/>
      <c r="ES10" s="1783"/>
      <c r="ET10" s="1783"/>
      <c r="EU10" s="1783"/>
      <c r="EV10" s="1783"/>
      <c r="EW10" s="1783"/>
      <c r="EX10" s="1783"/>
      <c r="EY10" s="1783"/>
      <c r="EZ10" s="1783"/>
      <c r="FA10" s="1783"/>
      <c r="FB10" s="1783"/>
      <c r="FC10" s="1783"/>
      <c r="FD10" s="1783"/>
      <c r="FE10" s="1783"/>
      <c r="FF10" s="1783"/>
      <c r="FG10" s="1783"/>
      <c r="FH10" s="1783"/>
      <c r="FI10" s="1783"/>
      <c r="FJ10" s="1783"/>
      <c r="FK10" s="1783"/>
      <c r="FL10" s="1783"/>
      <c r="FM10" s="1783"/>
      <c r="FN10" s="1783"/>
      <c r="FO10" s="1783"/>
      <c r="FP10" s="1783"/>
      <c r="FQ10" s="1783"/>
      <c r="FR10" s="1783"/>
      <c r="FS10" s="1783"/>
      <c r="FT10" s="1783"/>
      <c r="FU10" s="1783"/>
      <c r="FV10" s="1783"/>
      <c r="FW10" s="1783"/>
      <c r="FX10" s="1783"/>
      <c r="FY10" s="1783"/>
      <c r="FZ10" s="1783"/>
      <c r="GA10" s="1783"/>
      <c r="GB10" s="1783"/>
      <c r="GC10" s="1783"/>
      <c r="GD10" s="1783"/>
      <c r="GE10" s="1783"/>
    </row>
    <row r="11" spans="1:187">
      <c r="A11" s="899" t="s">
        <v>1501</v>
      </c>
      <c r="B11" s="905" t="s">
        <v>2603</v>
      </c>
      <c r="C11" s="1810"/>
      <c r="D11" s="1810"/>
      <c r="E11" s="909">
        <f>SUM(E8:E10)</f>
        <v>0</v>
      </c>
      <c r="F11" s="1811"/>
      <c r="G11" s="1799"/>
      <c r="H11" s="1783"/>
      <c r="I11" s="1783"/>
      <c r="J11" s="1783"/>
      <c r="K11" s="1783"/>
      <c r="L11" s="1783"/>
      <c r="M11" s="1783"/>
      <c r="N11" s="1783"/>
      <c r="O11" s="1783"/>
      <c r="P11" s="1783"/>
      <c r="Q11" s="1783"/>
      <c r="R11" s="1783"/>
      <c r="S11" s="1783"/>
      <c r="T11" s="1783"/>
      <c r="U11" s="1783"/>
      <c r="V11" s="1783"/>
      <c r="W11" s="1783"/>
      <c r="X11" s="1783"/>
      <c r="Y11" s="1783"/>
      <c r="Z11" s="1783"/>
      <c r="AA11" s="1783"/>
      <c r="AB11" s="1783"/>
      <c r="AC11" s="1783"/>
      <c r="AD11" s="1783"/>
      <c r="AE11" s="1783"/>
      <c r="AF11" s="1783"/>
      <c r="AG11" s="1783"/>
      <c r="AH11" s="1783"/>
      <c r="AI11" s="1783"/>
      <c r="AJ11" s="1783"/>
      <c r="AK11" s="1783"/>
      <c r="AL11" s="1783"/>
      <c r="AM11" s="1783"/>
      <c r="AN11" s="1783"/>
      <c r="AO11" s="1783"/>
      <c r="AP11" s="1783"/>
      <c r="AQ11" s="1783"/>
      <c r="AR11" s="1783"/>
      <c r="AS11" s="1783"/>
      <c r="AT11" s="1783"/>
      <c r="AU11" s="1783"/>
      <c r="AV11" s="1783"/>
      <c r="AW11" s="1783"/>
      <c r="AX11" s="1783"/>
      <c r="AY11" s="1783"/>
      <c r="AZ11" s="1783"/>
      <c r="BA11" s="1783"/>
      <c r="BB11" s="1783"/>
      <c r="BC11" s="1783"/>
      <c r="BD11" s="1783"/>
      <c r="BE11" s="1783"/>
      <c r="BF11" s="1783"/>
      <c r="BG11" s="1783"/>
      <c r="BH11" s="1783"/>
      <c r="BI11" s="1783"/>
      <c r="BJ11" s="1783"/>
      <c r="BK11" s="1783"/>
      <c r="BL11" s="1783"/>
      <c r="BM11" s="1783"/>
      <c r="BN11" s="1783"/>
      <c r="BO11" s="1783"/>
      <c r="BP11" s="1783"/>
      <c r="BQ11" s="1783"/>
      <c r="BR11" s="1783"/>
      <c r="BS11" s="1783"/>
      <c r="BT11" s="1783"/>
      <c r="BU11" s="1783"/>
      <c r="BV11" s="1783"/>
      <c r="BW11" s="1783"/>
      <c r="BX11" s="1783"/>
      <c r="BY11" s="1783"/>
      <c r="BZ11" s="1783"/>
      <c r="CA11" s="1783"/>
      <c r="CB11" s="1783"/>
      <c r="CC11" s="1783"/>
      <c r="CD11" s="1783"/>
      <c r="CE11" s="1783"/>
      <c r="CF11" s="1783"/>
      <c r="CG11" s="1783"/>
      <c r="CH11" s="1783"/>
      <c r="CI11" s="1783"/>
      <c r="CJ11" s="1783"/>
      <c r="CK11" s="1783"/>
      <c r="CL11" s="1783"/>
      <c r="CM11" s="1783"/>
      <c r="CN11" s="1783"/>
      <c r="CO11" s="1783"/>
      <c r="CP11" s="1783"/>
      <c r="CQ11" s="1783"/>
      <c r="CR11" s="1783"/>
      <c r="CS11" s="1783"/>
      <c r="CT11" s="1783"/>
      <c r="CU11" s="1783"/>
      <c r="CV11" s="1783"/>
      <c r="CW11" s="1783"/>
      <c r="CX11" s="1783"/>
      <c r="CY11" s="1783"/>
      <c r="CZ11" s="1783"/>
      <c r="DA11" s="1783"/>
      <c r="DB11" s="1783"/>
      <c r="DC11" s="1783"/>
      <c r="DD11" s="1783"/>
      <c r="DE11" s="1783"/>
      <c r="DF11" s="1783"/>
      <c r="DG11" s="1783"/>
      <c r="DH11" s="1783"/>
      <c r="DI11" s="1783"/>
      <c r="DJ11" s="1783"/>
      <c r="DK11" s="1783"/>
      <c r="DL11" s="1783"/>
      <c r="DM11" s="1783"/>
      <c r="DN11" s="1783"/>
      <c r="DO11" s="1783"/>
      <c r="DP11" s="1783"/>
      <c r="DQ11" s="1783"/>
      <c r="DR11" s="1783"/>
      <c r="DS11" s="1783"/>
      <c r="DT11" s="1783"/>
      <c r="DU11" s="1783"/>
      <c r="DV11" s="1783"/>
      <c r="DW11" s="1783"/>
      <c r="DX11" s="1783"/>
      <c r="DY11" s="1783"/>
      <c r="DZ11" s="1783"/>
      <c r="EA11" s="1783"/>
      <c r="EB11" s="1783"/>
      <c r="EC11" s="1783"/>
      <c r="ED11" s="1783"/>
      <c r="EE11" s="1783"/>
      <c r="EF11" s="1783"/>
      <c r="EG11" s="1783"/>
      <c r="EH11" s="1783"/>
      <c r="EI11" s="1783"/>
      <c r="EJ11" s="1783"/>
      <c r="EK11" s="1783"/>
      <c r="EL11" s="1783"/>
      <c r="EM11" s="1783"/>
      <c r="EN11" s="1783"/>
      <c r="EO11" s="1783"/>
      <c r="EP11" s="1783"/>
      <c r="EQ11" s="1783"/>
      <c r="ER11" s="1783"/>
      <c r="ES11" s="1783"/>
      <c r="ET11" s="1783"/>
      <c r="EU11" s="1783"/>
      <c r="EV11" s="1783"/>
      <c r="EW11" s="1783"/>
      <c r="EX11" s="1783"/>
      <c r="EY11" s="1783"/>
      <c r="EZ11" s="1783"/>
      <c r="FA11" s="1783"/>
      <c r="FB11" s="1783"/>
      <c r="FC11" s="1783"/>
      <c r="FD11" s="1783"/>
      <c r="FE11" s="1783"/>
      <c r="FF11" s="1783"/>
      <c r="FG11" s="1783"/>
      <c r="FH11" s="1783"/>
      <c r="FI11" s="1783"/>
      <c r="FJ11" s="1783"/>
      <c r="FK11" s="1783"/>
      <c r="FL11" s="1783"/>
      <c r="FM11" s="1783"/>
      <c r="FN11" s="1783"/>
      <c r="FO11" s="1783"/>
      <c r="FP11" s="1783"/>
      <c r="FQ11" s="1783"/>
      <c r="FR11" s="1783"/>
      <c r="FS11" s="1783"/>
      <c r="FT11" s="1783"/>
      <c r="FU11" s="1783"/>
      <c r="FV11" s="1783"/>
      <c r="FW11" s="1783"/>
      <c r="FX11" s="1783"/>
      <c r="FY11" s="1783"/>
      <c r="FZ11" s="1783"/>
      <c r="GA11" s="1783"/>
      <c r="GB11" s="1783"/>
      <c r="GC11" s="1783"/>
      <c r="GD11" s="1783"/>
      <c r="GE11" s="1783"/>
    </row>
    <row r="12" spans="1:187">
      <c r="A12" s="899" t="s">
        <v>1502</v>
      </c>
      <c r="B12" s="2450" t="s">
        <v>2604</v>
      </c>
      <c r="C12" s="2221">
        <v>330</v>
      </c>
      <c r="D12" s="2221" t="s">
        <v>2605</v>
      </c>
      <c r="E12" s="2453"/>
      <c r="F12" s="1813"/>
      <c r="G12" s="1799"/>
      <c r="H12" s="1783"/>
      <c r="I12" s="1783"/>
      <c r="J12" s="1783"/>
      <c r="K12" s="1783"/>
      <c r="L12" s="1783"/>
      <c r="M12" s="1783"/>
      <c r="N12" s="1783"/>
      <c r="O12" s="1783"/>
      <c r="P12" s="1783"/>
      <c r="Q12" s="1783"/>
      <c r="R12" s="1783"/>
      <c r="S12" s="1783"/>
      <c r="T12" s="1783"/>
      <c r="U12" s="1783"/>
      <c r="V12" s="1783"/>
      <c r="W12" s="1783"/>
      <c r="X12" s="1783"/>
      <c r="Y12" s="1783"/>
      <c r="Z12" s="1783"/>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row>
    <row r="13" spans="1:187">
      <c r="A13" s="1796"/>
      <c r="B13" s="2451"/>
      <c r="C13" s="2222">
        <v>335</v>
      </c>
      <c r="D13" s="2222" t="s">
        <v>2606</v>
      </c>
      <c r="E13" s="2453"/>
      <c r="F13" s="1811"/>
      <c r="G13" s="1799"/>
      <c r="H13" s="1783"/>
      <c r="I13" s="1783"/>
      <c r="J13" s="1783"/>
      <c r="K13" s="1783"/>
      <c r="L13" s="1783"/>
      <c r="M13" s="1783"/>
      <c r="N13" s="1783"/>
      <c r="O13" s="1783"/>
      <c r="P13" s="1783"/>
      <c r="Q13" s="1783"/>
      <c r="R13" s="1783"/>
      <c r="S13" s="1783"/>
      <c r="T13" s="1783"/>
      <c r="U13" s="1783"/>
      <c r="V13" s="1783"/>
      <c r="W13" s="1783"/>
      <c r="X13" s="1783"/>
      <c r="Y13" s="1783"/>
      <c r="Z13" s="1783"/>
      <c r="AA13" s="1783"/>
      <c r="AB13" s="1783"/>
      <c r="AC13" s="1783"/>
      <c r="AD13" s="1783"/>
      <c r="AE13" s="1783"/>
      <c r="AF13" s="1783"/>
      <c r="AG13" s="1783"/>
      <c r="AH13" s="1783"/>
      <c r="AI13" s="1783"/>
      <c r="AJ13" s="1783"/>
      <c r="AK13" s="1783"/>
      <c r="AL13" s="1783"/>
      <c r="AM13" s="1783"/>
      <c r="AN13" s="1783"/>
      <c r="AO13" s="1783"/>
      <c r="AP13" s="1783"/>
      <c r="AQ13" s="1783"/>
      <c r="AR13" s="1783"/>
      <c r="AS13" s="1783"/>
      <c r="AT13" s="1783"/>
      <c r="AU13" s="1783"/>
      <c r="AV13" s="1783"/>
      <c r="AW13" s="1783"/>
      <c r="AX13" s="1783"/>
      <c r="AY13" s="1783"/>
      <c r="AZ13" s="1783"/>
      <c r="BA13" s="1783"/>
      <c r="BB13" s="1783"/>
      <c r="BC13" s="1783"/>
      <c r="BD13" s="1783"/>
      <c r="BE13" s="1783"/>
      <c r="BF13" s="1783"/>
      <c r="BG13" s="1783"/>
      <c r="BH13" s="1783"/>
      <c r="BI13" s="1783"/>
      <c r="BJ13" s="1783"/>
      <c r="BK13" s="1783"/>
      <c r="BL13" s="1783"/>
      <c r="BM13" s="1783"/>
      <c r="BN13" s="1783"/>
      <c r="BO13" s="1783"/>
      <c r="BP13" s="1783"/>
      <c r="BQ13" s="1783"/>
      <c r="BR13" s="1783"/>
      <c r="BS13" s="1783"/>
      <c r="BT13" s="1783"/>
      <c r="BU13" s="1783"/>
      <c r="BV13" s="1783"/>
      <c r="BW13" s="1783"/>
      <c r="BX13" s="1783"/>
      <c r="BY13" s="1783"/>
      <c r="BZ13" s="1783"/>
      <c r="CA13" s="1783"/>
      <c r="CB13" s="1783"/>
      <c r="CC13" s="1783"/>
      <c r="CD13" s="1783"/>
      <c r="CE13" s="1783"/>
      <c r="CF13" s="1783"/>
      <c r="CG13" s="1783"/>
      <c r="CH13" s="1783"/>
      <c r="CI13" s="1783"/>
      <c r="CJ13" s="1783"/>
      <c r="CK13" s="1783"/>
      <c r="CL13" s="1783"/>
      <c r="CM13" s="1783"/>
      <c r="CN13" s="1783"/>
      <c r="CO13" s="1783"/>
      <c r="CP13" s="1783"/>
      <c r="CQ13" s="1783"/>
      <c r="CR13" s="1783"/>
      <c r="CS13" s="1783"/>
      <c r="CT13" s="1783"/>
      <c r="CU13" s="1783"/>
      <c r="CV13" s="1783"/>
      <c r="CW13" s="1783"/>
      <c r="CX13" s="1783"/>
      <c r="CY13" s="1783"/>
      <c r="CZ13" s="1783"/>
      <c r="DA13" s="1783"/>
      <c r="DB13" s="1783"/>
      <c r="DC13" s="1783"/>
      <c r="DD13" s="1783"/>
      <c r="DE13" s="1783"/>
      <c r="DF13" s="1783"/>
      <c r="DG13" s="1783"/>
      <c r="DH13" s="1783"/>
      <c r="DI13" s="1783"/>
      <c r="DJ13" s="1783"/>
      <c r="DK13" s="1783"/>
      <c r="DL13" s="1783"/>
      <c r="DM13" s="1783"/>
      <c r="DN13" s="1783"/>
      <c r="DO13" s="1783"/>
      <c r="DP13" s="1783"/>
      <c r="DQ13" s="1783"/>
      <c r="DR13" s="1783"/>
      <c r="DS13" s="1783"/>
      <c r="DT13" s="1783"/>
      <c r="DU13" s="1783"/>
      <c r="DV13" s="1783"/>
      <c r="DW13" s="1783"/>
      <c r="DX13" s="1783"/>
      <c r="DY13" s="1783"/>
      <c r="DZ13" s="1783"/>
      <c r="EA13" s="1783"/>
      <c r="EB13" s="1783"/>
      <c r="EC13" s="1783"/>
      <c r="ED13" s="1783"/>
      <c r="EE13" s="1783"/>
      <c r="EF13" s="1783"/>
      <c r="EG13" s="1783"/>
      <c r="EH13" s="1783"/>
      <c r="EI13" s="1783"/>
      <c r="EJ13" s="1783"/>
      <c r="EK13" s="1783"/>
      <c r="EL13" s="1783"/>
      <c r="EM13" s="1783"/>
      <c r="EN13" s="1783"/>
      <c r="EO13" s="1783"/>
      <c r="EP13" s="1783"/>
      <c r="EQ13" s="1783"/>
      <c r="ER13" s="1783"/>
      <c r="ES13" s="1783"/>
      <c r="ET13" s="1783"/>
      <c r="EU13" s="1783"/>
      <c r="EV13" s="1783"/>
      <c r="EW13" s="1783"/>
      <c r="EX13" s="1783"/>
      <c r="EY13" s="1783"/>
      <c r="EZ13" s="1783"/>
      <c r="FA13" s="1783"/>
      <c r="FB13" s="1783"/>
      <c r="FC13" s="1783"/>
      <c r="FD13" s="1783"/>
      <c r="FE13" s="1783"/>
      <c r="FF13" s="1783"/>
      <c r="FG13" s="1783"/>
      <c r="FH13" s="1783"/>
      <c r="FI13" s="1783"/>
      <c r="FJ13" s="1783"/>
      <c r="FK13" s="1783"/>
      <c r="FL13" s="1783"/>
      <c r="FM13" s="1783"/>
      <c r="FN13" s="1783"/>
      <c r="FO13" s="1783"/>
      <c r="FP13" s="1783"/>
      <c r="FQ13" s="1783"/>
      <c r="FR13" s="1783"/>
      <c r="FS13" s="1783"/>
      <c r="FT13" s="1783"/>
      <c r="FU13" s="1783"/>
      <c r="FV13" s="1783"/>
      <c r="FW13" s="1783"/>
      <c r="FX13" s="1783"/>
      <c r="FY13" s="1783"/>
      <c r="FZ13" s="1783"/>
      <c r="GA13" s="1783"/>
      <c r="GB13" s="1783"/>
      <c r="GC13" s="1783"/>
      <c r="GD13" s="1783"/>
      <c r="GE13" s="1783"/>
    </row>
    <row r="14" spans="1:187">
      <c r="A14" s="1796"/>
      <c r="B14" s="2451"/>
      <c r="C14" s="2222">
        <v>350</v>
      </c>
      <c r="D14" s="2222">
        <v>10</v>
      </c>
      <c r="E14" s="2453"/>
      <c r="F14" s="1811"/>
      <c r="G14" s="1799"/>
      <c r="H14" s="1783"/>
      <c r="I14" s="1783"/>
      <c r="J14" s="1783"/>
      <c r="K14" s="1783"/>
      <c r="L14" s="1783"/>
      <c r="M14" s="1783"/>
      <c r="N14" s="1783"/>
      <c r="O14" s="1783"/>
      <c r="P14" s="1783"/>
      <c r="Q14" s="1783"/>
      <c r="R14" s="1783"/>
      <c r="S14" s="1783"/>
      <c r="T14" s="1783"/>
      <c r="U14" s="1783"/>
      <c r="V14" s="1783"/>
      <c r="W14" s="1783"/>
      <c r="X14" s="1783"/>
      <c r="Y14" s="1783"/>
      <c r="Z14" s="1783"/>
      <c r="AA14" s="1783"/>
      <c r="AB14" s="1783"/>
      <c r="AC14" s="1783"/>
      <c r="AD14" s="1783"/>
      <c r="AE14" s="1783"/>
      <c r="AF14" s="1783"/>
      <c r="AG14" s="1783"/>
      <c r="AH14" s="1783"/>
      <c r="AI14" s="1783"/>
      <c r="AJ14" s="1783"/>
      <c r="AK14" s="1783"/>
      <c r="AL14" s="1783"/>
      <c r="AM14" s="1783"/>
      <c r="AN14" s="1783"/>
      <c r="AO14" s="1783"/>
      <c r="AP14" s="1783"/>
      <c r="AQ14" s="1783"/>
      <c r="AR14" s="1783"/>
      <c r="AS14" s="1783"/>
      <c r="AT14" s="1783"/>
      <c r="AU14" s="1783"/>
      <c r="AV14" s="1783"/>
      <c r="AW14" s="1783"/>
      <c r="AX14" s="1783"/>
      <c r="AY14" s="1783"/>
      <c r="AZ14" s="1783"/>
      <c r="BA14" s="1783"/>
      <c r="BB14" s="1783"/>
      <c r="BC14" s="1783"/>
      <c r="BD14" s="1783"/>
      <c r="BE14" s="1783"/>
      <c r="BF14" s="1783"/>
      <c r="BG14" s="1783"/>
      <c r="BH14" s="1783"/>
      <c r="BI14" s="1783"/>
      <c r="BJ14" s="1783"/>
      <c r="BK14" s="1783"/>
      <c r="BL14" s="1783"/>
      <c r="BM14" s="1783"/>
      <c r="BN14" s="1783"/>
      <c r="BO14" s="1783"/>
      <c r="BP14" s="1783"/>
      <c r="BQ14" s="1783"/>
      <c r="BR14" s="1783"/>
      <c r="BS14" s="1783"/>
      <c r="BT14" s="1783"/>
      <c r="BU14" s="1783"/>
      <c r="BV14" s="1783"/>
      <c r="BW14" s="1783"/>
      <c r="BX14" s="1783"/>
      <c r="BY14" s="1783"/>
      <c r="BZ14" s="1783"/>
      <c r="CA14" s="1783"/>
      <c r="CB14" s="1783"/>
      <c r="CC14" s="1783"/>
      <c r="CD14" s="1783"/>
      <c r="CE14" s="1783"/>
      <c r="CF14" s="1783"/>
      <c r="CG14" s="1783"/>
      <c r="CH14" s="1783"/>
      <c r="CI14" s="1783"/>
      <c r="CJ14" s="1783"/>
      <c r="CK14" s="1783"/>
      <c r="CL14" s="1783"/>
      <c r="CM14" s="1783"/>
      <c r="CN14" s="1783"/>
      <c r="CO14" s="1783"/>
      <c r="CP14" s="1783"/>
      <c r="CQ14" s="1783"/>
      <c r="CR14" s="1783"/>
      <c r="CS14" s="1783"/>
      <c r="CT14" s="1783"/>
      <c r="CU14" s="1783"/>
      <c r="CV14" s="1783"/>
      <c r="CW14" s="1783"/>
      <c r="CX14" s="1783"/>
      <c r="CY14" s="1783"/>
      <c r="CZ14" s="1783"/>
      <c r="DA14" s="1783"/>
      <c r="DB14" s="1783"/>
      <c r="DC14" s="1783"/>
      <c r="DD14" s="1783"/>
      <c r="DE14" s="1783"/>
      <c r="DF14" s="1783"/>
      <c r="DG14" s="1783"/>
      <c r="DH14" s="1783"/>
      <c r="DI14" s="1783"/>
      <c r="DJ14" s="1783"/>
      <c r="DK14" s="1783"/>
      <c r="DL14" s="1783"/>
      <c r="DM14" s="1783"/>
      <c r="DN14" s="1783"/>
      <c r="DO14" s="1783"/>
      <c r="DP14" s="1783"/>
      <c r="DQ14" s="1783"/>
      <c r="DR14" s="1783"/>
      <c r="DS14" s="1783"/>
      <c r="DT14" s="1783"/>
      <c r="DU14" s="1783"/>
      <c r="DV14" s="1783"/>
      <c r="DW14" s="1783"/>
      <c r="DX14" s="1783"/>
      <c r="DY14" s="1783"/>
      <c r="DZ14" s="1783"/>
      <c r="EA14" s="1783"/>
      <c r="EB14" s="1783"/>
      <c r="EC14" s="1783"/>
      <c r="ED14" s="1783"/>
      <c r="EE14" s="1783"/>
      <c r="EF14" s="1783"/>
      <c r="EG14" s="1783"/>
      <c r="EH14" s="1783"/>
      <c r="EI14" s="1783"/>
      <c r="EJ14" s="1783"/>
      <c r="EK14" s="1783"/>
      <c r="EL14" s="1783"/>
      <c r="EM14" s="1783"/>
      <c r="EN14" s="1783"/>
      <c r="EO14" s="1783"/>
      <c r="EP14" s="1783"/>
      <c r="EQ14" s="1783"/>
      <c r="ER14" s="1783"/>
      <c r="ES14" s="1783"/>
      <c r="ET14" s="1783"/>
      <c r="EU14" s="1783"/>
      <c r="EV14" s="1783"/>
      <c r="EW14" s="1783"/>
      <c r="EX14" s="1783"/>
      <c r="EY14" s="1783"/>
      <c r="EZ14" s="1783"/>
      <c r="FA14" s="1783"/>
      <c r="FB14" s="1783"/>
      <c r="FC14" s="1783"/>
      <c r="FD14" s="1783"/>
      <c r="FE14" s="1783"/>
      <c r="FF14" s="1783"/>
      <c r="FG14" s="1783"/>
      <c r="FH14" s="1783"/>
      <c r="FI14" s="1783"/>
      <c r="FJ14" s="1783"/>
      <c r="FK14" s="1783"/>
      <c r="FL14" s="1783"/>
      <c r="FM14" s="1783"/>
      <c r="FN14" s="1783"/>
      <c r="FO14" s="1783"/>
      <c r="FP14" s="1783"/>
      <c r="FQ14" s="1783"/>
      <c r="FR14" s="1783"/>
      <c r="FS14" s="1783"/>
      <c r="FT14" s="1783"/>
      <c r="FU14" s="1783"/>
      <c r="FV14" s="1783"/>
      <c r="FW14" s="1783"/>
      <c r="FX14" s="1783"/>
      <c r="FY14" s="1783"/>
      <c r="FZ14" s="1783"/>
      <c r="GA14" s="1783"/>
      <c r="GB14" s="1783"/>
      <c r="GC14" s="1783"/>
      <c r="GD14" s="1783"/>
      <c r="GE14" s="1783"/>
    </row>
    <row r="15" spans="1:187">
      <c r="A15" s="1796"/>
      <c r="B15" s="2451"/>
      <c r="C15" s="2222">
        <v>401</v>
      </c>
      <c r="D15" s="2222" t="s">
        <v>2601</v>
      </c>
      <c r="E15" s="2453"/>
      <c r="F15" s="1811"/>
      <c r="G15" s="1799"/>
      <c r="H15" s="1783"/>
      <c r="I15" s="1783"/>
      <c r="J15" s="1783"/>
      <c r="K15" s="1783"/>
      <c r="L15" s="1783"/>
      <c r="M15" s="1783"/>
      <c r="N15" s="1783"/>
      <c r="O15" s="1783"/>
      <c r="P15" s="1783"/>
      <c r="Q15" s="1783"/>
      <c r="R15" s="1783"/>
      <c r="S15" s="1783"/>
      <c r="T15" s="1783"/>
      <c r="U15" s="1783"/>
      <c r="V15" s="1783"/>
      <c r="W15" s="1783"/>
      <c r="X15" s="1783"/>
      <c r="Y15" s="1783"/>
      <c r="Z15" s="1783"/>
      <c r="AA15" s="1783"/>
      <c r="AB15" s="1783"/>
      <c r="AC15" s="1783"/>
      <c r="AD15" s="1783"/>
      <c r="AE15" s="1783"/>
      <c r="AF15" s="1783"/>
      <c r="AG15" s="1783"/>
      <c r="AH15" s="1783"/>
      <c r="AI15" s="1783"/>
      <c r="AJ15" s="1783"/>
      <c r="AK15" s="1783"/>
      <c r="AL15" s="1783"/>
      <c r="AM15" s="1783"/>
      <c r="AN15" s="1783"/>
      <c r="AO15" s="1783"/>
      <c r="AP15" s="1783"/>
      <c r="AQ15" s="1783"/>
      <c r="AR15" s="1783"/>
      <c r="AS15" s="1783"/>
      <c r="AT15" s="1783"/>
      <c r="AU15" s="1783"/>
      <c r="AV15" s="1783"/>
      <c r="AW15" s="1783"/>
      <c r="AX15" s="1783"/>
      <c r="AY15" s="1783"/>
      <c r="AZ15" s="1783"/>
      <c r="BA15" s="1783"/>
      <c r="BB15" s="1783"/>
      <c r="BC15" s="1783"/>
      <c r="BD15" s="1783"/>
      <c r="BE15" s="1783"/>
      <c r="BF15" s="1783"/>
      <c r="BG15" s="1783"/>
      <c r="BH15" s="1783"/>
      <c r="BI15" s="1783"/>
      <c r="BJ15" s="1783"/>
      <c r="BK15" s="1783"/>
      <c r="BL15" s="1783"/>
      <c r="BM15" s="1783"/>
      <c r="BN15" s="1783"/>
      <c r="BO15" s="1783"/>
      <c r="BP15" s="1783"/>
      <c r="BQ15" s="1783"/>
      <c r="BR15" s="1783"/>
      <c r="BS15" s="1783"/>
      <c r="BT15" s="1783"/>
      <c r="BU15" s="1783"/>
      <c r="BV15" s="1783"/>
      <c r="BW15" s="1783"/>
      <c r="BX15" s="1783"/>
      <c r="BY15" s="1783"/>
      <c r="BZ15" s="1783"/>
      <c r="CA15" s="1783"/>
      <c r="CB15" s="1783"/>
      <c r="CC15" s="1783"/>
      <c r="CD15" s="1783"/>
      <c r="CE15" s="1783"/>
      <c r="CF15" s="1783"/>
      <c r="CG15" s="1783"/>
      <c r="CH15" s="1783"/>
      <c r="CI15" s="1783"/>
      <c r="CJ15" s="1783"/>
      <c r="CK15" s="1783"/>
      <c r="CL15" s="1783"/>
      <c r="CM15" s="1783"/>
      <c r="CN15" s="1783"/>
      <c r="CO15" s="1783"/>
      <c r="CP15" s="1783"/>
      <c r="CQ15" s="1783"/>
      <c r="CR15" s="1783"/>
      <c r="CS15" s="1783"/>
      <c r="CT15" s="1783"/>
      <c r="CU15" s="1783"/>
      <c r="CV15" s="1783"/>
      <c r="CW15" s="1783"/>
      <c r="CX15" s="1783"/>
      <c r="CY15" s="1783"/>
      <c r="CZ15" s="1783"/>
      <c r="DA15" s="1783"/>
      <c r="DB15" s="1783"/>
      <c r="DC15" s="1783"/>
      <c r="DD15" s="1783"/>
      <c r="DE15" s="1783"/>
      <c r="DF15" s="1783"/>
      <c r="DG15" s="1783"/>
      <c r="DH15" s="1783"/>
      <c r="DI15" s="1783"/>
      <c r="DJ15" s="1783"/>
      <c r="DK15" s="1783"/>
      <c r="DL15" s="1783"/>
      <c r="DM15" s="1783"/>
      <c r="DN15" s="1783"/>
      <c r="DO15" s="1783"/>
      <c r="DP15" s="1783"/>
      <c r="DQ15" s="1783"/>
      <c r="DR15" s="1783"/>
      <c r="DS15" s="1783"/>
      <c r="DT15" s="1783"/>
      <c r="DU15" s="1783"/>
      <c r="DV15" s="1783"/>
      <c r="DW15" s="1783"/>
      <c r="DX15" s="1783"/>
      <c r="DY15" s="1783"/>
      <c r="DZ15" s="1783"/>
      <c r="EA15" s="1783"/>
      <c r="EB15" s="1783"/>
      <c r="EC15" s="1783"/>
      <c r="ED15" s="1783"/>
      <c r="EE15" s="1783"/>
      <c r="EF15" s="1783"/>
      <c r="EG15" s="1783"/>
      <c r="EH15" s="1783"/>
      <c r="EI15" s="1783"/>
      <c r="EJ15" s="1783"/>
      <c r="EK15" s="1783"/>
      <c r="EL15" s="1783"/>
      <c r="EM15" s="1783"/>
      <c r="EN15" s="1783"/>
      <c r="EO15" s="1783"/>
      <c r="EP15" s="1783"/>
      <c r="EQ15" s="1783"/>
      <c r="ER15" s="1783"/>
      <c r="ES15" s="1783"/>
      <c r="ET15" s="1783"/>
      <c r="EU15" s="1783"/>
      <c r="EV15" s="1783"/>
      <c r="EW15" s="1783"/>
      <c r="EX15" s="1783"/>
      <c r="EY15" s="1783"/>
      <c r="EZ15" s="1783"/>
      <c r="FA15" s="1783"/>
      <c r="FB15" s="1783"/>
      <c r="FC15" s="1783"/>
      <c r="FD15" s="1783"/>
      <c r="FE15" s="1783"/>
      <c r="FF15" s="1783"/>
      <c r="FG15" s="1783"/>
      <c r="FH15" s="1783"/>
      <c r="FI15" s="1783"/>
      <c r="FJ15" s="1783"/>
      <c r="FK15" s="1783"/>
      <c r="FL15" s="1783"/>
      <c r="FM15" s="1783"/>
      <c r="FN15" s="1783"/>
      <c r="FO15" s="1783"/>
      <c r="FP15" s="1783"/>
      <c r="FQ15" s="1783"/>
      <c r="FR15" s="1783"/>
      <c r="FS15" s="1783"/>
      <c r="FT15" s="1783"/>
      <c r="FU15" s="1783"/>
      <c r="FV15" s="1783"/>
      <c r="FW15" s="1783"/>
      <c r="FX15" s="1783"/>
      <c r="FY15" s="1783"/>
      <c r="FZ15" s="1783"/>
      <c r="GA15" s="1783"/>
      <c r="GB15" s="1783"/>
      <c r="GC15" s="1783"/>
      <c r="GD15" s="1783"/>
      <c r="GE15" s="1783"/>
    </row>
    <row r="16" spans="1:187">
      <c r="A16" s="1796"/>
      <c r="B16" s="2452"/>
      <c r="C16" s="2223">
        <v>450</v>
      </c>
      <c r="D16" s="2223">
        <v>10</v>
      </c>
      <c r="E16" s="2453"/>
      <c r="F16" s="1811"/>
      <c r="G16" s="1799"/>
      <c r="H16" s="1783"/>
      <c r="I16" s="1783"/>
      <c r="J16" s="1783"/>
      <c r="K16" s="1783"/>
      <c r="L16" s="1783"/>
      <c r="M16" s="1783"/>
      <c r="N16" s="1783"/>
      <c r="O16" s="1783"/>
      <c r="P16" s="1783"/>
      <c r="Q16" s="1783"/>
      <c r="R16" s="1783"/>
      <c r="S16" s="1783"/>
      <c r="T16" s="1783"/>
      <c r="U16" s="1783"/>
      <c r="V16" s="1783"/>
      <c r="W16" s="1783"/>
      <c r="X16" s="1783"/>
      <c r="Y16" s="1783"/>
      <c r="Z16" s="1783"/>
      <c r="AA16" s="1783"/>
      <c r="AB16" s="1783"/>
      <c r="AC16" s="1783"/>
      <c r="AD16" s="1783"/>
      <c r="AE16" s="1783"/>
      <c r="AF16" s="1783"/>
      <c r="AG16" s="1783"/>
      <c r="AH16" s="1783"/>
      <c r="AI16" s="1783"/>
      <c r="AJ16" s="1783"/>
      <c r="AK16" s="1783"/>
      <c r="AL16" s="1783"/>
      <c r="AM16" s="1783"/>
      <c r="AN16" s="1783"/>
      <c r="AO16" s="1783"/>
      <c r="AP16" s="1783"/>
      <c r="AQ16" s="1783"/>
      <c r="AR16" s="1783"/>
      <c r="AS16" s="1783"/>
      <c r="AT16" s="1783"/>
      <c r="AU16" s="1783"/>
      <c r="AV16" s="1783"/>
      <c r="AW16" s="1783"/>
      <c r="AX16" s="1783"/>
      <c r="AY16" s="1783"/>
      <c r="AZ16" s="1783"/>
      <c r="BA16" s="1783"/>
      <c r="BB16" s="1783"/>
      <c r="BC16" s="1783"/>
      <c r="BD16" s="1783"/>
      <c r="BE16" s="1783"/>
      <c r="BF16" s="1783"/>
      <c r="BG16" s="1783"/>
      <c r="BH16" s="1783"/>
      <c r="BI16" s="1783"/>
      <c r="BJ16" s="1783"/>
      <c r="BK16" s="1783"/>
      <c r="BL16" s="1783"/>
      <c r="BM16" s="1783"/>
      <c r="BN16" s="1783"/>
      <c r="BO16" s="1783"/>
      <c r="BP16" s="1783"/>
      <c r="BQ16" s="1783"/>
      <c r="BR16" s="1783"/>
      <c r="BS16" s="1783"/>
      <c r="BT16" s="1783"/>
      <c r="BU16" s="1783"/>
      <c r="BV16" s="1783"/>
      <c r="BW16" s="1783"/>
      <c r="BX16" s="1783"/>
      <c r="BY16" s="1783"/>
      <c r="BZ16" s="1783"/>
      <c r="CA16" s="1783"/>
      <c r="CB16" s="1783"/>
      <c r="CC16" s="1783"/>
      <c r="CD16" s="1783"/>
      <c r="CE16" s="1783"/>
      <c r="CF16" s="1783"/>
      <c r="CG16" s="1783"/>
      <c r="CH16" s="1783"/>
      <c r="CI16" s="1783"/>
      <c r="CJ16" s="1783"/>
      <c r="CK16" s="1783"/>
      <c r="CL16" s="1783"/>
      <c r="CM16" s="1783"/>
      <c r="CN16" s="1783"/>
      <c r="CO16" s="1783"/>
      <c r="CP16" s="1783"/>
      <c r="CQ16" s="1783"/>
      <c r="CR16" s="1783"/>
      <c r="CS16" s="1783"/>
      <c r="CT16" s="1783"/>
      <c r="CU16" s="1783"/>
      <c r="CV16" s="1783"/>
      <c r="CW16" s="1783"/>
      <c r="CX16" s="1783"/>
      <c r="CY16" s="1783"/>
      <c r="CZ16" s="1783"/>
      <c r="DA16" s="1783"/>
      <c r="DB16" s="1783"/>
      <c r="DC16" s="1783"/>
      <c r="DD16" s="1783"/>
      <c r="DE16" s="1783"/>
      <c r="DF16" s="1783"/>
      <c r="DG16" s="1783"/>
      <c r="DH16" s="1783"/>
      <c r="DI16" s="1783"/>
      <c r="DJ16" s="1783"/>
      <c r="DK16" s="1783"/>
      <c r="DL16" s="1783"/>
      <c r="DM16" s="1783"/>
      <c r="DN16" s="1783"/>
      <c r="DO16" s="1783"/>
      <c r="DP16" s="1783"/>
      <c r="DQ16" s="1783"/>
      <c r="DR16" s="1783"/>
      <c r="DS16" s="1783"/>
      <c r="DT16" s="1783"/>
      <c r="DU16" s="1783"/>
      <c r="DV16" s="1783"/>
      <c r="DW16" s="1783"/>
      <c r="DX16" s="1783"/>
      <c r="DY16" s="1783"/>
      <c r="DZ16" s="1783"/>
      <c r="EA16" s="1783"/>
      <c r="EB16" s="1783"/>
      <c r="EC16" s="1783"/>
      <c r="ED16" s="1783"/>
      <c r="EE16" s="1783"/>
      <c r="EF16" s="1783"/>
      <c r="EG16" s="1783"/>
      <c r="EH16" s="1783"/>
      <c r="EI16" s="1783"/>
      <c r="EJ16" s="1783"/>
      <c r="EK16" s="1783"/>
      <c r="EL16" s="1783"/>
      <c r="EM16" s="1783"/>
      <c r="EN16" s="1783"/>
      <c r="EO16" s="1783"/>
      <c r="EP16" s="1783"/>
      <c r="EQ16" s="1783"/>
      <c r="ER16" s="1783"/>
      <c r="ES16" s="1783"/>
      <c r="ET16" s="1783"/>
      <c r="EU16" s="1783"/>
      <c r="EV16" s="1783"/>
      <c r="EW16" s="1783"/>
      <c r="EX16" s="1783"/>
      <c r="EY16" s="1783"/>
      <c r="EZ16" s="1783"/>
      <c r="FA16" s="1783"/>
      <c r="FB16" s="1783"/>
      <c r="FC16" s="1783"/>
      <c r="FD16" s="1783"/>
      <c r="FE16" s="1783"/>
      <c r="FF16" s="1783"/>
      <c r="FG16" s="1783"/>
      <c r="FH16" s="1783"/>
      <c r="FI16" s="1783"/>
      <c r="FJ16" s="1783"/>
      <c r="FK16" s="1783"/>
      <c r="FL16" s="1783"/>
      <c r="FM16" s="1783"/>
      <c r="FN16" s="1783"/>
      <c r="FO16" s="1783"/>
      <c r="FP16" s="1783"/>
      <c r="FQ16" s="1783"/>
      <c r="FR16" s="1783"/>
      <c r="FS16" s="1783"/>
      <c r="FT16" s="1783"/>
      <c r="FU16" s="1783"/>
      <c r="FV16" s="1783"/>
      <c r="FW16" s="1783"/>
      <c r="FX16" s="1783"/>
      <c r="FY16" s="1783"/>
      <c r="FZ16" s="1783"/>
      <c r="GA16" s="1783"/>
      <c r="GB16" s="1783"/>
      <c r="GC16" s="1783"/>
      <c r="GD16" s="1783"/>
      <c r="GE16" s="1783"/>
    </row>
    <row r="17" spans="1:187">
      <c r="A17" s="899" t="s">
        <v>1503</v>
      </c>
      <c r="B17" s="905" t="s">
        <v>2607</v>
      </c>
      <c r="C17" s="1810"/>
      <c r="D17" s="1810"/>
      <c r="E17" s="909">
        <f>+E11+E12</f>
        <v>0</v>
      </c>
      <c r="F17" s="1811"/>
      <c r="G17" s="1799"/>
      <c r="H17" s="1783"/>
      <c r="I17" s="1783"/>
      <c r="J17" s="1783"/>
      <c r="K17" s="1783"/>
      <c r="L17" s="1783"/>
      <c r="M17" s="1783"/>
      <c r="N17" s="1783"/>
      <c r="O17" s="1783"/>
      <c r="P17" s="1783"/>
      <c r="Q17" s="1783"/>
      <c r="R17" s="1783"/>
      <c r="S17" s="1783"/>
      <c r="T17" s="1783"/>
      <c r="U17" s="1783"/>
      <c r="V17" s="1783"/>
      <c r="W17" s="1783"/>
      <c r="X17" s="1783"/>
      <c r="Y17" s="1783"/>
      <c r="Z17" s="1783"/>
      <c r="AA17" s="1783"/>
      <c r="AB17" s="1783"/>
      <c r="AC17" s="1783"/>
      <c r="AD17" s="1783"/>
      <c r="AE17" s="1783"/>
      <c r="AF17" s="1783"/>
      <c r="AG17" s="1783"/>
      <c r="AH17" s="1783"/>
      <c r="AI17" s="1783"/>
      <c r="AJ17" s="1783"/>
      <c r="AK17" s="1783"/>
      <c r="AL17" s="1783"/>
      <c r="AM17" s="1783"/>
      <c r="AN17" s="1783"/>
      <c r="AO17" s="1783"/>
      <c r="AP17" s="1783"/>
      <c r="AQ17" s="1783"/>
      <c r="AR17" s="1783"/>
      <c r="AS17" s="1783"/>
      <c r="AT17" s="1783"/>
      <c r="AU17" s="1783"/>
      <c r="AV17" s="1783"/>
      <c r="AW17" s="1783"/>
      <c r="AX17" s="1783"/>
      <c r="AY17" s="1783"/>
      <c r="AZ17" s="1783"/>
      <c r="BA17" s="1783"/>
      <c r="BB17" s="1783"/>
      <c r="BC17" s="1783"/>
      <c r="BD17" s="1783"/>
      <c r="BE17" s="1783"/>
      <c r="BF17" s="1783"/>
      <c r="BG17" s="1783"/>
      <c r="BH17" s="1783"/>
      <c r="BI17" s="1783"/>
      <c r="BJ17" s="1783"/>
      <c r="BK17" s="1783"/>
      <c r="BL17" s="1783"/>
      <c r="BM17" s="1783"/>
      <c r="BN17" s="1783"/>
      <c r="BO17" s="1783"/>
      <c r="BP17" s="1783"/>
      <c r="BQ17" s="1783"/>
      <c r="BR17" s="1783"/>
      <c r="BS17" s="1783"/>
      <c r="BT17" s="1783"/>
      <c r="BU17" s="1783"/>
      <c r="BV17" s="1783"/>
      <c r="BW17" s="1783"/>
      <c r="BX17" s="1783"/>
      <c r="BY17" s="1783"/>
      <c r="BZ17" s="1783"/>
      <c r="CA17" s="1783"/>
      <c r="CB17" s="1783"/>
      <c r="CC17" s="1783"/>
      <c r="CD17" s="1783"/>
      <c r="CE17" s="1783"/>
      <c r="CF17" s="1783"/>
      <c r="CG17" s="1783"/>
      <c r="CH17" s="1783"/>
      <c r="CI17" s="1783"/>
      <c r="CJ17" s="1783"/>
      <c r="CK17" s="1783"/>
      <c r="CL17" s="1783"/>
      <c r="CM17" s="1783"/>
      <c r="CN17" s="1783"/>
      <c r="CO17" s="1783"/>
      <c r="CP17" s="1783"/>
      <c r="CQ17" s="1783"/>
      <c r="CR17" s="1783"/>
      <c r="CS17" s="1783"/>
      <c r="CT17" s="1783"/>
      <c r="CU17" s="1783"/>
      <c r="CV17" s="1783"/>
      <c r="CW17" s="1783"/>
      <c r="CX17" s="1783"/>
      <c r="CY17" s="1783"/>
      <c r="CZ17" s="1783"/>
      <c r="DA17" s="1783"/>
      <c r="DB17" s="1783"/>
      <c r="DC17" s="1783"/>
      <c r="DD17" s="1783"/>
      <c r="DE17" s="1783"/>
      <c r="DF17" s="1783"/>
      <c r="DG17" s="1783"/>
      <c r="DH17" s="1783"/>
      <c r="DI17" s="1783"/>
      <c r="DJ17" s="1783"/>
      <c r="DK17" s="1783"/>
      <c r="DL17" s="1783"/>
      <c r="DM17" s="1783"/>
      <c r="DN17" s="1783"/>
      <c r="DO17" s="1783"/>
      <c r="DP17" s="1783"/>
      <c r="DQ17" s="1783"/>
      <c r="DR17" s="1783"/>
      <c r="DS17" s="1783"/>
      <c r="DT17" s="1783"/>
      <c r="DU17" s="1783"/>
      <c r="DV17" s="1783"/>
      <c r="DW17" s="1783"/>
      <c r="DX17" s="1783"/>
      <c r="DY17" s="1783"/>
      <c r="DZ17" s="1783"/>
      <c r="EA17" s="1783"/>
      <c r="EB17" s="1783"/>
      <c r="EC17" s="1783"/>
      <c r="ED17" s="1783"/>
      <c r="EE17" s="1783"/>
      <c r="EF17" s="1783"/>
      <c r="EG17" s="1783"/>
      <c r="EH17" s="1783"/>
      <c r="EI17" s="1783"/>
      <c r="EJ17" s="1783"/>
      <c r="EK17" s="1783"/>
      <c r="EL17" s="1783"/>
      <c r="EM17" s="1783"/>
      <c r="EN17" s="1783"/>
      <c r="EO17" s="1783"/>
      <c r="EP17" s="1783"/>
      <c r="EQ17" s="1783"/>
      <c r="ER17" s="1783"/>
      <c r="ES17" s="1783"/>
      <c r="ET17" s="1783"/>
      <c r="EU17" s="1783"/>
      <c r="EV17" s="1783"/>
      <c r="EW17" s="1783"/>
      <c r="EX17" s="1783"/>
      <c r="EY17" s="1783"/>
      <c r="EZ17" s="1783"/>
      <c r="FA17" s="1783"/>
      <c r="FB17" s="1783"/>
      <c r="FC17" s="1783"/>
      <c r="FD17" s="1783"/>
      <c r="FE17" s="1783"/>
      <c r="FF17" s="1783"/>
      <c r="FG17" s="1783"/>
      <c r="FH17" s="1783"/>
      <c r="FI17" s="1783"/>
      <c r="FJ17" s="1783"/>
      <c r="FK17" s="1783"/>
      <c r="FL17" s="1783"/>
      <c r="FM17" s="1783"/>
      <c r="FN17" s="1783"/>
      <c r="FO17" s="1783"/>
      <c r="FP17" s="1783"/>
      <c r="FQ17" s="1783"/>
      <c r="FR17" s="1783"/>
      <c r="FS17" s="1783"/>
      <c r="FT17" s="1783"/>
      <c r="FU17" s="1783"/>
      <c r="FV17" s="1783"/>
      <c r="FW17" s="1783"/>
      <c r="FX17" s="1783"/>
      <c r="FY17" s="1783"/>
      <c r="FZ17" s="1783"/>
      <c r="GA17" s="1783"/>
      <c r="GB17" s="1783"/>
      <c r="GC17" s="1783"/>
      <c r="GD17" s="1783"/>
      <c r="GE17" s="1783"/>
    </row>
    <row r="18" spans="1:187">
      <c r="A18" s="1796"/>
      <c r="B18" s="1799"/>
      <c r="C18" s="1799"/>
      <c r="D18" s="1799"/>
      <c r="E18" s="1799"/>
      <c r="F18" s="1811"/>
      <c r="G18" s="1799"/>
      <c r="H18" s="1783"/>
      <c r="I18" s="1783"/>
      <c r="J18" s="1783"/>
      <c r="K18" s="1783"/>
      <c r="L18" s="1783"/>
      <c r="M18" s="1783"/>
      <c r="N18" s="1783"/>
      <c r="O18" s="1783"/>
      <c r="P18" s="1783"/>
      <c r="Q18" s="1783"/>
      <c r="R18" s="1783"/>
      <c r="S18" s="1783"/>
      <c r="T18" s="1783"/>
      <c r="U18" s="1783"/>
      <c r="V18" s="1783"/>
      <c r="W18" s="1783"/>
      <c r="X18" s="1783"/>
      <c r="Y18" s="1783"/>
      <c r="Z18" s="1783"/>
      <c r="AA18" s="1783"/>
      <c r="AB18" s="1783"/>
      <c r="AC18" s="1783"/>
      <c r="AD18" s="1783"/>
      <c r="AE18" s="1783"/>
      <c r="AF18" s="1783"/>
      <c r="AG18" s="1783"/>
      <c r="AH18" s="1783"/>
      <c r="AI18" s="1783"/>
      <c r="AJ18" s="1783"/>
      <c r="AK18" s="1783"/>
      <c r="AL18" s="1783"/>
      <c r="AM18" s="1783"/>
      <c r="AN18" s="1783"/>
      <c r="AO18" s="1783"/>
      <c r="AP18" s="1783"/>
      <c r="AQ18" s="1783"/>
      <c r="AR18" s="1783"/>
      <c r="AS18" s="1783"/>
      <c r="AT18" s="1783"/>
      <c r="AU18" s="1783"/>
      <c r="AV18" s="1783"/>
      <c r="AW18" s="1783"/>
      <c r="AX18" s="1783"/>
      <c r="AY18" s="1783"/>
      <c r="AZ18" s="1783"/>
      <c r="BA18" s="1783"/>
      <c r="BB18" s="1783"/>
      <c r="BC18" s="1783"/>
      <c r="BD18" s="1783"/>
      <c r="BE18" s="1783"/>
      <c r="BF18" s="1783"/>
      <c r="BG18" s="1783"/>
      <c r="BH18" s="1783"/>
      <c r="BI18" s="1783"/>
      <c r="BJ18" s="1783"/>
      <c r="BK18" s="1783"/>
      <c r="BL18" s="1783"/>
      <c r="BM18" s="1783"/>
      <c r="BN18" s="1783"/>
      <c r="BO18" s="1783"/>
      <c r="BP18" s="1783"/>
      <c r="BQ18" s="1783"/>
      <c r="BR18" s="1783"/>
      <c r="BS18" s="1783"/>
      <c r="BT18" s="1783"/>
      <c r="BU18" s="1783"/>
      <c r="BV18" s="1783"/>
      <c r="BW18" s="1783"/>
      <c r="BX18" s="1783"/>
      <c r="BY18" s="1783"/>
      <c r="BZ18" s="1783"/>
      <c r="CA18" s="1783"/>
      <c r="CB18" s="1783"/>
      <c r="CC18" s="1783"/>
      <c r="CD18" s="1783"/>
      <c r="CE18" s="1783"/>
      <c r="CF18" s="1783"/>
      <c r="CG18" s="1783"/>
      <c r="CH18" s="1783"/>
      <c r="CI18" s="1783"/>
      <c r="CJ18" s="1783"/>
      <c r="CK18" s="1783"/>
      <c r="CL18" s="1783"/>
      <c r="CM18" s="1783"/>
      <c r="CN18" s="1783"/>
      <c r="CO18" s="1783"/>
      <c r="CP18" s="1783"/>
      <c r="CQ18" s="1783"/>
      <c r="CR18" s="1783"/>
      <c r="CS18" s="1783"/>
      <c r="CT18" s="1783"/>
      <c r="CU18" s="1783"/>
      <c r="CV18" s="1783"/>
      <c r="CW18" s="1783"/>
      <c r="CX18" s="1783"/>
      <c r="CY18" s="1783"/>
      <c r="CZ18" s="1783"/>
      <c r="DA18" s="1783"/>
      <c r="DB18" s="1783"/>
      <c r="DC18" s="1783"/>
      <c r="DD18" s="1783"/>
      <c r="DE18" s="1783"/>
      <c r="DF18" s="1783"/>
      <c r="DG18" s="1783"/>
      <c r="DH18" s="1783"/>
      <c r="DI18" s="1783"/>
      <c r="DJ18" s="1783"/>
      <c r="DK18" s="1783"/>
      <c r="DL18" s="1783"/>
      <c r="DM18" s="1783"/>
      <c r="DN18" s="1783"/>
      <c r="DO18" s="1783"/>
      <c r="DP18" s="1783"/>
      <c r="DQ18" s="1783"/>
      <c r="DR18" s="1783"/>
      <c r="DS18" s="1783"/>
      <c r="DT18" s="1783"/>
      <c r="DU18" s="1783"/>
      <c r="DV18" s="1783"/>
      <c r="DW18" s="1783"/>
      <c r="DX18" s="1783"/>
      <c r="DY18" s="1783"/>
      <c r="DZ18" s="1783"/>
      <c r="EA18" s="1783"/>
      <c r="EB18" s="1783"/>
      <c r="EC18" s="1783"/>
      <c r="ED18" s="1783"/>
      <c r="EE18" s="1783"/>
      <c r="EF18" s="1783"/>
      <c r="EG18" s="1783"/>
      <c r="EH18" s="1783"/>
      <c r="EI18" s="1783"/>
      <c r="EJ18" s="1783"/>
      <c r="EK18" s="1783"/>
      <c r="EL18" s="1783"/>
      <c r="EM18" s="1783"/>
      <c r="EN18" s="1783"/>
      <c r="EO18" s="1783"/>
      <c r="EP18" s="1783"/>
      <c r="EQ18" s="1783"/>
      <c r="ER18" s="1783"/>
      <c r="ES18" s="1783"/>
      <c r="ET18" s="1783"/>
      <c r="EU18" s="1783"/>
      <c r="EV18" s="1783"/>
      <c r="EW18" s="1783"/>
      <c r="EX18" s="1783"/>
      <c r="EY18" s="1783"/>
      <c r="EZ18" s="1783"/>
      <c r="FA18" s="1783"/>
      <c r="FB18" s="1783"/>
      <c r="FC18" s="1783"/>
      <c r="FD18" s="1783"/>
      <c r="FE18" s="1783"/>
      <c r="FF18" s="1783"/>
      <c r="FG18" s="1783"/>
      <c r="FH18" s="1783"/>
      <c r="FI18" s="1783"/>
      <c r="FJ18" s="1783"/>
      <c r="FK18" s="1783"/>
      <c r="FL18" s="1783"/>
      <c r="FM18" s="1783"/>
      <c r="FN18" s="1783"/>
      <c r="FO18" s="1783"/>
      <c r="FP18" s="1783"/>
      <c r="FQ18" s="1783"/>
      <c r="FR18" s="1783"/>
      <c r="FS18" s="1783"/>
      <c r="FT18" s="1783"/>
      <c r="FU18" s="1783"/>
      <c r="FV18" s="1783"/>
      <c r="FW18" s="1783"/>
      <c r="FX18" s="1783"/>
      <c r="FY18" s="1783"/>
      <c r="FZ18" s="1783"/>
      <c r="GA18" s="1783"/>
      <c r="GB18" s="1783"/>
      <c r="GC18" s="1783"/>
      <c r="GD18" s="1783"/>
      <c r="GE18" s="1783"/>
    </row>
    <row r="19" spans="1:187">
      <c r="A19" s="1796"/>
      <c r="B19" s="1799"/>
      <c r="C19" s="1799"/>
      <c r="D19" s="1799"/>
      <c r="E19" s="1799"/>
      <c r="F19" s="52"/>
      <c r="G19" s="1814"/>
      <c r="H19" s="1783"/>
      <c r="I19" s="1783"/>
      <c r="J19" s="1783"/>
      <c r="K19" s="1783"/>
      <c r="L19" s="1783"/>
      <c r="M19" s="1783"/>
      <c r="N19" s="1783"/>
      <c r="O19" s="1783"/>
      <c r="P19" s="1783"/>
      <c r="Q19" s="1783"/>
      <c r="R19" s="1783"/>
      <c r="S19" s="1783"/>
      <c r="T19" s="1783"/>
      <c r="U19" s="1783"/>
      <c r="V19" s="1783"/>
      <c r="W19" s="1783"/>
      <c r="X19" s="1783"/>
      <c r="Y19" s="1783"/>
      <c r="Z19" s="1783"/>
      <c r="AA19" s="1783"/>
      <c r="AB19" s="1783"/>
      <c r="AC19" s="1783"/>
      <c r="AD19" s="1783"/>
      <c r="AE19" s="1783"/>
      <c r="AF19" s="1783"/>
      <c r="AG19" s="1783"/>
      <c r="AH19" s="1783"/>
      <c r="AI19" s="1783"/>
      <c r="AJ19" s="1783"/>
      <c r="AK19" s="1783"/>
      <c r="AL19" s="1783"/>
      <c r="AM19" s="1783"/>
      <c r="AN19" s="1783"/>
      <c r="AO19" s="1783"/>
      <c r="AP19" s="1783"/>
      <c r="AQ19" s="1783"/>
      <c r="AR19" s="1783"/>
      <c r="AS19" s="1783"/>
      <c r="AT19" s="1783"/>
      <c r="AU19" s="1783"/>
      <c r="AV19" s="1783"/>
      <c r="AW19" s="1783"/>
      <c r="AX19" s="1783"/>
      <c r="AY19" s="1783"/>
      <c r="AZ19" s="1783"/>
      <c r="BA19" s="1783"/>
      <c r="BB19" s="1783"/>
      <c r="BC19" s="1783"/>
      <c r="BD19" s="1783"/>
      <c r="BE19" s="1783"/>
      <c r="BF19" s="1783"/>
      <c r="BG19" s="1783"/>
      <c r="BH19" s="1783"/>
      <c r="BI19" s="1783"/>
      <c r="BJ19" s="1783"/>
      <c r="BK19" s="1783"/>
      <c r="BL19" s="1783"/>
      <c r="BM19" s="1783"/>
      <c r="BN19" s="1783"/>
      <c r="BO19" s="1783"/>
      <c r="BP19" s="1783"/>
      <c r="BQ19" s="1783"/>
      <c r="BR19" s="1783"/>
      <c r="BS19" s="1783"/>
      <c r="BT19" s="1783"/>
      <c r="BU19" s="1783"/>
      <c r="BV19" s="1783"/>
      <c r="BW19" s="1783"/>
      <c r="BX19" s="1783"/>
      <c r="BY19" s="1783"/>
      <c r="BZ19" s="1783"/>
      <c r="CA19" s="1783"/>
      <c r="CB19" s="1783"/>
      <c r="CC19" s="1783"/>
      <c r="CD19" s="1783"/>
      <c r="CE19" s="1783"/>
      <c r="CF19" s="1783"/>
      <c r="CG19" s="1783"/>
      <c r="CH19" s="1783"/>
      <c r="CI19" s="1783"/>
      <c r="CJ19" s="1783"/>
      <c r="CK19" s="1783"/>
      <c r="CL19" s="1783"/>
      <c r="CM19" s="1783"/>
      <c r="CN19" s="1783"/>
      <c r="CO19" s="1783"/>
      <c r="CP19" s="1783"/>
      <c r="CQ19" s="1783"/>
      <c r="CR19" s="1783"/>
      <c r="CS19" s="1783"/>
      <c r="CT19" s="1783"/>
      <c r="CU19" s="1783"/>
      <c r="CV19" s="1783"/>
      <c r="CW19" s="1783"/>
      <c r="CX19" s="1783"/>
      <c r="CY19" s="1783"/>
      <c r="CZ19" s="1783"/>
      <c r="DA19" s="1783"/>
      <c r="DB19" s="1783"/>
      <c r="DC19" s="1783"/>
      <c r="DD19" s="1783"/>
      <c r="DE19" s="1783"/>
      <c r="DF19" s="1783"/>
      <c r="DG19" s="1783"/>
      <c r="DH19" s="1783"/>
      <c r="DI19" s="1783"/>
      <c r="DJ19" s="1783"/>
      <c r="DK19" s="1783"/>
      <c r="DL19" s="1783"/>
      <c r="DM19" s="1783"/>
      <c r="DN19" s="1783"/>
      <c r="DO19" s="1783"/>
      <c r="DP19" s="1783"/>
      <c r="DQ19" s="1783"/>
      <c r="DR19" s="1783"/>
      <c r="DS19" s="1783"/>
      <c r="DT19" s="1783"/>
      <c r="DU19" s="1783"/>
      <c r="DV19" s="1783"/>
      <c r="DW19" s="1783"/>
      <c r="DX19" s="1783"/>
      <c r="DY19" s="1783"/>
      <c r="DZ19" s="1783"/>
      <c r="EA19" s="1783"/>
      <c r="EB19" s="1783"/>
      <c r="EC19" s="1783"/>
      <c r="ED19" s="1783"/>
      <c r="EE19" s="1783"/>
      <c r="EF19" s="1783"/>
      <c r="EG19" s="1783"/>
      <c r="EH19" s="1783"/>
      <c r="EI19" s="1783"/>
      <c r="EJ19" s="1783"/>
      <c r="EK19" s="1783"/>
      <c r="EL19" s="1783"/>
      <c r="EM19" s="1783"/>
      <c r="EN19" s="1783"/>
      <c r="EO19" s="1783"/>
      <c r="EP19" s="1783"/>
      <c r="EQ19" s="1783"/>
      <c r="ER19" s="1783"/>
      <c r="ES19" s="1783"/>
      <c r="ET19" s="1783"/>
      <c r="EU19" s="1783"/>
      <c r="EV19" s="1783"/>
      <c r="EW19" s="1783"/>
      <c r="EX19" s="1783"/>
      <c r="EY19" s="1783"/>
      <c r="EZ19" s="1783"/>
      <c r="FA19" s="1783"/>
      <c r="FB19" s="1783"/>
      <c r="FC19" s="1783"/>
      <c r="FD19" s="1783"/>
      <c r="FE19" s="1783"/>
      <c r="FF19" s="1783"/>
      <c r="FG19" s="1783"/>
      <c r="FH19" s="1783"/>
      <c r="FI19" s="1783"/>
      <c r="FJ19" s="1783"/>
      <c r="FK19" s="1783"/>
      <c r="FL19" s="1783"/>
      <c r="FM19" s="1783"/>
      <c r="FN19" s="1783"/>
      <c r="FO19" s="1783"/>
      <c r="FP19" s="1783"/>
      <c r="FQ19" s="1783"/>
      <c r="FR19" s="1783"/>
      <c r="FS19" s="1783"/>
      <c r="FT19" s="1783"/>
      <c r="FU19" s="1783"/>
      <c r="FV19" s="1783"/>
      <c r="FW19" s="1783"/>
      <c r="FX19" s="1783"/>
      <c r="FY19" s="1783"/>
      <c r="FZ19" s="1783"/>
      <c r="GA19" s="1783"/>
      <c r="GB19" s="1783"/>
      <c r="GC19" s="1783"/>
      <c r="GD19" s="1783"/>
      <c r="GE19" s="1783"/>
    </row>
    <row r="20" spans="1:187">
      <c r="A20" s="1815"/>
      <c r="B20" s="1816"/>
      <c r="C20" s="1816"/>
      <c r="D20" s="1816"/>
      <c r="E20" s="1816"/>
      <c r="F20" s="1817"/>
      <c r="G20" s="1818"/>
      <c r="H20" s="1783"/>
      <c r="I20" s="1783"/>
      <c r="J20" s="1783"/>
      <c r="K20" s="1783"/>
      <c r="L20" s="1783"/>
      <c r="M20" s="1783"/>
      <c r="N20" s="1783"/>
      <c r="O20" s="1783"/>
      <c r="P20" s="1783"/>
      <c r="Q20" s="1783"/>
      <c r="R20" s="1783"/>
      <c r="S20" s="1783"/>
      <c r="T20" s="1783"/>
      <c r="U20" s="1783"/>
      <c r="V20" s="1783"/>
      <c r="W20" s="1783"/>
      <c r="X20" s="1783"/>
      <c r="Y20" s="1783"/>
      <c r="Z20" s="1783"/>
      <c r="AA20" s="1783"/>
      <c r="AB20" s="1783"/>
      <c r="AC20" s="1783"/>
      <c r="AD20" s="1783"/>
      <c r="AE20" s="1783"/>
      <c r="AF20" s="1783"/>
      <c r="AG20" s="1783"/>
      <c r="AH20" s="1783"/>
      <c r="AI20" s="1783"/>
      <c r="AJ20" s="1783"/>
      <c r="AK20" s="1783"/>
      <c r="AL20" s="1783"/>
      <c r="AM20" s="1783"/>
      <c r="AN20" s="1783"/>
      <c r="AO20" s="1783"/>
      <c r="AP20" s="1783"/>
      <c r="AQ20" s="1783"/>
      <c r="AR20" s="1783"/>
      <c r="AS20" s="1783"/>
      <c r="AT20" s="1783"/>
      <c r="AU20" s="1783"/>
      <c r="AV20" s="1783"/>
      <c r="AW20" s="1783"/>
      <c r="AX20" s="1783"/>
      <c r="AY20" s="1783"/>
      <c r="AZ20" s="1783"/>
      <c r="BA20" s="1783"/>
      <c r="BB20" s="1783"/>
      <c r="BC20" s="1783"/>
      <c r="BD20" s="1783"/>
      <c r="BE20" s="1783"/>
      <c r="BF20" s="1783"/>
      <c r="BG20" s="1783"/>
      <c r="BH20" s="1783"/>
      <c r="BI20" s="1783"/>
      <c r="BJ20" s="1783"/>
      <c r="BK20" s="1783"/>
      <c r="BL20" s="1783"/>
      <c r="BM20" s="1783"/>
      <c r="BN20" s="1783"/>
      <c r="BO20" s="1783"/>
      <c r="BP20" s="1783"/>
      <c r="BQ20" s="1783"/>
      <c r="BR20" s="1783"/>
      <c r="BS20" s="1783"/>
      <c r="BT20" s="1783"/>
      <c r="BU20" s="1783"/>
      <c r="BV20" s="1783"/>
      <c r="BW20" s="1783"/>
      <c r="BX20" s="1783"/>
      <c r="BY20" s="1783"/>
      <c r="BZ20" s="1783"/>
      <c r="CA20" s="1783"/>
      <c r="CB20" s="1783"/>
      <c r="CC20" s="1783"/>
      <c r="CD20" s="1783"/>
      <c r="CE20" s="1783"/>
      <c r="CF20" s="1783"/>
      <c r="CG20" s="1783"/>
      <c r="CH20" s="1783"/>
      <c r="CI20" s="1783"/>
      <c r="CJ20" s="1783"/>
      <c r="CK20" s="1783"/>
      <c r="CL20" s="1783"/>
      <c r="CM20" s="1783"/>
      <c r="CN20" s="1783"/>
      <c r="CO20" s="1783"/>
      <c r="CP20" s="1783"/>
      <c r="CQ20" s="1783"/>
      <c r="CR20" s="1783"/>
      <c r="CS20" s="1783"/>
      <c r="CT20" s="1783"/>
      <c r="CU20" s="1783"/>
      <c r="CV20" s="1783"/>
      <c r="CW20" s="1783"/>
      <c r="CX20" s="1783"/>
      <c r="CY20" s="1783"/>
      <c r="CZ20" s="1783"/>
      <c r="DA20" s="1783"/>
      <c r="DB20" s="1783"/>
      <c r="DC20" s="1783"/>
      <c r="DD20" s="1783"/>
      <c r="DE20" s="1783"/>
      <c r="DF20" s="1783"/>
      <c r="DG20" s="1783"/>
      <c r="DH20" s="1783"/>
      <c r="DI20" s="1783"/>
      <c r="DJ20" s="1783"/>
      <c r="DK20" s="1783"/>
      <c r="DL20" s="1783"/>
      <c r="DM20" s="1783"/>
      <c r="DN20" s="1783"/>
      <c r="DO20" s="1783"/>
      <c r="DP20" s="1783"/>
      <c r="DQ20" s="1783"/>
      <c r="DR20" s="1783"/>
      <c r="DS20" s="1783"/>
      <c r="DT20" s="1783"/>
      <c r="DU20" s="1783"/>
      <c r="DV20" s="1783"/>
      <c r="DW20" s="1783"/>
      <c r="DX20" s="1783"/>
      <c r="DY20" s="1783"/>
      <c r="DZ20" s="1783"/>
      <c r="EA20" s="1783"/>
      <c r="EB20" s="1783"/>
      <c r="EC20" s="1783"/>
      <c r="ED20" s="1783"/>
      <c r="EE20" s="1783"/>
      <c r="EF20" s="1783"/>
      <c r="EG20" s="1783"/>
      <c r="EH20" s="1783"/>
      <c r="EI20" s="1783"/>
      <c r="EJ20" s="1783"/>
      <c r="EK20" s="1783"/>
      <c r="EL20" s="1783"/>
      <c r="EM20" s="1783"/>
      <c r="EN20" s="1783"/>
      <c r="EO20" s="1783"/>
      <c r="EP20" s="1783"/>
      <c r="EQ20" s="1783"/>
      <c r="ER20" s="1783"/>
      <c r="ES20" s="1783"/>
      <c r="ET20" s="1783"/>
      <c r="EU20" s="1783"/>
      <c r="EV20" s="1783"/>
      <c r="EW20" s="1783"/>
      <c r="EX20" s="1783"/>
      <c r="EY20" s="1783"/>
      <c r="EZ20" s="1783"/>
      <c r="FA20" s="1783"/>
      <c r="FB20" s="1783"/>
      <c r="FC20" s="1783"/>
      <c r="FD20" s="1783"/>
      <c r="FE20" s="1783"/>
      <c r="FF20" s="1783"/>
      <c r="FG20" s="1783"/>
      <c r="FH20" s="1783"/>
      <c r="FI20" s="1783"/>
      <c r="FJ20" s="1783"/>
      <c r="FK20" s="1783"/>
      <c r="FL20" s="1783"/>
      <c r="FM20" s="1783"/>
      <c r="FN20" s="1783"/>
      <c r="FO20" s="1783"/>
      <c r="FP20" s="1783"/>
      <c r="FQ20" s="1783"/>
      <c r="FR20" s="1783"/>
      <c r="FS20" s="1783"/>
      <c r="FT20" s="1783"/>
      <c r="FU20" s="1783"/>
      <c r="FV20" s="1783"/>
      <c r="FW20" s="1783"/>
      <c r="FX20" s="1783"/>
      <c r="FY20" s="1783"/>
      <c r="FZ20" s="1783"/>
      <c r="GA20" s="1783"/>
      <c r="GB20" s="1783"/>
      <c r="GC20" s="1783"/>
      <c r="GD20" s="1783"/>
      <c r="GE20" s="1783"/>
    </row>
    <row r="21" spans="1:187">
      <c r="A21" s="1815"/>
      <c r="B21" s="1816"/>
      <c r="C21" s="1816"/>
      <c r="D21" s="1816"/>
      <c r="E21" s="1816"/>
      <c r="F21" s="1817"/>
      <c r="G21" s="1818"/>
      <c r="H21" s="1783"/>
      <c r="I21" s="1783"/>
      <c r="J21" s="1783"/>
      <c r="K21" s="1783"/>
      <c r="L21" s="1783"/>
      <c r="M21" s="1783"/>
      <c r="N21" s="1783"/>
      <c r="O21" s="1783"/>
      <c r="P21" s="1783"/>
      <c r="Q21" s="1783"/>
      <c r="R21" s="1783"/>
      <c r="S21" s="1783"/>
      <c r="T21" s="1783"/>
      <c r="U21" s="1783"/>
      <c r="V21" s="1783"/>
      <c r="W21" s="1783"/>
      <c r="X21" s="1783"/>
      <c r="Y21" s="1783"/>
      <c r="Z21" s="1783"/>
      <c r="AA21" s="1783"/>
      <c r="AB21" s="1783"/>
      <c r="AC21" s="1783"/>
      <c r="AD21" s="1783"/>
      <c r="AE21" s="1783"/>
      <c r="AF21" s="1783"/>
      <c r="AG21" s="1783"/>
      <c r="AH21" s="1783"/>
      <c r="AI21" s="1783"/>
      <c r="AJ21" s="1783"/>
      <c r="AK21" s="1783"/>
      <c r="AL21" s="1783"/>
      <c r="AM21" s="1783"/>
      <c r="AN21" s="1783"/>
      <c r="AO21" s="1783"/>
      <c r="AP21" s="1783"/>
      <c r="AQ21" s="1783"/>
      <c r="AR21" s="1783"/>
      <c r="AS21" s="1783"/>
      <c r="AT21" s="1783"/>
      <c r="AU21" s="1783"/>
      <c r="AV21" s="1783"/>
      <c r="AW21" s="1783"/>
      <c r="AX21" s="1783"/>
      <c r="AY21" s="1783"/>
      <c r="AZ21" s="1783"/>
      <c r="BA21" s="1783"/>
      <c r="BB21" s="1783"/>
      <c r="BC21" s="1783"/>
      <c r="BD21" s="1783"/>
      <c r="BE21" s="1783"/>
      <c r="BF21" s="1783"/>
      <c r="BG21" s="1783"/>
      <c r="BH21" s="1783"/>
      <c r="BI21" s="1783"/>
      <c r="BJ21" s="1783"/>
      <c r="BK21" s="1783"/>
      <c r="BL21" s="1783"/>
      <c r="BM21" s="1783"/>
      <c r="BN21" s="1783"/>
      <c r="BO21" s="1783"/>
      <c r="BP21" s="1783"/>
      <c r="BQ21" s="1783"/>
      <c r="BR21" s="1783"/>
      <c r="BS21" s="1783"/>
      <c r="BT21" s="1783"/>
      <c r="BU21" s="1783"/>
      <c r="BV21" s="1783"/>
      <c r="BW21" s="1783"/>
      <c r="BX21" s="1783"/>
      <c r="BY21" s="1783"/>
      <c r="BZ21" s="1783"/>
      <c r="CA21" s="1783"/>
      <c r="CB21" s="1783"/>
      <c r="CC21" s="1783"/>
      <c r="CD21" s="1783"/>
      <c r="CE21" s="1783"/>
      <c r="CF21" s="1783"/>
      <c r="CG21" s="1783"/>
      <c r="CH21" s="1783"/>
      <c r="CI21" s="1783"/>
      <c r="CJ21" s="1783"/>
      <c r="CK21" s="1783"/>
      <c r="CL21" s="1783"/>
      <c r="CM21" s="1783"/>
      <c r="CN21" s="1783"/>
      <c r="CO21" s="1783"/>
      <c r="CP21" s="1783"/>
      <c r="CQ21" s="1783"/>
      <c r="CR21" s="1783"/>
      <c r="CS21" s="1783"/>
      <c r="CT21" s="1783"/>
      <c r="CU21" s="1783"/>
      <c r="CV21" s="1783"/>
      <c r="CW21" s="1783"/>
      <c r="CX21" s="1783"/>
      <c r="CY21" s="1783"/>
      <c r="CZ21" s="1783"/>
      <c r="DA21" s="1783"/>
      <c r="DB21" s="1783"/>
      <c r="DC21" s="1783"/>
      <c r="DD21" s="1783"/>
      <c r="DE21" s="1783"/>
      <c r="DF21" s="1783"/>
      <c r="DG21" s="1783"/>
      <c r="DH21" s="1783"/>
      <c r="DI21" s="1783"/>
      <c r="DJ21" s="1783"/>
      <c r="DK21" s="1783"/>
      <c r="DL21" s="1783"/>
      <c r="DM21" s="1783"/>
      <c r="DN21" s="1783"/>
      <c r="DO21" s="1783"/>
      <c r="DP21" s="1783"/>
      <c r="DQ21" s="1783"/>
      <c r="DR21" s="1783"/>
      <c r="DS21" s="1783"/>
      <c r="DT21" s="1783"/>
      <c r="DU21" s="1783"/>
      <c r="DV21" s="1783"/>
      <c r="DW21" s="1783"/>
      <c r="DX21" s="1783"/>
      <c r="DY21" s="1783"/>
      <c r="DZ21" s="1783"/>
      <c r="EA21" s="1783"/>
      <c r="EB21" s="1783"/>
      <c r="EC21" s="1783"/>
      <c r="ED21" s="1783"/>
      <c r="EE21" s="1783"/>
      <c r="EF21" s="1783"/>
      <c r="EG21" s="1783"/>
      <c r="EH21" s="1783"/>
      <c r="EI21" s="1783"/>
      <c r="EJ21" s="1783"/>
      <c r="EK21" s="1783"/>
      <c r="EL21" s="1783"/>
      <c r="EM21" s="1783"/>
      <c r="EN21" s="1783"/>
      <c r="EO21" s="1783"/>
      <c r="EP21" s="1783"/>
      <c r="EQ21" s="1783"/>
      <c r="ER21" s="1783"/>
      <c r="ES21" s="1783"/>
      <c r="ET21" s="1783"/>
      <c r="EU21" s="1783"/>
      <c r="EV21" s="1783"/>
      <c r="EW21" s="1783"/>
      <c r="EX21" s="1783"/>
      <c r="EY21" s="1783"/>
      <c r="EZ21" s="1783"/>
      <c r="FA21" s="1783"/>
      <c r="FB21" s="1783"/>
      <c r="FC21" s="1783"/>
      <c r="FD21" s="1783"/>
      <c r="FE21" s="1783"/>
      <c r="FF21" s="1783"/>
      <c r="FG21" s="1783"/>
      <c r="FH21" s="1783"/>
      <c r="FI21" s="1783"/>
      <c r="FJ21" s="1783"/>
      <c r="FK21" s="1783"/>
      <c r="FL21" s="1783"/>
      <c r="FM21" s="1783"/>
      <c r="FN21" s="1783"/>
      <c r="FO21" s="1783"/>
      <c r="FP21" s="1783"/>
      <c r="FQ21" s="1783"/>
      <c r="FR21" s="1783"/>
      <c r="FS21" s="1783"/>
      <c r="FT21" s="1783"/>
      <c r="FU21" s="1783"/>
      <c r="FV21" s="1783"/>
      <c r="FW21" s="1783"/>
      <c r="FX21" s="1783"/>
      <c r="FY21" s="1783"/>
      <c r="FZ21" s="1783"/>
      <c r="GA21" s="1783"/>
      <c r="GB21" s="1783"/>
      <c r="GC21" s="1783"/>
      <c r="GD21" s="1783"/>
      <c r="GE21" s="1783"/>
    </row>
    <row r="22" spans="1:187">
      <c r="A22" s="1815"/>
      <c r="B22" s="1816"/>
      <c r="C22" s="1816"/>
      <c r="D22" s="1816"/>
      <c r="E22" s="1816"/>
      <c r="F22" s="1817"/>
      <c r="G22" s="1818"/>
      <c r="H22" s="1783"/>
      <c r="I22" s="1783"/>
      <c r="J22" s="1783"/>
      <c r="K22" s="1783"/>
      <c r="L22" s="1783"/>
      <c r="M22" s="1783"/>
      <c r="N22" s="1783"/>
      <c r="O22" s="1783"/>
      <c r="P22" s="1783"/>
      <c r="Q22" s="1783"/>
      <c r="R22" s="1783"/>
      <c r="S22" s="1783"/>
      <c r="T22" s="1783"/>
      <c r="U22" s="1783"/>
      <c r="V22" s="1783"/>
      <c r="W22" s="1783"/>
      <c r="X22" s="1783"/>
      <c r="Y22" s="1783"/>
      <c r="Z22" s="1783"/>
      <c r="AA22" s="1783"/>
      <c r="AB22" s="1783"/>
      <c r="AC22" s="1783"/>
      <c r="AD22" s="1783"/>
      <c r="AE22" s="1783"/>
      <c r="AF22" s="1783"/>
      <c r="AG22" s="1783"/>
      <c r="AH22" s="1783"/>
      <c r="AI22" s="1783"/>
      <c r="AJ22" s="1783"/>
      <c r="AK22" s="1783"/>
      <c r="AL22" s="1783"/>
      <c r="AM22" s="1783"/>
      <c r="AN22" s="1783"/>
      <c r="AO22" s="1783"/>
      <c r="AP22" s="1783"/>
      <c r="AQ22" s="1783"/>
      <c r="AR22" s="1783"/>
      <c r="AS22" s="1783"/>
      <c r="AT22" s="1783"/>
      <c r="AU22" s="1783"/>
      <c r="AV22" s="1783"/>
      <c r="AW22" s="1783"/>
      <c r="AX22" s="1783"/>
      <c r="AY22" s="1783"/>
      <c r="AZ22" s="1783"/>
      <c r="BA22" s="1783"/>
      <c r="BB22" s="1783"/>
      <c r="BC22" s="1783"/>
      <c r="BD22" s="1783"/>
      <c r="BE22" s="1783"/>
      <c r="BF22" s="1783"/>
      <c r="BG22" s="1783"/>
      <c r="BH22" s="1783"/>
      <c r="BI22" s="1783"/>
      <c r="BJ22" s="1783"/>
      <c r="BK22" s="1783"/>
      <c r="BL22" s="1783"/>
      <c r="BM22" s="1783"/>
      <c r="BN22" s="1783"/>
      <c r="BO22" s="1783"/>
      <c r="BP22" s="1783"/>
      <c r="BQ22" s="1783"/>
      <c r="BR22" s="1783"/>
      <c r="BS22" s="1783"/>
      <c r="BT22" s="1783"/>
      <c r="BU22" s="1783"/>
      <c r="BV22" s="1783"/>
      <c r="BW22" s="1783"/>
      <c r="BX22" s="1783"/>
      <c r="BY22" s="1783"/>
      <c r="BZ22" s="1783"/>
      <c r="CA22" s="1783"/>
      <c r="CB22" s="1783"/>
      <c r="CC22" s="1783"/>
      <c r="CD22" s="1783"/>
      <c r="CE22" s="1783"/>
      <c r="CF22" s="1783"/>
      <c r="CG22" s="1783"/>
      <c r="CH22" s="1783"/>
      <c r="CI22" s="1783"/>
      <c r="CJ22" s="1783"/>
      <c r="CK22" s="1783"/>
      <c r="CL22" s="1783"/>
      <c r="CM22" s="1783"/>
      <c r="CN22" s="1783"/>
      <c r="CO22" s="1783"/>
      <c r="CP22" s="1783"/>
      <c r="CQ22" s="1783"/>
      <c r="CR22" s="1783"/>
      <c r="CS22" s="1783"/>
      <c r="CT22" s="1783"/>
      <c r="CU22" s="1783"/>
      <c r="CV22" s="1783"/>
      <c r="CW22" s="1783"/>
      <c r="CX22" s="1783"/>
      <c r="CY22" s="1783"/>
      <c r="CZ22" s="1783"/>
      <c r="DA22" s="1783"/>
      <c r="DB22" s="1783"/>
      <c r="DC22" s="1783"/>
      <c r="DD22" s="1783"/>
      <c r="DE22" s="1783"/>
      <c r="DF22" s="1783"/>
      <c r="DG22" s="1783"/>
      <c r="DH22" s="1783"/>
      <c r="DI22" s="1783"/>
      <c r="DJ22" s="1783"/>
      <c r="DK22" s="1783"/>
      <c r="DL22" s="1783"/>
      <c r="DM22" s="1783"/>
      <c r="DN22" s="1783"/>
      <c r="DO22" s="1783"/>
      <c r="DP22" s="1783"/>
      <c r="DQ22" s="1783"/>
      <c r="DR22" s="1783"/>
      <c r="DS22" s="1783"/>
      <c r="DT22" s="1783"/>
      <c r="DU22" s="1783"/>
      <c r="DV22" s="1783"/>
      <c r="DW22" s="1783"/>
      <c r="DX22" s="1783"/>
      <c r="DY22" s="1783"/>
      <c r="DZ22" s="1783"/>
      <c r="EA22" s="1783"/>
      <c r="EB22" s="1783"/>
      <c r="EC22" s="1783"/>
      <c r="ED22" s="1783"/>
      <c r="EE22" s="1783"/>
      <c r="EF22" s="1783"/>
      <c r="EG22" s="1783"/>
      <c r="EH22" s="1783"/>
      <c r="EI22" s="1783"/>
      <c r="EJ22" s="1783"/>
      <c r="EK22" s="1783"/>
      <c r="EL22" s="1783"/>
      <c r="EM22" s="1783"/>
      <c r="EN22" s="1783"/>
      <c r="EO22" s="1783"/>
      <c r="EP22" s="1783"/>
      <c r="EQ22" s="1783"/>
      <c r="ER22" s="1783"/>
      <c r="ES22" s="1783"/>
      <c r="ET22" s="1783"/>
      <c r="EU22" s="1783"/>
      <c r="EV22" s="1783"/>
      <c r="EW22" s="1783"/>
      <c r="EX22" s="1783"/>
      <c r="EY22" s="1783"/>
      <c r="EZ22" s="1783"/>
      <c r="FA22" s="1783"/>
      <c r="FB22" s="1783"/>
      <c r="FC22" s="1783"/>
      <c r="FD22" s="1783"/>
      <c r="FE22" s="1783"/>
      <c r="FF22" s="1783"/>
      <c r="FG22" s="1783"/>
      <c r="FH22" s="1783"/>
      <c r="FI22" s="1783"/>
      <c r="FJ22" s="1783"/>
      <c r="FK22" s="1783"/>
      <c r="FL22" s="1783"/>
      <c r="FM22" s="1783"/>
      <c r="FN22" s="1783"/>
      <c r="FO22" s="1783"/>
      <c r="FP22" s="1783"/>
      <c r="FQ22" s="1783"/>
      <c r="FR22" s="1783"/>
      <c r="FS22" s="1783"/>
      <c r="FT22" s="1783"/>
      <c r="FU22" s="1783"/>
      <c r="FV22" s="1783"/>
      <c r="FW22" s="1783"/>
      <c r="FX22" s="1783"/>
      <c r="FY22" s="1783"/>
      <c r="FZ22" s="1783"/>
      <c r="GA22" s="1783"/>
      <c r="GB22" s="1783"/>
      <c r="GC22" s="1783"/>
      <c r="GD22" s="1783"/>
      <c r="GE22" s="1783"/>
    </row>
    <row r="23" spans="1:187">
      <c r="A23" s="1815"/>
      <c r="B23" s="1816"/>
      <c r="C23" s="1816"/>
      <c r="D23" s="1816"/>
      <c r="E23" s="1816"/>
      <c r="F23" s="1817"/>
      <c r="G23" s="1818"/>
      <c r="H23" s="1783"/>
      <c r="I23" s="1783"/>
      <c r="J23" s="1783"/>
      <c r="K23" s="1783"/>
      <c r="L23" s="1783"/>
      <c r="M23" s="1783"/>
      <c r="N23" s="1783"/>
      <c r="O23" s="1783"/>
      <c r="P23" s="1783"/>
      <c r="Q23" s="1783"/>
      <c r="R23" s="1783"/>
      <c r="S23" s="1783"/>
      <c r="T23" s="1783"/>
      <c r="U23" s="1783"/>
      <c r="V23" s="1783"/>
      <c r="W23" s="1783"/>
      <c r="X23" s="1783"/>
      <c r="Y23" s="1783"/>
      <c r="Z23" s="1783"/>
      <c r="AA23" s="1783"/>
      <c r="AB23" s="1783"/>
      <c r="AC23" s="1783"/>
      <c r="AD23" s="1783"/>
      <c r="AE23" s="1783"/>
      <c r="AF23" s="1783"/>
      <c r="AG23" s="1783"/>
      <c r="AH23" s="1783"/>
      <c r="AI23" s="1783"/>
      <c r="AJ23" s="1783"/>
      <c r="AK23" s="1783"/>
      <c r="AL23" s="1783"/>
      <c r="AM23" s="1783"/>
      <c r="AN23" s="1783"/>
      <c r="AO23" s="1783"/>
      <c r="AP23" s="1783"/>
      <c r="AQ23" s="1783"/>
      <c r="AR23" s="1783"/>
      <c r="AS23" s="1783"/>
      <c r="AT23" s="1783"/>
      <c r="AU23" s="1783"/>
      <c r="AV23" s="1783"/>
      <c r="AW23" s="1783"/>
      <c r="AX23" s="1783"/>
      <c r="AY23" s="1783"/>
      <c r="AZ23" s="1783"/>
      <c r="BA23" s="1783"/>
      <c r="BB23" s="1783"/>
      <c r="BC23" s="1783"/>
      <c r="BD23" s="1783"/>
      <c r="BE23" s="1783"/>
      <c r="BF23" s="1783"/>
      <c r="BG23" s="1783"/>
      <c r="BH23" s="1783"/>
      <c r="BI23" s="1783"/>
      <c r="BJ23" s="1783"/>
      <c r="BK23" s="1783"/>
      <c r="BL23" s="1783"/>
      <c r="BM23" s="1783"/>
      <c r="BN23" s="1783"/>
      <c r="BO23" s="1783"/>
      <c r="BP23" s="1783"/>
      <c r="BQ23" s="1783"/>
      <c r="BR23" s="1783"/>
      <c r="BS23" s="1783"/>
      <c r="BT23" s="1783"/>
      <c r="BU23" s="1783"/>
      <c r="BV23" s="1783"/>
      <c r="BW23" s="1783"/>
      <c r="BX23" s="1783"/>
      <c r="BY23" s="1783"/>
      <c r="BZ23" s="1783"/>
      <c r="CA23" s="1783"/>
      <c r="CB23" s="1783"/>
      <c r="CC23" s="1783"/>
      <c r="CD23" s="1783"/>
      <c r="CE23" s="1783"/>
      <c r="CF23" s="1783"/>
      <c r="CG23" s="1783"/>
      <c r="CH23" s="1783"/>
      <c r="CI23" s="1783"/>
      <c r="CJ23" s="1783"/>
      <c r="CK23" s="1783"/>
      <c r="CL23" s="1783"/>
      <c r="CM23" s="1783"/>
      <c r="CN23" s="1783"/>
      <c r="CO23" s="1783"/>
      <c r="CP23" s="1783"/>
      <c r="CQ23" s="1783"/>
      <c r="CR23" s="1783"/>
      <c r="CS23" s="1783"/>
      <c r="CT23" s="1783"/>
      <c r="CU23" s="1783"/>
      <c r="CV23" s="1783"/>
      <c r="CW23" s="1783"/>
      <c r="CX23" s="1783"/>
      <c r="CY23" s="1783"/>
      <c r="CZ23" s="1783"/>
      <c r="DA23" s="1783"/>
      <c r="DB23" s="1783"/>
      <c r="DC23" s="1783"/>
      <c r="DD23" s="1783"/>
      <c r="DE23" s="1783"/>
      <c r="DF23" s="1783"/>
      <c r="DG23" s="1783"/>
      <c r="DH23" s="1783"/>
      <c r="DI23" s="1783"/>
      <c r="DJ23" s="1783"/>
      <c r="DK23" s="1783"/>
      <c r="DL23" s="1783"/>
      <c r="DM23" s="1783"/>
      <c r="DN23" s="1783"/>
      <c r="DO23" s="1783"/>
      <c r="DP23" s="1783"/>
      <c r="DQ23" s="1783"/>
      <c r="DR23" s="1783"/>
      <c r="DS23" s="1783"/>
      <c r="DT23" s="1783"/>
      <c r="DU23" s="1783"/>
      <c r="DV23" s="1783"/>
      <c r="DW23" s="1783"/>
      <c r="DX23" s="1783"/>
      <c r="DY23" s="1783"/>
      <c r="DZ23" s="1783"/>
      <c r="EA23" s="1783"/>
      <c r="EB23" s="1783"/>
      <c r="EC23" s="1783"/>
      <c r="ED23" s="1783"/>
      <c r="EE23" s="1783"/>
      <c r="EF23" s="1783"/>
      <c r="EG23" s="1783"/>
      <c r="EH23" s="1783"/>
      <c r="EI23" s="1783"/>
      <c r="EJ23" s="1783"/>
      <c r="EK23" s="1783"/>
      <c r="EL23" s="1783"/>
      <c r="EM23" s="1783"/>
      <c r="EN23" s="1783"/>
      <c r="EO23" s="1783"/>
      <c r="EP23" s="1783"/>
      <c r="EQ23" s="1783"/>
      <c r="ER23" s="1783"/>
      <c r="ES23" s="1783"/>
      <c r="ET23" s="1783"/>
      <c r="EU23" s="1783"/>
      <c r="EV23" s="1783"/>
      <c r="EW23" s="1783"/>
      <c r="EX23" s="1783"/>
      <c r="EY23" s="1783"/>
      <c r="EZ23" s="1783"/>
      <c r="FA23" s="1783"/>
      <c r="FB23" s="1783"/>
      <c r="FC23" s="1783"/>
      <c r="FD23" s="1783"/>
      <c r="FE23" s="1783"/>
      <c r="FF23" s="1783"/>
      <c r="FG23" s="1783"/>
      <c r="FH23" s="1783"/>
      <c r="FI23" s="1783"/>
      <c r="FJ23" s="1783"/>
      <c r="FK23" s="1783"/>
      <c r="FL23" s="1783"/>
      <c r="FM23" s="1783"/>
      <c r="FN23" s="1783"/>
      <c r="FO23" s="1783"/>
      <c r="FP23" s="1783"/>
      <c r="FQ23" s="1783"/>
      <c r="FR23" s="1783"/>
      <c r="FS23" s="1783"/>
      <c r="FT23" s="1783"/>
      <c r="FU23" s="1783"/>
      <c r="FV23" s="1783"/>
      <c r="FW23" s="1783"/>
      <c r="FX23" s="1783"/>
      <c r="FY23" s="1783"/>
      <c r="FZ23" s="1783"/>
      <c r="GA23" s="1783"/>
      <c r="GB23" s="1783"/>
      <c r="GC23" s="1783"/>
      <c r="GD23" s="1783"/>
      <c r="GE23" s="1783"/>
    </row>
    <row r="24" spans="1:187">
      <c r="A24" s="1815"/>
      <c r="B24" s="1816"/>
      <c r="C24" s="1816"/>
      <c r="D24" s="1816"/>
      <c r="E24" s="1816"/>
      <c r="F24" s="1817"/>
      <c r="G24" s="1818"/>
      <c r="H24" s="1783"/>
      <c r="I24" s="1783"/>
      <c r="J24" s="1783"/>
      <c r="K24" s="1783"/>
      <c r="L24" s="1783"/>
      <c r="M24" s="1783"/>
      <c r="N24" s="1783"/>
      <c r="O24" s="1783"/>
      <c r="P24" s="1783"/>
      <c r="Q24" s="1783"/>
      <c r="R24" s="1783"/>
      <c r="S24" s="1783"/>
      <c r="T24" s="1783"/>
      <c r="U24" s="1783"/>
      <c r="V24" s="1783"/>
      <c r="W24" s="1783"/>
      <c r="X24" s="1783"/>
      <c r="Y24" s="1783"/>
      <c r="Z24" s="1783"/>
      <c r="AA24" s="1783"/>
      <c r="AB24" s="1783"/>
      <c r="AC24" s="1783"/>
      <c r="AD24" s="1783"/>
      <c r="AE24" s="1783"/>
      <c r="AF24" s="1783"/>
      <c r="AG24" s="1783"/>
      <c r="AH24" s="1783"/>
      <c r="AI24" s="1783"/>
      <c r="AJ24" s="1783"/>
      <c r="AK24" s="1783"/>
      <c r="AL24" s="1783"/>
      <c r="AM24" s="1783"/>
      <c r="AN24" s="1783"/>
      <c r="AO24" s="1783"/>
      <c r="AP24" s="1783"/>
      <c r="AQ24" s="1783"/>
      <c r="AR24" s="1783"/>
      <c r="AS24" s="1783"/>
      <c r="AT24" s="1783"/>
      <c r="AU24" s="1783"/>
      <c r="AV24" s="1783"/>
      <c r="AW24" s="1783"/>
      <c r="AX24" s="1783"/>
      <c r="AY24" s="1783"/>
      <c r="AZ24" s="1783"/>
      <c r="BA24" s="1783"/>
      <c r="BB24" s="1783"/>
      <c r="BC24" s="1783"/>
      <c r="BD24" s="1783"/>
      <c r="BE24" s="1783"/>
      <c r="BF24" s="1783"/>
      <c r="BG24" s="1783"/>
      <c r="BH24" s="1783"/>
      <c r="BI24" s="1783"/>
      <c r="BJ24" s="1783"/>
      <c r="BK24" s="1783"/>
      <c r="BL24" s="1783"/>
      <c r="BM24" s="1783"/>
      <c r="BN24" s="1783"/>
      <c r="BO24" s="1783"/>
      <c r="BP24" s="1783"/>
      <c r="BQ24" s="1783"/>
      <c r="BR24" s="1783"/>
      <c r="BS24" s="1783"/>
      <c r="BT24" s="1783"/>
      <c r="BU24" s="1783"/>
      <c r="BV24" s="1783"/>
      <c r="BW24" s="1783"/>
      <c r="BX24" s="1783"/>
      <c r="BY24" s="1783"/>
      <c r="BZ24" s="1783"/>
      <c r="CA24" s="1783"/>
      <c r="CB24" s="1783"/>
      <c r="CC24" s="1783"/>
      <c r="CD24" s="1783"/>
      <c r="CE24" s="1783"/>
      <c r="CF24" s="1783"/>
      <c r="CG24" s="1783"/>
      <c r="CH24" s="1783"/>
      <c r="CI24" s="1783"/>
      <c r="CJ24" s="1783"/>
      <c r="CK24" s="1783"/>
      <c r="CL24" s="1783"/>
      <c r="CM24" s="1783"/>
      <c r="CN24" s="1783"/>
      <c r="CO24" s="1783"/>
      <c r="CP24" s="1783"/>
      <c r="CQ24" s="1783"/>
      <c r="CR24" s="1783"/>
      <c r="CS24" s="1783"/>
      <c r="CT24" s="1783"/>
      <c r="CU24" s="1783"/>
      <c r="CV24" s="1783"/>
      <c r="CW24" s="1783"/>
      <c r="CX24" s="1783"/>
      <c r="CY24" s="1783"/>
      <c r="CZ24" s="1783"/>
      <c r="DA24" s="1783"/>
      <c r="DB24" s="1783"/>
      <c r="DC24" s="1783"/>
      <c r="DD24" s="1783"/>
      <c r="DE24" s="1783"/>
      <c r="DF24" s="1783"/>
      <c r="DG24" s="1783"/>
      <c r="DH24" s="1783"/>
      <c r="DI24" s="1783"/>
      <c r="DJ24" s="1783"/>
      <c r="DK24" s="1783"/>
      <c r="DL24" s="1783"/>
      <c r="DM24" s="1783"/>
      <c r="DN24" s="1783"/>
      <c r="DO24" s="1783"/>
      <c r="DP24" s="1783"/>
      <c r="DQ24" s="1783"/>
      <c r="DR24" s="1783"/>
      <c r="DS24" s="1783"/>
      <c r="DT24" s="1783"/>
      <c r="DU24" s="1783"/>
      <c r="DV24" s="1783"/>
      <c r="DW24" s="1783"/>
      <c r="DX24" s="1783"/>
      <c r="DY24" s="1783"/>
      <c r="DZ24" s="1783"/>
      <c r="EA24" s="1783"/>
      <c r="EB24" s="1783"/>
      <c r="EC24" s="1783"/>
      <c r="ED24" s="1783"/>
      <c r="EE24" s="1783"/>
      <c r="EF24" s="1783"/>
      <c r="EG24" s="1783"/>
      <c r="EH24" s="1783"/>
      <c r="EI24" s="1783"/>
      <c r="EJ24" s="1783"/>
      <c r="EK24" s="1783"/>
      <c r="EL24" s="1783"/>
      <c r="EM24" s="1783"/>
      <c r="EN24" s="1783"/>
      <c r="EO24" s="1783"/>
      <c r="EP24" s="1783"/>
      <c r="EQ24" s="1783"/>
      <c r="ER24" s="1783"/>
      <c r="ES24" s="1783"/>
      <c r="ET24" s="1783"/>
      <c r="EU24" s="1783"/>
      <c r="EV24" s="1783"/>
      <c r="EW24" s="1783"/>
      <c r="EX24" s="1783"/>
      <c r="EY24" s="1783"/>
      <c r="EZ24" s="1783"/>
      <c r="FA24" s="1783"/>
      <c r="FB24" s="1783"/>
      <c r="FC24" s="1783"/>
      <c r="FD24" s="1783"/>
      <c r="FE24" s="1783"/>
      <c r="FF24" s="1783"/>
      <c r="FG24" s="1783"/>
      <c r="FH24" s="1783"/>
      <c r="FI24" s="1783"/>
      <c r="FJ24" s="1783"/>
      <c r="FK24" s="1783"/>
      <c r="FL24" s="1783"/>
      <c r="FM24" s="1783"/>
      <c r="FN24" s="1783"/>
      <c r="FO24" s="1783"/>
      <c r="FP24" s="1783"/>
      <c r="FQ24" s="1783"/>
      <c r="FR24" s="1783"/>
      <c r="FS24" s="1783"/>
      <c r="FT24" s="1783"/>
      <c r="FU24" s="1783"/>
      <c r="FV24" s="1783"/>
      <c r="FW24" s="1783"/>
      <c r="FX24" s="1783"/>
      <c r="FY24" s="1783"/>
      <c r="FZ24" s="1783"/>
      <c r="GA24" s="1783"/>
      <c r="GB24" s="1783"/>
      <c r="GC24" s="1783"/>
      <c r="GD24" s="1783"/>
      <c r="GE24" s="1783"/>
    </row>
    <row r="25" spans="1:187">
      <c r="A25" s="1815"/>
      <c r="B25" s="1816"/>
      <c r="C25" s="1816"/>
      <c r="D25" s="1816"/>
      <c r="E25" s="1816"/>
      <c r="F25" s="1818"/>
      <c r="G25" s="1818"/>
      <c r="H25" s="1783"/>
      <c r="I25" s="1783"/>
      <c r="J25" s="1783"/>
      <c r="K25" s="1783"/>
      <c r="L25" s="1783"/>
      <c r="M25" s="1783"/>
      <c r="N25" s="1783"/>
      <c r="O25" s="1783"/>
      <c r="P25" s="1783"/>
      <c r="Q25" s="1783"/>
      <c r="R25" s="1783"/>
      <c r="S25" s="1783"/>
      <c r="T25" s="1783"/>
      <c r="U25" s="1783"/>
      <c r="V25" s="1783"/>
      <c r="W25" s="1783"/>
      <c r="X25" s="1783"/>
      <c r="Y25" s="1783"/>
      <c r="Z25" s="1783"/>
      <c r="AA25" s="1783"/>
      <c r="AB25" s="1783"/>
      <c r="AC25" s="1783"/>
      <c r="AD25" s="1783"/>
      <c r="AE25" s="1783"/>
      <c r="AF25" s="1783"/>
      <c r="AG25" s="1783"/>
      <c r="AH25" s="1783"/>
      <c r="AI25" s="1783"/>
      <c r="AJ25" s="1783"/>
      <c r="AK25" s="1783"/>
      <c r="AL25" s="1783"/>
      <c r="AM25" s="1783"/>
      <c r="AN25" s="1783"/>
      <c r="AO25" s="1783"/>
      <c r="AP25" s="1783"/>
      <c r="AQ25" s="1783"/>
      <c r="AR25" s="1783"/>
      <c r="AS25" s="1783"/>
      <c r="AT25" s="1783"/>
      <c r="AU25" s="1783"/>
      <c r="AV25" s="1783"/>
      <c r="AW25" s="1783"/>
      <c r="AX25" s="1783"/>
      <c r="AY25" s="1783"/>
      <c r="AZ25" s="1783"/>
      <c r="BA25" s="1783"/>
      <c r="BB25" s="1783"/>
      <c r="BC25" s="1783"/>
      <c r="BD25" s="1783"/>
      <c r="BE25" s="1783"/>
      <c r="BF25" s="1783"/>
      <c r="BG25" s="1783"/>
      <c r="BH25" s="1783"/>
      <c r="BI25" s="1783"/>
      <c r="BJ25" s="1783"/>
      <c r="BK25" s="1783"/>
      <c r="BL25" s="1783"/>
      <c r="BM25" s="1783"/>
      <c r="BN25" s="1783"/>
      <c r="BO25" s="1783"/>
      <c r="BP25" s="1783"/>
      <c r="BQ25" s="1783"/>
      <c r="BR25" s="1783"/>
      <c r="BS25" s="1783"/>
      <c r="BT25" s="1783"/>
      <c r="BU25" s="1783"/>
      <c r="BV25" s="1783"/>
      <c r="BW25" s="1783"/>
      <c r="BX25" s="1783"/>
      <c r="BY25" s="1783"/>
      <c r="BZ25" s="1783"/>
      <c r="CA25" s="1783"/>
      <c r="CB25" s="1783"/>
      <c r="CC25" s="1783"/>
      <c r="CD25" s="1783"/>
      <c r="CE25" s="1783"/>
      <c r="CF25" s="1783"/>
      <c r="CG25" s="1783"/>
      <c r="CH25" s="1783"/>
      <c r="CI25" s="1783"/>
      <c r="CJ25" s="1783"/>
      <c r="CK25" s="1783"/>
      <c r="CL25" s="1783"/>
      <c r="CM25" s="1783"/>
      <c r="CN25" s="1783"/>
      <c r="CO25" s="1783"/>
      <c r="CP25" s="1783"/>
      <c r="CQ25" s="1783"/>
      <c r="CR25" s="1783"/>
      <c r="CS25" s="1783"/>
      <c r="CT25" s="1783"/>
      <c r="CU25" s="1783"/>
      <c r="CV25" s="1783"/>
      <c r="CW25" s="1783"/>
      <c r="CX25" s="1783"/>
      <c r="CY25" s="1783"/>
      <c r="CZ25" s="1783"/>
      <c r="DA25" s="1783"/>
      <c r="DB25" s="1783"/>
      <c r="DC25" s="1783"/>
      <c r="DD25" s="1783"/>
      <c r="DE25" s="1783"/>
      <c r="DF25" s="1783"/>
      <c r="DG25" s="1783"/>
      <c r="DH25" s="1783"/>
      <c r="DI25" s="1783"/>
      <c r="DJ25" s="1783"/>
      <c r="DK25" s="1783"/>
      <c r="DL25" s="1783"/>
      <c r="DM25" s="1783"/>
      <c r="DN25" s="1783"/>
      <c r="DO25" s="1783"/>
      <c r="DP25" s="1783"/>
      <c r="DQ25" s="1783"/>
      <c r="DR25" s="1783"/>
      <c r="DS25" s="1783"/>
      <c r="DT25" s="1783"/>
      <c r="DU25" s="1783"/>
      <c r="DV25" s="1783"/>
      <c r="DW25" s="1783"/>
      <c r="DX25" s="1783"/>
      <c r="DY25" s="1783"/>
      <c r="DZ25" s="1783"/>
      <c r="EA25" s="1783"/>
      <c r="EB25" s="1783"/>
      <c r="EC25" s="1783"/>
      <c r="ED25" s="1783"/>
      <c r="EE25" s="1783"/>
      <c r="EF25" s="1783"/>
      <c r="EG25" s="1783"/>
      <c r="EH25" s="1783"/>
      <c r="EI25" s="1783"/>
      <c r="EJ25" s="1783"/>
      <c r="EK25" s="1783"/>
      <c r="EL25" s="1783"/>
      <c r="EM25" s="1783"/>
      <c r="EN25" s="1783"/>
      <c r="EO25" s="1783"/>
      <c r="EP25" s="1783"/>
      <c r="EQ25" s="1783"/>
      <c r="ER25" s="1783"/>
      <c r="ES25" s="1783"/>
      <c r="ET25" s="1783"/>
      <c r="EU25" s="1783"/>
      <c r="EV25" s="1783"/>
      <c r="EW25" s="1783"/>
      <c r="EX25" s="1783"/>
      <c r="EY25" s="1783"/>
      <c r="EZ25" s="1783"/>
      <c r="FA25" s="1783"/>
      <c r="FB25" s="1783"/>
      <c r="FC25" s="1783"/>
      <c r="FD25" s="1783"/>
      <c r="FE25" s="1783"/>
      <c r="FF25" s="1783"/>
      <c r="FG25" s="1783"/>
      <c r="FH25" s="1783"/>
      <c r="FI25" s="1783"/>
      <c r="FJ25" s="1783"/>
      <c r="FK25" s="1783"/>
      <c r="FL25" s="1783"/>
      <c r="FM25" s="1783"/>
      <c r="FN25" s="1783"/>
      <c r="FO25" s="1783"/>
      <c r="FP25" s="1783"/>
      <c r="FQ25" s="1783"/>
      <c r="FR25" s="1783"/>
      <c r="FS25" s="1783"/>
      <c r="FT25" s="1783"/>
      <c r="FU25" s="1783"/>
      <c r="FV25" s="1783"/>
      <c r="FW25" s="1783"/>
      <c r="FX25" s="1783"/>
      <c r="FY25" s="1783"/>
      <c r="FZ25" s="1783"/>
      <c r="GA25" s="1783"/>
      <c r="GB25" s="1783"/>
      <c r="GC25" s="1783"/>
      <c r="GD25" s="1783"/>
      <c r="GE25" s="1783"/>
    </row>
    <row r="26" spans="1:187">
      <c r="A26" s="1819"/>
      <c r="B26" s="1818"/>
      <c r="C26" s="1818"/>
      <c r="D26" s="1818"/>
      <c r="E26" s="1818"/>
      <c r="F26" s="1818"/>
      <c r="G26" s="1818"/>
      <c r="H26" s="1783"/>
      <c r="I26" s="1783"/>
      <c r="J26" s="1783"/>
      <c r="K26" s="1783"/>
      <c r="L26" s="1783"/>
      <c r="M26" s="1783"/>
      <c r="N26" s="1783"/>
      <c r="O26" s="1783"/>
      <c r="P26" s="1783"/>
      <c r="Q26" s="1783"/>
      <c r="R26" s="1783"/>
      <c r="S26" s="1783"/>
      <c r="T26" s="1783"/>
      <c r="U26" s="1783"/>
      <c r="V26" s="1783"/>
      <c r="W26" s="1783"/>
      <c r="X26" s="1783"/>
      <c r="Y26" s="1783"/>
      <c r="Z26" s="1783"/>
      <c r="AA26" s="1783"/>
      <c r="AB26" s="1783"/>
      <c r="AC26" s="1783"/>
      <c r="AD26" s="1783"/>
      <c r="AE26" s="1783"/>
      <c r="AF26" s="1783"/>
      <c r="AG26" s="1783"/>
      <c r="AH26" s="1783"/>
      <c r="AI26" s="1783"/>
      <c r="AJ26" s="1783"/>
      <c r="AK26" s="1783"/>
      <c r="AL26" s="1783"/>
      <c r="AM26" s="1783"/>
      <c r="AN26" s="1783"/>
      <c r="AO26" s="1783"/>
      <c r="AP26" s="1783"/>
      <c r="AQ26" s="1783"/>
      <c r="AR26" s="1783"/>
      <c r="AS26" s="1783"/>
      <c r="AT26" s="1783"/>
      <c r="AU26" s="1783"/>
      <c r="AV26" s="1783"/>
      <c r="AW26" s="1783"/>
      <c r="AX26" s="1783"/>
      <c r="AY26" s="1783"/>
      <c r="AZ26" s="1783"/>
      <c r="BA26" s="1783"/>
      <c r="BB26" s="1783"/>
      <c r="BC26" s="1783"/>
      <c r="BD26" s="1783"/>
      <c r="BE26" s="1783"/>
      <c r="BF26" s="1783"/>
      <c r="BG26" s="1783"/>
      <c r="BH26" s="1783"/>
      <c r="BI26" s="1783"/>
      <c r="BJ26" s="1783"/>
      <c r="BK26" s="1783"/>
      <c r="BL26" s="1783"/>
      <c r="BM26" s="1783"/>
      <c r="BN26" s="1783"/>
      <c r="BO26" s="1783"/>
      <c r="BP26" s="1783"/>
      <c r="BQ26" s="1783"/>
      <c r="BR26" s="1783"/>
      <c r="BS26" s="1783"/>
      <c r="BT26" s="1783"/>
      <c r="BU26" s="1783"/>
      <c r="BV26" s="1783"/>
      <c r="BW26" s="1783"/>
      <c r="BX26" s="1783"/>
      <c r="BY26" s="1783"/>
      <c r="BZ26" s="1783"/>
      <c r="CA26" s="1783"/>
      <c r="CB26" s="1783"/>
      <c r="CC26" s="1783"/>
      <c r="CD26" s="1783"/>
      <c r="CE26" s="1783"/>
      <c r="CF26" s="1783"/>
      <c r="CG26" s="1783"/>
      <c r="CH26" s="1783"/>
      <c r="CI26" s="1783"/>
      <c r="CJ26" s="1783"/>
      <c r="CK26" s="1783"/>
      <c r="CL26" s="1783"/>
      <c r="CM26" s="1783"/>
      <c r="CN26" s="1783"/>
      <c r="CO26" s="1783"/>
      <c r="CP26" s="1783"/>
      <c r="CQ26" s="1783"/>
      <c r="CR26" s="1783"/>
      <c r="CS26" s="1783"/>
      <c r="CT26" s="1783"/>
      <c r="CU26" s="1783"/>
      <c r="CV26" s="1783"/>
      <c r="CW26" s="1783"/>
      <c r="CX26" s="1783"/>
      <c r="CY26" s="1783"/>
      <c r="CZ26" s="1783"/>
      <c r="DA26" s="1783"/>
      <c r="DB26" s="1783"/>
      <c r="DC26" s="1783"/>
      <c r="DD26" s="1783"/>
      <c r="DE26" s="1783"/>
      <c r="DF26" s="1783"/>
      <c r="DG26" s="1783"/>
      <c r="DH26" s="1783"/>
      <c r="DI26" s="1783"/>
      <c r="DJ26" s="1783"/>
      <c r="DK26" s="1783"/>
      <c r="DL26" s="1783"/>
      <c r="DM26" s="1783"/>
      <c r="DN26" s="1783"/>
      <c r="DO26" s="1783"/>
      <c r="DP26" s="1783"/>
      <c r="DQ26" s="1783"/>
      <c r="DR26" s="1783"/>
      <c r="DS26" s="1783"/>
      <c r="DT26" s="1783"/>
      <c r="DU26" s="1783"/>
      <c r="DV26" s="1783"/>
      <c r="DW26" s="1783"/>
      <c r="DX26" s="1783"/>
      <c r="DY26" s="1783"/>
      <c r="DZ26" s="1783"/>
      <c r="EA26" s="1783"/>
      <c r="EB26" s="1783"/>
      <c r="EC26" s="1783"/>
      <c r="ED26" s="1783"/>
      <c r="EE26" s="1783"/>
      <c r="EF26" s="1783"/>
      <c r="EG26" s="1783"/>
      <c r="EH26" s="1783"/>
      <c r="EI26" s="1783"/>
      <c r="EJ26" s="1783"/>
      <c r="EK26" s="1783"/>
      <c r="EL26" s="1783"/>
      <c r="EM26" s="1783"/>
      <c r="EN26" s="1783"/>
      <c r="EO26" s="1783"/>
      <c r="EP26" s="1783"/>
      <c r="EQ26" s="1783"/>
      <c r="ER26" s="1783"/>
      <c r="ES26" s="1783"/>
      <c r="ET26" s="1783"/>
      <c r="EU26" s="1783"/>
      <c r="EV26" s="1783"/>
      <c r="EW26" s="1783"/>
      <c r="EX26" s="1783"/>
      <c r="EY26" s="1783"/>
      <c r="EZ26" s="1783"/>
      <c r="FA26" s="1783"/>
      <c r="FB26" s="1783"/>
      <c r="FC26" s="1783"/>
      <c r="FD26" s="1783"/>
      <c r="FE26" s="1783"/>
      <c r="FF26" s="1783"/>
      <c r="FG26" s="1783"/>
      <c r="FH26" s="1783"/>
      <c r="FI26" s="1783"/>
      <c r="FJ26" s="1783"/>
      <c r="FK26" s="1783"/>
      <c r="FL26" s="1783"/>
      <c r="FM26" s="1783"/>
      <c r="FN26" s="1783"/>
      <c r="FO26" s="1783"/>
      <c r="FP26" s="1783"/>
      <c r="FQ26" s="1783"/>
      <c r="FR26" s="1783"/>
      <c r="FS26" s="1783"/>
      <c r="FT26" s="1783"/>
      <c r="FU26" s="1783"/>
      <c r="FV26" s="1783"/>
      <c r="FW26" s="1783"/>
      <c r="FX26" s="1783"/>
      <c r="FY26" s="1783"/>
      <c r="FZ26" s="1783"/>
      <c r="GA26" s="1783"/>
      <c r="GB26" s="1783"/>
      <c r="GC26" s="1783"/>
      <c r="GD26" s="1783"/>
      <c r="GE26" s="1783"/>
    </row>
    <row r="27" spans="1:187">
      <c r="A27" s="1819"/>
      <c r="B27" s="1818"/>
      <c r="C27" s="1818"/>
      <c r="D27" s="1818"/>
      <c r="E27" s="1818"/>
      <c r="F27" s="1818"/>
      <c r="G27" s="1818"/>
      <c r="H27" s="1783"/>
      <c r="I27" s="1783"/>
      <c r="J27" s="1783"/>
      <c r="K27" s="1783"/>
      <c r="L27" s="1783"/>
      <c r="M27" s="1783"/>
      <c r="N27" s="1783"/>
      <c r="O27" s="1783"/>
      <c r="P27" s="1783"/>
      <c r="Q27" s="1783"/>
      <c r="R27" s="1783"/>
      <c r="S27" s="1783"/>
      <c r="T27" s="1783"/>
      <c r="U27" s="1783"/>
      <c r="V27" s="1783"/>
      <c r="W27" s="1783"/>
      <c r="X27" s="1783"/>
      <c r="Y27" s="1783"/>
      <c r="Z27" s="1783"/>
      <c r="AA27" s="1783"/>
      <c r="AB27" s="1783"/>
      <c r="AC27" s="1783"/>
      <c r="AD27" s="1783"/>
      <c r="AE27" s="1783"/>
      <c r="AF27" s="1783"/>
      <c r="AG27" s="1783"/>
      <c r="AH27" s="1783"/>
      <c r="AI27" s="1783"/>
      <c r="AJ27" s="1783"/>
      <c r="AK27" s="1783"/>
      <c r="AL27" s="1783"/>
      <c r="AM27" s="1783"/>
      <c r="AN27" s="1783"/>
      <c r="AO27" s="1783"/>
      <c r="AP27" s="1783"/>
      <c r="AQ27" s="1783"/>
      <c r="AR27" s="1783"/>
      <c r="AS27" s="1783"/>
      <c r="AT27" s="1783"/>
      <c r="AU27" s="1783"/>
      <c r="AV27" s="1783"/>
      <c r="AW27" s="1783"/>
      <c r="AX27" s="1783"/>
      <c r="AY27" s="1783"/>
      <c r="AZ27" s="1783"/>
      <c r="BA27" s="1783"/>
      <c r="BB27" s="1783"/>
      <c r="BC27" s="1783"/>
      <c r="BD27" s="1783"/>
      <c r="BE27" s="1783"/>
      <c r="BF27" s="1783"/>
      <c r="BG27" s="1783"/>
      <c r="BH27" s="1783"/>
      <c r="BI27" s="1783"/>
      <c r="BJ27" s="1783"/>
      <c r="BK27" s="1783"/>
      <c r="BL27" s="1783"/>
      <c r="BM27" s="1783"/>
      <c r="BN27" s="1783"/>
      <c r="BO27" s="1783"/>
      <c r="BP27" s="1783"/>
      <c r="BQ27" s="1783"/>
      <c r="BR27" s="1783"/>
      <c r="BS27" s="1783"/>
      <c r="BT27" s="1783"/>
      <c r="BU27" s="1783"/>
      <c r="BV27" s="1783"/>
      <c r="BW27" s="1783"/>
      <c r="BX27" s="1783"/>
      <c r="BY27" s="1783"/>
      <c r="BZ27" s="1783"/>
      <c r="CA27" s="1783"/>
      <c r="CB27" s="1783"/>
      <c r="CC27" s="1783"/>
      <c r="CD27" s="1783"/>
      <c r="CE27" s="1783"/>
      <c r="CF27" s="1783"/>
      <c r="CG27" s="1783"/>
      <c r="CH27" s="1783"/>
      <c r="CI27" s="1783"/>
      <c r="CJ27" s="1783"/>
      <c r="CK27" s="1783"/>
      <c r="CL27" s="1783"/>
      <c r="CM27" s="1783"/>
      <c r="CN27" s="1783"/>
      <c r="CO27" s="1783"/>
      <c r="CP27" s="1783"/>
      <c r="CQ27" s="1783"/>
      <c r="CR27" s="1783"/>
      <c r="CS27" s="1783"/>
      <c r="CT27" s="1783"/>
      <c r="CU27" s="1783"/>
      <c r="CV27" s="1783"/>
      <c r="CW27" s="1783"/>
      <c r="CX27" s="1783"/>
      <c r="CY27" s="1783"/>
      <c r="CZ27" s="1783"/>
      <c r="DA27" s="1783"/>
      <c r="DB27" s="1783"/>
      <c r="DC27" s="1783"/>
      <c r="DD27" s="1783"/>
      <c r="DE27" s="1783"/>
      <c r="DF27" s="1783"/>
      <c r="DG27" s="1783"/>
      <c r="DH27" s="1783"/>
      <c r="DI27" s="1783"/>
      <c r="DJ27" s="1783"/>
      <c r="DK27" s="1783"/>
      <c r="DL27" s="1783"/>
      <c r="DM27" s="1783"/>
      <c r="DN27" s="1783"/>
      <c r="DO27" s="1783"/>
      <c r="DP27" s="1783"/>
      <c r="DQ27" s="1783"/>
      <c r="DR27" s="1783"/>
      <c r="DS27" s="1783"/>
      <c r="DT27" s="1783"/>
      <c r="DU27" s="1783"/>
      <c r="DV27" s="1783"/>
      <c r="DW27" s="1783"/>
      <c r="DX27" s="1783"/>
      <c r="DY27" s="1783"/>
      <c r="DZ27" s="1783"/>
      <c r="EA27" s="1783"/>
      <c r="EB27" s="1783"/>
      <c r="EC27" s="1783"/>
      <c r="ED27" s="1783"/>
      <c r="EE27" s="1783"/>
      <c r="EF27" s="1783"/>
      <c r="EG27" s="1783"/>
      <c r="EH27" s="1783"/>
      <c r="EI27" s="1783"/>
      <c r="EJ27" s="1783"/>
      <c r="EK27" s="1783"/>
      <c r="EL27" s="1783"/>
      <c r="EM27" s="1783"/>
      <c r="EN27" s="1783"/>
      <c r="EO27" s="1783"/>
      <c r="EP27" s="1783"/>
      <c r="EQ27" s="1783"/>
      <c r="ER27" s="1783"/>
      <c r="ES27" s="1783"/>
      <c r="ET27" s="1783"/>
      <c r="EU27" s="1783"/>
      <c r="EV27" s="1783"/>
      <c r="EW27" s="1783"/>
      <c r="EX27" s="1783"/>
      <c r="EY27" s="1783"/>
      <c r="EZ27" s="1783"/>
      <c r="FA27" s="1783"/>
      <c r="FB27" s="1783"/>
      <c r="FC27" s="1783"/>
      <c r="FD27" s="1783"/>
      <c r="FE27" s="1783"/>
      <c r="FF27" s="1783"/>
      <c r="FG27" s="1783"/>
      <c r="FH27" s="1783"/>
      <c r="FI27" s="1783"/>
      <c r="FJ27" s="1783"/>
      <c r="FK27" s="1783"/>
      <c r="FL27" s="1783"/>
      <c r="FM27" s="1783"/>
      <c r="FN27" s="1783"/>
      <c r="FO27" s="1783"/>
      <c r="FP27" s="1783"/>
      <c r="FQ27" s="1783"/>
      <c r="FR27" s="1783"/>
      <c r="FS27" s="1783"/>
      <c r="FT27" s="1783"/>
      <c r="FU27" s="1783"/>
      <c r="FV27" s="1783"/>
      <c r="FW27" s="1783"/>
      <c r="FX27" s="1783"/>
      <c r="FY27" s="1783"/>
      <c r="FZ27" s="1783"/>
      <c r="GA27" s="1783"/>
      <c r="GB27" s="1783"/>
      <c r="GC27" s="1783"/>
      <c r="GD27" s="1783"/>
      <c r="GE27" s="1783"/>
    </row>
    <row r="28" spans="1:187">
      <c r="A28" s="1819"/>
      <c r="B28" s="1818"/>
      <c r="C28" s="1818"/>
      <c r="D28" s="1818"/>
      <c r="E28" s="1818"/>
      <c r="F28" s="1818"/>
      <c r="G28" s="1818"/>
      <c r="H28" s="1783"/>
      <c r="I28" s="1783"/>
      <c r="J28" s="1783"/>
      <c r="K28" s="1783"/>
      <c r="L28" s="1783"/>
      <c r="M28" s="1783"/>
      <c r="N28" s="1783"/>
      <c r="O28" s="1783"/>
      <c r="P28" s="1783"/>
      <c r="Q28" s="1783"/>
      <c r="R28" s="1783"/>
      <c r="S28" s="1783"/>
      <c r="T28" s="1783"/>
      <c r="U28" s="1783"/>
      <c r="V28" s="1783"/>
      <c r="W28" s="1783"/>
      <c r="X28" s="1783"/>
      <c r="Y28" s="1783"/>
      <c r="Z28" s="1783"/>
      <c r="AA28" s="1783"/>
      <c r="AB28" s="1783"/>
      <c r="AC28" s="1783"/>
      <c r="AD28" s="1783"/>
      <c r="AE28" s="1783"/>
      <c r="AF28" s="1783"/>
      <c r="AG28" s="1783"/>
      <c r="AH28" s="1783"/>
      <c r="AI28" s="1783"/>
      <c r="AJ28" s="1783"/>
      <c r="AK28" s="1783"/>
      <c r="AL28" s="1783"/>
      <c r="AM28" s="1783"/>
      <c r="AN28" s="1783"/>
      <c r="AO28" s="1783"/>
      <c r="AP28" s="1783"/>
      <c r="AQ28" s="1783"/>
      <c r="AR28" s="1783"/>
      <c r="AS28" s="1783"/>
      <c r="AT28" s="1783"/>
      <c r="AU28" s="1783"/>
      <c r="AV28" s="1783"/>
      <c r="AW28" s="1783"/>
      <c r="AX28" s="1783"/>
      <c r="AY28" s="1783"/>
      <c r="AZ28" s="1783"/>
      <c r="BA28" s="1783"/>
      <c r="BB28" s="1783"/>
      <c r="BC28" s="1783"/>
      <c r="BD28" s="1783"/>
      <c r="BE28" s="1783"/>
      <c r="BF28" s="1783"/>
      <c r="BG28" s="1783"/>
      <c r="BH28" s="1783"/>
      <c r="BI28" s="1783"/>
      <c r="BJ28" s="1783"/>
      <c r="BK28" s="1783"/>
      <c r="BL28" s="1783"/>
      <c r="BM28" s="1783"/>
      <c r="BN28" s="1783"/>
      <c r="BO28" s="1783"/>
      <c r="BP28" s="1783"/>
      <c r="BQ28" s="1783"/>
      <c r="BR28" s="1783"/>
      <c r="BS28" s="1783"/>
      <c r="BT28" s="1783"/>
      <c r="BU28" s="1783"/>
      <c r="BV28" s="1783"/>
      <c r="BW28" s="1783"/>
      <c r="BX28" s="1783"/>
      <c r="BY28" s="1783"/>
      <c r="BZ28" s="1783"/>
      <c r="CA28" s="1783"/>
      <c r="CB28" s="1783"/>
      <c r="CC28" s="1783"/>
      <c r="CD28" s="1783"/>
      <c r="CE28" s="1783"/>
      <c r="CF28" s="1783"/>
      <c r="CG28" s="1783"/>
      <c r="CH28" s="1783"/>
      <c r="CI28" s="1783"/>
      <c r="CJ28" s="1783"/>
      <c r="CK28" s="1783"/>
      <c r="CL28" s="1783"/>
      <c r="CM28" s="1783"/>
      <c r="CN28" s="1783"/>
      <c r="CO28" s="1783"/>
      <c r="CP28" s="1783"/>
      <c r="CQ28" s="1783"/>
      <c r="CR28" s="1783"/>
      <c r="CS28" s="1783"/>
      <c r="CT28" s="1783"/>
      <c r="CU28" s="1783"/>
      <c r="CV28" s="1783"/>
      <c r="CW28" s="1783"/>
      <c r="CX28" s="1783"/>
      <c r="CY28" s="1783"/>
      <c r="CZ28" s="1783"/>
      <c r="DA28" s="1783"/>
      <c r="DB28" s="1783"/>
      <c r="DC28" s="1783"/>
      <c r="DD28" s="1783"/>
      <c r="DE28" s="1783"/>
      <c r="DF28" s="1783"/>
      <c r="DG28" s="1783"/>
      <c r="DH28" s="1783"/>
      <c r="DI28" s="1783"/>
      <c r="DJ28" s="1783"/>
      <c r="DK28" s="1783"/>
      <c r="DL28" s="1783"/>
      <c r="DM28" s="1783"/>
      <c r="DN28" s="1783"/>
      <c r="DO28" s="1783"/>
      <c r="DP28" s="1783"/>
      <c r="DQ28" s="1783"/>
      <c r="DR28" s="1783"/>
      <c r="DS28" s="1783"/>
      <c r="DT28" s="1783"/>
      <c r="DU28" s="1783"/>
      <c r="DV28" s="1783"/>
      <c r="DW28" s="1783"/>
      <c r="DX28" s="1783"/>
      <c r="DY28" s="1783"/>
      <c r="DZ28" s="1783"/>
      <c r="EA28" s="1783"/>
      <c r="EB28" s="1783"/>
      <c r="EC28" s="1783"/>
      <c r="ED28" s="1783"/>
      <c r="EE28" s="1783"/>
      <c r="EF28" s="1783"/>
      <c r="EG28" s="1783"/>
      <c r="EH28" s="1783"/>
      <c r="EI28" s="1783"/>
      <c r="EJ28" s="1783"/>
      <c r="EK28" s="1783"/>
      <c r="EL28" s="1783"/>
      <c r="EM28" s="1783"/>
      <c r="EN28" s="1783"/>
      <c r="EO28" s="1783"/>
      <c r="EP28" s="1783"/>
      <c r="EQ28" s="1783"/>
      <c r="ER28" s="1783"/>
      <c r="ES28" s="1783"/>
      <c r="ET28" s="1783"/>
      <c r="EU28" s="1783"/>
      <c r="EV28" s="1783"/>
      <c r="EW28" s="1783"/>
      <c r="EX28" s="1783"/>
      <c r="EY28" s="1783"/>
      <c r="EZ28" s="1783"/>
      <c r="FA28" s="1783"/>
      <c r="FB28" s="1783"/>
      <c r="FC28" s="1783"/>
      <c r="FD28" s="1783"/>
      <c r="FE28" s="1783"/>
      <c r="FF28" s="1783"/>
      <c r="FG28" s="1783"/>
      <c r="FH28" s="1783"/>
      <c r="FI28" s="1783"/>
      <c r="FJ28" s="1783"/>
      <c r="FK28" s="1783"/>
      <c r="FL28" s="1783"/>
      <c r="FM28" s="1783"/>
      <c r="FN28" s="1783"/>
      <c r="FO28" s="1783"/>
      <c r="FP28" s="1783"/>
      <c r="FQ28" s="1783"/>
      <c r="FR28" s="1783"/>
      <c r="FS28" s="1783"/>
      <c r="FT28" s="1783"/>
      <c r="FU28" s="1783"/>
      <c r="FV28" s="1783"/>
      <c r="FW28" s="1783"/>
      <c r="FX28" s="1783"/>
      <c r="FY28" s="1783"/>
      <c r="FZ28" s="1783"/>
      <c r="GA28" s="1783"/>
      <c r="GB28" s="1783"/>
      <c r="GC28" s="1783"/>
      <c r="GD28" s="1783"/>
      <c r="GE28" s="1783"/>
    </row>
    <row r="29" spans="1:187">
      <c r="A29" s="1819"/>
      <c r="B29" s="1818"/>
      <c r="C29" s="1818"/>
      <c r="D29" s="1818"/>
      <c r="E29" s="1818"/>
      <c r="F29" s="1818"/>
      <c r="G29" s="1818"/>
      <c r="H29" s="1783"/>
      <c r="I29" s="1783"/>
      <c r="J29" s="1783"/>
      <c r="K29" s="1783"/>
      <c r="L29" s="1783"/>
      <c r="M29" s="1783"/>
      <c r="N29" s="1783"/>
      <c r="O29" s="1783"/>
      <c r="P29" s="1783"/>
      <c r="Q29" s="1783"/>
      <c r="R29" s="1783"/>
      <c r="S29" s="1783"/>
      <c r="T29" s="1783"/>
      <c r="U29" s="1783"/>
      <c r="V29" s="1783"/>
      <c r="W29" s="1783"/>
      <c r="X29" s="1783"/>
      <c r="Y29" s="1783"/>
      <c r="Z29" s="1783"/>
      <c r="AA29" s="1783"/>
      <c r="AB29" s="1783"/>
      <c r="AC29" s="1783"/>
      <c r="AD29" s="1783"/>
      <c r="AE29" s="1783"/>
      <c r="AF29" s="1783"/>
      <c r="AG29" s="1783"/>
      <c r="AH29" s="1783"/>
      <c r="AI29" s="1783"/>
      <c r="AJ29" s="1783"/>
      <c r="AK29" s="1783"/>
      <c r="AL29" s="1783"/>
      <c r="AM29" s="1783"/>
      <c r="AN29" s="1783"/>
      <c r="AO29" s="1783"/>
      <c r="AP29" s="1783"/>
      <c r="AQ29" s="1783"/>
      <c r="AR29" s="1783"/>
      <c r="AS29" s="1783"/>
      <c r="AT29" s="1783"/>
      <c r="AU29" s="1783"/>
      <c r="AV29" s="1783"/>
      <c r="AW29" s="1783"/>
      <c r="AX29" s="1783"/>
      <c r="AY29" s="1783"/>
      <c r="AZ29" s="1783"/>
      <c r="BA29" s="1783"/>
      <c r="BB29" s="1783"/>
      <c r="BC29" s="1783"/>
      <c r="BD29" s="1783"/>
      <c r="BE29" s="1783"/>
      <c r="BF29" s="1783"/>
      <c r="BG29" s="1783"/>
      <c r="BH29" s="1783"/>
      <c r="BI29" s="1783"/>
      <c r="BJ29" s="1783"/>
      <c r="BK29" s="1783"/>
      <c r="BL29" s="1783"/>
      <c r="BM29" s="1783"/>
      <c r="BN29" s="1783"/>
      <c r="BO29" s="1783"/>
      <c r="BP29" s="1783"/>
      <c r="BQ29" s="1783"/>
      <c r="BR29" s="1783"/>
      <c r="BS29" s="1783"/>
      <c r="BT29" s="1783"/>
      <c r="BU29" s="1783"/>
      <c r="BV29" s="1783"/>
      <c r="BW29" s="1783"/>
      <c r="BX29" s="1783"/>
      <c r="BY29" s="1783"/>
      <c r="BZ29" s="1783"/>
      <c r="CA29" s="1783"/>
      <c r="CB29" s="1783"/>
      <c r="CC29" s="1783"/>
      <c r="CD29" s="1783"/>
      <c r="CE29" s="1783"/>
      <c r="CF29" s="1783"/>
      <c r="CG29" s="1783"/>
      <c r="CH29" s="1783"/>
      <c r="CI29" s="1783"/>
      <c r="CJ29" s="1783"/>
      <c r="CK29" s="1783"/>
      <c r="CL29" s="1783"/>
      <c r="CM29" s="1783"/>
      <c r="CN29" s="1783"/>
      <c r="CO29" s="1783"/>
      <c r="CP29" s="1783"/>
      <c r="CQ29" s="1783"/>
      <c r="CR29" s="1783"/>
      <c r="CS29" s="1783"/>
      <c r="CT29" s="1783"/>
      <c r="CU29" s="1783"/>
      <c r="CV29" s="1783"/>
      <c r="CW29" s="1783"/>
      <c r="CX29" s="1783"/>
      <c r="CY29" s="1783"/>
      <c r="CZ29" s="1783"/>
      <c r="DA29" s="1783"/>
      <c r="DB29" s="1783"/>
      <c r="DC29" s="1783"/>
      <c r="DD29" s="1783"/>
      <c r="DE29" s="1783"/>
      <c r="DF29" s="1783"/>
      <c r="DG29" s="1783"/>
      <c r="DH29" s="1783"/>
      <c r="DI29" s="1783"/>
      <c r="DJ29" s="1783"/>
      <c r="DK29" s="1783"/>
      <c r="DL29" s="1783"/>
      <c r="DM29" s="1783"/>
      <c r="DN29" s="1783"/>
      <c r="DO29" s="1783"/>
      <c r="DP29" s="1783"/>
      <c r="DQ29" s="1783"/>
      <c r="DR29" s="1783"/>
      <c r="DS29" s="1783"/>
      <c r="DT29" s="1783"/>
      <c r="DU29" s="1783"/>
      <c r="DV29" s="1783"/>
      <c r="DW29" s="1783"/>
      <c r="DX29" s="1783"/>
      <c r="DY29" s="1783"/>
      <c r="DZ29" s="1783"/>
      <c r="EA29" s="1783"/>
      <c r="EB29" s="1783"/>
      <c r="EC29" s="1783"/>
      <c r="ED29" s="1783"/>
      <c r="EE29" s="1783"/>
      <c r="EF29" s="1783"/>
      <c r="EG29" s="1783"/>
      <c r="EH29" s="1783"/>
      <c r="EI29" s="1783"/>
      <c r="EJ29" s="1783"/>
      <c r="EK29" s="1783"/>
      <c r="EL29" s="1783"/>
      <c r="EM29" s="1783"/>
      <c r="EN29" s="1783"/>
      <c r="EO29" s="1783"/>
      <c r="EP29" s="1783"/>
      <c r="EQ29" s="1783"/>
      <c r="ER29" s="1783"/>
      <c r="ES29" s="1783"/>
      <c r="ET29" s="1783"/>
      <c r="EU29" s="1783"/>
      <c r="EV29" s="1783"/>
      <c r="EW29" s="1783"/>
      <c r="EX29" s="1783"/>
      <c r="EY29" s="1783"/>
      <c r="EZ29" s="1783"/>
      <c r="FA29" s="1783"/>
      <c r="FB29" s="1783"/>
      <c r="FC29" s="1783"/>
      <c r="FD29" s="1783"/>
      <c r="FE29" s="1783"/>
      <c r="FF29" s="1783"/>
      <c r="FG29" s="1783"/>
      <c r="FH29" s="1783"/>
      <c r="FI29" s="1783"/>
      <c r="FJ29" s="1783"/>
      <c r="FK29" s="1783"/>
      <c r="FL29" s="1783"/>
      <c r="FM29" s="1783"/>
      <c r="FN29" s="1783"/>
      <c r="FO29" s="1783"/>
      <c r="FP29" s="1783"/>
      <c r="FQ29" s="1783"/>
      <c r="FR29" s="1783"/>
      <c r="FS29" s="1783"/>
      <c r="FT29" s="1783"/>
      <c r="FU29" s="1783"/>
      <c r="FV29" s="1783"/>
      <c r="FW29" s="1783"/>
      <c r="FX29" s="1783"/>
      <c r="FY29" s="1783"/>
      <c r="FZ29" s="1783"/>
      <c r="GA29" s="1783"/>
      <c r="GB29" s="1783"/>
      <c r="GC29" s="1783"/>
      <c r="GD29" s="1783"/>
      <c r="GE29" s="1783"/>
    </row>
    <row r="30" spans="1:187">
      <c r="A30" s="1819"/>
      <c r="B30" s="1818"/>
      <c r="C30" s="1818"/>
      <c r="D30" s="1818"/>
      <c r="E30" s="1818"/>
      <c r="F30" s="1818"/>
      <c r="G30" s="1818"/>
      <c r="H30" s="1783"/>
      <c r="I30" s="1783"/>
      <c r="J30" s="1783"/>
      <c r="K30" s="1783"/>
      <c r="L30" s="1783"/>
      <c r="M30" s="1783"/>
      <c r="N30" s="1783"/>
      <c r="O30" s="1783"/>
      <c r="P30" s="1783"/>
      <c r="Q30" s="1783"/>
      <c r="R30" s="1783"/>
      <c r="S30" s="1783"/>
      <c r="T30" s="1783"/>
      <c r="U30" s="1783"/>
      <c r="V30" s="1783"/>
      <c r="W30" s="1783"/>
      <c r="X30" s="1783"/>
      <c r="Y30" s="1783"/>
      <c r="Z30" s="1783"/>
      <c r="AA30" s="1783"/>
      <c r="AB30" s="1783"/>
      <c r="AC30" s="1783"/>
      <c r="AD30" s="1783"/>
      <c r="AE30" s="1783"/>
      <c r="AF30" s="1783"/>
      <c r="AG30" s="1783"/>
      <c r="AH30" s="1783"/>
      <c r="AI30" s="1783"/>
      <c r="AJ30" s="1783"/>
      <c r="AK30" s="1783"/>
      <c r="AL30" s="1783"/>
      <c r="AM30" s="1783"/>
      <c r="AN30" s="1783"/>
      <c r="AO30" s="1783"/>
      <c r="AP30" s="1783"/>
      <c r="AQ30" s="1783"/>
      <c r="AR30" s="1783"/>
      <c r="AS30" s="1783"/>
      <c r="AT30" s="1783"/>
      <c r="AU30" s="1783"/>
      <c r="AV30" s="1783"/>
      <c r="AW30" s="1783"/>
      <c r="AX30" s="1783"/>
      <c r="AY30" s="1783"/>
      <c r="AZ30" s="1783"/>
      <c r="BA30" s="1783"/>
      <c r="BB30" s="1783"/>
      <c r="BC30" s="1783"/>
      <c r="BD30" s="1783"/>
      <c r="BE30" s="1783"/>
      <c r="BF30" s="1783"/>
      <c r="BG30" s="1783"/>
      <c r="BH30" s="1783"/>
      <c r="BI30" s="1783"/>
      <c r="BJ30" s="1783"/>
      <c r="BK30" s="1783"/>
      <c r="BL30" s="1783"/>
      <c r="BM30" s="1783"/>
      <c r="BN30" s="1783"/>
      <c r="BO30" s="1783"/>
      <c r="BP30" s="1783"/>
      <c r="BQ30" s="1783"/>
      <c r="BR30" s="1783"/>
      <c r="BS30" s="1783"/>
      <c r="BT30" s="1783"/>
      <c r="BU30" s="1783"/>
      <c r="BV30" s="1783"/>
      <c r="BW30" s="1783"/>
      <c r="BX30" s="1783"/>
      <c r="BY30" s="1783"/>
      <c r="BZ30" s="1783"/>
      <c r="CA30" s="1783"/>
      <c r="CB30" s="1783"/>
      <c r="CC30" s="1783"/>
      <c r="CD30" s="1783"/>
      <c r="CE30" s="1783"/>
      <c r="CF30" s="1783"/>
      <c r="CG30" s="1783"/>
      <c r="CH30" s="1783"/>
      <c r="CI30" s="1783"/>
      <c r="CJ30" s="1783"/>
      <c r="CK30" s="1783"/>
      <c r="CL30" s="1783"/>
      <c r="CM30" s="1783"/>
      <c r="CN30" s="1783"/>
      <c r="CO30" s="1783"/>
      <c r="CP30" s="1783"/>
      <c r="CQ30" s="1783"/>
      <c r="CR30" s="1783"/>
      <c r="CS30" s="1783"/>
      <c r="CT30" s="1783"/>
      <c r="CU30" s="1783"/>
      <c r="CV30" s="1783"/>
      <c r="CW30" s="1783"/>
      <c r="CX30" s="1783"/>
      <c r="CY30" s="1783"/>
      <c r="CZ30" s="1783"/>
      <c r="DA30" s="1783"/>
      <c r="DB30" s="1783"/>
      <c r="DC30" s="1783"/>
      <c r="DD30" s="1783"/>
      <c r="DE30" s="1783"/>
      <c r="DF30" s="1783"/>
      <c r="DG30" s="1783"/>
      <c r="DH30" s="1783"/>
      <c r="DI30" s="1783"/>
      <c r="DJ30" s="1783"/>
      <c r="DK30" s="1783"/>
      <c r="DL30" s="1783"/>
      <c r="DM30" s="1783"/>
      <c r="DN30" s="1783"/>
      <c r="DO30" s="1783"/>
      <c r="DP30" s="1783"/>
      <c r="DQ30" s="1783"/>
      <c r="DR30" s="1783"/>
      <c r="DS30" s="1783"/>
      <c r="DT30" s="1783"/>
      <c r="DU30" s="1783"/>
      <c r="DV30" s="1783"/>
      <c r="DW30" s="1783"/>
      <c r="DX30" s="1783"/>
      <c r="DY30" s="1783"/>
      <c r="DZ30" s="1783"/>
      <c r="EA30" s="1783"/>
      <c r="EB30" s="1783"/>
      <c r="EC30" s="1783"/>
      <c r="ED30" s="1783"/>
      <c r="EE30" s="1783"/>
      <c r="EF30" s="1783"/>
      <c r="EG30" s="1783"/>
      <c r="EH30" s="1783"/>
      <c r="EI30" s="1783"/>
      <c r="EJ30" s="1783"/>
      <c r="EK30" s="1783"/>
      <c r="EL30" s="1783"/>
      <c r="EM30" s="1783"/>
      <c r="EN30" s="1783"/>
      <c r="EO30" s="1783"/>
      <c r="EP30" s="1783"/>
      <c r="EQ30" s="1783"/>
      <c r="ER30" s="1783"/>
      <c r="ES30" s="1783"/>
      <c r="ET30" s="1783"/>
      <c r="EU30" s="1783"/>
      <c r="EV30" s="1783"/>
      <c r="EW30" s="1783"/>
      <c r="EX30" s="1783"/>
      <c r="EY30" s="1783"/>
      <c r="EZ30" s="1783"/>
      <c r="FA30" s="1783"/>
      <c r="FB30" s="1783"/>
      <c r="FC30" s="1783"/>
      <c r="FD30" s="1783"/>
      <c r="FE30" s="1783"/>
      <c r="FF30" s="1783"/>
      <c r="FG30" s="1783"/>
      <c r="FH30" s="1783"/>
      <c r="FI30" s="1783"/>
      <c r="FJ30" s="1783"/>
      <c r="FK30" s="1783"/>
      <c r="FL30" s="1783"/>
      <c r="FM30" s="1783"/>
      <c r="FN30" s="1783"/>
      <c r="FO30" s="1783"/>
      <c r="FP30" s="1783"/>
      <c r="FQ30" s="1783"/>
      <c r="FR30" s="1783"/>
      <c r="FS30" s="1783"/>
      <c r="FT30" s="1783"/>
      <c r="FU30" s="1783"/>
      <c r="FV30" s="1783"/>
      <c r="FW30" s="1783"/>
      <c r="FX30" s="1783"/>
      <c r="FY30" s="1783"/>
      <c r="FZ30" s="1783"/>
      <c r="GA30" s="1783"/>
      <c r="GB30" s="1783"/>
      <c r="GC30" s="1783"/>
      <c r="GD30" s="1783"/>
      <c r="GE30" s="1783"/>
    </row>
    <row r="31" spans="1:187">
      <c r="A31" s="1819"/>
      <c r="B31" s="1818"/>
      <c r="C31" s="1818"/>
      <c r="D31" s="1818"/>
      <c r="E31" s="1818"/>
      <c r="F31" s="1818"/>
      <c r="G31" s="1818"/>
      <c r="H31" s="1783"/>
      <c r="I31" s="1783"/>
      <c r="J31" s="1783"/>
      <c r="K31" s="1783"/>
      <c r="L31" s="1783"/>
      <c r="M31" s="1783"/>
      <c r="N31" s="1783"/>
      <c r="O31" s="1783"/>
      <c r="P31" s="1783"/>
      <c r="Q31" s="1783"/>
      <c r="R31" s="1783"/>
      <c r="S31" s="1783"/>
      <c r="T31" s="1783"/>
      <c r="U31" s="1783"/>
      <c r="V31" s="1783"/>
      <c r="W31" s="1783"/>
      <c r="X31" s="1783"/>
      <c r="Y31" s="1783"/>
      <c r="Z31" s="1783"/>
      <c r="AA31" s="1783"/>
      <c r="AB31" s="1783"/>
      <c r="AC31" s="1783"/>
      <c r="AD31" s="1783"/>
      <c r="AE31" s="1783"/>
      <c r="AF31" s="1783"/>
      <c r="AG31" s="1783"/>
      <c r="AH31" s="1783"/>
      <c r="AI31" s="1783"/>
      <c r="AJ31" s="1783"/>
      <c r="AK31" s="1783"/>
      <c r="AL31" s="1783"/>
      <c r="AM31" s="1783"/>
      <c r="AN31" s="1783"/>
      <c r="AO31" s="1783"/>
      <c r="AP31" s="1783"/>
      <c r="AQ31" s="1783"/>
      <c r="AR31" s="1783"/>
      <c r="AS31" s="1783"/>
      <c r="AT31" s="1783"/>
      <c r="AU31" s="1783"/>
      <c r="AV31" s="1783"/>
      <c r="AW31" s="1783"/>
      <c r="AX31" s="1783"/>
      <c r="AY31" s="1783"/>
      <c r="AZ31" s="1783"/>
      <c r="BA31" s="1783"/>
      <c r="BB31" s="1783"/>
      <c r="BC31" s="1783"/>
      <c r="BD31" s="1783"/>
      <c r="BE31" s="1783"/>
      <c r="BF31" s="1783"/>
      <c r="BG31" s="1783"/>
      <c r="BH31" s="1783"/>
      <c r="BI31" s="1783"/>
      <c r="BJ31" s="1783"/>
      <c r="BK31" s="1783"/>
      <c r="BL31" s="1783"/>
      <c r="BM31" s="1783"/>
      <c r="BN31" s="1783"/>
      <c r="BO31" s="1783"/>
      <c r="BP31" s="1783"/>
      <c r="BQ31" s="1783"/>
      <c r="BR31" s="1783"/>
      <c r="BS31" s="1783"/>
      <c r="BT31" s="1783"/>
      <c r="BU31" s="1783"/>
      <c r="BV31" s="1783"/>
      <c r="BW31" s="1783"/>
      <c r="BX31" s="1783"/>
      <c r="BY31" s="1783"/>
      <c r="BZ31" s="1783"/>
      <c r="CA31" s="1783"/>
      <c r="CB31" s="1783"/>
      <c r="CC31" s="1783"/>
      <c r="CD31" s="1783"/>
      <c r="CE31" s="1783"/>
      <c r="CF31" s="1783"/>
      <c r="CG31" s="1783"/>
      <c r="CH31" s="1783"/>
      <c r="CI31" s="1783"/>
      <c r="CJ31" s="1783"/>
      <c r="CK31" s="1783"/>
      <c r="CL31" s="1783"/>
      <c r="CM31" s="1783"/>
      <c r="CN31" s="1783"/>
      <c r="CO31" s="1783"/>
      <c r="CP31" s="1783"/>
      <c r="CQ31" s="1783"/>
      <c r="CR31" s="1783"/>
      <c r="CS31" s="1783"/>
      <c r="CT31" s="1783"/>
      <c r="CU31" s="1783"/>
      <c r="CV31" s="1783"/>
      <c r="CW31" s="1783"/>
      <c r="CX31" s="1783"/>
      <c r="CY31" s="1783"/>
      <c r="CZ31" s="1783"/>
      <c r="DA31" s="1783"/>
      <c r="DB31" s="1783"/>
      <c r="DC31" s="1783"/>
      <c r="DD31" s="1783"/>
      <c r="DE31" s="1783"/>
      <c r="DF31" s="1783"/>
      <c r="DG31" s="1783"/>
      <c r="DH31" s="1783"/>
      <c r="DI31" s="1783"/>
      <c r="DJ31" s="1783"/>
      <c r="DK31" s="1783"/>
      <c r="DL31" s="1783"/>
      <c r="DM31" s="1783"/>
      <c r="DN31" s="1783"/>
      <c r="DO31" s="1783"/>
      <c r="DP31" s="1783"/>
      <c r="DQ31" s="1783"/>
      <c r="DR31" s="1783"/>
      <c r="DS31" s="1783"/>
      <c r="DT31" s="1783"/>
      <c r="DU31" s="1783"/>
      <c r="DV31" s="1783"/>
      <c r="DW31" s="1783"/>
      <c r="DX31" s="1783"/>
      <c r="DY31" s="1783"/>
      <c r="DZ31" s="1783"/>
      <c r="EA31" s="1783"/>
      <c r="EB31" s="1783"/>
      <c r="EC31" s="1783"/>
      <c r="ED31" s="1783"/>
      <c r="EE31" s="1783"/>
      <c r="EF31" s="1783"/>
      <c r="EG31" s="1783"/>
      <c r="EH31" s="1783"/>
      <c r="EI31" s="1783"/>
      <c r="EJ31" s="1783"/>
      <c r="EK31" s="1783"/>
      <c r="EL31" s="1783"/>
      <c r="EM31" s="1783"/>
      <c r="EN31" s="1783"/>
      <c r="EO31" s="1783"/>
      <c r="EP31" s="1783"/>
      <c r="EQ31" s="1783"/>
      <c r="ER31" s="1783"/>
      <c r="ES31" s="1783"/>
      <c r="ET31" s="1783"/>
      <c r="EU31" s="1783"/>
      <c r="EV31" s="1783"/>
      <c r="EW31" s="1783"/>
      <c r="EX31" s="1783"/>
      <c r="EY31" s="1783"/>
      <c r="EZ31" s="1783"/>
      <c r="FA31" s="1783"/>
      <c r="FB31" s="1783"/>
      <c r="FC31" s="1783"/>
      <c r="FD31" s="1783"/>
      <c r="FE31" s="1783"/>
      <c r="FF31" s="1783"/>
      <c r="FG31" s="1783"/>
      <c r="FH31" s="1783"/>
      <c r="FI31" s="1783"/>
      <c r="FJ31" s="1783"/>
      <c r="FK31" s="1783"/>
      <c r="FL31" s="1783"/>
      <c r="FM31" s="1783"/>
      <c r="FN31" s="1783"/>
      <c r="FO31" s="1783"/>
      <c r="FP31" s="1783"/>
      <c r="FQ31" s="1783"/>
      <c r="FR31" s="1783"/>
      <c r="FS31" s="1783"/>
      <c r="FT31" s="1783"/>
      <c r="FU31" s="1783"/>
      <c r="FV31" s="1783"/>
      <c r="FW31" s="1783"/>
      <c r="FX31" s="1783"/>
      <c r="FY31" s="1783"/>
      <c r="FZ31" s="1783"/>
      <c r="GA31" s="1783"/>
      <c r="GB31" s="1783"/>
      <c r="GC31" s="1783"/>
      <c r="GD31" s="1783"/>
      <c r="GE31" s="1783"/>
    </row>
    <row r="32" spans="1:187">
      <c r="A32" s="1819"/>
      <c r="B32" s="1818"/>
      <c r="C32" s="1818"/>
      <c r="D32" s="1818"/>
      <c r="E32" s="1818"/>
      <c r="F32" s="1818"/>
      <c r="G32" s="1818"/>
      <c r="H32" s="1783"/>
      <c r="I32" s="1783"/>
      <c r="J32" s="1783"/>
      <c r="K32" s="1783"/>
      <c r="L32" s="1783"/>
      <c r="M32" s="1783"/>
      <c r="N32" s="1783"/>
      <c r="O32" s="1783"/>
      <c r="P32" s="1783"/>
      <c r="Q32" s="1783"/>
      <c r="R32" s="1783"/>
      <c r="S32" s="1783"/>
      <c r="T32" s="1783"/>
      <c r="U32" s="1783"/>
      <c r="V32" s="1783"/>
      <c r="W32" s="1783"/>
      <c r="X32" s="1783"/>
      <c r="Y32" s="1783"/>
      <c r="Z32" s="1783"/>
      <c r="AA32" s="1783"/>
      <c r="AB32" s="1783"/>
      <c r="AC32" s="1783"/>
      <c r="AD32" s="1783"/>
      <c r="AE32" s="1783"/>
      <c r="AF32" s="1783"/>
      <c r="AG32" s="1783"/>
      <c r="AH32" s="1783"/>
      <c r="AI32" s="1783"/>
      <c r="AJ32" s="1783"/>
      <c r="AK32" s="1783"/>
      <c r="AL32" s="1783"/>
      <c r="AM32" s="1783"/>
      <c r="AN32" s="1783"/>
      <c r="AO32" s="1783"/>
      <c r="AP32" s="1783"/>
      <c r="AQ32" s="1783"/>
      <c r="AR32" s="1783"/>
      <c r="AS32" s="1783"/>
      <c r="AT32" s="1783"/>
      <c r="AU32" s="1783"/>
      <c r="AV32" s="1783"/>
      <c r="AW32" s="1783"/>
      <c r="AX32" s="1783"/>
      <c r="AY32" s="1783"/>
      <c r="AZ32" s="1783"/>
      <c r="BA32" s="1783"/>
      <c r="BB32" s="1783"/>
      <c r="BC32" s="1783"/>
      <c r="BD32" s="1783"/>
      <c r="BE32" s="1783"/>
      <c r="BF32" s="1783"/>
      <c r="BG32" s="1783"/>
      <c r="BH32" s="1783"/>
      <c r="BI32" s="1783"/>
      <c r="BJ32" s="1783"/>
      <c r="BK32" s="1783"/>
      <c r="BL32" s="1783"/>
      <c r="BM32" s="1783"/>
      <c r="BN32" s="1783"/>
      <c r="BO32" s="1783"/>
      <c r="BP32" s="1783"/>
      <c r="BQ32" s="1783"/>
      <c r="BR32" s="1783"/>
      <c r="BS32" s="1783"/>
      <c r="BT32" s="1783"/>
      <c r="BU32" s="1783"/>
      <c r="BV32" s="1783"/>
      <c r="BW32" s="1783"/>
      <c r="BX32" s="1783"/>
      <c r="BY32" s="1783"/>
      <c r="BZ32" s="1783"/>
      <c r="CA32" s="1783"/>
      <c r="CB32" s="1783"/>
      <c r="CC32" s="1783"/>
      <c r="CD32" s="1783"/>
      <c r="CE32" s="1783"/>
      <c r="CF32" s="1783"/>
      <c r="CG32" s="1783"/>
      <c r="CH32" s="1783"/>
      <c r="CI32" s="1783"/>
      <c r="CJ32" s="1783"/>
      <c r="CK32" s="1783"/>
      <c r="CL32" s="1783"/>
      <c r="CM32" s="1783"/>
      <c r="CN32" s="1783"/>
      <c r="CO32" s="1783"/>
      <c r="CP32" s="1783"/>
      <c r="CQ32" s="1783"/>
      <c r="CR32" s="1783"/>
      <c r="CS32" s="1783"/>
      <c r="CT32" s="1783"/>
      <c r="CU32" s="1783"/>
      <c r="CV32" s="1783"/>
      <c r="CW32" s="1783"/>
      <c r="CX32" s="1783"/>
      <c r="CY32" s="1783"/>
      <c r="CZ32" s="1783"/>
      <c r="DA32" s="1783"/>
      <c r="DB32" s="1783"/>
      <c r="DC32" s="1783"/>
      <c r="DD32" s="1783"/>
      <c r="DE32" s="1783"/>
      <c r="DF32" s="1783"/>
      <c r="DG32" s="1783"/>
      <c r="DH32" s="1783"/>
      <c r="DI32" s="1783"/>
      <c r="DJ32" s="1783"/>
      <c r="DK32" s="1783"/>
      <c r="DL32" s="1783"/>
      <c r="DM32" s="1783"/>
      <c r="DN32" s="1783"/>
      <c r="DO32" s="1783"/>
      <c r="DP32" s="1783"/>
      <c r="DQ32" s="1783"/>
      <c r="DR32" s="1783"/>
      <c r="DS32" s="1783"/>
      <c r="DT32" s="1783"/>
      <c r="DU32" s="1783"/>
      <c r="DV32" s="1783"/>
      <c r="DW32" s="1783"/>
      <c r="DX32" s="1783"/>
      <c r="DY32" s="1783"/>
      <c r="DZ32" s="1783"/>
      <c r="EA32" s="1783"/>
      <c r="EB32" s="1783"/>
      <c r="EC32" s="1783"/>
      <c r="ED32" s="1783"/>
      <c r="EE32" s="1783"/>
      <c r="EF32" s="1783"/>
      <c r="EG32" s="1783"/>
      <c r="EH32" s="1783"/>
      <c r="EI32" s="1783"/>
      <c r="EJ32" s="1783"/>
      <c r="EK32" s="1783"/>
      <c r="EL32" s="1783"/>
      <c r="EM32" s="1783"/>
      <c r="EN32" s="1783"/>
      <c r="EO32" s="1783"/>
      <c r="EP32" s="1783"/>
      <c r="EQ32" s="1783"/>
      <c r="ER32" s="1783"/>
      <c r="ES32" s="1783"/>
      <c r="ET32" s="1783"/>
      <c r="EU32" s="1783"/>
      <c r="EV32" s="1783"/>
      <c r="EW32" s="1783"/>
      <c r="EX32" s="1783"/>
      <c r="EY32" s="1783"/>
      <c r="EZ32" s="1783"/>
      <c r="FA32" s="1783"/>
      <c r="FB32" s="1783"/>
      <c r="FC32" s="1783"/>
      <c r="FD32" s="1783"/>
      <c r="FE32" s="1783"/>
      <c r="FF32" s="1783"/>
      <c r="FG32" s="1783"/>
      <c r="FH32" s="1783"/>
      <c r="FI32" s="1783"/>
      <c r="FJ32" s="1783"/>
      <c r="FK32" s="1783"/>
      <c r="FL32" s="1783"/>
      <c r="FM32" s="1783"/>
      <c r="FN32" s="1783"/>
      <c r="FO32" s="1783"/>
      <c r="FP32" s="1783"/>
      <c r="FQ32" s="1783"/>
      <c r="FR32" s="1783"/>
      <c r="FS32" s="1783"/>
      <c r="FT32" s="1783"/>
      <c r="FU32" s="1783"/>
      <c r="FV32" s="1783"/>
      <c r="FW32" s="1783"/>
      <c r="FX32" s="1783"/>
      <c r="FY32" s="1783"/>
      <c r="FZ32" s="1783"/>
      <c r="GA32" s="1783"/>
      <c r="GB32" s="1783"/>
      <c r="GC32" s="1783"/>
      <c r="GD32" s="1783"/>
      <c r="GE32" s="1783"/>
    </row>
    <row r="33" spans="1:187">
      <c r="A33" s="1819"/>
      <c r="B33" s="1818"/>
      <c r="C33" s="1818"/>
      <c r="D33" s="1818"/>
      <c r="E33" s="1818"/>
      <c r="F33" s="1818"/>
      <c r="G33" s="1818"/>
      <c r="H33" s="1783"/>
      <c r="I33" s="1783"/>
      <c r="J33" s="1783"/>
      <c r="K33" s="1783"/>
      <c r="L33" s="1783"/>
      <c r="M33" s="1783"/>
      <c r="N33" s="1783"/>
      <c r="O33" s="1783"/>
      <c r="P33" s="1783"/>
      <c r="Q33" s="1783"/>
      <c r="R33" s="1783"/>
      <c r="S33" s="1783"/>
      <c r="T33" s="1783"/>
      <c r="U33" s="1783"/>
      <c r="V33" s="1783"/>
      <c r="W33" s="1783"/>
      <c r="X33" s="1783"/>
      <c r="Y33" s="1783"/>
      <c r="Z33" s="1783"/>
      <c r="AA33" s="1783"/>
      <c r="AB33" s="1783"/>
      <c r="AC33" s="1783"/>
      <c r="AD33" s="1783"/>
      <c r="AE33" s="1783"/>
      <c r="AF33" s="1783"/>
      <c r="AG33" s="1783"/>
      <c r="AH33" s="1783"/>
      <c r="AI33" s="1783"/>
      <c r="AJ33" s="1783"/>
      <c r="AK33" s="1783"/>
      <c r="AL33" s="1783"/>
      <c r="AM33" s="1783"/>
      <c r="AN33" s="1783"/>
      <c r="AO33" s="1783"/>
      <c r="AP33" s="1783"/>
      <c r="AQ33" s="1783"/>
      <c r="AR33" s="1783"/>
      <c r="AS33" s="1783"/>
      <c r="AT33" s="1783"/>
      <c r="AU33" s="1783"/>
      <c r="AV33" s="1783"/>
      <c r="AW33" s="1783"/>
      <c r="AX33" s="1783"/>
      <c r="AY33" s="1783"/>
      <c r="AZ33" s="1783"/>
      <c r="BA33" s="1783"/>
      <c r="BB33" s="1783"/>
      <c r="BC33" s="1783"/>
      <c r="BD33" s="1783"/>
      <c r="BE33" s="1783"/>
      <c r="BF33" s="1783"/>
      <c r="BG33" s="1783"/>
      <c r="BH33" s="1783"/>
      <c r="BI33" s="1783"/>
      <c r="BJ33" s="1783"/>
      <c r="BK33" s="1783"/>
      <c r="BL33" s="1783"/>
      <c r="BM33" s="1783"/>
      <c r="BN33" s="1783"/>
      <c r="BO33" s="1783"/>
      <c r="BP33" s="1783"/>
      <c r="BQ33" s="1783"/>
      <c r="BR33" s="1783"/>
      <c r="BS33" s="1783"/>
      <c r="BT33" s="1783"/>
      <c r="BU33" s="1783"/>
      <c r="BV33" s="1783"/>
      <c r="BW33" s="1783"/>
      <c r="BX33" s="1783"/>
      <c r="BY33" s="1783"/>
      <c r="BZ33" s="1783"/>
      <c r="CA33" s="1783"/>
      <c r="CB33" s="1783"/>
      <c r="CC33" s="1783"/>
      <c r="CD33" s="1783"/>
      <c r="CE33" s="1783"/>
      <c r="CF33" s="1783"/>
      <c r="CG33" s="1783"/>
      <c r="CH33" s="1783"/>
      <c r="CI33" s="1783"/>
      <c r="CJ33" s="1783"/>
      <c r="CK33" s="1783"/>
      <c r="CL33" s="1783"/>
      <c r="CM33" s="1783"/>
      <c r="CN33" s="1783"/>
      <c r="CO33" s="1783"/>
      <c r="CP33" s="1783"/>
      <c r="CQ33" s="1783"/>
      <c r="CR33" s="1783"/>
      <c r="CS33" s="1783"/>
      <c r="CT33" s="1783"/>
      <c r="CU33" s="1783"/>
      <c r="CV33" s="1783"/>
      <c r="CW33" s="1783"/>
      <c r="CX33" s="1783"/>
      <c r="CY33" s="1783"/>
      <c r="CZ33" s="1783"/>
      <c r="DA33" s="1783"/>
      <c r="DB33" s="1783"/>
      <c r="DC33" s="1783"/>
      <c r="DD33" s="1783"/>
      <c r="DE33" s="1783"/>
      <c r="DF33" s="1783"/>
      <c r="DG33" s="1783"/>
      <c r="DH33" s="1783"/>
      <c r="DI33" s="1783"/>
      <c r="DJ33" s="1783"/>
      <c r="DK33" s="1783"/>
      <c r="DL33" s="1783"/>
      <c r="DM33" s="1783"/>
      <c r="DN33" s="1783"/>
      <c r="DO33" s="1783"/>
      <c r="DP33" s="1783"/>
      <c r="DQ33" s="1783"/>
      <c r="DR33" s="1783"/>
      <c r="DS33" s="1783"/>
      <c r="DT33" s="1783"/>
      <c r="DU33" s="1783"/>
      <c r="DV33" s="1783"/>
      <c r="DW33" s="1783"/>
      <c r="DX33" s="1783"/>
      <c r="DY33" s="1783"/>
      <c r="DZ33" s="1783"/>
      <c r="EA33" s="1783"/>
      <c r="EB33" s="1783"/>
      <c r="EC33" s="1783"/>
      <c r="ED33" s="1783"/>
      <c r="EE33" s="1783"/>
      <c r="EF33" s="1783"/>
      <c r="EG33" s="1783"/>
      <c r="EH33" s="1783"/>
      <c r="EI33" s="1783"/>
      <c r="EJ33" s="1783"/>
      <c r="EK33" s="1783"/>
      <c r="EL33" s="1783"/>
      <c r="EM33" s="1783"/>
      <c r="EN33" s="1783"/>
      <c r="EO33" s="1783"/>
      <c r="EP33" s="1783"/>
      <c r="EQ33" s="1783"/>
      <c r="ER33" s="1783"/>
      <c r="ES33" s="1783"/>
      <c r="ET33" s="1783"/>
      <c r="EU33" s="1783"/>
      <c r="EV33" s="1783"/>
      <c r="EW33" s="1783"/>
      <c r="EX33" s="1783"/>
      <c r="EY33" s="1783"/>
      <c r="EZ33" s="1783"/>
      <c r="FA33" s="1783"/>
      <c r="FB33" s="1783"/>
      <c r="FC33" s="1783"/>
      <c r="FD33" s="1783"/>
      <c r="FE33" s="1783"/>
      <c r="FF33" s="1783"/>
      <c r="FG33" s="1783"/>
      <c r="FH33" s="1783"/>
      <c r="FI33" s="1783"/>
      <c r="FJ33" s="1783"/>
      <c r="FK33" s="1783"/>
      <c r="FL33" s="1783"/>
      <c r="FM33" s="1783"/>
      <c r="FN33" s="1783"/>
      <c r="FO33" s="1783"/>
      <c r="FP33" s="1783"/>
      <c r="FQ33" s="1783"/>
      <c r="FR33" s="1783"/>
      <c r="FS33" s="1783"/>
      <c r="FT33" s="1783"/>
      <c r="FU33" s="1783"/>
      <c r="FV33" s="1783"/>
      <c r="FW33" s="1783"/>
      <c r="FX33" s="1783"/>
      <c r="FY33" s="1783"/>
      <c r="FZ33" s="1783"/>
      <c r="GA33" s="1783"/>
      <c r="GB33" s="1783"/>
      <c r="GC33" s="1783"/>
      <c r="GD33" s="1783"/>
      <c r="GE33" s="1783"/>
    </row>
    <row r="34" spans="1:187">
      <c r="A34" s="1819"/>
      <c r="B34" s="1818"/>
      <c r="C34" s="1818"/>
      <c r="D34" s="1818"/>
      <c r="E34" s="1818"/>
      <c r="F34" s="1818"/>
      <c r="G34" s="1818"/>
      <c r="H34" s="1783"/>
      <c r="I34" s="1783"/>
      <c r="J34" s="1783"/>
      <c r="K34" s="1783"/>
      <c r="L34" s="1783"/>
      <c r="M34" s="1783"/>
      <c r="N34" s="1783"/>
      <c r="O34" s="1783"/>
      <c r="P34" s="1783"/>
      <c r="Q34" s="1783"/>
      <c r="R34" s="1783"/>
      <c r="S34" s="1783"/>
      <c r="T34" s="1783"/>
      <c r="U34" s="1783"/>
      <c r="V34" s="1783"/>
      <c r="W34" s="1783"/>
      <c r="X34" s="1783"/>
      <c r="Y34" s="1783"/>
      <c r="Z34" s="1783"/>
      <c r="AA34" s="1783"/>
      <c r="AB34" s="1783"/>
      <c r="AC34" s="1783"/>
      <c r="AD34" s="1783"/>
      <c r="AE34" s="1783"/>
      <c r="AF34" s="1783"/>
      <c r="AG34" s="1783"/>
      <c r="AH34" s="1783"/>
      <c r="AI34" s="1783"/>
      <c r="AJ34" s="1783"/>
      <c r="AK34" s="1783"/>
      <c r="AL34" s="1783"/>
      <c r="AM34" s="1783"/>
      <c r="AN34" s="1783"/>
      <c r="AO34" s="1783"/>
      <c r="AP34" s="1783"/>
      <c r="AQ34" s="1783"/>
      <c r="AR34" s="1783"/>
      <c r="AS34" s="1783"/>
      <c r="AT34" s="1783"/>
      <c r="AU34" s="1783"/>
      <c r="AV34" s="1783"/>
      <c r="AW34" s="1783"/>
      <c r="AX34" s="1783"/>
      <c r="AY34" s="1783"/>
      <c r="AZ34" s="1783"/>
      <c r="BA34" s="1783"/>
      <c r="BB34" s="1783"/>
      <c r="BC34" s="1783"/>
      <c r="BD34" s="1783"/>
      <c r="BE34" s="1783"/>
      <c r="BF34" s="1783"/>
      <c r="BG34" s="1783"/>
      <c r="BH34" s="1783"/>
      <c r="BI34" s="1783"/>
      <c r="BJ34" s="1783"/>
      <c r="BK34" s="1783"/>
      <c r="BL34" s="1783"/>
      <c r="BM34" s="1783"/>
      <c r="BN34" s="1783"/>
      <c r="BO34" s="1783"/>
      <c r="BP34" s="1783"/>
      <c r="BQ34" s="1783"/>
      <c r="BR34" s="1783"/>
      <c r="BS34" s="1783"/>
      <c r="BT34" s="1783"/>
      <c r="BU34" s="1783"/>
      <c r="BV34" s="1783"/>
      <c r="BW34" s="1783"/>
      <c r="BX34" s="1783"/>
      <c r="BY34" s="1783"/>
      <c r="BZ34" s="1783"/>
      <c r="CA34" s="1783"/>
      <c r="CB34" s="1783"/>
      <c r="CC34" s="1783"/>
      <c r="CD34" s="1783"/>
      <c r="CE34" s="1783"/>
      <c r="CF34" s="1783"/>
      <c r="CG34" s="1783"/>
      <c r="CH34" s="1783"/>
      <c r="CI34" s="1783"/>
      <c r="CJ34" s="1783"/>
      <c r="CK34" s="1783"/>
      <c r="CL34" s="1783"/>
      <c r="CM34" s="1783"/>
      <c r="CN34" s="1783"/>
      <c r="CO34" s="1783"/>
      <c r="CP34" s="1783"/>
      <c r="CQ34" s="1783"/>
      <c r="CR34" s="1783"/>
      <c r="CS34" s="1783"/>
      <c r="CT34" s="1783"/>
      <c r="CU34" s="1783"/>
      <c r="CV34" s="1783"/>
      <c r="CW34" s="1783"/>
      <c r="CX34" s="1783"/>
      <c r="CY34" s="1783"/>
      <c r="CZ34" s="1783"/>
      <c r="DA34" s="1783"/>
      <c r="DB34" s="1783"/>
      <c r="DC34" s="1783"/>
      <c r="DD34" s="1783"/>
      <c r="DE34" s="1783"/>
      <c r="DF34" s="1783"/>
      <c r="DG34" s="1783"/>
      <c r="DH34" s="1783"/>
      <c r="DI34" s="1783"/>
      <c r="DJ34" s="1783"/>
      <c r="DK34" s="1783"/>
      <c r="DL34" s="1783"/>
      <c r="DM34" s="1783"/>
      <c r="DN34" s="1783"/>
      <c r="DO34" s="1783"/>
      <c r="DP34" s="1783"/>
      <c r="DQ34" s="1783"/>
      <c r="DR34" s="1783"/>
      <c r="DS34" s="1783"/>
      <c r="DT34" s="1783"/>
      <c r="DU34" s="1783"/>
      <c r="DV34" s="1783"/>
      <c r="DW34" s="1783"/>
      <c r="DX34" s="1783"/>
      <c r="DY34" s="1783"/>
      <c r="DZ34" s="1783"/>
      <c r="EA34" s="1783"/>
      <c r="EB34" s="1783"/>
      <c r="EC34" s="1783"/>
      <c r="ED34" s="1783"/>
      <c r="EE34" s="1783"/>
      <c r="EF34" s="1783"/>
      <c r="EG34" s="1783"/>
      <c r="EH34" s="1783"/>
      <c r="EI34" s="1783"/>
      <c r="EJ34" s="1783"/>
      <c r="EK34" s="1783"/>
      <c r="EL34" s="1783"/>
      <c r="EM34" s="1783"/>
      <c r="EN34" s="1783"/>
      <c r="EO34" s="1783"/>
      <c r="EP34" s="1783"/>
      <c r="EQ34" s="1783"/>
      <c r="ER34" s="1783"/>
      <c r="ES34" s="1783"/>
      <c r="ET34" s="1783"/>
      <c r="EU34" s="1783"/>
      <c r="EV34" s="1783"/>
      <c r="EW34" s="1783"/>
      <c r="EX34" s="1783"/>
      <c r="EY34" s="1783"/>
      <c r="EZ34" s="1783"/>
      <c r="FA34" s="1783"/>
      <c r="FB34" s="1783"/>
      <c r="FC34" s="1783"/>
      <c r="FD34" s="1783"/>
      <c r="FE34" s="1783"/>
      <c r="FF34" s="1783"/>
      <c r="FG34" s="1783"/>
      <c r="FH34" s="1783"/>
      <c r="FI34" s="1783"/>
      <c r="FJ34" s="1783"/>
      <c r="FK34" s="1783"/>
      <c r="FL34" s="1783"/>
      <c r="FM34" s="1783"/>
      <c r="FN34" s="1783"/>
      <c r="FO34" s="1783"/>
      <c r="FP34" s="1783"/>
      <c r="FQ34" s="1783"/>
      <c r="FR34" s="1783"/>
      <c r="FS34" s="1783"/>
      <c r="FT34" s="1783"/>
      <c r="FU34" s="1783"/>
      <c r="FV34" s="1783"/>
      <c r="FW34" s="1783"/>
      <c r="FX34" s="1783"/>
      <c r="FY34" s="1783"/>
      <c r="FZ34" s="1783"/>
      <c r="GA34" s="1783"/>
      <c r="GB34" s="1783"/>
      <c r="GC34" s="1783"/>
      <c r="GD34" s="1783"/>
      <c r="GE34" s="1783"/>
    </row>
    <row r="35" spans="1:187">
      <c r="A35" s="1819"/>
      <c r="B35" s="1818"/>
      <c r="C35" s="1818"/>
      <c r="D35" s="1818"/>
      <c r="E35" s="1818"/>
      <c r="F35" s="1818"/>
      <c r="G35" s="1818"/>
      <c r="H35" s="1783"/>
      <c r="I35" s="1783"/>
      <c r="J35" s="1783"/>
      <c r="K35" s="1783"/>
      <c r="L35" s="1783"/>
      <c r="M35" s="1783"/>
      <c r="N35" s="1783"/>
      <c r="O35" s="1783"/>
      <c r="P35" s="1783"/>
      <c r="Q35" s="1783"/>
      <c r="R35" s="1783"/>
      <c r="S35" s="1783"/>
      <c r="T35" s="1783"/>
      <c r="U35" s="1783"/>
      <c r="V35" s="1783"/>
      <c r="W35" s="1783"/>
      <c r="X35" s="1783"/>
      <c r="Y35" s="1783"/>
      <c r="Z35" s="1783"/>
      <c r="AA35" s="1783"/>
      <c r="AB35" s="1783"/>
      <c r="AC35" s="1783"/>
      <c r="AD35" s="1783"/>
      <c r="AE35" s="1783"/>
      <c r="AF35" s="1783"/>
      <c r="AG35" s="1783"/>
      <c r="AH35" s="1783"/>
      <c r="AI35" s="1783"/>
      <c r="AJ35" s="1783"/>
      <c r="AK35" s="1783"/>
      <c r="AL35" s="1783"/>
      <c r="AM35" s="1783"/>
      <c r="AN35" s="1783"/>
      <c r="AO35" s="1783"/>
      <c r="AP35" s="1783"/>
      <c r="AQ35" s="1783"/>
      <c r="AR35" s="1783"/>
      <c r="AS35" s="1783"/>
      <c r="AT35" s="1783"/>
      <c r="AU35" s="1783"/>
      <c r="AV35" s="1783"/>
      <c r="AW35" s="1783"/>
      <c r="AX35" s="1783"/>
      <c r="AY35" s="1783"/>
      <c r="AZ35" s="1783"/>
      <c r="BA35" s="1783"/>
      <c r="BB35" s="1783"/>
      <c r="BC35" s="1783"/>
      <c r="BD35" s="1783"/>
      <c r="BE35" s="1783"/>
      <c r="BF35" s="1783"/>
      <c r="BG35" s="1783"/>
      <c r="BH35" s="1783"/>
      <c r="BI35" s="1783"/>
      <c r="BJ35" s="1783"/>
      <c r="BK35" s="1783"/>
      <c r="BL35" s="1783"/>
      <c r="BM35" s="1783"/>
      <c r="BN35" s="1783"/>
      <c r="BO35" s="1783"/>
      <c r="BP35" s="1783"/>
      <c r="BQ35" s="1783"/>
      <c r="BR35" s="1783"/>
      <c r="BS35" s="1783"/>
      <c r="BT35" s="1783"/>
      <c r="BU35" s="1783"/>
      <c r="BV35" s="1783"/>
      <c r="BW35" s="1783"/>
      <c r="BX35" s="1783"/>
      <c r="BY35" s="1783"/>
      <c r="BZ35" s="1783"/>
      <c r="CA35" s="1783"/>
      <c r="CB35" s="1783"/>
      <c r="CC35" s="1783"/>
      <c r="CD35" s="1783"/>
      <c r="CE35" s="1783"/>
      <c r="CF35" s="1783"/>
      <c r="CG35" s="1783"/>
      <c r="CH35" s="1783"/>
      <c r="CI35" s="1783"/>
      <c r="CJ35" s="1783"/>
      <c r="CK35" s="1783"/>
      <c r="CL35" s="1783"/>
      <c r="CM35" s="1783"/>
      <c r="CN35" s="1783"/>
      <c r="CO35" s="1783"/>
      <c r="CP35" s="1783"/>
      <c r="CQ35" s="1783"/>
      <c r="CR35" s="1783"/>
      <c r="CS35" s="1783"/>
      <c r="CT35" s="1783"/>
      <c r="CU35" s="1783"/>
      <c r="CV35" s="1783"/>
      <c r="CW35" s="1783"/>
      <c r="CX35" s="1783"/>
      <c r="CY35" s="1783"/>
      <c r="CZ35" s="1783"/>
      <c r="DA35" s="1783"/>
      <c r="DB35" s="1783"/>
      <c r="DC35" s="1783"/>
      <c r="DD35" s="1783"/>
      <c r="DE35" s="1783"/>
      <c r="DF35" s="1783"/>
      <c r="DG35" s="1783"/>
      <c r="DH35" s="1783"/>
      <c r="DI35" s="1783"/>
      <c r="DJ35" s="1783"/>
      <c r="DK35" s="1783"/>
      <c r="DL35" s="1783"/>
      <c r="DM35" s="1783"/>
      <c r="DN35" s="1783"/>
      <c r="DO35" s="1783"/>
      <c r="DP35" s="1783"/>
      <c r="DQ35" s="1783"/>
      <c r="DR35" s="1783"/>
      <c r="DS35" s="1783"/>
      <c r="DT35" s="1783"/>
      <c r="DU35" s="1783"/>
      <c r="DV35" s="1783"/>
      <c r="DW35" s="1783"/>
      <c r="DX35" s="1783"/>
      <c r="DY35" s="1783"/>
      <c r="DZ35" s="1783"/>
      <c r="EA35" s="1783"/>
      <c r="EB35" s="1783"/>
      <c r="EC35" s="1783"/>
      <c r="ED35" s="1783"/>
      <c r="EE35" s="1783"/>
      <c r="EF35" s="1783"/>
      <c r="EG35" s="1783"/>
      <c r="EH35" s="1783"/>
      <c r="EI35" s="1783"/>
      <c r="EJ35" s="1783"/>
      <c r="EK35" s="1783"/>
      <c r="EL35" s="1783"/>
      <c r="EM35" s="1783"/>
      <c r="EN35" s="1783"/>
      <c r="EO35" s="1783"/>
      <c r="EP35" s="1783"/>
      <c r="EQ35" s="1783"/>
      <c r="ER35" s="1783"/>
      <c r="ES35" s="1783"/>
      <c r="ET35" s="1783"/>
      <c r="EU35" s="1783"/>
      <c r="EV35" s="1783"/>
      <c r="EW35" s="1783"/>
      <c r="EX35" s="1783"/>
      <c r="EY35" s="1783"/>
      <c r="EZ35" s="1783"/>
      <c r="FA35" s="1783"/>
      <c r="FB35" s="1783"/>
      <c r="FC35" s="1783"/>
      <c r="FD35" s="1783"/>
      <c r="FE35" s="1783"/>
      <c r="FF35" s="1783"/>
      <c r="FG35" s="1783"/>
      <c r="FH35" s="1783"/>
      <c r="FI35" s="1783"/>
      <c r="FJ35" s="1783"/>
      <c r="FK35" s="1783"/>
      <c r="FL35" s="1783"/>
      <c r="FM35" s="1783"/>
      <c r="FN35" s="1783"/>
      <c r="FO35" s="1783"/>
      <c r="FP35" s="1783"/>
      <c r="FQ35" s="1783"/>
      <c r="FR35" s="1783"/>
      <c r="FS35" s="1783"/>
      <c r="FT35" s="1783"/>
      <c r="FU35" s="1783"/>
      <c r="FV35" s="1783"/>
      <c r="FW35" s="1783"/>
      <c r="FX35" s="1783"/>
      <c r="FY35" s="1783"/>
      <c r="FZ35" s="1783"/>
      <c r="GA35" s="1783"/>
      <c r="GB35" s="1783"/>
      <c r="GC35" s="1783"/>
      <c r="GD35" s="1783"/>
      <c r="GE35" s="1783"/>
    </row>
    <row r="36" spans="1:187">
      <c r="A36" s="1819"/>
      <c r="B36" s="1818"/>
      <c r="C36" s="1818"/>
      <c r="D36" s="1818"/>
      <c r="E36" s="1818"/>
      <c r="F36" s="1818"/>
      <c r="G36" s="1818"/>
      <c r="H36" s="1783"/>
      <c r="I36" s="1783"/>
      <c r="J36" s="1783"/>
      <c r="K36" s="1783"/>
      <c r="L36" s="1783"/>
      <c r="M36" s="1783"/>
      <c r="N36" s="1783"/>
      <c r="O36" s="1783"/>
      <c r="P36" s="1783"/>
      <c r="Q36" s="1783"/>
      <c r="R36" s="1783"/>
      <c r="S36" s="1783"/>
      <c r="T36" s="1783"/>
      <c r="U36" s="1783"/>
      <c r="V36" s="1783"/>
      <c r="W36" s="1783"/>
      <c r="X36" s="1783"/>
      <c r="Y36" s="1783"/>
      <c r="Z36" s="1783"/>
      <c r="AA36" s="1783"/>
      <c r="AB36" s="1783"/>
      <c r="AC36" s="1783"/>
      <c r="AD36" s="1783"/>
      <c r="AE36" s="1783"/>
      <c r="AF36" s="1783"/>
      <c r="AG36" s="1783"/>
      <c r="AH36" s="1783"/>
      <c r="AI36" s="1783"/>
      <c r="AJ36" s="1783"/>
      <c r="AK36" s="1783"/>
      <c r="AL36" s="1783"/>
      <c r="AM36" s="1783"/>
      <c r="AN36" s="1783"/>
      <c r="AO36" s="1783"/>
      <c r="AP36" s="1783"/>
      <c r="AQ36" s="1783"/>
      <c r="AR36" s="1783"/>
      <c r="AS36" s="1783"/>
      <c r="AT36" s="1783"/>
      <c r="AU36" s="1783"/>
      <c r="AV36" s="1783"/>
      <c r="AW36" s="1783"/>
      <c r="AX36" s="1783"/>
      <c r="AY36" s="1783"/>
      <c r="AZ36" s="1783"/>
      <c r="BA36" s="1783"/>
      <c r="BB36" s="1783"/>
      <c r="BC36" s="1783"/>
      <c r="BD36" s="1783"/>
      <c r="BE36" s="1783"/>
      <c r="BF36" s="1783"/>
      <c r="BG36" s="1783"/>
      <c r="BH36" s="1783"/>
      <c r="BI36" s="1783"/>
      <c r="BJ36" s="1783"/>
      <c r="BK36" s="1783"/>
      <c r="BL36" s="1783"/>
      <c r="BM36" s="1783"/>
      <c r="BN36" s="1783"/>
      <c r="BO36" s="1783"/>
      <c r="BP36" s="1783"/>
      <c r="BQ36" s="1783"/>
      <c r="BR36" s="1783"/>
      <c r="BS36" s="1783"/>
      <c r="BT36" s="1783"/>
      <c r="BU36" s="1783"/>
      <c r="BV36" s="1783"/>
      <c r="BW36" s="1783"/>
      <c r="BX36" s="1783"/>
      <c r="BY36" s="1783"/>
      <c r="BZ36" s="1783"/>
      <c r="CA36" s="1783"/>
      <c r="CB36" s="1783"/>
      <c r="CC36" s="1783"/>
      <c r="CD36" s="1783"/>
      <c r="CE36" s="1783"/>
      <c r="CF36" s="1783"/>
      <c r="CG36" s="1783"/>
      <c r="CH36" s="1783"/>
      <c r="CI36" s="1783"/>
      <c r="CJ36" s="1783"/>
      <c r="CK36" s="1783"/>
      <c r="CL36" s="1783"/>
      <c r="CM36" s="1783"/>
      <c r="CN36" s="1783"/>
      <c r="CO36" s="1783"/>
      <c r="CP36" s="1783"/>
      <c r="CQ36" s="1783"/>
      <c r="CR36" s="1783"/>
      <c r="CS36" s="1783"/>
      <c r="CT36" s="1783"/>
      <c r="CU36" s="1783"/>
      <c r="CV36" s="1783"/>
      <c r="CW36" s="1783"/>
      <c r="CX36" s="1783"/>
      <c r="CY36" s="1783"/>
      <c r="CZ36" s="1783"/>
      <c r="DA36" s="1783"/>
      <c r="DB36" s="1783"/>
      <c r="DC36" s="1783"/>
      <c r="DD36" s="1783"/>
      <c r="DE36" s="1783"/>
      <c r="DF36" s="1783"/>
      <c r="DG36" s="1783"/>
      <c r="DH36" s="1783"/>
      <c r="DI36" s="1783"/>
      <c r="DJ36" s="1783"/>
      <c r="DK36" s="1783"/>
      <c r="DL36" s="1783"/>
      <c r="DM36" s="1783"/>
      <c r="DN36" s="1783"/>
      <c r="DO36" s="1783"/>
      <c r="DP36" s="1783"/>
      <c r="DQ36" s="1783"/>
      <c r="DR36" s="1783"/>
      <c r="DS36" s="1783"/>
      <c r="DT36" s="1783"/>
      <c r="DU36" s="1783"/>
      <c r="DV36" s="1783"/>
      <c r="DW36" s="1783"/>
      <c r="DX36" s="1783"/>
      <c r="DY36" s="1783"/>
      <c r="DZ36" s="1783"/>
      <c r="EA36" s="1783"/>
      <c r="EB36" s="1783"/>
      <c r="EC36" s="1783"/>
      <c r="ED36" s="1783"/>
      <c r="EE36" s="1783"/>
      <c r="EF36" s="1783"/>
      <c r="EG36" s="1783"/>
      <c r="EH36" s="1783"/>
      <c r="EI36" s="1783"/>
      <c r="EJ36" s="1783"/>
      <c r="EK36" s="1783"/>
      <c r="EL36" s="1783"/>
      <c r="EM36" s="1783"/>
      <c r="EN36" s="1783"/>
      <c r="EO36" s="1783"/>
      <c r="EP36" s="1783"/>
      <c r="EQ36" s="1783"/>
      <c r="ER36" s="1783"/>
      <c r="ES36" s="1783"/>
      <c r="ET36" s="1783"/>
      <c r="EU36" s="1783"/>
      <c r="EV36" s="1783"/>
      <c r="EW36" s="1783"/>
      <c r="EX36" s="1783"/>
      <c r="EY36" s="1783"/>
      <c r="EZ36" s="1783"/>
      <c r="FA36" s="1783"/>
      <c r="FB36" s="1783"/>
      <c r="FC36" s="1783"/>
      <c r="FD36" s="1783"/>
      <c r="FE36" s="1783"/>
      <c r="FF36" s="1783"/>
      <c r="FG36" s="1783"/>
      <c r="FH36" s="1783"/>
      <c r="FI36" s="1783"/>
      <c r="FJ36" s="1783"/>
      <c r="FK36" s="1783"/>
      <c r="FL36" s="1783"/>
      <c r="FM36" s="1783"/>
      <c r="FN36" s="1783"/>
      <c r="FO36" s="1783"/>
      <c r="FP36" s="1783"/>
      <c r="FQ36" s="1783"/>
      <c r="FR36" s="1783"/>
      <c r="FS36" s="1783"/>
      <c r="FT36" s="1783"/>
      <c r="FU36" s="1783"/>
      <c r="FV36" s="1783"/>
      <c r="FW36" s="1783"/>
      <c r="FX36" s="1783"/>
      <c r="FY36" s="1783"/>
      <c r="FZ36" s="1783"/>
      <c r="GA36" s="1783"/>
      <c r="GB36" s="1783"/>
      <c r="GC36" s="1783"/>
      <c r="GD36" s="1783"/>
      <c r="GE36" s="1783"/>
    </row>
    <row r="37" spans="1:187">
      <c r="A37" s="1819"/>
      <c r="B37" s="1818"/>
      <c r="C37" s="1818"/>
      <c r="D37" s="1818"/>
      <c r="E37" s="1818"/>
      <c r="F37" s="1818"/>
      <c r="G37" s="1818"/>
      <c r="H37" s="1783"/>
      <c r="I37" s="1783"/>
      <c r="J37" s="1783"/>
      <c r="K37" s="1783"/>
      <c r="L37" s="1783"/>
      <c r="M37" s="1783"/>
      <c r="N37" s="1783"/>
      <c r="O37" s="1783"/>
      <c r="P37" s="1783"/>
      <c r="Q37" s="1783"/>
      <c r="R37" s="1783"/>
      <c r="S37" s="1783"/>
      <c r="T37" s="1783"/>
      <c r="U37" s="1783"/>
      <c r="V37" s="1783"/>
      <c r="W37" s="1783"/>
      <c r="X37" s="1783"/>
      <c r="Y37" s="1783"/>
      <c r="Z37" s="1783"/>
      <c r="AA37" s="1783"/>
      <c r="AB37" s="1783"/>
      <c r="AC37" s="1783"/>
      <c r="AD37" s="1783"/>
      <c r="AE37" s="1783"/>
      <c r="AF37" s="1783"/>
      <c r="AG37" s="1783"/>
      <c r="AH37" s="1783"/>
      <c r="AI37" s="1783"/>
      <c r="AJ37" s="1783"/>
      <c r="AK37" s="1783"/>
      <c r="AL37" s="1783"/>
      <c r="AM37" s="1783"/>
      <c r="AN37" s="1783"/>
      <c r="AO37" s="1783"/>
      <c r="AP37" s="1783"/>
      <c r="AQ37" s="1783"/>
      <c r="AR37" s="1783"/>
      <c r="AS37" s="1783"/>
      <c r="AT37" s="1783"/>
      <c r="AU37" s="1783"/>
      <c r="AV37" s="1783"/>
      <c r="AW37" s="1783"/>
      <c r="AX37" s="1783"/>
      <c r="AY37" s="1783"/>
      <c r="AZ37" s="1783"/>
      <c r="BA37" s="1783"/>
      <c r="BB37" s="1783"/>
      <c r="BC37" s="1783"/>
      <c r="BD37" s="1783"/>
      <c r="BE37" s="1783"/>
      <c r="BF37" s="1783"/>
      <c r="BG37" s="1783"/>
      <c r="BH37" s="1783"/>
      <c r="BI37" s="1783"/>
      <c r="BJ37" s="1783"/>
      <c r="BK37" s="1783"/>
      <c r="BL37" s="1783"/>
      <c r="BM37" s="1783"/>
      <c r="BN37" s="1783"/>
      <c r="BO37" s="1783"/>
      <c r="BP37" s="1783"/>
      <c r="BQ37" s="1783"/>
      <c r="BR37" s="1783"/>
      <c r="BS37" s="1783"/>
      <c r="BT37" s="1783"/>
      <c r="BU37" s="1783"/>
      <c r="BV37" s="1783"/>
      <c r="BW37" s="1783"/>
      <c r="BX37" s="1783"/>
      <c r="BY37" s="1783"/>
      <c r="BZ37" s="1783"/>
      <c r="CA37" s="1783"/>
      <c r="CB37" s="1783"/>
      <c r="CC37" s="1783"/>
      <c r="CD37" s="1783"/>
      <c r="CE37" s="1783"/>
      <c r="CF37" s="1783"/>
      <c r="CG37" s="1783"/>
      <c r="CH37" s="1783"/>
      <c r="CI37" s="1783"/>
      <c r="CJ37" s="1783"/>
      <c r="CK37" s="1783"/>
      <c r="CL37" s="1783"/>
      <c r="CM37" s="1783"/>
      <c r="CN37" s="1783"/>
      <c r="CO37" s="1783"/>
      <c r="CP37" s="1783"/>
      <c r="CQ37" s="1783"/>
      <c r="CR37" s="1783"/>
      <c r="CS37" s="1783"/>
      <c r="CT37" s="1783"/>
      <c r="CU37" s="1783"/>
      <c r="CV37" s="1783"/>
      <c r="CW37" s="1783"/>
      <c r="CX37" s="1783"/>
      <c r="CY37" s="1783"/>
      <c r="CZ37" s="1783"/>
      <c r="DA37" s="1783"/>
      <c r="DB37" s="1783"/>
      <c r="DC37" s="1783"/>
      <c r="DD37" s="1783"/>
      <c r="DE37" s="1783"/>
      <c r="DF37" s="1783"/>
      <c r="DG37" s="1783"/>
      <c r="DH37" s="1783"/>
      <c r="DI37" s="1783"/>
      <c r="DJ37" s="1783"/>
      <c r="DK37" s="1783"/>
      <c r="DL37" s="1783"/>
      <c r="DM37" s="1783"/>
      <c r="DN37" s="1783"/>
      <c r="DO37" s="1783"/>
      <c r="DP37" s="1783"/>
      <c r="DQ37" s="1783"/>
      <c r="DR37" s="1783"/>
      <c r="DS37" s="1783"/>
      <c r="DT37" s="1783"/>
      <c r="DU37" s="1783"/>
      <c r="DV37" s="1783"/>
      <c r="DW37" s="1783"/>
      <c r="DX37" s="1783"/>
      <c r="DY37" s="1783"/>
      <c r="DZ37" s="1783"/>
      <c r="EA37" s="1783"/>
      <c r="EB37" s="1783"/>
      <c r="EC37" s="1783"/>
      <c r="ED37" s="1783"/>
      <c r="EE37" s="1783"/>
      <c r="EF37" s="1783"/>
      <c r="EG37" s="1783"/>
      <c r="EH37" s="1783"/>
      <c r="EI37" s="1783"/>
      <c r="EJ37" s="1783"/>
      <c r="EK37" s="1783"/>
      <c r="EL37" s="1783"/>
      <c r="EM37" s="1783"/>
      <c r="EN37" s="1783"/>
      <c r="EO37" s="1783"/>
      <c r="EP37" s="1783"/>
      <c r="EQ37" s="1783"/>
      <c r="ER37" s="1783"/>
      <c r="ES37" s="1783"/>
      <c r="ET37" s="1783"/>
      <c r="EU37" s="1783"/>
      <c r="EV37" s="1783"/>
      <c r="EW37" s="1783"/>
      <c r="EX37" s="1783"/>
      <c r="EY37" s="1783"/>
      <c r="EZ37" s="1783"/>
      <c r="FA37" s="1783"/>
      <c r="FB37" s="1783"/>
      <c r="FC37" s="1783"/>
      <c r="FD37" s="1783"/>
      <c r="FE37" s="1783"/>
      <c r="FF37" s="1783"/>
      <c r="FG37" s="1783"/>
      <c r="FH37" s="1783"/>
      <c r="FI37" s="1783"/>
      <c r="FJ37" s="1783"/>
      <c r="FK37" s="1783"/>
      <c r="FL37" s="1783"/>
      <c r="FM37" s="1783"/>
      <c r="FN37" s="1783"/>
      <c r="FO37" s="1783"/>
      <c r="FP37" s="1783"/>
      <c r="FQ37" s="1783"/>
      <c r="FR37" s="1783"/>
      <c r="FS37" s="1783"/>
      <c r="FT37" s="1783"/>
      <c r="FU37" s="1783"/>
      <c r="FV37" s="1783"/>
      <c r="FW37" s="1783"/>
      <c r="FX37" s="1783"/>
      <c r="FY37" s="1783"/>
      <c r="FZ37" s="1783"/>
      <c r="GA37" s="1783"/>
      <c r="GB37" s="1783"/>
      <c r="GC37" s="1783"/>
      <c r="GD37" s="1783"/>
      <c r="GE37" s="1783"/>
    </row>
    <row r="38" spans="1:187">
      <c r="A38" s="1819"/>
      <c r="B38" s="1818"/>
      <c r="C38" s="1818"/>
      <c r="D38" s="1818"/>
      <c r="E38" s="1818"/>
      <c r="F38" s="1818"/>
      <c r="G38" s="1818"/>
      <c r="H38" s="1783"/>
      <c r="I38" s="1783"/>
      <c r="J38" s="1783"/>
      <c r="K38" s="1783"/>
      <c r="L38" s="1783"/>
      <c r="M38" s="1783"/>
      <c r="N38" s="1783"/>
      <c r="O38" s="1783"/>
      <c r="P38" s="1783"/>
      <c r="Q38" s="1783"/>
      <c r="R38" s="1783"/>
      <c r="S38" s="1783"/>
      <c r="T38" s="1783"/>
      <c r="U38" s="1783"/>
      <c r="V38" s="1783"/>
      <c r="W38" s="1783"/>
      <c r="X38" s="1783"/>
      <c r="Y38" s="1783"/>
      <c r="Z38" s="1783"/>
      <c r="AA38" s="1783"/>
      <c r="AB38" s="1783"/>
      <c r="AC38" s="1783"/>
      <c r="AD38" s="1783"/>
      <c r="AE38" s="1783"/>
      <c r="AF38" s="1783"/>
      <c r="AG38" s="1783"/>
      <c r="AH38" s="1783"/>
      <c r="AI38" s="1783"/>
      <c r="AJ38" s="1783"/>
      <c r="AK38" s="1783"/>
      <c r="AL38" s="1783"/>
      <c r="AM38" s="1783"/>
      <c r="AN38" s="1783"/>
      <c r="AO38" s="1783"/>
      <c r="AP38" s="1783"/>
      <c r="AQ38" s="1783"/>
      <c r="AR38" s="1783"/>
      <c r="AS38" s="1783"/>
      <c r="AT38" s="1783"/>
      <c r="AU38" s="1783"/>
      <c r="AV38" s="1783"/>
      <c r="AW38" s="1783"/>
      <c r="AX38" s="1783"/>
      <c r="AY38" s="1783"/>
      <c r="AZ38" s="1783"/>
      <c r="BA38" s="1783"/>
      <c r="BB38" s="1783"/>
      <c r="BC38" s="1783"/>
      <c r="BD38" s="1783"/>
      <c r="BE38" s="1783"/>
      <c r="BF38" s="1783"/>
      <c r="BG38" s="1783"/>
      <c r="BH38" s="1783"/>
      <c r="BI38" s="1783"/>
      <c r="BJ38" s="1783"/>
      <c r="BK38" s="1783"/>
      <c r="BL38" s="1783"/>
      <c r="BM38" s="1783"/>
      <c r="BN38" s="1783"/>
      <c r="BO38" s="1783"/>
      <c r="BP38" s="1783"/>
      <c r="BQ38" s="1783"/>
      <c r="BR38" s="1783"/>
      <c r="BS38" s="1783"/>
      <c r="BT38" s="1783"/>
      <c r="BU38" s="1783"/>
      <c r="BV38" s="1783"/>
      <c r="BW38" s="1783"/>
      <c r="BX38" s="1783"/>
      <c r="BY38" s="1783"/>
      <c r="BZ38" s="1783"/>
      <c r="CA38" s="1783"/>
      <c r="CB38" s="1783"/>
      <c r="CC38" s="1783"/>
      <c r="CD38" s="1783"/>
      <c r="CE38" s="1783"/>
      <c r="CF38" s="1783"/>
      <c r="CG38" s="1783"/>
      <c r="CH38" s="1783"/>
      <c r="CI38" s="1783"/>
      <c r="CJ38" s="1783"/>
      <c r="CK38" s="1783"/>
      <c r="CL38" s="1783"/>
      <c r="CM38" s="1783"/>
      <c r="CN38" s="1783"/>
      <c r="CO38" s="1783"/>
      <c r="CP38" s="1783"/>
      <c r="CQ38" s="1783"/>
      <c r="CR38" s="1783"/>
      <c r="CS38" s="1783"/>
      <c r="CT38" s="1783"/>
      <c r="CU38" s="1783"/>
      <c r="CV38" s="1783"/>
      <c r="CW38" s="1783"/>
      <c r="CX38" s="1783"/>
      <c r="CY38" s="1783"/>
      <c r="CZ38" s="1783"/>
      <c r="DA38" s="1783"/>
      <c r="DB38" s="1783"/>
      <c r="DC38" s="1783"/>
      <c r="DD38" s="1783"/>
      <c r="DE38" s="1783"/>
      <c r="DF38" s="1783"/>
      <c r="DG38" s="1783"/>
      <c r="DH38" s="1783"/>
      <c r="DI38" s="1783"/>
      <c r="DJ38" s="1783"/>
      <c r="DK38" s="1783"/>
      <c r="DL38" s="1783"/>
      <c r="DM38" s="1783"/>
      <c r="DN38" s="1783"/>
      <c r="DO38" s="1783"/>
      <c r="DP38" s="1783"/>
      <c r="DQ38" s="1783"/>
      <c r="DR38" s="1783"/>
      <c r="DS38" s="1783"/>
      <c r="DT38" s="1783"/>
      <c r="DU38" s="1783"/>
      <c r="DV38" s="1783"/>
      <c r="DW38" s="1783"/>
      <c r="DX38" s="1783"/>
      <c r="DY38" s="1783"/>
      <c r="DZ38" s="1783"/>
      <c r="EA38" s="1783"/>
      <c r="EB38" s="1783"/>
      <c r="EC38" s="1783"/>
      <c r="ED38" s="1783"/>
      <c r="EE38" s="1783"/>
      <c r="EF38" s="1783"/>
      <c r="EG38" s="1783"/>
      <c r="EH38" s="1783"/>
      <c r="EI38" s="1783"/>
      <c r="EJ38" s="1783"/>
      <c r="EK38" s="1783"/>
      <c r="EL38" s="1783"/>
      <c r="EM38" s="1783"/>
      <c r="EN38" s="1783"/>
      <c r="EO38" s="1783"/>
      <c r="EP38" s="1783"/>
      <c r="EQ38" s="1783"/>
      <c r="ER38" s="1783"/>
      <c r="ES38" s="1783"/>
      <c r="ET38" s="1783"/>
      <c r="EU38" s="1783"/>
      <c r="EV38" s="1783"/>
      <c r="EW38" s="1783"/>
      <c r="EX38" s="1783"/>
      <c r="EY38" s="1783"/>
      <c r="EZ38" s="1783"/>
      <c r="FA38" s="1783"/>
      <c r="FB38" s="1783"/>
      <c r="FC38" s="1783"/>
      <c r="FD38" s="1783"/>
      <c r="FE38" s="1783"/>
      <c r="FF38" s="1783"/>
      <c r="FG38" s="1783"/>
      <c r="FH38" s="1783"/>
      <c r="FI38" s="1783"/>
      <c r="FJ38" s="1783"/>
      <c r="FK38" s="1783"/>
      <c r="FL38" s="1783"/>
      <c r="FM38" s="1783"/>
      <c r="FN38" s="1783"/>
      <c r="FO38" s="1783"/>
      <c r="FP38" s="1783"/>
      <c r="FQ38" s="1783"/>
      <c r="FR38" s="1783"/>
      <c r="FS38" s="1783"/>
      <c r="FT38" s="1783"/>
      <c r="FU38" s="1783"/>
      <c r="FV38" s="1783"/>
      <c r="FW38" s="1783"/>
      <c r="FX38" s="1783"/>
      <c r="FY38" s="1783"/>
      <c r="FZ38" s="1783"/>
      <c r="GA38" s="1783"/>
      <c r="GB38" s="1783"/>
      <c r="GC38" s="1783"/>
      <c r="GD38" s="1783"/>
      <c r="GE38" s="1783"/>
    </row>
    <row r="39" spans="1:187">
      <c r="A39" s="1819"/>
      <c r="B39" s="1818"/>
      <c r="C39" s="1818"/>
      <c r="D39" s="1818"/>
      <c r="E39" s="1818"/>
      <c r="F39" s="1818"/>
      <c r="G39" s="1818"/>
      <c r="H39" s="1783"/>
      <c r="I39" s="1783"/>
      <c r="J39" s="1783"/>
      <c r="K39" s="1783"/>
      <c r="L39" s="1783"/>
      <c r="M39" s="1783"/>
      <c r="N39" s="1783"/>
      <c r="O39" s="1783"/>
      <c r="P39" s="1783"/>
      <c r="Q39" s="1783"/>
      <c r="R39" s="1783"/>
      <c r="S39" s="1783"/>
      <c r="T39" s="1783"/>
      <c r="U39" s="1783"/>
      <c r="V39" s="1783"/>
      <c r="W39" s="1783"/>
      <c r="X39" s="1783"/>
      <c r="Y39" s="1783"/>
      <c r="Z39" s="1783"/>
      <c r="AA39" s="1783"/>
      <c r="AB39" s="1783"/>
      <c r="AC39" s="1783"/>
      <c r="AD39" s="1783"/>
      <c r="AE39" s="1783"/>
      <c r="AF39" s="1783"/>
      <c r="AG39" s="1783"/>
      <c r="AH39" s="1783"/>
      <c r="AI39" s="1783"/>
      <c r="AJ39" s="1783"/>
      <c r="AK39" s="1783"/>
      <c r="AL39" s="1783"/>
      <c r="AM39" s="1783"/>
      <c r="AN39" s="1783"/>
      <c r="AO39" s="1783"/>
      <c r="AP39" s="1783"/>
      <c r="AQ39" s="1783"/>
      <c r="AR39" s="1783"/>
      <c r="AS39" s="1783"/>
      <c r="AT39" s="1783"/>
      <c r="AU39" s="1783"/>
      <c r="AV39" s="1783"/>
      <c r="AW39" s="1783"/>
      <c r="AX39" s="1783"/>
      <c r="AY39" s="1783"/>
      <c r="AZ39" s="1783"/>
      <c r="BA39" s="1783"/>
      <c r="BB39" s="1783"/>
      <c r="BC39" s="1783"/>
      <c r="BD39" s="1783"/>
      <c r="BE39" s="1783"/>
      <c r="BF39" s="1783"/>
      <c r="BG39" s="1783"/>
      <c r="BH39" s="1783"/>
      <c r="BI39" s="1783"/>
      <c r="BJ39" s="1783"/>
      <c r="BK39" s="1783"/>
      <c r="BL39" s="1783"/>
      <c r="BM39" s="1783"/>
      <c r="BN39" s="1783"/>
      <c r="BO39" s="1783"/>
      <c r="BP39" s="1783"/>
      <c r="BQ39" s="1783"/>
      <c r="BR39" s="1783"/>
      <c r="BS39" s="1783"/>
      <c r="BT39" s="1783"/>
      <c r="BU39" s="1783"/>
      <c r="BV39" s="1783"/>
      <c r="BW39" s="1783"/>
      <c r="BX39" s="1783"/>
      <c r="BY39" s="1783"/>
      <c r="BZ39" s="1783"/>
      <c r="CA39" s="1783"/>
      <c r="CB39" s="1783"/>
      <c r="CC39" s="1783"/>
      <c r="CD39" s="1783"/>
      <c r="CE39" s="1783"/>
      <c r="CF39" s="1783"/>
      <c r="CG39" s="1783"/>
      <c r="CH39" s="1783"/>
      <c r="CI39" s="1783"/>
      <c r="CJ39" s="1783"/>
      <c r="CK39" s="1783"/>
      <c r="CL39" s="1783"/>
      <c r="CM39" s="1783"/>
      <c r="CN39" s="1783"/>
      <c r="CO39" s="1783"/>
      <c r="CP39" s="1783"/>
      <c r="CQ39" s="1783"/>
      <c r="CR39" s="1783"/>
      <c r="CS39" s="1783"/>
      <c r="CT39" s="1783"/>
      <c r="CU39" s="1783"/>
      <c r="CV39" s="1783"/>
      <c r="CW39" s="1783"/>
      <c r="CX39" s="1783"/>
      <c r="CY39" s="1783"/>
      <c r="CZ39" s="1783"/>
      <c r="DA39" s="1783"/>
      <c r="DB39" s="1783"/>
      <c r="DC39" s="1783"/>
      <c r="DD39" s="1783"/>
      <c r="DE39" s="1783"/>
      <c r="DF39" s="1783"/>
      <c r="DG39" s="1783"/>
      <c r="DH39" s="1783"/>
      <c r="DI39" s="1783"/>
      <c r="DJ39" s="1783"/>
      <c r="DK39" s="1783"/>
      <c r="DL39" s="1783"/>
      <c r="DM39" s="1783"/>
      <c r="DN39" s="1783"/>
      <c r="DO39" s="1783"/>
      <c r="DP39" s="1783"/>
      <c r="DQ39" s="1783"/>
      <c r="DR39" s="1783"/>
      <c r="DS39" s="1783"/>
      <c r="DT39" s="1783"/>
      <c r="DU39" s="1783"/>
      <c r="DV39" s="1783"/>
      <c r="DW39" s="1783"/>
      <c r="DX39" s="1783"/>
      <c r="DY39" s="1783"/>
      <c r="DZ39" s="1783"/>
      <c r="EA39" s="1783"/>
      <c r="EB39" s="1783"/>
      <c r="EC39" s="1783"/>
      <c r="ED39" s="1783"/>
      <c r="EE39" s="1783"/>
      <c r="EF39" s="1783"/>
      <c r="EG39" s="1783"/>
      <c r="EH39" s="1783"/>
      <c r="EI39" s="1783"/>
      <c r="EJ39" s="1783"/>
      <c r="EK39" s="1783"/>
      <c r="EL39" s="1783"/>
      <c r="EM39" s="1783"/>
      <c r="EN39" s="1783"/>
      <c r="EO39" s="1783"/>
      <c r="EP39" s="1783"/>
      <c r="EQ39" s="1783"/>
      <c r="ER39" s="1783"/>
      <c r="ES39" s="1783"/>
      <c r="ET39" s="1783"/>
      <c r="EU39" s="1783"/>
      <c r="EV39" s="1783"/>
      <c r="EW39" s="1783"/>
      <c r="EX39" s="1783"/>
      <c r="EY39" s="1783"/>
      <c r="EZ39" s="1783"/>
      <c r="FA39" s="1783"/>
      <c r="FB39" s="1783"/>
      <c r="FC39" s="1783"/>
      <c r="FD39" s="1783"/>
      <c r="FE39" s="1783"/>
      <c r="FF39" s="1783"/>
      <c r="FG39" s="1783"/>
      <c r="FH39" s="1783"/>
      <c r="FI39" s="1783"/>
      <c r="FJ39" s="1783"/>
      <c r="FK39" s="1783"/>
      <c r="FL39" s="1783"/>
      <c r="FM39" s="1783"/>
      <c r="FN39" s="1783"/>
      <c r="FO39" s="1783"/>
      <c r="FP39" s="1783"/>
      <c r="FQ39" s="1783"/>
      <c r="FR39" s="1783"/>
      <c r="FS39" s="1783"/>
      <c r="FT39" s="1783"/>
      <c r="FU39" s="1783"/>
      <c r="FV39" s="1783"/>
      <c r="FW39" s="1783"/>
      <c r="FX39" s="1783"/>
      <c r="FY39" s="1783"/>
      <c r="FZ39" s="1783"/>
      <c r="GA39" s="1783"/>
      <c r="GB39" s="1783"/>
      <c r="GC39" s="1783"/>
      <c r="GD39" s="1783"/>
      <c r="GE39" s="1783"/>
    </row>
    <row r="40" spans="1:187">
      <c r="A40" s="1819"/>
      <c r="B40" s="1818"/>
      <c r="C40" s="1818"/>
      <c r="D40" s="1818"/>
      <c r="E40" s="1818"/>
      <c r="F40" s="1818"/>
      <c r="G40" s="1818"/>
      <c r="H40" s="1783"/>
      <c r="I40" s="1783"/>
      <c r="J40" s="1783"/>
      <c r="K40" s="1783"/>
      <c r="L40" s="1783"/>
      <c r="M40" s="1783"/>
      <c r="N40" s="1783"/>
      <c r="O40" s="1783"/>
      <c r="P40" s="1783"/>
      <c r="Q40" s="1783"/>
      <c r="R40" s="1783"/>
      <c r="S40" s="1783"/>
      <c r="T40" s="1783"/>
      <c r="U40" s="1783"/>
      <c r="V40" s="1783"/>
      <c r="W40" s="1783"/>
      <c r="X40" s="1783"/>
      <c r="Y40" s="1783"/>
      <c r="Z40" s="1783"/>
      <c r="AA40" s="1783"/>
      <c r="AB40" s="1783"/>
      <c r="AC40" s="1783"/>
      <c r="AD40" s="1783"/>
      <c r="AE40" s="1783"/>
      <c r="AF40" s="1783"/>
      <c r="AG40" s="1783"/>
      <c r="AH40" s="1783"/>
      <c r="AI40" s="1783"/>
      <c r="AJ40" s="1783"/>
      <c r="AK40" s="1783"/>
      <c r="AL40" s="1783"/>
      <c r="AM40" s="1783"/>
      <c r="AN40" s="1783"/>
      <c r="AO40" s="1783"/>
      <c r="AP40" s="1783"/>
      <c r="AQ40" s="1783"/>
      <c r="AR40" s="1783"/>
      <c r="AS40" s="1783"/>
      <c r="AT40" s="1783"/>
      <c r="AU40" s="1783"/>
      <c r="AV40" s="1783"/>
      <c r="AW40" s="1783"/>
      <c r="AX40" s="1783"/>
      <c r="AY40" s="1783"/>
      <c r="AZ40" s="1783"/>
      <c r="BA40" s="1783"/>
      <c r="BB40" s="1783"/>
      <c r="BC40" s="1783"/>
      <c r="BD40" s="1783"/>
      <c r="BE40" s="1783"/>
      <c r="BF40" s="1783"/>
      <c r="BG40" s="1783"/>
      <c r="BH40" s="1783"/>
      <c r="BI40" s="1783"/>
      <c r="BJ40" s="1783"/>
      <c r="BK40" s="1783"/>
      <c r="BL40" s="1783"/>
      <c r="BM40" s="1783"/>
      <c r="BN40" s="1783"/>
      <c r="BO40" s="1783"/>
      <c r="BP40" s="1783"/>
      <c r="BQ40" s="1783"/>
      <c r="BR40" s="1783"/>
      <c r="BS40" s="1783"/>
      <c r="BT40" s="1783"/>
      <c r="BU40" s="1783"/>
      <c r="BV40" s="1783"/>
      <c r="BW40" s="1783"/>
      <c r="BX40" s="1783"/>
      <c r="BY40" s="1783"/>
      <c r="BZ40" s="1783"/>
      <c r="CA40" s="1783"/>
      <c r="CB40" s="1783"/>
      <c r="CC40" s="1783"/>
      <c r="CD40" s="1783"/>
      <c r="CE40" s="1783"/>
      <c r="CF40" s="1783"/>
      <c r="CG40" s="1783"/>
      <c r="CH40" s="1783"/>
      <c r="CI40" s="1783"/>
      <c r="CJ40" s="1783"/>
      <c r="CK40" s="1783"/>
      <c r="CL40" s="1783"/>
      <c r="CM40" s="1783"/>
      <c r="CN40" s="1783"/>
      <c r="CO40" s="1783"/>
      <c r="CP40" s="1783"/>
      <c r="CQ40" s="1783"/>
      <c r="CR40" s="1783"/>
      <c r="CS40" s="1783"/>
      <c r="CT40" s="1783"/>
      <c r="CU40" s="1783"/>
      <c r="CV40" s="1783"/>
      <c r="CW40" s="1783"/>
      <c r="CX40" s="1783"/>
      <c r="CY40" s="1783"/>
      <c r="CZ40" s="1783"/>
      <c r="DA40" s="1783"/>
      <c r="DB40" s="1783"/>
      <c r="DC40" s="1783"/>
      <c r="DD40" s="1783"/>
      <c r="DE40" s="1783"/>
      <c r="DF40" s="1783"/>
      <c r="DG40" s="1783"/>
      <c r="DH40" s="1783"/>
      <c r="DI40" s="1783"/>
      <c r="DJ40" s="1783"/>
      <c r="DK40" s="1783"/>
      <c r="DL40" s="1783"/>
      <c r="DM40" s="1783"/>
      <c r="DN40" s="1783"/>
      <c r="DO40" s="1783"/>
      <c r="DP40" s="1783"/>
      <c r="DQ40" s="1783"/>
      <c r="DR40" s="1783"/>
      <c r="DS40" s="1783"/>
      <c r="DT40" s="1783"/>
      <c r="DU40" s="1783"/>
      <c r="DV40" s="1783"/>
      <c r="DW40" s="1783"/>
      <c r="DX40" s="1783"/>
      <c r="DY40" s="1783"/>
      <c r="DZ40" s="1783"/>
      <c r="EA40" s="1783"/>
      <c r="EB40" s="1783"/>
      <c r="EC40" s="1783"/>
      <c r="ED40" s="1783"/>
      <c r="EE40" s="1783"/>
      <c r="EF40" s="1783"/>
      <c r="EG40" s="1783"/>
      <c r="EH40" s="1783"/>
      <c r="EI40" s="1783"/>
      <c r="EJ40" s="1783"/>
      <c r="EK40" s="1783"/>
      <c r="EL40" s="1783"/>
      <c r="EM40" s="1783"/>
      <c r="EN40" s="1783"/>
      <c r="EO40" s="1783"/>
      <c r="EP40" s="1783"/>
      <c r="EQ40" s="1783"/>
      <c r="ER40" s="1783"/>
      <c r="ES40" s="1783"/>
      <c r="ET40" s="1783"/>
      <c r="EU40" s="1783"/>
      <c r="EV40" s="1783"/>
      <c r="EW40" s="1783"/>
      <c r="EX40" s="1783"/>
      <c r="EY40" s="1783"/>
      <c r="EZ40" s="1783"/>
      <c r="FA40" s="1783"/>
      <c r="FB40" s="1783"/>
      <c r="FC40" s="1783"/>
      <c r="FD40" s="1783"/>
      <c r="FE40" s="1783"/>
      <c r="FF40" s="1783"/>
      <c r="FG40" s="1783"/>
      <c r="FH40" s="1783"/>
      <c r="FI40" s="1783"/>
      <c r="FJ40" s="1783"/>
      <c r="FK40" s="1783"/>
      <c r="FL40" s="1783"/>
      <c r="FM40" s="1783"/>
      <c r="FN40" s="1783"/>
      <c r="FO40" s="1783"/>
      <c r="FP40" s="1783"/>
      <c r="FQ40" s="1783"/>
      <c r="FR40" s="1783"/>
      <c r="FS40" s="1783"/>
      <c r="FT40" s="1783"/>
      <c r="FU40" s="1783"/>
      <c r="FV40" s="1783"/>
      <c r="FW40" s="1783"/>
      <c r="FX40" s="1783"/>
      <c r="FY40" s="1783"/>
      <c r="FZ40" s="1783"/>
      <c r="GA40" s="1783"/>
      <c r="GB40" s="1783"/>
      <c r="GC40" s="1783"/>
      <c r="GD40" s="1783"/>
      <c r="GE40" s="1783"/>
    </row>
    <row r="41" spans="1:187">
      <c r="A41" s="1819"/>
      <c r="B41" s="1818"/>
      <c r="C41" s="1818"/>
      <c r="D41" s="1818"/>
      <c r="E41" s="1818"/>
      <c r="F41" s="1818"/>
      <c r="G41" s="1818"/>
      <c r="H41" s="1783"/>
      <c r="I41" s="1783"/>
      <c r="J41" s="1783"/>
      <c r="K41" s="1783"/>
      <c r="L41" s="1783"/>
      <c r="M41" s="1783"/>
      <c r="N41" s="1783"/>
      <c r="O41" s="1783"/>
      <c r="P41" s="1783"/>
      <c r="Q41" s="1783"/>
      <c r="R41" s="1783"/>
      <c r="S41" s="1783"/>
      <c r="T41" s="1783"/>
      <c r="U41" s="1783"/>
      <c r="V41" s="1783"/>
      <c r="W41" s="1783"/>
      <c r="X41" s="1783"/>
      <c r="Y41" s="1783"/>
      <c r="Z41" s="1783"/>
      <c r="AA41" s="1783"/>
      <c r="AB41" s="1783"/>
      <c r="AC41" s="1783"/>
      <c r="AD41" s="1783"/>
      <c r="AE41" s="1783"/>
      <c r="AF41" s="1783"/>
      <c r="AG41" s="1783"/>
      <c r="AH41" s="1783"/>
      <c r="AI41" s="1783"/>
      <c r="AJ41" s="1783"/>
      <c r="AK41" s="1783"/>
      <c r="AL41" s="1783"/>
      <c r="AM41" s="1783"/>
      <c r="AN41" s="1783"/>
      <c r="AO41" s="1783"/>
      <c r="AP41" s="1783"/>
      <c r="AQ41" s="1783"/>
      <c r="AR41" s="1783"/>
      <c r="AS41" s="1783"/>
      <c r="AT41" s="1783"/>
      <c r="AU41" s="1783"/>
      <c r="AV41" s="1783"/>
      <c r="AW41" s="1783"/>
      <c r="AX41" s="1783"/>
      <c r="AY41" s="1783"/>
      <c r="AZ41" s="1783"/>
      <c r="BA41" s="1783"/>
      <c r="BB41" s="1783"/>
      <c r="BC41" s="1783"/>
      <c r="BD41" s="1783"/>
      <c r="BE41" s="1783"/>
      <c r="BF41" s="1783"/>
      <c r="BG41" s="1783"/>
      <c r="BH41" s="1783"/>
      <c r="BI41" s="1783"/>
      <c r="BJ41" s="1783"/>
      <c r="BK41" s="1783"/>
      <c r="BL41" s="1783"/>
      <c r="BM41" s="1783"/>
      <c r="BN41" s="1783"/>
      <c r="BO41" s="1783"/>
      <c r="BP41" s="1783"/>
      <c r="BQ41" s="1783"/>
      <c r="BR41" s="1783"/>
      <c r="BS41" s="1783"/>
      <c r="BT41" s="1783"/>
      <c r="BU41" s="1783"/>
      <c r="BV41" s="1783"/>
      <c r="BW41" s="1783"/>
      <c r="BX41" s="1783"/>
      <c r="BY41" s="1783"/>
      <c r="BZ41" s="1783"/>
      <c r="CA41" s="1783"/>
      <c r="CB41" s="1783"/>
      <c r="CC41" s="1783"/>
      <c r="CD41" s="1783"/>
      <c r="CE41" s="1783"/>
      <c r="CF41" s="1783"/>
      <c r="CG41" s="1783"/>
      <c r="CH41" s="1783"/>
      <c r="CI41" s="1783"/>
      <c r="CJ41" s="1783"/>
      <c r="CK41" s="1783"/>
      <c r="CL41" s="1783"/>
      <c r="CM41" s="1783"/>
      <c r="CN41" s="1783"/>
      <c r="CO41" s="1783"/>
      <c r="CP41" s="1783"/>
      <c r="CQ41" s="1783"/>
      <c r="CR41" s="1783"/>
      <c r="CS41" s="1783"/>
      <c r="CT41" s="1783"/>
      <c r="CU41" s="1783"/>
      <c r="CV41" s="1783"/>
      <c r="CW41" s="1783"/>
      <c r="CX41" s="1783"/>
      <c r="CY41" s="1783"/>
      <c r="CZ41" s="1783"/>
      <c r="DA41" s="1783"/>
      <c r="DB41" s="1783"/>
      <c r="DC41" s="1783"/>
      <c r="DD41" s="1783"/>
      <c r="DE41" s="1783"/>
      <c r="DF41" s="1783"/>
      <c r="DG41" s="1783"/>
      <c r="DH41" s="1783"/>
      <c r="DI41" s="1783"/>
      <c r="DJ41" s="1783"/>
      <c r="DK41" s="1783"/>
      <c r="DL41" s="1783"/>
      <c r="DM41" s="1783"/>
      <c r="DN41" s="1783"/>
      <c r="DO41" s="1783"/>
      <c r="DP41" s="1783"/>
      <c r="DQ41" s="1783"/>
      <c r="DR41" s="1783"/>
      <c r="DS41" s="1783"/>
      <c r="DT41" s="1783"/>
      <c r="DU41" s="1783"/>
      <c r="DV41" s="1783"/>
      <c r="DW41" s="1783"/>
      <c r="DX41" s="1783"/>
      <c r="DY41" s="1783"/>
      <c r="DZ41" s="1783"/>
      <c r="EA41" s="1783"/>
      <c r="EB41" s="1783"/>
      <c r="EC41" s="1783"/>
      <c r="ED41" s="1783"/>
      <c r="EE41" s="1783"/>
      <c r="EF41" s="1783"/>
      <c r="EG41" s="1783"/>
      <c r="EH41" s="1783"/>
      <c r="EI41" s="1783"/>
      <c r="EJ41" s="1783"/>
      <c r="EK41" s="1783"/>
      <c r="EL41" s="1783"/>
      <c r="EM41" s="1783"/>
      <c r="EN41" s="1783"/>
      <c r="EO41" s="1783"/>
      <c r="EP41" s="1783"/>
      <c r="EQ41" s="1783"/>
      <c r="ER41" s="1783"/>
      <c r="ES41" s="1783"/>
      <c r="ET41" s="1783"/>
      <c r="EU41" s="1783"/>
      <c r="EV41" s="1783"/>
      <c r="EW41" s="1783"/>
      <c r="EX41" s="1783"/>
      <c r="EY41" s="1783"/>
      <c r="EZ41" s="1783"/>
      <c r="FA41" s="1783"/>
      <c r="FB41" s="1783"/>
      <c r="FC41" s="1783"/>
      <c r="FD41" s="1783"/>
      <c r="FE41" s="1783"/>
      <c r="FF41" s="1783"/>
      <c r="FG41" s="1783"/>
      <c r="FH41" s="1783"/>
      <c r="FI41" s="1783"/>
      <c r="FJ41" s="1783"/>
      <c r="FK41" s="1783"/>
      <c r="FL41" s="1783"/>
      <c r="FM41" s="1783"/>
      <c r="FN41" s="1783"/>
      <c r="FO41" s="1783"/>
      <c r="FP41" s="1783"/>
      <c r="FQ41" s="1783"/>
      <c r="FR41" s="1783"/>
      <c r="FS41" s="1783"/>
      <c r="FT41" s="1783"/>
      <c r="FU41" s="1783"/>
      <c r="FV41" s="1783"/>
      <c r="FW41" s="1783"/>
      <c r="FX41" s="1783"/>
      <c r="FY41" s="1783"/>
      <c r="FZ41" s="1783"/>
      <c r="GA41" s="1783"/>
      <c r="GB41" s="1783"/>
      <c r="GC41" s="1783"/>
      <c r="GD41" s="1783"/>
      <c r="GE41" s="1783"/>
    </row>
    <row r="42" spans="1:187">
      <c r="A42" s="1819"/>
      <c r="B42" s="1818"/>
      <c r="C42" s="1818"/>
      <c r="D42" s="1818"/>
      <c r="E42" s="1818"/>
      <c r="F42" s="1818"/>
      <c r="G42" s="1818"/>
      <c r="H42" s="1783"/>
      <c r="I42" s="1783"/>
      <c r="J42" s="1783"/>
      <c r="K42" s="1783"/>
      <c r="L42" s="1783"/>
      <c r="M42" s="1783"/>
      <c r="N42" s="1783"/>
      <c r="O42" s="1783"/>
      <c r="P42" s="1783"/>
      <c r="Q42" s="1783"/>
      <c r="R42" s="1783"/>
      <c r="S42" s="1783"/>
      <c r="T42" s="1783"/>
      <c r="U42" s="1783"/>
      <c r="V42" s="1783"/>
      <c r="W42" s="1783"/>
      <c r="X42" s="1783"/>
      <c r="Y42" s="1783"/>
      <c r="Z42" s="1783"/>
      <c r="AA42" s="1783"/>
      <c r="AB42" s="1783"/>
      <c r="AC42" s="1783"/>
      <c r="AD42" s="1783"/>
      <c r="AE42" s="1783"/>
      <c r="AF42" s="1783"/>
      <c r="AG42" s="1783"/>
      <c r="AH42" s="1783"/>
      <c r="AI42" s="1783"/>
      <c r="AJ42" s="1783"/>
      <c r="AK42" s="1783"/>
      <c r="AL42" s="1783"/>
      <c r="AM42" s="1783"/>
      <c r="AN42" s="1783"/>
      <c r="AO42" s="1783"/>
      <c r="AP42" s="1783"/>
      <c r="AQ42" s="1783"/>
      <c r="AR42" s="1783"/>
      <c r="AS42" s="1783"/>
      <c r="AT42" s="1783"/>
      <c r="AU42" s="1783"/>
      <c r="AV42" s="1783"/>
      <c r="AW42" s="1783"/>
      <c r="AX42" s="1783"/>
      <c r="AY42" s="1783"/>
      <c r="AZ42" s="1783"/>
      <c r="BA42" s="1783"/>
      <c r="BB42" s="1783"/>
      <c r="BC42" s="1783"/>
      <c r="BD42" s="1783"/>
      <c r="BE42" s="1783"/>
      <c r="BF42" s="1783"/>
      <c r="BG42" s="1783"/>
      <c r="BH42" s="1783"/>
      <c r="BI42" s="1783"/>
      <c r="BJ42" s="1783"/>
      <c r="BK42" s="1783"/>
      <c r="BL42" s="1783"/>
      <c r="BM42" s="1783"/>
      <c r="BN42" s="1783"/>
      <c r="BO42" s="1783"/>
      <c r="BP42" s="1783"/>
      <c r="BQ42" s="1783"/>
      <c r="BR42" s="1783"/>
      <c r="BS42" s="1783"/>
      <c r="BT42" s="1783"/>
      <c r="BU42" s="1783"/>
      <c r="BV42" s="1783"/>
      <c r="BW42" s="1783"/>
      <c r="BX42" s="1783"/>
      <c r="BY42" s="1783"/>
      <c r="BZ42" s="1783"/>
      <c r="CA42" s="1783"/>
      <c r="CB42" s="1783"/>
      <c r="CC42" s="1783"/>
      <c r="CD42" s="1783"/>
      <c r="CE42" s="1783"/>
      <c r="CF42" s="1783"/>
      <c r="CG42" s="1783"/>
      <c r="CH42" s="1783"/>
      <c r="CI42" s="1783"/>
      <c r="CJ42" s="1783"/>
      <c r="CK42" s="1783"/>
      <c r="CL42" s="1783"/>
      <c r="CM42" s="1783"/>
      <c r="CN42" s="1783"/>
      <c r="CO42" s="1783"/>
      <c r="CP42" s="1783"/>
      <c r="CQ42" s="1783"/>
      <c r="CR42" s="1783"/>
      <c r="CS42" s="1783"/>
      <c r="CT42" s="1783"/>
      <c r="CU42" s="1783"/>
      <c r="CV42" s="1783"/>
      <c r="CW42" s="1783"/>
      <c r="CX42" s="1783"/>
      <c r="CY42" s="1783"/>
      <c r="CZ42" s="1783"/>
      <c r="DA42" s="1783"/>
      <c r="DB42" s="1783"/>
      <c r="DC42" s="1783"/>
      <c r="DD42" s="1783"/>
      <c r="DE42" s="1783"/>
      <c r="DF42" s="1783"/>
      <c r="DG42" s="1783"/>
      <c r="DH42" s="1783"/>
      <c r="DI42" s="1783"/>
      <c r="DJ42" s="1783"/>
      <c r="DK42" s="1783"/>
      <c r="DL42" s="1783"/>
      <c r="DM42" s="1783"/>
      <c r="DN42" s="1783"/>
      <c r="DO42" s="1783"/>
      <c r="DP42" s="1783"/>
      <c r="DQ42" s="1783"/>
      <c r="DR42" s="1783"/>
      <c r="DS42" s="1783"/>
      <c r="DT42" s="1783"/>
      <c r="DU42" s="1783"/>
      <c r="DV42" s="1783"/>
      <c r="DW42" s="1783"/>
      <c r="DX42" s="1783"/>
      <c r="DY42" s="1783"/>
      <c r="DZ42" s="1783"/>
      <c r="EA42" s="1783"/>
      <c r="EB42" s="1783"/>
      <c r="EC42" s="1783"/>
      <c r="ED42" s="1783"/>
      <c r="EE42" s="1783"/>
      <c r="EF42" s="1783"/>
      <c r="EG42" s="1783"/>
      <c r="EH42" s="1783"/>
      <c r="EI42" s="1783"/>
      <c r="EJ42" s="1783"/>
      <c r="EK42" s="1783"/>
      <c r="EL42" s="1783"/>
      <c r="EM42" s="1783"/>
      <c r="EN42" s="1783"/>
      <c r="EO42" s="1783"/>
      <c r="EP42" s="1783"/>
      <c r="EQ42" s="1783"/>
      <c r="ER42" s="1783"/>
      <c r="ES42" s="1783"/>
      <c r="ET42" s="1783"/>
      <c r="EU42" s="1783"/>
      <c r="EV42" s="1783"/>
      <c r="EW42" s="1783"/>
      <c r="EX42" s="1783"/>
      <c r="EY42" s="1783"/>
      <c r="EZ42" s="1783"/>
      <c r="FA42" s="1783"/>
      <c r="FB42" s="1783"/>
      <c r="FC42" s="1783"/>
      <c r="FD42" s="1783"/>
      <c r="FE42" s="1783"/>
      <c r="FF42" s="1783"/>
      <c r="FG42" s="1783"/>
      <c r="FH42" s="1783"/>
      <c r="FI42" s="1783"/>
      <c r="FJ42" s="1783"/>
      <c r="FK42" s="1783"/>
      <c r="FL42" s="1783"/>
      <c r="FM42" s="1783"/>
      <c r="FN42" s="1783"/>
      <c r="FO42" s="1783"/>
      <c r="FP42" s="1783"/>
      <c r="FQ42" s="1783"/>
      <c r="FR42" s="1783"/>
      <c r="FS42" s="1783"/>
      <c r="FT42" s="1783"/>
      <c r="FU42" s="1783"/>
      <c r="FV42" s="1783"/>
      <c r="FW42" s="1783"/>
      <c r="FX42" s="1783"/>
      <c r="FY42" s="1783"/>
      <c r="FZ42" s="1783"/>
      <c r="GA42" s="1783"/>
      <c r="GB42" s="1783"/>
      <c r="GC42" s="1783"/>
      <c r="GD42" s="1783"/>
      <c r="GE42" s="1783"/>
    </row>
    <row r="43" spans="1:187">
      <c r="A43" s="1819"/>
      <c r="B43" s="1818"/>
      <c r="C43" s="1818"/>
      <c r="D43" s="1818"/>
      <c r="E43" s="1818"/>
      <c r="F43" s="1818"/>
      <c r="G43" s="1818"/>
      <c r="H43" s="1783"/>
      <c r="I43" s="1783"/>
      <c r="J43" s="1783"/>
      <c r="K43" s="1783"/>
      <c r="L43" s="1783"/>
      <c r="M43" s="1783"/>
      <c r="N43" s="1783"/>
      <c r="O43" s="1783"/>
      <c r="P43" s="1783"/>
      <c r="Q43" s="1783"/>
      <c r="R43" s="1783"/>
      <c r="S43" s="1783"/>
      <c r="T43" s="1783"/>
      <c r="U43" s="1783"/>
      <c r="V43" s="1783"/>
      <c r="W43" s="1783"/>
      <c r="X43" s="1783"/>
      <c r="Y43" s="1783"/>
      <c r="Z43" s="1783"/>
      <c r="AA43" s="1783"/>
      <c r="AB43" s="1783"/>
      <c r="AC43" s="1783"/>
      <c r="AD43" s="1783"/>
      <c r="AE43" s="1783"/>
      <c r="AF43" s="1783"/>
      <c r="AG43" s="1783"/>
      <c r="AH43" s="1783"/>
      <c r="AI43" s="1783"/>
      <c r="AJ43" s="1783"/>
      <c r="AK43" s="1783"/>
      <c r="AL43" s="1783"/>
      <c r="AM43" s="1783"/>
      <c r="AN43" s="1783"/>
      <c r="AO43" s="1783"/>
      <c r="AP43" s="1783"/>
      <c r="AQ43" s="1783"/>
      <c r="AR43" s="1783"/>
      <c r="AS43" s="1783"/>
      <c r="AT43" s="1783"/>
      <c r="AU43" s="1783"/>
      <c r="AV43" s="1783"/>
      <c r="AW43" s="1783"/>
      <c r="AX43" s="1783"/>
      <c r="AY43" s="1783"/>
      <c r="AZ43" s="1783"/>
      <c r="BA43" s="1783"/>
      <c r="BB43" s="1783"/>
      <c r="BC43" s="1783"/>
      <c r="BD43" s="1783"/>
      <c r="BE43" s="1783"/>
      <c r="BF43" s="1783"/>
      <c r="BG43" s="1783"/>
      <c r="BH43" s="1783"/>
      <c r="BI43" s="1783"/>
      <c r="BJ43" s="1783"/>
      <c r="BK43" s="1783"/>
      <c r="BL43" s="1783"/>
      <c r="BM43" s="1783"/>
      <c r="BN43" s="1783"/>
      <c r="BO43" s="1783"/>
      <c r="BP43" s="1783"/>
      <c r="BQ43" s="1783"/>
      <c r="BR43" s="1783"/>
      <c r="BS43" s="1783"/>
      <c r="BT43" s="1783"/>
      <c r="BU43" s="1783"/>
      <c r="BV43" s="1783"/>
      <c r="BW43" s="1783"/>
      <c r="BX43" s="1783"/>
      <c r="BY43" s="1783"/>
      <c r="BZ43" s="1783"/>
      <c r="CA43" s="1783"/>
      <c r="CB43" s="1783"/>
      <c r="CC43" s="1783"/>
      <c r="CD43" s="1783"/>
      <c r="CE43" s="1783"/>
      <c r="CF43" s="1783"/>
      <c r="CG43" s="1783"/>
      <c r="CH43" s="1783"/>
      <c r="CI43" s="1783"/>
      <c r="CJ43" s="1783"/>
      <c r="CK43" s="1783"/>
      <c r="CL43" s="1783"/>
      <c r="CM43" s="1783"/>
      <c r="CN43" s="1783"/>
      <c r="CO43" s="1783"/>
      <c r="CP43" s="1783"/>
      <c r="CQ43" s="1783"/>
      <c r="CR43" s="1783"/>
      <c r="CS43" s="1783"/>
      <c r="CT43" s="1783"/>
      <c r="CU43" s="1783"/>
      <c r="CV43" s="1783"/>
      <c r="CW43" s="1783"/>
      <c r="CX43" s="1783"/>
      <c r="CY43" s="1783"/>
      <c r="CZ43" s="1783"/>
      <c r="DA43" s="1783"/>
      <c r="DB43" s="1783"/>
      <c r="DC43" s="1783"/>
      <c r="DD43" s="1783"/>
      <c r="DE43" s="1783"/>
      <c r="DF43" s="1783"/>
      <c r="DG43" s="1783"/>
      <c r="DH43" s="1783"/>
      <c r="DI43" s="1783"/>
      <c r="DJ43" s="1783"/>
      <c r="DK43" s="1783"/>
      <c r="DL43" s="1783"/>
      <c r="DM43" s="1783"/>
      <c r="DN43" s="1783"/>
      <c r="DO43" s="1783"/>
      <c r="DP43" s="1783"/>
      <c r="DQ43" s="1783"/>
      <c r="DR43" s="1783"/>
      <c r="DS43" s="1783"/>
      <c r="DT43" s="1783"/>
      <c r="DU43" s="1783"/>
      <c r="DV43" s="1783"/>
      <c r="DW43" s="1783"/>
      <c r="DX43" s="1783"/>
      <c r="DY43" s="1783"/>
      <c r="DZ43" s="1783"/>
      <c r="EA43" s="1783"/>
      <c r="EB43" s="1783"/>
      <c r="EC43" s="1783"/>
      <c r="ED43" s="1783"/>
      <c r="EE43" s="1783"/>
      <c r="EF43" s="1783"/>
      <c r="EG43" s="1783"/>
      <c r="EH43" s="1783"/>
      <c r="EI43" s="1783"/>
      <c r="EJ43" s="1783"/>
      <c r="EK43" s="1783"/>
      <c r="EL43" s="1783"/>
      <c r="EM43" s="1783"/>
      <c r="EN43" s="1783"/>
      <c r="EO43" s="1783"/>
      <c r="EP43" s="1783"/>
      <c r="EQ43" s="1783"/>
      <c r="ER43" s="1783"/>
      <c r="ES43" s="1783"/>
      <c r="ET43" s="1783"/>
      <c r="EU43" s="1783"/>
      <c r="EV43" s="1783"/>
      <c r="EW43" s="1783"/>
      <c r="EX43" s="1783"/>
      <c r="EY43" s="1783"/>
      <c r="EZ43" s="1783"/>
      <c r="FA43" s="1783"/>
      <c r="FB43" s="1783"/>
      <c r="FC43" s="1783"/>
      <c r="FD43" s="1783"/>
      <c r="FE43" s="1783"/>
      <c r="FF43" s="1783"/>
      <c r="FG43" s="1783"/>
      <c r="FH43" s="1783"/>
      <c r="FI43" s="1783"/>
      <c r="FJ43" s="1783"/>
      <c r="FK43" s="1783"/>
      <c r="FL43" s="1783"/>
      <c r="FM43" s="1783"/>
      <c r="FN43" s="1783"/>
      <c r="FO43" s="1783"/>
      <c r="FP43" s="1783"/>
      <c r="FQ43" s="1783"/>
      <c r="FR43" s="1783"/>
      <c r="FS43" s="1783"/>
      <c r="FT43" s="1783"/>
      <c r="FU43" s="1783"/>
      <c r="FV43" s="1783"/>
      <c r="FW43" s="1783"/>
      <c r="FX43" s="1783"/>
      <c r="FY43" s="1783"/>
      <c r="FZ43" s="1783"/>
      <c r="GA43" s="1783"/>
      <c r="GB43" s="1783"/>
      <c r="GC43" s="1783"/>
      <c r="GD43" s="1783"/>
      <c r="GE43" s="1783"/>
    </row>
    <row r="44" spans="1:187">
      <c r="A44" s="1819"/>
      <c r="B44" s="1818"/>
      <c r="C44" s="1818"/>
      <c r="D44" s="1818"/>
      <c r="E44" s="1818"/>
      <c r="F44" s="1818"/>
      <c r="G44" s="1818"/>
      <c r="H44" s="1783"/>
      <c r="I44" s="1783"/>
      <c r="J44" s="1783"/>
      <c r="K44" s="1783"/>
      <c r="L44" s="1783"/>
      <c r="M44" s="1783"/>
      <c r="N44" s="1783"/>
      <c r="O44" s="1783"/>
      <c r="P44" s="1783"/>
      <c r="Q44" s="1783"/>
      <c r="R44" s="1783"/>
      <c r="S44" s="1783"/>
      <c r="T44" s="1783"/>
      <c r="U44" s="1783"/>
      <c r="V44" s="1783"/>
      <c r="W44" s="1783"/>
      <c r="X44" s="1783"/>
      <c r="Y44" s="1783"/>
      <c r="Z44" s="1783"/>
      <c r="AA44" s="1783"/>
      <c r="AB44" s="1783"/>
      <c r="AC44" s="1783"/>
      <c r="AD44" s="1783"/>
      <c r="AE44" s="1783"/>
      <c r="AF44" s="1783"/>
      <c r="AG44" s="1783"/>
      <c r="AH44" s="1783"/>
      <c r="AI44" s="1783"/>
      <c r="AJ44" s="1783"/>
      <c r="AK44" s="1783"/>
      <c r="AL44" s="1783"/>
      <c r="AM44" s="1783"/>
      <c r="AN44" s="1783"/>
      <c r="AO44" s="1783"/>
      <c r="AP44" s="1783"/>
      <c r="AQ44" s="1783"/>
      <c r="AR44" s="1783"/>
      <c r="AS44" s="1783"/>
      <c r="AT44" s="1783"/>
      <c r="AU44" s="1783"/>
      <c r="AV44" s="1783"/>
      <c r="AW44" s="1783"/>
      <c r="AX44" s="1783"/>
      <c r="AY44" s="1783"/>
      <c r="AZ44" s="1783"/>
      <c r="BA44" s="1783"/>
      <c r="BB44" s="1783"/>
      <c r="BC44" s="1783"/>
      <c r="BD44" s="1783"/>
      <c r="BE44" s="1783"/>
      <c r="BF44" s="1783"/>
      <c r="BG44" s="1783"/>
      <c r="BH44" s="1783"/>
      <c r="BI44" s="1783"/>
      <c r="BJ44" s="1783"/>
      <c r="BK44" s="1783"/>
      <c r="BL44" s="1783"/>
      <c r="BM44" s="1783"/>
      <c r="BN44" s="1783"/>
      <c r="BO44" s="1783"/>
      <c r="BP44" s="1783"/>
      <c r="BQ44" s="1783"/>
      <c r="BR44" s="1783"/>
      <c r="BS44" s="1783"/>
      <c r="BT44" s="1783"/>
      <c r="BU44" s="1783"/>
      <c r="BV44" s="1783"/>
      <c r="BW44" s="1783"/>
      <c r="BX44" s="1783"/>
      <c r="BY44" s="1783"/>
      <c r="BZ44" s="1783"/>
      <c r="CA44" s="1783"/>
      <c r="CB44" s="1783"/>
      <c r="CC44" s="1783"/>
      <c r="CD44" s="1783"/>
      <c r="CE44" s="1783"/>
      <c r="CF44" s="1783"/>
      <c r="CG44" s="1783"/>
      <c r="CH44" s="1783"/>
      <c r="CI44" s="1783"/>
      <c r="CJ44" s="1783"/>
      <c r="CK44" s="1783"/>
      <c r="CL44" s="1783"/>
      <c r="CM44" s="1783"/>
      <c r="CN44" s="1783"/>
      <c r="CO44" s="1783"/>
      <c r="CP44" s="1783"/>
      <c r="CQ44" s="1783"/>
      <c r="CR44" s="1783"/>
      <c r="CS44" s="1783"/>
      <c r="CT44" s="1783"/>
      <c r="CU44" s="1783"/>
      <c r="CV44" s="1783"/>
      <c r="CW44" s="1783"/>
      <c r="CX44" s="1783"/>
      <c r="CY44" s="1783"/>
      <c r="CZ44" s="1783"/>
      <c r="DA44" s="1783"/>
      <c r="DB44" s="1783"/>
      <c r="DC44" s="1783"/>
      <c r="DD44" s="1783"/>
      <c r="DE44" s="1783"/>
      <c r="DF44" s="1783"/>
      <c r="DG44" s="1783"/>
      <c r="DH44" s="1783"/>
      <c r="DI44" s="1783"/>
      <c r="DJ44" s="1783"/>
      <c r="DK44" s="1783"/>
      <c r="DL44" s="1783"/>
      <c r="DM44" s="1783"/>
      <c r="DN44" s="1783"/>
      <c r="DO44" s="1783"/>
      <c r="DP44" s="1783"/>
      <c r="DQ44" s="1783"/>
      <c r="DR44" s="1783"/>
      <c r="DS44" s="1783"/>
      <c r="DT44" s="1783"/>
      <c r="DU44" s="1783"/>
      <c r="DV44" s="1783"/>
      <c r="DW44" s="1783"/>
      <c r="DX44" s="1783"/>
      <c r="DY44" s="1783"/>
      <c r="DZ44" s="1783"/>
      <c r="EA44" s="1783"/>
      <c r="EB44" s="1783"/>
      <c r="EC44" s="1783"/>
      <c r="ED44" s="1783"/>
      <c r="EE44" s="1783"/>
      <c r="EF44" s="1783"/>
      <c r="EG44" s="1783"/>
      <c r="EH44" s="1783"/>
      <c r="EI44" s="1783"/>
      <c r="EJ44" s="1783"/>
      <c r="EK44" s="1783"/>
      <c r="EL44" s="1783"/>
      <c r="EM44" s="1783"/>
      <c r="EN44" s="1783"/>
      <c r="EO44" s="1783"/>
      <c r="EP44" s="1783"/>
      <c r="EQ44" s="1783"/>
      <c r="ER44" s="1783"/>
      <c r="ES44" s="1783"/>
      <c r="ET44" s="1783"/>
      <c r="EU44" s="1783"/>
      <c r="EV44" s="1783"/>
      <c r="EW44" s="1783"/>
      <c r="EX44" s="1783"/>
      <c r="EY44" s="1783"/>
      <c r="EZ44" s="1783"/>
      <c r="FA44" s="1783"/>
      <c r="FB44" s="1783"/>
      <c r="FC44" s="1783"/>
      <c r="FD44" s="1783"/>
      <c r="FE44" s="1783"/>
      <c r="FF44" s="1783"/>
      <c r="FG44" s="1783"/>
      <c r="FH44" s="1783"/>
      <c r="FI44" s="1783"/>
      <c r="FJ44" s="1783"/>
      <c r="FK44" s="1783"/>
      <c r="FL44" s="1783"/>
      <c r="FM44" s="1783"/>
      <c r="FN44" s="1783"/>
      <c r="FO44" s="1783"/>
      <c r="FP44" s="1783"/>
      <c r="FQ44" s="1783"/>
      <c r="FR44" s="1783"/>
      <c r="FS44" s="1783"/>
      <c r="FT44" s="1783"/>
      <c r="FU44" s="1783"/>
      <c r="FV44" s="1783"/>
      <c r="FW44" s="1783"/>
      <c r="FX44" s="1783"/>
      <c r="FY44" s="1783"/>
      <c r="FZ44" s="1783"/>
      <c r="GA44" s="1783"/>
      <c r="GB44" s="1783"/>
      <c r="GC44" s="1783"/>
      <c r="GD44" s="1783"/>
      <c r="GE44" s="1783"/>
    </row>
    <row r="45" spans="1:187">
      <c r="A45" s="1819"/>
      <c r="B45" s="1818"/>
      <c r="C45" s="1818"/>
      <c r="D45" s="1818"/>
      <c r="E45" s="1818"/>
      <c r="F45" s="1818"/>
      <c r="G45" s="1818"/>
      <c r="H45" s="1783"/>
      <c r="I45" s="1783"/>
      <c r="J45" s="1783"/>
      <c r="K45" s="1783"/>
      <c r="L45" s="1783"/>
      <c r="M45" s="1783"/>
      <c r="N45" s="1783"/>
      <c r="O45" s="1783"/>
      <c r="P45" s="1783"/>
      <c r="Q45" s="1783"/>
      <c r="R45" s="1783"/>
      <c r="S45" s="1783"/>
      <c r="T45" s="1783"/>
      <c r="U45" s="1783"/>
      <c r="V45" s="1783"/>
      <c r="W45" s="1783"/>
      <c r="X45" s="1783"/>
      <c r="Y45" s="1783"/>
      <c r="Z45" s="1783"/>
      <c r="AA45" s="1783"/>
      <c r="AB45" s="1783"/>
      <c r="AC45" s="1783"/>
      <c r="AD45" s="1783"/>
      <c r="AE45" s="1783"/>
      <c r="AF45" s="1783"/>
      <c r="AG45" s="1783"/>
      <c r="AH45" s="1783"/>
      <c r="AI45" s="1783"/>
      <c r="AJ45" s="1783"/>
      <c r="AK45" s="1783"/>
      <c r="AL45" s="1783"/>
      <c r="AM45" s="1783"/>
      <c r="AN45" s="1783"/>
      <c r="AO45" s="1783"/>
      <c r="AP45" s="1783"/>
      <c r="AQ45" s="1783"/>
      <c r="AR45" s="1783"/>
      <c r="AS45" s="1783"/>
      <c r="AT45" s="1783"/>
      <c r="AU45" s="1783"/>
      <c r="AV45" s="1783"/>
      <c r="AW45" s="1783"/>
      <c r="AX45" s="1783"/>
      <c r="AY45" s="1783"/>
      <c r="AZ45" s="1783"/>
      <c r="BA45" s="1783"/>
      <c r="BB45" s="1783"/>
      <c r="BC45" s="1783"/>
      <c r="BD45" s="1783"/>
      <c r="BE45" s="1783"/>
      <c r="BF45" s="1783"/>
      <c r="BG45" s="1783"/>
      <c r="BH45" s="1783"/>
      <c r="BI45" s="1783"/>
      <c r="BJ45" s="1783"/>
      <c r="BK45" s="1783"/>
      <c r="BL45" s="1783"/>
      <c r="BM45" s="1783"/>
      <c r="BN45" s="1783"/>
      <c r="BO45" s="1783"/>
      <c r="BP45" s="1783"/>
      <c r="BQ45" s="1783"/>
      <c r="BR45" s="1783"/>
      <c r="BS45" s="1783"/>
      <c r="BT45" s="1783"/>
      <c r="BU45" s="1783"/>
      <c r="BV45" s="1783"/>
      <c r="BW45" s="1783"/>
      <c r="BX45" s="1783"/>
      <c r="BY45" s="1783"/>
      <c r="BZ45" s="1783"/>
      <c r="CA45" s="1783"/>
      <c r="CB45" s="1783"/>
      <c r="CC45" s="1783"/>
      <c r="CD45" s="1783"/>
      <c r="CE45" s="1783"/>
      <c r="CF45" s="1783"/>
      <c r="CG45" s="1783"/>
      <c r="CH45" s="1783"/>
      <c r="CI45" s="1783"/>
      <c r="CJ45" s="1783"/>
      <c r="CK45" s="1783"/>
      <c r="CL45" s="1783"/>
      <c r="CM45" s="1783"/>
      <c r="CN45" s="1783"/>
      <c r="CO45" s="1783"/>
      <c r="CP45" s="1783"/>
      <c r="CQ45" s="1783"/>
      <c r="CR45" s="1783"/>
      <c r="CS45" s="1783"/>
      <c r="CT45" s="1783"/>
      <c r="CU45" s="1783"/>
      <c r="CV45" s="1783"/>
      <c r="CW45" s="1783"/>
      <c r="CX45" s="1783"/>
      <c r="CY45" s="1783"/>
      <c r="CZ45" s="1783"/>
      <c r="DA45" s="1783"/>
      <c r="DB45" s="1783"/>
      <c r="DC45" s="1783"/>
      <c r="DD45" s="1783"/>
      <c r="DE45" s="1783"/>
      <c r="DF45" s="1783"/>
      <c r="DG45" s="1783"/>
      <c r="DH45" s="1783"/>
      <c r="DI45" s="1783"/>
      <c r="DJ45" s="1783"/>
      <c r="DK45" s="1783"/>
      <c r="DL45" s="1783"/>
      <c r="DM45" s="1783"/>
      <c r="DN45" s="1783"/>
      <c r="DO45" s="1783"/>
      <c r="DP45" s="1783"/>
      <c r="DQ45" s="1783"/>
      <c r="DR45" s="1783"/>
      <c r="DS45" s="1783"/>
      <c r="DT45" s="1783"/>
      <c r="DU45" s="1783"/>
      <c r="DV45" s="1783"/>
      <c r="DW45" s="1783"/>
      <c r="DX45" s="1783"/>
      <c r="DY45" s="1783"/>
      <c r="DZ45" s="1783"/>
      <c r="EA45" s="1783"/>
      <c r="EB45" s="1783"/>
      <c r="EC45" s="1783"/>
      <c r="ED45" s="1783"/>
      <c r="EE45" s="1783"/>
      <c r="EF45" s="1783"/>
      <c r="EG45" s="1783"/>
      <c r="EH45" s="1783"/>
      <c r="EI45" s="1783"/>
      <c r="EJ45" s="1783"/>
      <c r="EK45" s="1783"/>
      <c r="EL45" s="1783"/>
      <c r="EM45" s="1783"/>
      <c r="EN45" s="1783"/>
      <c r="EO45" s="1783"/>
      <c r="EP45" s="1783"/>
      <c r="EQ45" s="1783"/>
      <c r="ER45" s="1783"/>
      <c r="ES45" s="1783"/>
      <c r="ET45" s="1783"/>
      <c r="EU45" s="1783"/>
      <c r="EV45" s="1783"/>
      <c r="EW45" s="1783"/>
      <c r="EX45" s="1783"/>
      <c r="EY45" s="1783"/>
      <c r="EZ45" s="1783"/>
      <c r="FA45" s="1783"/>
      <c r="FB45" s="1783"/>
      <c r="FC45" s="1783"/>
      <c r="FD45" s="1783"/>
      <c r="FE45" s="1783"/>
      <c r="FF45" s="1783"/>
      <c r="FG45" s="1783"/>
      <c r="FH45" s="1783"/>
      <c r="FI45" s="1783"/>
      <c r="FJ45" s="1783"/>
      <c r="FK45" s="1783"/>
      <c r="FL45" s="1783"/>
      <c r="FM45" s="1783"/>
      <c r="FN45" s="1783"/>
      <c r="FO45" s="1783"/>
      <c r="FP45" s="1783"/>
      <c r="FQ45" s="1783"/>
      <c r="FR45" s="1783"/>
      <c r="FS45" s="1783"/>
      <c r="FT45" s="1783"/>
      <c r="FU45" s="1783"/>
      <c r="FV45" s="1783"/>
      <c r="FW45" s="1783"/>
      <c r="FX45" s="1783"/>
      <c r="FY45" s="1783"/>
      <c r="FZ45" s="1783"/>
      <c r="GA45" s="1783"/>
      <c r="GB45" s="1783"/>
      <c r="GC45" s="1783"/>
      <c r="GD45" s="1783"/>
      <c r="GE45" s="1783"/>
    </row>
    <row r="46" spans="1:187">
      <c r="A46" s="1819"/>
      <c r="B46" s="1818"/>
      <c r="C46" s="1818"/>
      <c r="D46" s="1818"/>
      <c r="E46" s="1818"/>
      <c r="F46" s="1818"/>
      <c r="G46" s="1818"/>
      <c r="H46" s="1783"/>
      <c r="I46" s="1783"/>
      <c r="J46" s="1783"/>
      <c r="K46" s="1783"/>
      <c r="L46" s="1783"/>
      <c r="M46" s="1783"/>
      <c r="N46" s="1783"/>
      <c r="O46" s="1783"/>
      <c r="P46" s="1783"/>
      <c r="Q46" s="1783"/>
      <c r="R46" s="1783"/>
      <c r="S46" s="1783"/>
      <c r="T46" s="1783"/>
      <c r="U46" s="1783"/>
      <c r="V46" s="1783"/>
      <c r="W46" s="1783"/>
      <c r="X46" s="1783"/>
      <c r="Y46" s="1783"/>
      <c r="Z46" s="1783"/>
      <c r="AA46" s="1783"/>
      <c r="AB46" s="1783"/>
      <c r="AC46" s="1783"/>
      <c r="AD46" s="1783"/>
      <c r="AE46" s="1783"/>
      <c r="AF46" s="1783"/>
      <c r="AG46" s="1783"/>
      <c r="AH46" s="1783"/>
      <c r="AI46" s="1783"/>
      <c r="AJ46" s="1783"/>
      <c r="AK46" s="1783"/>
      <c r="AL46" s="1783"/>
      <c r="AM46" s="1783"/>
      <c r="AN46" s="1783"/>
      <c r="AO46" s="1783"/>
      <c r="AP46" s="1783"/>
      <c r="AQ46" s="1783"/>
      <c r="AR46" s="1783"/>
      <c r="AS46" s="1783"/>
      <c r="AT46" s="1783"/>
      <c r="AU46" s="1783"/>
      <c r="AV46" s="1783"/>
      <c r="AW46" s="1783"/>
      <c r="AX46" s="1783"/>
      <c r="AY46" s="1783"/>
      <c r="AZ46" s="1783"/>
      <c r="BA46" s="1783"/>
      <c r="BB46" s="1783"/>
      <c r="BC46" s="1783"/>
      <c r="BD46" s="1783"/>
      <c r="BE46" s="1783"/>
      <c r="BF46" s="1783"/>
      <c r="BG46" s="1783"/>
      <c r="BH46" s="1783"/>
      <c r="BI46" s="1783"/>
      <c r="BJ46" s="1783"/>
      <c r="BK46" s="1783"/>
      <c r="BL46" s="1783"/>
      <c r="BM46" s="1783"/>
      <c r="BN46" s="1783"/>
      <c r="BO46" s="1783"/>
      <c r="BP46" s="1783"/>
      <c r="BQ46" s="1783"/>
      <c r="BR46" s="1783"/>
      <c r="BS46" s="1783"/>
      <c r="BT46" s="1783"/>
      <c r="BU46" s="1783"/>
      <c r="BV46" s="1783"/>
      <c r="BW46" s="1783"/>
      <c r="BX46" s="1783"/>
      <c r="BY46" s="1783"/>
      <c r="BZ46" s="1783"/>
      <c r="CA46" s="1783"/>
      <c r="CB46" s="1783"/>
      <c r="CC46" s="1783"/>
      <c r="CD46" s="1783"/>
      <c r="CE46" s="1783"/>
      <c r="CF46" s="1783"/>
      <c r="CG46" s="1783"/>
      <c r="CH46" s="1783"/>
      <c r="CI46" s="1783"/>
      <c r="CJ46" s="1783"/>
      <c r="CK46" s="1783"/>
      <c r="CL46" s="1783"/>
      <c r="CM46" s="1783"/>
      <c r="CN46" s="1783"/>
      <c r="CO46" s="1783"/>
      <c r="CP46" s="1783"/>
      <c r="CQ46" s="1783"/>
      <c r="CR46" s="1783"/>
      <c r="CS46" s="1783"/>
      <c r="CT46" s="1783"/>
      <c r="CU46" s="1783"/>
      <c r="CV46" s="1783"/>
      <c r="CW46" s="1783"/>
      <c r="CX46" s="1783"/>
      <c r="CY46" s="1783"/>
      <c r="CZ46" s="1783"/>
      <c r="DA46" s="1783"/>
      <c r="DB46" s="1783"/>
      <c r="DC46" s="1783"/>
      <c r="DD46" s="1783"/>
      <c r="DE46" s="1783"/>
      <c r="DF46" s="1783"/>
      <c r="DG46" s="1783"/>
      <c r="DH46" s="1783"/>
      <c r="DI46" s="1783"/>
      <c r="DJ46" s="1783"/>
      <c r="DK46" s="1783"/>
      <c r="DL46" s="1783"/>
      <c r="DM46" s="1783"/>
      <c r="DN46" s="1783"/>
      <c r="DO46" s="1783"/>
      <c r="DP46" s="1783"/>
      <c r="DQ46" s="1783"/>
      <c r="DR46" s="1783"/>
      <c r="DS46" s="1783"/>
      <c r="DT46" s="1783"/>
      <c r="DU46" s="1783"/>
      <c r="DV46" s="1783"/>
      <c r="DW46" s="1783"/>
      <c r="DX46" s="1783"/>
      <c r="DY46" s="1783"/>
      <c r="DZ46" s="1783"/>
      <c r="EA46" s="1783"/>
      <c r="EB46" s="1783"/>
      <c r="EC46" s="1783"/>
      <c r="ED46" s="1783"/>
      <c r="EE46" s="1783"/>
      <c r="EF46" s="1783"/>
      <c r="EG46" s="1783"/>
      <c r="EH46" s="1783"/>
      <c r="EI46" s="1783"/>
      <c r="EJ46" s="1783"/>
      <c r="EK46" s="1783"/>
      <c r="EL46" s="1783"/>
      <c r="EM46" s="1783"/>
      <c r="EN46" s="1783"/>
      <c r="EO46" s="1783"/>
      <c r="EP46" s="1783"/>
      <c r="EQ46" s="1783"/>
      <c r="ER46" s="1783"/>
      <c r="ES46" s="1783"/>
      <c r="ET46" s="1783"/>
      <c r="EU46" s="1783"/>
      <c r="EV46" s="1783"/>
      <c r="EW46" s="1783"/>
      <c r="EX46" s="1783"/>
      <c r="EY46" s="1783"/>
      <c r="EZ46" s="1783"/>
      <c r="FA46" s="1783"/>
      <c r="FB46" s="1783"/>
      <c r="FC46" s="1783"/>
      <c r="FD46" s="1783"/>
      <c r="FE46" s="1783"/>
      <c r="FF46" s="1783"/>
      <c r="FG46" s="1783"/>
      <c r="FH46" s="1783"/>
      <c r="FI46" s="1783"/>
      <c r="FJ46" s="1783"/>
      <c r="FK46" s="1783"/>
      <c r="FL46" s="1783"/>
      <c r="FM46" s="1783"/>
      <c r="FN46" s="1783"/>
      <c r="FO46" s="1783"/>
      <c r="FP46" s="1783"/>
      <c r="FQ46" s="1783"/>
      <c r="FR46" s="1783"/>
      <c r="FS46" s="1783"/>
      <c r="FT46" s="1783"/>
      <c r="FU46" s="1783"/>
      <c r="FV46" s="1783"/>
      <c r="FW46" s="1783"/>
      <c r="FX46" s="1783"/>
      <c r="FY46" s="1783"/>
      <c r="FZ46" s="1783"/>
      <c r="GA46" s="1783"/>
      <c r="GB46" s="1783"/>
      <c r="GC46" s="1783"/>
      <c r="GD46" s="1783"/>
      <c r="GE46" s="1783"/>
    </row>
    <row r="47" spans="1:187">
      <c r="A47" s="1819"/>
      <c r="B47" s="1818"/>
      <c r="C47" s="1818"/>
      <c r="D47" s="1818"/>
      <c r="E47" s="1818"/>
      <c r="F47" s="1818"/>
      <c r="G47" s="1818"/>
      <c r="H47" s="1783"/>
      <c r="I47" s="1783"/>
      <c r="J47" s="1783"/>
      <c r="K47" s="1783"/>
      <c r="L47" s="1783"/>
      <c r="M47" s="1783"/>
      <c r="N47" s="1783"/>
      <c r="O47" s="1783"/>
      <c r="P47" s="1783"/>
      <c r="Q47" s="1783"/>
      <c r="R47" s="1783"/>
      <c r="S47" s="1783"/>
      <c r="T47" s="1783"/>
      <c r="U47" s="1783"/>
      <c r="V47" s="1783"/>
      <c r="W47" s="1783"/>
      <c r="X47" s="1783"/>
      <c r="Y47" s="1783"/>
      <c r="Z47" s="1783"/>
      <c r="AA47" s="1783"/>
      <c r="AB47" s="1783"/>
      <c r="AC47" s="1783"/>
      <c r="AD47" s="1783"/>
      <c r="AE47" s="1783"/>
      <c r="AF47" s="1783"/>
      <c r="AG47" s="1783"/>
      <c r="AH47" s="1783"/>
      <c r="AI47" s="1783"/>
      <c r="AJ47" s="1783"/>
      <c r="AK47" s="1783"/>
      <c r="AL47" s="1783"/>
      <c r="AM47" s="1783"/>
      <c r="AN47" s="1783"/>
      <c r="AO47" s="1783"/>
      <c r="AP47" s="1783"/>
      <c r="AQ47" s="1783"/>
      <c r="AR47" s="1783"/>
      <c r="AS47" s="1783"/>
      <c r="AT47" s="1783"/>
      <c r="AU47" s="1783"/>
      <c r="AV47" s="1783"/>
      <c r="AW47" s="1783"/>
      <c r="AX47" s="1783"/>
      <c r="AY47" s="1783"/>
      <c r="AZ47" s="1783"/>
      <c r="BA47" s="1783"/>
      <c r="BB47" s="1783"/>
      <c r="BC47" s="1783"/>
      <c r="BD47" s="1783"/>
      <c r="BE47" s="1783"/>
      <c r="BF47" s="1783"/>
      <c r="BG47" s="1783"/>
      <c r="BH47" s="1783"/>
      <c r="BI47" s="1783"/>
      <c r="BJ47" s="1783"/>
      <c r="BK47" s="1783"/>
      <c r="BL47" s="1783"/>
      <c r="BM47" s="1783"/>
      <c r="BN47" s="1783"/>
      <c r="BO47" s="1783"/>
      <c r="BP47" s="1783"/>
      <c r="BQ47" s="1783"/>
      <c r="BR47" s="1783"/>
      <c r="BS47" s="1783"/>
      <c r="BT47" s="1783"/>
      <c r="BU47" s="1783"/>
      <c r="BV47" s="1783"/>
      <c r="BW47" s="1783"/>
      <c r="BX47" s="1783"/>
      <c r="BY47" s="1783"/>
      <c r="BZ47" s="1783"/>
      <c r="CA47" s="1783"/>
      <c r="CB47" s="1783"/>
      <c r="CC47" s="1783"/>
      <c r="CD47" s="1783"/>
      <c r="CE47" s="1783"/>
      <c r="CF47" s="1783"/>
      <c r="CG47" s="1783"/>
      <c r="CH47" s="1783"/>
      <c r="CI47" s="1783"/>
      <c r="CJ47" s="1783"/>
      <c r="CK47" s="1783"/>
      <c r="CL47" s="1783"/>
      <c r="CM47" s="1783"/>
      <c r="CN47" s="1783"/>
      <c r="CO47" s="1783"/>
      <c r="CP47" s="1783"/>
      <c r="CQ47" s="1783"/>
      <c r="CR47" s="1783"/>
      <c r="CS47" s="1783"/>
      <c r="CT47" s="1783"/>
      <c r="CU47" s="1783"/>
      <c r="CV47" s="1783"/>
      <c r="CW47" s="1783"/>
      <c r="CX47" s="1783"/>
      <c r="CY47" s="1783"/>
      <c r="CZ47" s="1783"/>
      <c r="DA47" s="1783"/>
      <c r="DB47" s="1783"/>
      <c r="DC47" s="1783"/>
      <c r="DD47" s="1783"/>
      <c r="DE47" s="1783"/>
      <c r="DF47" s="1783"/>
      <c r="DG47" s="1783"/>
      <c r="DH47" s="1783"/>
      <c r="DI47" s="1783"/>
      <c r="DJ47" s="1783"/>
      <c r="DK47" s="1783"/>
      <c r="DL47" s="1783"/>
      <c r="DM47" s="1783"/>
      <c r="DN47" s="1783"/>
      <c r="DO47" s="1783"/>
      <c r="DP47" s="1783"/>
      <c r="DQ47" s="1783"/>
      <c r="DR47" s="1783"/>
      <c r="DS47" s="1783"/>
      <c r="DT47" s="1783"/>
      <c r="DU47" s="1783"/>
      <c r="DV47" s="1783"/>
      <c r="DW47" s="1783"/>
      <c r="DX47" s="1783"/>
      <c r="DY47" s="1783"/>
      <c r="DZ47" s="1783"/>
      <c r="EA47" s="1783"/>
      <c r="EB47" s="1783"/>
      <c r="EC47" s="1783"/>
      <c r="ED47" s="1783"/>
      <c r="EE47" s="1783"/>
      <c r="EF47" s="1783"/>
      <c r="EG47" s="1783"/>
      <c r="EH47" s="1783"/>
      <c r="EI47" s="1783"/>
      <c r="EJ47" s="1783"/>
      <c r="EK47" s="1783"/>
      <c r="EL47" s="1783"/>
      <c r="EM47" s="1783"/>
      <c r="EN47" s="1783"/>
      <c r="EO47" s="1783"/>
      <c r="EP47" s="1783"/>
      <c r="EQ47" s="1783"/>
      <c r="ER47" s="1783"/>
      <c r="ES47" s="1783"/>
      <c r="ET47" s="1783"/>
      <c r="EU47" s="1783"/>
      <c r="EV47" s="1783"/>
      <c r="EW47" s="1783"/>
      <c r="EX47" s="1783"/>
      <c r="EY47" s="1783"/>
      <c r="EZ47" s="1783"/>
      <c r="FA47" s="1783"/>
      <c r="FB47" s="1783"/>
      <c r="FC47" s="1783"/>
      <c r="FD47" s="1783"/>
      <c r="FE47" s="1783"/>
      <c r="FF47" s="1783"/>
      <c r="FG47" s="1783"/>
      <c r="FH47" s="1783"/>
      <c r="FI47" s="1783"/>
      <c r="FJ47" s="1783"/>
      <c r="FK47" s="1783"/>
      <c r="FL47" s="1783"/>
      <c r="FM47" s="1783"/>
      <c r="FN47" s="1783"/>
      <c r="FO47" s="1783"/>
      <c r="FP47" s="1783"/>
      <c r="FQ47" s="1783"/>
      <c r="FR47" s="1783"/>
      <c r="FS47" s="1783"/>
      <c r="FT47" s="1783"/>
      <c r="FU47" s="1783"/>
      <c r="FV47" s="1783"/>
      <c r="FW47" s="1783"/>
      <c r="FX47" s="1783"/>
      <c r="FY47" s="1783"/>
      <c r="FZ47" s="1783"/>
      <c r="GA47" s="1783"/>
      <c r="GB47" s="1783"/>
      <c r="GC47" s="1783"/>
      <c r="GD47" s="1783"/>
      <c r="GE47" s="1783"/>
    </row>
    <row r="48" spans="1:187">
      <c r="A48" s="1819"/>
      <c r="B48" s="1818"/>
      <c r="C48" s="1818"/>
      <c r="D48" s="1818"/>
      <c r="E48" s="1818"/>
      <c r="F48" s="1818"/>
      <c r="G48" s="1818"/>
      <c r="H48" s="1783"/>
      <c r="I48" s="1783"/>
      <c r="J48" s="1783"/>
      <c r="K48" s="1783"/>
      <c r="L48" s="1783"/>
      <c r="M48" s="1783"/>
      <c r="N48" s="1783"/>
      <c r="O48" s="1783"/>
      <c r="P48" s="1783"/>
      <c r="Q48" s="1783"/>
      <c r="R48" s="1783"/>
      <c r="S48" s="1783"/>
      <c r="T48" s="1783"/>
      <c r="U48" s="1783"/>
      <c r="V48" s="1783"/>
      <c r="W48" s="1783"/>
      <c r="X48" s="1783"/>
      <c r="Y48" s="1783"/>
      <c r="Z48" s="1783"/>
      <c r="AA48" s="1783"/>
      <c r="AB48" s="1783"/>
      <c r="AC48" s="1783"/>
      <c r="AD48" s="1783"/>
      <c r="AE48" s="1783"/>
      <c r="AF48" s="1783"/>
      <c r="AG48" s="1783"/>
      <c r="AH48" s="1783"/>
      <c r="AI48" s="1783"/>
      <c r="AJ48" s="1783"/>
      <c r="AK48" s="1783"/>
      <c r="AL48" s="1783"/>
      <c r="AM48" s="1783"/>
      <c r="AN48" s="1783"/>
      <c r="AO48" s="1783"/>
      <c r="AP48" s="1783"/>
      <c r="AQ48" s="1783"/>
      <c r="AR48" s="1783"/>
      <c r="AS48" s="1783"/>
      <c r="AT48" s="1783"/>
      <c r="AU48" s="1783"/>
      <c r="AV48" s="1783"/>
      <c r="AW48" s="1783"/>
      <c r="AX48" s="1783"/>
      <c r="AY48" s="1783"/>
      <c r="AZ48" s="1783"/>
      <c r="BA48" s="1783"/>
      <c r="BB48" s="1783"/>
      <c r="BC48" s="1783"/>
      <c r="BD48" s="1783"/>
      <c r="BE48" s="1783"/>
      <c r="BF48" s="1783"/>
      <c r="BG48" s="1783"/>
      <c r="BH48" s="1783"/>
      <c r="BI48" s="1783"/>
      <c r="BJ48" s="1783"/>
      <c r="BK48" s="1783"/>
      <c r="BL48" s="1783"/>
      <c r="BM48" s="1783"/>
      <c r="BN48" s="1783"/>
      <c r="BO48" s="1783"/>
      <c r="BP48" s="1783"/>
      <c r="BQ48" s="1783"/>
      <c r="BR48" s="1783"/>
      <c r="BS48" s="1783"/>
      <c r="BT48" s="1783"/>
      <c r="BU48" s="1783"/>
      <c r="BV48" s="1783"/>
      <c r="BW48" s="1783"/>
      <c r="BX48" s="1783"/>
      <c r="BY48" s="1783"/>
      <c r="BZ48" s="1783"/>
      <c r="CA48" s="1783"/>
      <c r="CB48" s="1783"/>
      <c r="CC48" s="1783"/>
      <c r="CD48" s="1783"/>
      <c r="CE48" s="1783"/>
      <c r="CF48" s="1783"/>
      <c r="CG48" s="1783"/>
      <c r="CH48" s="1783"/>
      <c r="CI48" s="1783"/>
      <c r="CJ48" s="1783"/>
      <c r="CK48" s="1783"/>
      <c r="CL48" s="1783"/>
      <c r="CM48" s="1783"/>
      <c r="CN48" s="1783"/>
      <c r="CO48" s="1783"/>
      <c r="CP48" s="1783"/>
      <c r="CQ48" s="1783"/>
      <c r="CR48" s="1783"/>
      <c r="CS48" s="1783"/>
      <c r="CT48" s="1783"/>
      <c r="CU48" s="1783"/>
      <c r="CV48" s="1783"/>
      <c r="CW48" s="1783"/>
      <c r="CX48" s="1783"/>
      <c r="CY48" s="1783"/>
      <c r="CZ48" s="1783"/>
      <c r="DA48" s="1783"/>
      <c r="DB48" s="1783"/>
      <c r="DC48" s="1783"/>
      <c r="DD48" s="1783"/>
      <c r="DE48" s="1783"/>
      <c r="DF48" s="1783"/>
      <c r="DG48" s="1783"/>
      <c r="DH48" s="1783"/>
      <c r="DI48" s="1783"/>
      <c r="DJ48" s="1783"/>
      <c r="DK48" s="1783"/>
      <c r="DL48" s="1783"/>
      <c r="DM48" s="1783"/>
      <c r="DN48" s="1783"/>
      <c r="DO48" s="1783"/>
      <c r="DP48" s="1783"/>
      <c r="DQ48" s="1783"/>
      <c r="DR48" s="1783"/>
      <c r="DS48" s="1783"/>
      <c r="DT48" s="1783"/>
      <c r="DU48" s="1783"/>
      <c r="DV48" s="1783"/>
      <c r="DW48" s="1783"/>
      <c r="DX48" s="1783"/>
      <c r="DY48" s="1783"/>
      <c r="DZ48" s="1783"/>
      <c r="EA48" s="1783"/>
      <c r="EB48" s="1783"/>
      <c r="EC48" s="1783"/>
      <c r="ED48" s="1783"/>
      <c r="EE48" s="1783"/>
      <c r="EF48" s="1783"/>
      <c r="EG48" s="1783"/>
      <c r="EH48" s="1783"/>
      <c r="EI48" s="1783"/>
      <c r="EJ48" s="1783"/>
      <c r="EK48" s="1783"/>
      <c r="EL48" s="1783"/>
      <c r="EM48" s="1783"/>
      <c r="EN48" s="1783"/>
      <c r="EO48" s="1783"/>
      <c r="EP48" s="1783"/>
      <c r="EQ48" s="1783"/>
      <c r="ER48" s="1783"/>
      <c r="ES48" s="1783"/>
      <c r="ET48" s="1783"/>
      <c r="EU48" s="1783"/>
      <c r="EV48" s="1783"/>
      <c r="EW48" s="1783"/>
      <c r="EX48" s="1783"/>
      <c r="EY48" s="1783"/>
      <c r="EZ48" s="1783"/>
      <c r="FA48" s="1783"/>
      <c r="FB48" s="1783"/>
      <c r="FC48" s="1783"/>
      <c r="FD48" s="1783"/>
      <c r="FE48" s="1783"/>
      <c r="FF48" s="1783"/>
      <c r="FG48" s="1783"/>
      <c r="FH48" s="1783"/>
      <c r="FI48" s="1783"/>
      <c r="FJ48" s="1783"/>
      <c r="FK48" s="1783"/>
      <c r="FL48" s="1783"/>
      <c r="FM48" s="1783"/>
      <c r="FN48" s="1783"/>
      <c r="FO48" s="1783"/>
      <c r="FP48" s="1783"/>
      <c r="FQ48" s="1783"/>
      <c r="FR48" s="1783"/>
      <c r="FS48" s="1783"/>
      <c r="FT48" s="1783"/>
      <c r="FU48" s="1783"/>
      <c r="FV48" s="1783"/>
      <c r="FW48" s="1783"/>
      <c r="FX48" s="1783"/>
      <c r="FY48" s="1783"/>
      <c r="FZ48" s="1783"/>
      <c r="GA48" s="1783"/>
      <c r="GB48" s="1783"/>
      <c r="GC48" s="1783"/>
      <c r="GD48" s="1783"/>
      <c r="GE48" s="1783"/>
    </row>
    <row r="49" spans="1:187">
      <c r="A49" s="1819"/>
      <c r="B49" s="1818"/>
      <c r="C49" s="1818"/>
      <c r="D49" s="1818"/>
      <c r="E49" s="1818"/>
      <c r="F49" s="1818"/>
      <c r="G49" s="1818"/>
      <c r="H49" s="1783"/>
      <c r="I49" s="1783"/>
      <c r="J49" s="1783"/>
      <c r="K49" s="1783"/>
      <c r="L49" s="1783"/>
      <c r="M49" s="1783"/>
      <c r="N49" s="1783"/>
      <c r="O49" s="1783"/>
      <c r="P49" s="1783"/>
      <c r="Q49" s="1783"/>
      <c r="R49" s="1783"/>
      <c r="S49" s="1783"/>
      <c r="T49" s="1783"/>
      <c r="U49" s="1783"/>
      <c r="V49" s="1783"/>
      <c r="W49" s="1783"/>
      <c r="X49" s="1783"/>
      <c r="Y49" s="1783"/>
      <c r="Z49" s="1783"/>
      <c r="AA49" s="1783"/>
      <c r="AB49" s="1783"/>
      <c r="AC49" s="1783"/>
      <c r="AD49" s="1783"/>
      <c r="AE49" s="1783"/>
      <c r="AF49" s="1783"/>
      <c r="AG49" s="1783"/>
      <c r="AH49" s="1783"/>
      <c r="AI49" s="1783"/>
      <c r="AJ49" s="1783"/>
      <c r="AK49" s="1783"/>
      <c r="AL49" s="1783"/>
      <c r="AM49" s="1783"/>
      <c r="AN49" s="1783"/>
      <c r="AO49" s="1783"/>
      <c r="AP49" s="1783"/>
      <c r="AQ49" s="1783"/>
      <c r="AR49" s="1783"/>
      <c r="AS49" s="1783"/>
      <c r="AT49" s="1783"/>
      <c r="AU49" s="1783"/>
      <c r="AV49" s="1783"/>
      <c r="AW49" s="1783"/>
      <c r="AX49" s="1783"/>
      <c r="AY49" s="1783"/>
      <c r="AZ49" s="1783"/>
      <c r="BA49" s="1783"/>
      <c r="BB49" s="1783"/>
      <c r="BC49" s="1783"/>
      <c r="BD49" s="1783"/>
      <c r="BE49" s="1783"/>
      <c r="BF49" s="1783"/>
      <c r="BG49" s="1783"/>
      <c r="BH49" s="1783"/>
      <c r="BI49" s="1783"/>
      <c r="BJ49" s="1783"/>
      <c r="BK49" s="1783"/>
      <c r="BL49" s="1783"/>
      <c r="BM49" s="1783"/>
      <c r="BN49" s="1783"/>
      <c r="BO49" s="1783"/>
      <c r="BP49" s="1783"/>
      <c r="BQ49" s="1783"/>
      <c r="BR49" s="1783"/>
      <c r="BS49" s="1783"/>
      <c r="BT49" s="1783"/>
      <c r="BU49" s="1783"/>
      <c r="BV49" s="1783"/>
      <c r="BW49" s="1783"/>
      <c r="BX49" s="1783"/>
      <c r="BY49" s="1783"/>
      <c r="BZ49" s="1783"/>
      <c r="CA49" s="1783"/>
      <c r="CB49" s="1783"/>
      <c r="CC49" s="1783"/>
      <c r="CD49" s="1783"/>
      <c r="CE49" s="1783"/>
      <c r="CF49" s="1783"/>
      <c r="CG49" s="1783"/>
      <c r="CH49" s="1783"/>
      <c r="CI49" s="1783"/>
      <c r="CJ49" s="1783"/>
      <c r="CK49" s="1783"/>
      <c r="CL49" s="1783"/>
      <c r="CM49" s="1783"/>
      <c r="CN49" s="1783"/>
      <c r="CO49" s="1783"/>
      <c r="CP49" s="1783"/>
      <c r="CQ49" s="1783"/>
      <c r="CR49" s="1783"/>
      <c r="CS49" s="1783"/>
      <c r="CT49" s="1783"/>
      <c r="CU49" s="1783"/>
      <c r="CV49" s="1783"/>
      <c r="CW49" s="1783"/>
      <c r="CX49" s="1783"/>
      <c r="CY49" s="1783"/>
      <c r="CZ49" s="1783"/>
      <c r="DA49" s="1783"/>
      <c r="DB49" s="1783"/>
      <c r="DC49" s="1783"/>
      <c r="DD49" s="1783"/>
      <c r="DE49" s="1783"/>
      <c r="DF49" s="1783"/>
      <c r="DG49" s="1783"/>
      <c r="DH49" s="1783"/>
      <c r="DI49" s="1783"/>
      <c r="DJ49" s="1783"/>
      <c r="DK49" s="1783"/>
      <c r="DL49" s="1783"/>
      <c r="DM49" s="1783"/>
      <c r="DN49" s="1783"/>
      <c r="DO49" s="1783"/>
      <c r="DP49" s="1783"/>
      <c r="DQ49" s="1783"/>
      <c r="DR49" s="1783"/>
      <c r="DS49" s="1783"/>
      <c r="DT49" s="1783"/>
      <c r="DU49" s="1783"/>
      <c r="DV49" s="1783"/>
      <c r="DW49" s="1783"/>
      <c r="DX49" s="1783"/>
      <c r="DY49" s="1783"/>
      <c r="DZ49" s="1783"/>
      <c r="EA49" s="1783"/>
      <c r="EB49" s="1783"/>
      <c r="EC49" s="1783"/>
      <c r="ED49" s="1783"/>
      <c r="EE49" s="1783"/>
      <c r="EF49" s="1783"/>
      <c r="EG49" s="1783"/>
      <c r="EH49" s="1783"/>
      <c r="EI49" s="1783"/>
      <c r="EJ49" s="1783"/>
      <c r="EK49" s="1783"/>
      <c r="EL49" s="1783"/>
      <c r="EM49" s="1783"/>
      <c r="EN49" s="1783"/>
      <c r="EO49" s="1783"/>
      <c r="EP49" s="1783"/>
      <c r="EQ49" s="1783"/>
      <c r="ER49" s="1783"/>
      <c r="ES49" s="1783"/>
      <c r="ET49" s="1783"/>
      <c r="EU49" s="1783"/>
      <c r="EV49" s="1783"/>
      <c r="EW49" s="1783"/>
      <c r="EX49" s="1783"/>
      <c r="EY49" s="1783"/>
      <c r="EZ49" s="1783"/>
      <c r="FA49" s="1783"/>
      <c r="FB49" s="1783"/>
      <c r="FC49" s="1783"/>
      <c r="FD49" s="1783"/>
      <c r="FE49" s="1783"/>
      <c r="FF49" s="1783"/>
      <c r="FG49" s="1783"/>
      <c r="FH49" s="1783"/>
      <c r="FI49" s="1783"/>
      <c r="FJ49" s="1783"/>
      <c r="FK49" s="1783"/>
      <c r="FL49" s="1783"/>
      <c r="FM49" s="1783"/>
      <c r="FN49" s="1783"/>
      <c r="FO49" s="1783"/>
      <c r="FP49" s="1783"/>
      <c r="FQ49" s="1783"/>
      <c r="FR49" s="1783"/>
      <c r="FS49" s="1783"/>
      <c r="FT49" s="1783"/>
      <c r="FU49" s="1783"/>
      <c r="FV49" s="1783"/>
      <c r="FW49" s="1783"/>
      <c r="FX49" s="1783"/>
      <c r="FY49" s="1783"/>
      <c r="FZ49" s="1783"/>
      <c r="GA49" s="1783"/>
      <c r="GB49" s="1783"/>
      <c r="GC49" s="1783"/>
      <c r="GD49" s="1783"/>
      <c r="GE49" s="1783"/>
    </row>
    <row r="50" spans="1:187">
      <c r="A50" s="1819"/>
      <c r="B50" s="1818"/>
      <c r="C50" s="1818"/>
      <c r="D50" s="1818"/>
      <c r="E50" s="1818"/>
      <c r="F50" s="1818"/>
      <c r="G50" s="1818"/>
      <c r="H50" s="1783"/>
      <c r="I50" s="1783"/>
      <c r="J50" s="1783"/>
      <c r="K50" s="1783"/>
      <c r="L50" s="1783"/>
      <c r="M50" s="1783"/>
      <c r="N50" s="1783"/>
      <c r="O50" s="1783"/>
      <c r="P50" s="1783"/>
      <c r="Q50" s="1783"/>
      <c r="R50" s="1783"/>
      <c r="S50" s="1783"/>
      <c r="T50" s="1783"/>
      <c r="U50" s="1783"/>
      <c r="V50" s="1783"/>
      <c r="W50" s="1783"/>
      <c r="X50" s="1783"/>
      <c r="Y50" s="1783"/>
      <c r="Z50" s="1783"/>
      <c r="AA50" s="1783"/>
      <c r="AB50" s="1783"/>
      <c r="AC50" s="1783"/>
      <c r="AD50" s="1783"/>
      <c r="AE50" s="1783"/>
      <c r="AF50" s="1783"/>
      <c r="AG50" s="1783"/>
      <c r="AH50" s="1783"/>
      <c r="AI50" s="1783"/>
      <c r="AJ50" s="1783"/>
      <c r="AK50" s="1783"/>
      <c r="AL50" s="1783"/>
      <c r="AM50" s="1783"/>
      <c r="AN50" s="1783"/>
      <c r="AO50" s="1783"/>
      <c r="AP50" s="1783"/>
      <c r="AQ50" s="1783"/>
      <c r="AR50" s="1783"/>
      <c r="AS50" s="1783"/>
      <c r="AT50" s="1783"/>
      <c r="AU50" s="1783"/>
      <c r="AV50" s="1783"/>
      <c r="AW50" s="1783"/>
      <c r="AX50" s="1783"/>
      <c r="AY50" s="1783"/>
      <c r="AZ50" s="1783"/>
      <c r="BA50" s="1783"/>
      <c r="BB50" s="1783"/>
      <c r="BC50" s="1783"/>
      <c r="BD50" s="1783"/>
      <c r="BE50" s="1783"/>
      <c r="BF50" s="1783"/>
      <c r="BG50" s="1783"/>
      <c r="BH50" s="1783"/>
      <c r="BI50" s="1783"/>
      <c r="BJ50" s="1783"/>
      <c r="BK50" s="1783"/>
      <c r="BL50" s="1783"/>
      <c r="BM50" s="1783"/>
      <c r="BN50" s="1783"/>
      <c r="BO50" s="1783"/>
      <c r="BP50" s="1783"/>
      <c r="BQ50" s="1783"/>
      <c r="BR50" s="1783"/>
      <c r="BS50" s="1783"/>
      <c r="BT50" s="1783"/>
      <c r="BU50" s="1783"/>
      <c r="BV50" s="1783"/>
      <c r="BW50" s="1783"/>
      <c r="BX50" s="1783"/>
      <c r="BY50" s="1783"/>
      <c r="BZ50" s="1783"/>
      <c r="CA50" s="1783"/>
      <c r="CB50" s="1783"/>
      <c r="CC50" s="1783"/>
      <c r="CD50" s="1783"/>
      <c r="CE50" s="1783"/>
      <c r="CF50" s="1783"/>
      <c r="CG50" s="1783"/>
      <c r="CH50" s="1783"/>
      <c r="CI50" s="1783"/>
      <c r="CJ50" s="1783"/>
      <c r="CK50" s="1783"/>
      <c r="CL50" s="1783"/>
      <c r="CM50" s="1783"/>
      <c r="CN50" s="1783"/>
      <c r="CO50" s="1783"/>
      <c r="CP50" s="1783"/>
      <c r="CQ50" s="1783"/>
      <c r="CR50" s="1783"/>
      <c r="CS50" s="1783"/>
      <c r="CT50" s="1783"/>
      <c r="CU50" s="1783"/>
      <c r="CV50" s="1783"/>
      <c r="CW50" s="1783"/>
      <c r="CX50" s="1783"/>
      <c r="CY50" s="1783"/>
      <c r="CZ50" s="1783"/>
      <c r="DA50" s="1783"/>
      <c r="DB50" s="1783"/>
      <c r="DC50" s="1783"/>
      <c r="DD50" s="1783"/>
      <c r="DE50" s="1783"/>
      <c r="DF50" s="1783"/>
      <c r="DG50" s="1783"/>
      <c r="DH50" s="1783"/>
      <c r="DI50" s="1783"/>
      <c r="DJ50" s="1783"/>
      <c r="DK50" s="1783"/>
      <c r="DL50" s="1783"/>
      <c r="DM50" s="1783"/>
      <c r="DN50" s="1783"/>
      <c r="DO50" s="1783"/>
      <c r="DP50" s="1783"/>
      <c r="DQ50" s="1783"/>
      <c r="DR50" s="1783"/>
      <c r="DS50" s="1783"/>
      <c r="DT50" s="1783"/>
      <c r="DU50" s="1783"/>
      <c r="DV50" s="1783"/>
      <c r="DW50" s="1783"/>
      <c r="DX50" s="1783"/>
      <c r="DY50" s="1783"/>
      <c r="DZ50" s="1783"/>
      <c r="EA50" s="1783"/>
      <c r="EB50" s="1783"/>
      <c r="EC50" s="1783"/>
      <c r="ED50" s="1783"/>
      <c r="EE50" s="1783"/>
      <c r="EF50" s="1783"/>
      <c r="EG50" s="1783"/>
      <c r="EH50" s="1783"/>
      <c r="EI50" s="1783"/>
      <c r="EJ50" s="1783"/>
      <c r="EK50" s="1783"/>
      <c r="EL50" s="1783"/>
      <c r="EM50" s="1783"/>
      <c r="EN50" s="1783"/>
      <c r="EO50" s="1783"/>
      <c r="EP50" s="1783"/>
      <c r="EQ50" s="1783"/>
      <c r="ER50" s="1783"/>
      <c r="ES50" s="1783"/>
      <c r="ET50" s="1783"/>
      <c r="EU50" s="1783"/>
      <c r="EV50" s="1783"/>
      <c r="EW50" s="1783"/>
      <c r="EX50" s="1783"/>
      <c r="EY50" s="1783"/>
      <c r="EZ50" s="1783"/>
      <c r="FA50" s="1783"/>
      <c r="FB50" s="1783"/>
      <c r="FC50" s="1783"/>
      <c r="FD50" s="1783"/>
      <c r="FE50" s="1783"/>
      <c r="FF50" s="1783"/>
      <c r="FG50" s="1783"/>
      <c r="FH50" s="1783"/>
      <c r="FI50" s="1783"/>
      <c r="FJ50" s="1783"/>
      <c r="FK50" s="1783"/>
      <c r="FL50" s="1783"/>
      <c r="FM50" s="1783"/>
      <c r="FN50" s="1783"/>
      <c r="FO50" s="1783"/>
      <c r="FP50" s="1783"/>
      <c r="FQ50" s="1783"/>
      <c r="FR50" s="1783"/>
      <c r="FS50" s="1783"/>
      <c r="FT50" s="1783"/>
      <c r="FU50" s="1783"/>
      <c r="FV50" s="1783"/>
      <c r="FW50" s="1783"/>
      <c r="FX50" s="1783"/>
      <c r="FY50" s="1783"/>
      <c r="FZ50" s="1783"/>
      <c r="GA50" s="1783"/>
      <c r="GB50" s="1783"/>
      <c r="GC50" s="1783"/>
      <c r="GD50" s="1783"/>
      <c r="GE50" s="1783"/>
    </row>
    <row r="51" spans="1:187">
      <c r="A51" s="1819"/>
      <c r="B51" s="1818"/>
      <c r="C51" s="1818"/>
      <c r="D51" s="1818"/>
      <c r="E51" s="1818"/>
      <c r="F51" s="1818"/>
      <c r="G51" s="1818"/>
      <c r="H51" s="1783"/>
      <c r="I51" s="1783"/>
      <c r="J51" s="1783"/>
      <c r="K51" s="1783"/>
      <c r="L51" s="1783"/>
      <c r="M51" s="1783"/>
      <c r="N51" s="1783"/>
      <c r="O51" s="1783"/>
      <c r="P51" s="1783"/>
      <c r="Q51" s="1783"/>
      <c r="R51" s="1783"/>
      <c r="S51" s="1783"/>
      <c r="T51" s="1783"/>
      <c r="U51" s="1783"/>
      <c r="V51" s="1783"/>
      <c r="W51" s="1783"/>
      <c r="X51" s="1783"/>
      <c r="Y51" s="1783"/>
      <c r="Z51" s="1783"/>
      <c r="AA51" s="1783"/>
      <c r="AB51" s="1783"/>
      <c r="AC51" s="1783"/>
      <c r="AD51" s="1783"/>
      <c r="AE51" s="1783"/>
      <c r="AF51" s="1783"/>
      <c r="AG51" s="1783"/>
      <c r="AH51" s="1783"/>
      <c r="AI51" s="1783"/>
      <c r="AJ51" s="1783"/>
      <c r="AK51" s="1783"/>
      <c r="AL51" s="1783"/>
      <c r="AM51" s="1783"/>
      <c r="AN51" s="1783"/>
      <c r="AO51" s="1783"/>
      <c r="AP51" s="1783"/>
      <c r="AQ51" s="1783"/>
      <c r="AR51" s="1783"/>
      <c r="AS51" s="1783"/>
      <c r="AT51" s="1783"/>
      <c r="AU51" s="1783"/>
      <c r="AV51" s="1783"/>
      <c r="AW51" s="1783"/>
      <c r="AX51" s="1783"/>
      <c r="AY51" s="1783"/>
      <c r="AZ51" s="1783"/>
      <c r="BA51" s="1783"/>
      <c r="BB51" s="1783"/>
      <c r="BC51" s="1783"/>
      <c r="BD51" s="1783"/>
      <c r="BE51" s="1783"/>
      <c r="BF51" s="1783"/>
      <c r="BG51" s="1783"/>
      <c r="BH51" s="1783"/>
      <c r="BI51" s="1783"/>
    </row>
    <row r="52" spans="1:187">
      <c r="A52" s="1819"/>
      <c r="B52" s="1818"/>
      <c r="C52" s="1818"/>
      <c r="D52" s="1818"/>
      <c r="E52" s="1818"/>
      <c r="F52" s="1818"/>
      <c r="G52" s="1818"/>
      <c r="H52" s="1783"/>
      <c r="I52" s="1783"/>
      <c r="J52" s="1783"/>
      <c r="K52" s="1783"/>
      <c r="L52" s="1783"/>
      <c r="M52" s="1783"/>
      <c r="N52" s="1783"/>
      <c r="O52" s="1783"/>
      <c r="P52" s="1783"/>
      <c r="Q52" s="1783"/>
      <c r="R52" s="1783"/>
      <c r="S52" s="1783"/>
      <c r="T52" s="1783"/>
      <c r="U52" s="1783"/>
      <c r="V52" s="1783"/>
      <c r="W52" s="1783"/>
      <c r="X52" s="1783"/>
      <c r="Y52" s="1783"/>
      <c r="Z52" s="1783"/>
      <c r="AA52" s="1783"/>
      <c r="AB52" s="1783"/>
      <c r="AC52" s="1783"/>
      <c r="AD52" s="1783"/>
      <c r="AE52" s="1783"/>
      <c r="AF52" s="1783"/>
      <c r="AG52" s="1783"/>
      <c r="AH52" s="1783"/>
      <c r="AI52" s="1783"/>
      <c r="AJ52" s="1783"/>
      <c r="AK52" s="1783"/>
      <c r="AL52" s="1783"/>
      <c r="AM52" s="1783"/>
      <c r="AN52" s="1783"/>
      <c r="AO52" s="1783"/>
      <c r="AP52" s="1783"/>
      <c r="AQ52" s="1783"/>
      <c r="AR52" s="1783"/>
      <c r="AS52" s="1783"/>
      <c r="AT52" s="1783"/>
      <c r="AU52" s="1783"/>
      <c r="AV52" s="1783"/>
      <c r="AW52" s="1783"/>
      <c r="AX52" s="1783"/>
      <c r="AY52" s="1783"/>
      <c r="AZ52" s="1783"/>
      <c r="BA52" s="1783"/>
      <c r="BB52" s="1783"/>
      <c r="BC52" s="1783"/>
      <c r="BD52" s="1783"/>
      <c r="BE52" s="1783"/>
      <c r="BF52" s="1783"/>
      <c r="BG52" s="1783"/>
      <c r="BH52" s="1783"/>
      <c r="BI52" s="1783"/>
    </row>
    <row r="53" spans="1:187">
      <c r="A53" s="1819"/>
      <c r="B53" s="1818"/>
      <c r="C53" s="1818"/>
      <c r="D53" s="1818"/>
      <c r="E53" s="1818"/>
      <c r="F53" s="1818"/>
      <c r="G53" s="1818"/>
      <c r="H53" s="1783"/>
      <c r="I53" s="1783"/>
      <c r="J53" s="1783"/>
      <c r="K53" s="1783"/>
      <c r="L53" s="1783"/>
      <c r="M53" s="1783"/>
      <c r="N53" s="1783"/>
      <c r="O53" s="1783"/>
      <c r="P53" s="1783"/>
      <c r="Q53" s="1783"/>
      <c r="R53" s="1783"/>
      <c r="S53" s="1783"/>
      <c r="T53" s="1783"/>
      <c r="U53" s="1783"/>
      <c r="V53" s="1783"/>
      <c r="W53" s="1783"/>
      <c r="X53" s="1783"/>
      <c r="Y53" s="1783"/>
      <c r="Z53" s="1783"/>
      <c r="AA53" s="1783"/>
      <c r="AB53" s="1783"/>
      <c r="AC53" s="1783"/>
      <c r="AD53" s="1783"/>
      <c r="AE53" s="1783"/>
      <c r="AF53" s="1783"/>
      <c r="AG53" s="1783"/>
      <c r="AH53" s="1783"/>
      <c r="AI53" s="1783"/>
      <c r="AJ53" s="1783"/>
      <c r="AK53" s="1783"/>
      <c r="AL53" s="1783"/>
      <c r="AM53" s="1783"/>
      <c r="AN53" s="1783"/>
      <c r="AO53" s="1783"/>
      <c r="AP53" s="1783"/>
      <c r="AQ53" s="1783"/>
      <c r="AR53" s="1783"/>
      <c r="AS53" s="1783"/>
      <c r="AT53" s="1783"/>
      <c r="AU53" s="1783"/>
      <c r="AV53" s="1783"/>
      <c r="AW53" s="1783"/>
      <c r="AX53" s="1783"/>
      <c r="AY53" s="1783"/>
      <c r="AZ53" s="1783"/>
      <c r="BA53" s="1783"/>
      <c r="BB53" s="1783"/>
      <c r="BC53" s="1783"/>
      <c r="BD53" s="1783"/>
      <c r="BE53" s="1783"/>
      <c r="BF53" s="1783"/>
      <c r="BG53" s="1783"/>
      <c r="BH53" s="1783"/>
      <c r="BI53" s="1783"/>
    </row>
    <row r="54" spans="1:187">
      <c r="A54" s="1819"/>
      <c r="B54" s="1818"/>
      <c r="C54" s="1818"/>
      <c r="D54" s="1818"/>
      <c r="E54" s="1818"/>
      <c r="F54" s="1818"/>
      <c r="G54" s="1818"/>
      <c r="H54" s="1783"/>
      <c r="I54" s="1783"/>
      <c r="J54" s="1783"/>
      <c r="K54" s="1783"/>
      <c r="L54" s="1783"/>
      <c r="M54" s="1783"/>
      <c r="N54" s="1783"/>
      <c r="O54" s="1783"/>
      <c r="P54" s="1783"/>
      <c r="Q54" s="1783"/>
      <c r="R54" s="1783"/>
      <c r="S54" s="1783"/>
      <c r="T54" s="1783"/>
      <c r="U54" s="1783"/>
      <c r="V54" s="1783"/>
      <c r="W54" s="1783"/>
      <c r="X54" s="1783"/>
      <c r="Y54" s="1783"/>
      <c r="Z54" s="1783"/>
      <c r="AA54" s="1783"/>
      <c r="AB54" s="1783"/>
      <c r="AC54" s="1783"/>
      <c r="AD54" s="1783"/>
      <c r="AE54" s="1783"/>
      <c r="AF54" s="1783"/>
      <c r="AG54" s="1783"/>
      <c r="AH54" s="1783"/>
      <c r="AI54" s="1783"/>
      <c r="AJ54" s="1783"/>
      <c r="AK54" s="1783"/>
      <c r="AL54" s="1783"/>
      <c r="AM54" s="1783"/>
      <c r="AN54" s="1783"/>
      <c r="AO54" s="1783"/>
      <c r="AP54" s="1783"/>
      <c r="AQ54" s="1783"/>
      <c r="AR54" s="1783"/>
      <c r="AS54" s="1783"/>
      <c r="AT54" s="1783"/>
      <c r="AU54" s="1783"/>
      <c r="AV54" s="1783"/>
      <c r="AW54" s="1783"/>
      <c r="AX54" s="1783"/>
      <c r="AY54" s="1783"/>
      <c r="AZ54" s="1783"/>
      <c r="BA54" s="1783"/>
      <c r="BB54" s="1783"/>
      <c r="BC54" s="1783"/>
      <c r="BD54" s="1783"/>
      <c r="BE54" s="1783"/>
      <c r="BF54" s="1783"/>
      <c r="BG54" s="1783"/>
      <c r="BH54" s="1783"/>
      <c r="BI54" s="1783"/>
    </row>
    <row r="55" spans="1:187">
      <c r="A55" s="1819"/>
      <c r="B55" s="1818"/>
      <c r="C55" s="1818"/>
      <c r="D55" s="1818"/>
      <c r="E55" s="1818"/>
      <c r="F55" s="1818"/>
      <c r="G55" s="1818"/>
      <c r="H55" s="1783"/>
      <c r="I55" s="1783"/>
      <c r="J55" s="1783"/>
      <c r="K55" s="1783"/>
      <c r="L55" s="1783"/>
      <c r="M55" s="1783"/>
      <c r="N55" s="1783"/>
      <c r="O55" s="1783"/>
      <c r="P55" s="1783"/>
      <c r="Q55" s="1783"/>
      <c r="R55" s="1783"/>
      <c r="S55" s="1783"/>
      <c r="T55" s="1783"/>
      <c r="U55" s="1783"/>
      <c r="V55" s="1783"/>
      <c r="W55" s="1783"/>
      <c r="X55" s="1783"/>
      <c r="Y55" s="1783"/>
      <c r="Z55" s="1783"/>
      <c r="AA55" s="1783"/>
      <c r="AB55" s="1783"/>
      <c r="AC55" s="1783"/>
      <c r="AD55" s="1783"/>
      <c r="AE55" s="1783"/>
      <c r="AF55" s="1783"/>
      <c r="AG55" s="1783"/>
      <c r="AH55" s="1783"/>
      <c r="AI55" s="1783"/>
      <c r="AJ55" s="1783"/>
      <c r="AK55" s="1783"/>
      <c r="AL55" s="1783"/>
      <c r="AM55" s="1783"/>
      <c r="AN55" s="1783"/>
      <c r="AO55" s="1783"/>
      <c r="AP55" s="1783"/>
      <c r="AQ55" s="1783"/>
      <c r="AR55" s="1783"/>
      <c r="AS55" s="1783"/>
      <c r="AT55" s="1783"/>
      <c r="AU55" s="1783"/>
      <c r="AV55" s="1783"/>
      <c r="AW55" s="1783"/>
      <c r="AX55" s="1783"/>
      <c r="AY55" s="1783"/>
      <c r="AZ55" s="1783"/>
      <c r="BA55" s="1783"/>
      <c r="BB55" s="1783"/>
      <c r="BC55" s="1783"/>
      <c r="BD55" s="1783"/>
      <c r="BE55" s="1783"/>
      <c r="BF55" s="1783"/>
      <c r="BG55" s="1783"/>
      <c r="BH55" s="1783"/>
      <c r="BI55" s="1783"/>
    </row>
    <row r="56" spans="1:187">
      <c r="A56" s="1819"/>
      <c r="B56" s="1818"/>
      <c r="C56" s="1818"/>
      <c r="D56" s="1818"/>
      <c r="E56" s="1818"/>
      <c r="F56" s="1818"/>
      <c r="G56" s="1818"/>
      <c r="H56" s="1783"/>
      <c r="I56" s="1783"/>
      <c r="J56" s="1783"/>
      <c r="K56" s="1783"/>
      <c r="L56" s="1783"/>
      <c r="M56" s="1783"/>
      <c r="N56" s="1783"/>
      <c r="O56" s="1783"/>
      <c r="P56" s="1783"/>
      <c r="Q56" s="1783"/>
      <c r="R56" s="1783"/>
      <c r="S56" s="1783"/>
      <c r="T56" s="1783"/>
      <c r="U56" s="1783"/>
      <c r="V56" s="1783"/>
      <c r="W56" s="1783"/>
      <c r="X56" s="1783"/>
      <c r="Y56" s="1783"/>
      <c r="Z56" s="1783"/>
      <c r="AA56" s="1783"/>
      <c r="AB56" s="1783"/>
      <c r="AC56" s="1783"/>
      <c r="AD56" s="1783"/>
      <c r="AE56" s="1783"/>
      <c r="AF56" s="1783"/>
      <c r="AG56" s="1783"/>
      <c r="AH56" s="1783"/>
      <c r="AI56" s="1783"/>
      <c r="AJ56" s="1783"/>
      <c r="AK56" s="1783"/>
      <c r="AL56" s="1783"/>
      <c r="AM56" s="1783"/>
      <c r="AN56" s="1783"/>
      <c r="AO56" s="1783"/>
      <c r="AP56" s="1783"/>
      <c r="AQ56" s="1783"/>
      <c r="AR56" s="1783"/>
      <c r="AS56" s="1783"/>
      <c r="AT56" s="1783"/>
      <c r="AU56" s="1783"/>
      <c r="AV56" s="1783"/>
      <c r="AW56" s="1783"/>
      <c r="AX56" s="1783"/>
      <c r="AY56" s="1783"/>
      <c r="AZ56" s="1783"/>
      <c r="BA56" s="1783"/>
      <c r="BB56" s="1783"/>
      <c r="BC56" s="1783"/>
      <c r="BD56" s="1783"/>
      <c r="BE56" s="1783"/>
      <c r="BF56" s="1783"/>
      <c r="BG56" s="1783"/>
      <c r="BH56" s="1783"/>
      <c r="BI56" s="1783"/>
    </row>
    <row r="57" spans="1:187">
      <c r="A57" s="1819"/>
      <c r="B57" s="1818"/>
      <c r="C57" s="1818"/>
      <c r="D57" s="1818"/>
      <c r="E57" s="1818"/>
      <c r="F57" s="1818"/>
      <c r="G57" s="1818"/>
      <c r="H57" s="1783"/>
      <c r="I57" s="1783"/>
      <c r="J57" s="1783"/>
      <c r="K57" s="1783"/>
      <c r="L57" s="1783"/>
      <c r="M57" s="1783"/>
      <c r="N57" s="1783"/>
      <c r="O57" s="1783"/>
      <c r="P57" s="1783"/>
      <c r="Q57" s="1783"/>
      <c r="R57" s="1783"/>
      <c r="S57" s="1783"/>
      <c r="T57" s="1783"/>
      <c r="U57" s="1783"/>
      <c r="V57" s="1783"/>
      <c r="W57" s="1783"/>
      <c r="X57" s="1783"/>
      <c r="Y57" s="1783"/>
      <c r="Z57" s="1783"/>
      <c r="AA57" s="1783"/>
      <c r="AB57" s="1783"/>
      <c r="AC57" s="1783"/>
      <c r="AD57" s="1783"/>
      <c r="AE57" s="1783"/>
      <c r="AF57" s="1783"/>
      <c r="AG57" s="1783"/>
      <c r="AH57" s="1783"/>
      <c r="AI57" s="1783"/>
      <c r="AJ57" s="1783"/>
      <c r="AK57" s="1783"/>
      <c r="AL57" s="1783"/>
      <c r="AM57" s="1783"/>
      <c r="AN57" s="1783"/>
      <c r="AO57" s="1783"/>
      <c r="AP57" s="1783"/>
      <c r="AQ57" s="1783"/>
      <c r="AR57" s="1783"/>
      <c r="AS57" s="1783"/>
      <c r="AT57" s="1783"/>
      <c r="AU57" s="1783"/>
      <c r="AV57" s="1783"/>
      <c r="AW57" s="1783"/>
      <c r="AX57" s="1783"/>
      <c r="AY57" s="1783"/>
      <c r="AZ57" s="1783"/>
      <c r="BA57" s="1783"/>
      <c r="BB57" s="1783"/>
      <c r="BC57" s="1783"/>
      <c r="BD57" s="1783"/>
      <c r="BE57" s="1783"/>
      <c r="BF57" s="1783"/>
      <c r="BG57" s="1783"/>
      <c r="BH57" s="1783"/>
      <c r="BI57" s="1783"/>
    </row>
    <row r="58" spans="1:187">
      <c r="A58" s="1819"/>
      <c r="B58" s="1818"/>
      <c r="C58" s="1818"/>
      <c r="D58" s="1818"/>
      <c r="E58" s="1818"/>
      <c r="F58" s="1818"/>
      <c r="G58" s="1818"/>
      <c r="H58" s="1783"/>
      <c r="I58" s="1783"/>
      <c r="J58" s="1783"/>
      <c r="K58" s="1783"/>
      <c r="L58" s="1783"/>
      <c r="M58" s="1783"/>
      <c r="N58" s="1783"/>
      <c r="O58" s="1783"/>
      <c r="P58" s="1783"/>
      <c r="Q58" s="1783"/>
      <c r="R58" s="1783"/>
      <c r="S58" s="1783"/>
      <c r="T58" s="1783"/>
      <c r="U58" s="1783"/>
      <c r="V58" s="1783"/>
      <c r="W58" s="1783"/>
      <c r="X58" s="1783"/>
      <c r="Y58" s="1783"/>
      <c r="Z58" s="1783"/>
      <c r="AA58" s="1783"/>
      <c r="AB58" s="1783"/>
      <c r="AC58" s="1783"/>
      <c r="AD58" s="1783"/>
      <c r="AE58" s="1783"/>
      <c r="AF58" s="1783"/>
      <c r="AG58" s="1783"/>
      <c r="AH58" s="1783"/>
      <c r="AI58" s="1783"/>
      <c r="AJ58" s="1783"/>
      <c r="AK58" s="1783"/>
      <c r="AL58" s="1783"/>
      <c r="AM58" s="1783"/>
      <c r="AN58" s="1783"/>
      <c r="AO58" s="1783"/>
      <c r="AP58" s="1783"/>
      <c r="AQ58" s="1783"/>
      <c r="AR58" s="1783"/>
      <c r="AS58" s="1783"/>
      <c r="AT58" s="1783"/>
      <c r="AU58" s="1783"/>
      <c r="AV58" s="1783"/>
      <c r="AW58" s="1783"/>
      <c r="AX58" s="1783"/>
      <c r="AY58" s="1783"/>
      <c r="AZ58" s="1783"/>
      <c r="BA58" s="1783"/>
      <c r="BB58" s="1783"/>
      <c r="BC58" s="1783"/>
      <c r="BD58" s="1783"/>
      <c r="BE58" s="1783"/>
      <c r="BF58" s="1783"/>
      <c r="BG58" s="1783"/>
      <c r="BH58" s="1783"/>
      <c r="BI58" s="1783"/>
    </row>
    <row r="59" spans="1:187">
      <c r="A59" s="1819"/>
      <c r="B59" s="1818"/>
      <c r="C59" s="1818"/>
      <c r="D59" s="1818"/>
      <c r="E59" s="1818"/>
      <c r="F59" s="1818"/>
      <c r="G59" s="1818"/>
      <c r="H59" s="1783"/>
      <c r="I59" s="1783"/>
      <c r="J59" s="1783"/>
      <c r="K59" s="1783"/>
      <c r="L59" s="1783"/>
      <c r="M59" s="1783"/>
      <c r="N59" s="1783"/>
      <c r="O59" s="1783"/>
      <c r="P59" s="1783"/>
      <c r="Q59" s="1783"/>
      <c r="R59" s="1783"/>
      <c r="S59" s="1783"/>
      <c r="T59" s="1783"/>
      <c r="U59" s="1783"/>
      <c r="V59" s="1783"/>
      <c r="W59" s="1783"/>
      <c r="X59" s="1783"/>
      <c r="Y59" s="1783"/>
      <c r="Z59" s="1783"/>
      <c r="AA59" s="1783"/>
      <c r="AB59" s="1783"/>
      <c r="AC59" s="1783"/>
      <c r="AD59" s="1783"/>
      <c r="AE59" s="1783"/>
      <c r="AF59" s="1783"/>
      <c r="AG59" s="1783"/>
      <c r="AH59" s="1783"/>
      <c r="AI59" s="1783"/>
      <c r="AJ59" s="1783"/>
      <c r="AK59" s="1783"/>
      <c r="AL59" s="1783"/>
      <c r="AM59" s="1783"/>
      <c r="AN59" s="1783"/>
      <c r="AO59" s="1783"/>
      <c r="AP59" s="1783"/>
      <c r="AQ59" s="1783"/>
      <c r="AR59" s="1783"/>
      <c r="AS59" s="1783"/>
      <c r="AT59" s="1783"/>
      <c r="AU59" s="1783"/>
      <c r="AV59" s="1783"/>
      <c r="AW59" s="1783"/>
      <c r="AX59" s="1783"/>
      <c r="AY59" s="1783"/>
      <c r="AZ59" s="1783"/>
      <c r="BA59" s="1783"/>
      <c r="BB59" s="1783"/>
      <c r="BC59" s="1783"/>
      <c r="BD59" s="1783"/>
      <c r="BE59" s="1783"/>
      <c r="BF59" s="1783"/>
      <c r="BG59" s="1783"/>
      <c r="BH59" s="1783"/>
      <c r="BI59" s="1783"/>
    </row>
    <row r="60" spans="1:187">
      <c r="A60" s="1819"/>
      <c r="B60" s="1818"/>
      <c r="C60" s="1818"/>
      <c r="D60" s="1818"/>
      <c r="E60" s="1818"/>
      <c r="F60" s="1818"/>
      <c r="G60" s="1818"/>
      <c r="H60" s="1783"/>
      <c r="I60" s="1783"/>
      <c r="J60" s="1783"/>
      <c r="K60" s="1783"/>
      <c r="L60" s="1783"/>
      <c r="M60" s="1783"/>
      <c r="N60" s="1783"/>
      <c r="O60" s="1783"/>
      <c r="P60" s="1783"/>
      <c r="Q60" s="1783"/>
      <c r="R60" s="1783"/>
      <c r="S60" s="1783"/>
      <c r="T60" s="1783"/>
      <c r="U60" s="1783"/>
      <c r="V60" s="1783"/>
      <c r="W60" s="1783"/>
      <c r="X60" s="1783"/>
      <c r="Y60" s="1783"/>
      <c r="Z60" s="1783"/>
      <c r="AA60" s="1783"/>
      <c r="AB60" s="1783"/>
      <c r="AC60" s="1783"/>
      <c r="AD60" s="1783"/>
      <c r="AE60" s="1783"/>
      <c r="AF60" s="1783"/>
      <c r="AG60" s="1783"/>
      <c r="AH60" s="1783"/>
      <c r="AI60" s="1783"/>
      <c r="AJ60" s="1783"/>
      <c r="AK60" s="1783"/>
      <c r="AL60" s="1783"/>
      <c r="AM60" s="1783"/>
      <c r="AN60" s="1783"/>
      <c r="AO60" s="1783"/>
      <c r="AP60" s="1783"/>
      <c r="AQ60" s="1783"/>
      <c r="AR60" s="1783"/>
      <c r="AS60" s="1783"/>
      <c r="AT60" s="1783"/>
      <c r="AU60" s="1783"/>
      <c r="AV60" s="1783"/>
      <c r="AW60" s="1783"/>
      <c r="AX60" s="1783"/>
      <c r="AY60" s="1783"/>
      <c r="AZ60" s="1783"/>
      <c r="BA60" s="1783"/>
      <c r="BB60" s="1783"/>
      <c r="BC60" s="1783"/>
      <c r="BD60" s="1783"/>
      <c r="BE60" s="1783"/>
      <c r="BF60" s="1783"/>
      <c r="BG60" s="1783"/>
      <c r="BH60" s="1783"/>
      <c r="BI60" s="1783"/>
    </row>
    <row r="61" spans="1:187">
      <c r="A61" s="1819"/>
      <c r="B61" s="1818"/>
      <c r="C61" s="1818"/>
      <c r="D61" s="1818"/>
      <c r="E61" s="1818"/>
      <c r="F61" s="1818"/>
      <c r="G61" s="1818"/>
      <c r="H61" s="1783"/>
      <c r="I61" s="1783"/>
      <c r="J61" s="1783"/>
      <c r="K61" s="1783"/>
      <c r="L61" s="1783"/>
      <c r="M61" s="1783"/>
      <c r="N61" s="1783"/>
      <c r="O61" s="1783"/>
      <c r="P61" s="1783"/>
      <c r="Q61" s="1783"/>
      <c r="R61" s="1783"/>
      <c r="S61" s="1783"/>
      <c r="T61" s="1783"/>
      <c r="U61" s="1783"/>
      <c r="V61" s="1783"/>
      <c r="W61" s="1783"/>
      <c r="X61" s="1783"/>
      <c r="Y61" s="1783"/>
      <c r="Z61" s="1783"/>
      <c r="AA61" s="1783"/>
      <c r="AB61" s="1783"/>
      <c r="AC61" s="1783"/>
      <c r="AD61" s="1783"/>
      <c r="AE61" s="1783"/>
      <c r="AF61" s="1783"/>
      <c r="AG61" s="1783"/>
      <c r="AH61" s="1783"/>
      <c r="AI61" s="1783"/>
      <c r="AJ61" s="1783"/>
      <c r="AK61" s="1783"/>
      <c r="AL61" s="1783"/>
      <c r="AM61" s="1783"/>
      <c r="AN61" s="1783"/>
      <c r="AO61" s="1783"/>
      <c r="AP61" s="1783"/>
      <c r="AQ61" s="1783"/>
      <c r="AR61" s="1783"/>
      <c r="AS61" s="1783"/>
      <c r="AT61" s="1783"/>
      <c r="AU61" s="1783"/>
      <c r="AV61" s="1783"/>
      <c r="AW61" s="1783"/>
      <c r="AX61" s="1783"/>
      <c r="AY61" s="1783"/>
      <c r="AZ61" s="1783"/>
      <c r="BA61" s="1783"/>
      <c r="BB61" s="1783"/>
      <c r="BC61" s="1783"/>
      <c r="BD61" s="1783"/>
      <c r="BE61" s="1783"/>
      <c r="BF61" s="1783"/>
      <c r="BG61" s="1783"/>
      <c r="BH61" s="1783"/>
      <c r="BI61" s="1783"/>
    </row>
    <row r="62" spans="1:187">
      <c r="A62" s="1819"/>
      <c r="B62" s="1818"/>
      <c r="C62" s="1818"/>
      <c r="D62" s="1818"/>
      <c r="E62" s="1818"/>
      <c r="F62" s="1818"/>
      <c r="G62" s="1818"/>
      <c r="H62" s="1783"/>
      <c r="I62" s="1783"/>
      <c r="J62" s="1783"/>
      <c r="K62" s="1783"/>
      <c r="L62" s="1783"/>
      <c r="M62" s="1783"/>
      <c r="N62" s="1783"/>
      <c r="O62" s="1783"/>
      <c r="P62" s="1783"/>
      <c r="Q62" s="1783"/>
      <c r="R62" s="1783"/>
      <c r="S62" s="1783"/>
      <c r="T62" s="1783"/>
      <c r="U62" s="1783"/>
      <c r="V62" s="1783"/>
      <c r="W62" s="1783"/>
      <c r="X62" s="1783"/>
      <c r="Y62" s="1783"/>
      <c r="Z62" s="1783"/>
      <c r="AA62" s="1783"/>
      <c r="AB62" s="1783"/>
      <c r="AC62" s="1783"/>
      <c r="AD62" s="1783"/>
      <c r="AE62" s="1783"/>
      <c r="AF62" s="1783"/>
      <c r="AG62" s="1783"/>
      <c r="AH62" s="1783"/>
      <c r="AI62" s="1783"/>
      <c r="AJ62" s="1783"/>
      <c r="AK62" s="1783"/>
      <c r="AL62" s="1783"/>
      <c r="AM62" s="1783"/>
      <c r="AN62" s="1783"/>
      <c r="AO62" s="1783"/>
      <c r="AP62" s="1783"/>
      <c r="AQ62" s="1783"/>
      <c r="AR62" s="1783"/>
      <c r="AS62" s="1783"/>
      <c r="AT62" s="1783"/>
      <c r="AU62" s="1783"/>
      <c r="AV62" s="1783"/>
      <c r="AW62" s="1783"/>
      <c r="AX62" s="1783"/>
      <c r="AY62" s="1783"/>
      <c r="AZ62" s="1783"/>
      <c r="BA62" s="1783"/>
      <c r="BB62" s="1783"/>
      <c r="BC62" s="1783"/>
      <c r="BD62" s="1783"/>
      <c r="BE62" s="1783"/>
      <c r="BF62" s="1783"/>
      <c r="BG62" s="1783"/>
      <c r="BH62" s="1783"/>
      <c r="BI62" s="1783"/>
    </row>
    <row r="63" spans="1:187">
      <c r="A63" s="1819"/>
      <c r="B63" s="1818"/>
      <c r="C63" s="1818"/>
      <c r="D63" s="1818"/>
      <c r="E63" s="1818"/>
      <c r="F63" s="1818"/>
      <c r="G63" s="1818"/>
      <c r="H63" s="1783"/>
      <c r="I63" s="1783"/>
      <c r="J63" s="1783"/>
      <c r="K63" s="1783"/>
      <c r="L63" s="1783"/>
      <c r="M63" s="1783"/>
      <c r="N63" s="1783"/>
      <c r="O63" s="1783"/>
      <c r="P63" s="1783"/>
      <c r="Q63" s="1783"/>
      <c r="R63" s="1783"/>
      <c r="S63" s="1783"/>
      <c r="T63" s="1783"/>
      <c r="U63" s="1783"/>
      <c r="V63" s="1783"/>
      <c r="W63" s="1783"/>
      <c r="X63" s="1783"/>
      <c r="Y63" s="1783"/>
      <c r="Z63" s="1783"/>
      <c r="AA63" s="1783"/>
      <c r="AB63" s="1783"/>
      <c r="AC63" s="1783"/>
      <c r="AD63" s="1783"/>
      <c r="AE63" s="1783"/>
      <c r="AF63" s="1783"/>
      <c r="AG63" s="1783"/>
      <c r="AH63" s="1783"/>
      <c r="AI63" s="1783"/>
      <c r="AJ63" s="1783"/>
      <c r="AK63" s="1783"/>
      <c r="AL63" s="1783"/>
      <c r="AM63" s="1783"/>
      <c r="AN63" s="1783"/>
      <c r="AO63" s="1783"/>
      <c r="AP63" s="1783"/>
      <c r="AQ63" s="1783"/>
      <c r="AR63" s="1783"/>
      <c r="AS63" s="1783"/>
      <c r="AT63" s="1783"/>
      <c r="AU63" s="1783"/>
      <c r="AV63" s="1783"/>
      <c r="AW63" s="1783"/>
      <c r="AX63" s="1783"/>
      <c r="AY63" s="1783"/>
      <c r="AZ63" s="1783"/>
      <c r="BA63" s="1783"/>
      <c r="BB63" s="1783"/>
      <c r="BC63" s="1783"/>
      <c r="BD63" s="1783"/>
      <c r="BE63" s="1783"/>
      <c r="BF63" s="1783"/>
      <c r="BG63" s="1783"/>
      <c r="BH63" s="1783"/>
      <c r="BI63" s="1783"/>
    </row>
    <row r="64" spans="1:187">
      <c r="A64" s="1819"/>
      <c r="B64" s="1818"/>
      <c r="C64" s="1818"/>
      <c r="D64" s="1818"/>
      <c r="E64" s="1818"/>
      <c r="F64" s="1818"/>
      <c r="G64" s="1818"/>
      <c r="H64" s="1783"/>
      <c r="I64" s="1783"/>
      <c r="J64" s="1783"/>
      <c r="K64" s="1783"/>
      <c r="L64" s="1783"/>
      <c r="M64" s="1783"/>
      <c r="N64" s="1783"/>
      <c r="O64" s="1783"/>
      <c r="P64" s="1783"/>
      <c r="Q64" s="1783"/>
      <c r="R64" s="1783"/>
      <c r="S64" s="1783"/>
      <c r="T64" s="1783"/>
      <c r="U64" s="1783"/>
      <c r="V64" s="1783"/>
      <c r="W64" s="1783"/>
      <c r="X64" s="1783"/>
      <c r="Y64" s="1783"/>
      <c r="Z64" s="1783"/>
      <c r="AA64" s="1783"/>
      <c r="AB64" s="1783"/>
      <c r="AC64" s="1783"/>
      <c r="AD64" s="1783"/>
      <c r="AE64" s="1783"/>
      <c r="AF64" s="1783"/>
      <c r="AG64" s="1783"/>
      <c r="AH64" s="1783"/>
      <c r="AI64" s="1783"/>
      <c r="AJ64" s="1783"/>
      <c r="AK64" s="1783"/>
      <c r="AL64" s="1783"/>
      <c r="AM64" s="1783"/>
      <c r="AN64" s="1783"/>
      <c r="AO64" s="1783"/>
      <c r="AP64" s="1783"/>
      <c r="AQ64" s="1783"/>
      <c r="AR64" s="1783"/>
      <c r="AS64" s="1783"/>
      <c r="AT64" s="1783"/>
      <c r="AU64" s="1783"/>
      <c r="AV64" s="1783"/>
      <c r="AW64" s="1783"/>
      <c r="AX64" s="1783"/>
      <c r="AY64" s="1783"/>
      <c r="AZ64" s="1783"/>
      <c r="BA64" s="1783"/>
      <c r="BB64" s="1783"/>
      <c r="BC64" s="1783"/>
      <c r="BD64" s="1783"/>
      <c r="BE64" s="1783"/>
      <c r="BF64" s="1783"/>
      <c r="BG64" s="1783"/>
      <c r="BH64" s="1783"/>
      <c r="BI64" s="1783"/>
    </row>
    <row r="65" spans="1:61">
      <c r="A65" s="1819"/>
      <c r="B65" s="1818"/>
      <c r="C65" s="1818"/>
      <c r="D65" s="1818"/>
      <c r="E65" s="1818"/>
      <c r="F65" s="1818"/>
      <c r="G65" s="1818"/>
      <c r="H65" s="1783"/>
      <c r="I65" s="1783"/>
      <c r="J65" s="1783"/>
      <c r="K65" s="1783"/>
      <c r="L65" s="1783"/>
      <c r="M65" s="1783"/>
      <c r="N65" s="1783"/>
      <c r="O65" s="1783"/>
      <c r="P65" s="1783"/>
      <c r="Q65" s="1783"/>
      <c r="R65" s="1783"/>
      <c r="S65" s="1783"/>
      <c r="T65" s="1783"/>
      <c r="U65" s="1783"/>
      <c r="V65" s="1783"/>
      <c r="W65" s="1783"/>
      <c r="X65" s="1783"/>
      <c r="Y65" s="1783"/>
      <c r="Z65" s="1783"/>
      <c r="AA65" s="1783"/>
      <c r="AB65" s="1783"/>
      <c r="AC65" s="1783"/>
      <c r="AD65" s="1783"/>
      <c r="AE65" s="1783"/>
      <c r="AF65" s="1783"/>
      <c r="AG65" s="1783"/>
      <c r="AH65" s="1783"/>
      <c r="AI65" s="1783"/>
      <c r="AJ65" s="1783"/>
      <c r="AK65" s="1783"/>
      <c r="AL65" s="1783"/>
      <c r="AM65" s="1783"/>
      <c r="AN65" s="1783"/>
      <c r="AO65" s="1783"/>
      <c r="AP65" s="1783"/>
      <c r="AQ65" s="1783"/>
      <c r="AR65" s="1783"/>
      <c r="AS65" s="1783"/>
      <c r="AT65" s="1783"/>
      <c r="AU65" s="1783"/>
      <c r="AV65" s="1783"/>
      <c r="AW65" s="1783"/>
      <c r="AX65" s="1783"/>
      <c r="AY65" s="1783"/>
      <c r="AZ65" s="1783"/>
      <c r="BA65" s="1783"/>
      <c r="BB65" s="1783"/>
      <c r="BC65" s="1783"/>
      <c r="BD65" s="1783"/>
      <c r="BE65" s="1783"/>
      <c r="BF65" s="1783"/>
      <c r="BG65" s="1783"/>
      <c r="BH65" s="1783"/>
      <c r="BI65" s="1783"/>
    </row>
    <row r="66" spans="1:61">
      <c r="A66" s="1819"/>
      <c r="B66" s="1818"/>
      <c r="C66" s="1818"/>
      <c r="D66" s="1818"/>
      <c r="E66" s="1818"/>
      <c r="F66" s="1818"/>
      <c r="G66" s="1818"/>
      <c r="H66" s="1783"/>
      <c r="I66" s="1783"/>
      <c r="J66" s="1783"/>
      <c r="K66" s="1783"/>
      <c r="L66" s="1783"/>
      <c r="M66" s="1783"/>
      <c r="N66" s="1783"/>
      <c r="O66" s="1783"/>
      <c r="P66" s="1783"/>
      <c r="Q66" s="1783"/>
      <c r="R66" s="1783"/>
      <c r="S66" s="1783"/>
      <c r="T66" s="1783"/>
      <c r="U66" s="1783"/>
      <c r="V66" s="1783"/>
      <c r="W66" s="1783"/>
      <c r="X66" s="1783"/>
      <c r="Y66" s="1783"/>
      <c r="Z66" s="1783"/>
      <c r="AA66" s="1783"/>
      <c r="AB66" s="1783"/>
      <c r="AC66" s="1783"/>
      <c r="AD66" s="1783"/>
      <c r="AE66" s="1783"/>
      <c r="AF66" s="1783"/>
      <c r="AG66" s="1783"/>
      <c r="AH66" s="1783"/>
      <c r="AI66" s="1783"/>
      <c r="AJ66" s="1783"/>
      <c r="AK66" s="1783"/>
      <c r="AL66" s="1783"/>
      <c r="AM66" s="1783"/>
      <c r="AN66" s="1783"/>
      <c r="AO66" s="1783"/>
      <c r="AP66" s="1783"/>
      <c r="AQ66" s="1783"/>
      <c r="AR66" s="1783"/>
      <c r="AS66" s="1783"/>
      <c r="AT66" s="1783"/>
      <c r="AU66" s="1783"/>
      <c r="AV66" s="1783"/>
      <c r="AW66" s="1783"/>
      <c r="AX66" s="1783"/>
      <c r="AY66" s="1783"/>
      <c r="AZ66" s="1783"/>
      <c r="BA66" s="1783"/>
      <c r="BB66" s="1783"/>
      <c r="BC66" s="1783"/>
      <c r="BD66" s="1783"/>
      <c r="BE66" s="1783"/>
      <c r="BF66" s="1783"/>
      <c r="BG66" s="1783"/>
      <c r="BH66" s="1783"/>
      <c r="BI66" s="1783"/>
    </row>
    <row r="67" spans="1:61">
      <c r="A67" s="1819"/>
      <c r="B67" s="1818"/>
      <c r="C67" s="1818"/>
      <c r="D67" s="1818"/>
      <c r="E67" s="1818"/>
      <c r="F67" s="1818"/>
      <c r="G67" s="1818"/>
      <c r="H67" s="1783"/>
      <c r="I67" s="1783"/>
      <c r="J67" s="1783"/>
      <c r="K67" s="1783"/>
      <c r="L67" s="1783"/>
      <c r="M67" s="1783"/>
      <c r="N67" s="1783"/>
      <c r="O67" s="1783"/>
      <c r="P67" s="1783"/>
      <c r="Q67" s="1783"/>
      <c r="R67" s="1783"/>
      <c r="S67" s="1783"/>
      <c r="T67" s="1783"/>
      <c r="U67" s="1783"/>
      <c r="V67" s="1783"/>
      <c r="W67" s="1783"/>
      <c r="X67" s="1783"/>
      <c r="Y67" s="1783"/>
      <c r="Z67" s="1783"/>
      <c r="AA67" s="1783"/>
      <c r="AB67" s="1783"/>
      <c r="AC67" s="1783"/>
      <c r="AD67" s="1783"/>
      <c r="AE67" s="1783"/>
      <c r="AF67" s="1783"/>
      <c r="AG67" s="1783"/>
      <c r="AH67" s="1783"/>
      <c r="AI67" s="1783"/>
      <c r="AJ67" s="1783"/>
      <c r="AK67" s="1783"/>
      <c r="AL67" s="1783"/>
      <c r="AM67" s="1783"/>
      <c r="AN67" s="1783"/>
      <c r="AO67" s="1783"/>
      <c r="AP67" s="1783"/>
      <c r="AQ67" s="1783"/>
      <c r="AR67" s="1783"/>
      <c r="AS67" s="1783"/>
      <c r="AT67" s="1783"/>
      <c r="AU67" s="1783"/>
      <c r="AV67" s="1783"/>
      <c r="AW67" s="1783"/>
      <c r="AX67" s="1783"/>
      <c r="AY67" s="1783"/>
      <c r="AZ67" s="1783"/>
      <c r="BA67" s="1783"/>
      <c r="BB67" s="1783"/>
      <c r="BC67" s="1783"/>
      <c r="BD67" s="1783"/>
      <c r="BE67" s="1783"/>
      <c r="BF67" s="1783"/>
      <c r="BG67" s="1783"/>
      <c r="BH67" s="1783"/>
      <c r="BI67" s="1783"/>
    </row>
    <row r="68" spans="1:61">
      <c r="A68" s="1819"/>
      <c r="B68" s="1818"/>
      <c r="C68" s="1818"/>
      <c r="D68" s="1818"/>
      <c r="E68" s="1818"/>
      <c r="F68" s="1818"/>
      <c r="G68" s="1818"/>
      <c r="H68" s="1783"/>
      <c r="I68" s="1783"/>
      <c r="J68" s="1783"/>
      <c r="K68" s="1783"/>
      <c r="L68" s="1783"/>
      <c r="M68" s="1783"/>
      <c r="N68" s="1783"/>
      <c r="O68" s="1783"/>
      <c r="P68" s="1783"/>
      <c r="Q68" s="1783"/>
      <c r="R68" s="1783"/>
      <c r="S68" s="1783"/>
      <c r="T68" s="1783"/>
      <c r="U68" s="1783"/>
      <c r="V68" s="1783"/>
      <c r="W68" s="1783"/>
      <c r="X68" s="1783"/>
      <c r="Y68" s="1783"/>
      <c r="Z68" s="1783"/>
      <c r="AA68" s="1783"/>
      <c r="AB68" s="1783"/>
      <c r="AC68" s="1783"/>
      <c r="AD68" s="1783"/>
      <c r="AE68" s="1783"/>
      <c r="AF68" s="1783"/>
      <c r="AG68" s="1783"/>
      <c r="AH68" s="1783"/>
      <c r="AI68" s="1783"/>
      <c r="AJ68" s="1783"/>
      <c r="AK68" s="1783"/>
      <c r="AL68" s="1783"/>
      <c r="AM68" s="1783"/>
      <c r="AN68" s="1783"/>
      <c r="AO68" s="1783"/>
      <c r="AP68" s="1783"/>
      <c r="AQ68" s="1783"/>
      <c r="AR68" s="1783"/>
      <c r="AS68" s="1783"/>
      <c r="AT68" s="1783"/>
      <c r="AU68" s="1783"/>
      <c r="AV68" s="1783"/>
      <c r="AW68" s="1783"/>
      <c r="AX68" s="1783"/>
      <c r="AY68" s="1783"/>
      <c r="AZ68" s="1783"/>
      <c r="BA68" s="1783"/>
      <c r="BB68" s="1783"/>
      <c r="BC68" s="1783"/>
      <c r="BD68" s="1783"/>
      <c r="BE68" s="1783"/>
      <c r="BF68" s="1783"/>
      <c r="BG68" s="1783"/>
      <c r="BH68" s="1783"/>
      <c r="BI68" s="1783"/>
    </row>
    <row r="69" spans="1:61">
      <c r="A69" s="1819"/>
      <c r="B69" s="1818"/>
      <c r="C69" s="1818"/>
      <c r="D69" s="1818"/>
      <c r="E69" s="1818"/>
      <c r="F69" s="1818"/>
      <c r="G69" s="1818"/>
      <c r="H69" s="1783"/>
      <c r="I69" s="1783"/>
      <c r="J69" s="1783"/>
      <c r="K69" s="1783"/>
      <c r="L69" s="1783"/>
      <c r="M69" s="1783"/>
      <c r="N69" s="1783"/>
      <c r="O69" s="1783"/>
      <c r="P69" s="1783"/>
      <c r="Q69" s="1783"/>
      <c r="R69" s="1783"/>
      <c r="S69" s="1783"/>
      <c r="T69" s="1783"/>
      <c r="U69" s="1783"/>
      <c r="V69" s="1783"/>
      <c r="W69" s="1783"/>
      <c r="X69" s="1783"/>
      <c r="Y69" s="1783"/>
      <c r="Z69" s="1783"/>
      <c r="AA69" s="1783"/>
      <c r="AB69" s="1783"/>
      <c r="AC69" s="1783"/>
      <c r="AD69" s="1783"/>
      <c r="AE69" s="1783"/>
      <c r="AF69" s="1783"/>
      <c r="AG69" s="1783"/>
      <c r="AH69" s="1783"/>
      <c r="AI69" s="1783"/>
      <c r="AJ69" s="1783"/>
      <c r="AK69" s="1783"/>
      <c r="AL69" s="1783"/>
      <c r="AM69" s="1783"/>
      <c r="AN69" s="1783"/>
      <c r="AO69" s="1783"/>
      <c r="AP69" s="1783"/>
      <c r="AQ69" s="1783"/>
      <c r="AR69" s="1783"/>
      <c r="AS69" s="1783"/>
      <c r="AT69" s="1783"/>
      <c r="AU69" s="1783"/>
      <c r="AV69" s="1783"/>
      <c r="AW69" s="1783"/>
      <c r="AX69" s="1783"/>
      <c r="AY69" s="1783"/>
      <c r="AZ69" s="1783"/>
      <c r="BA69" s="1783"/>
      <c r="BB69" s="1783"/>
      <c r="BC69" s="1783"/>
      <c r="BD69" s="1783"/>
      <c r="BE69" s="1783"/>
      <c r="BF69" s="1783"/>
      <c r="BG69" s="1783"/>
      <c r="BH69" s="1783"/>
      <c r="BI69" s="1783"/>
    </row>
    <row r="70" spans="1:61">
      <c r="A70" s="1819"/>
      <c r="B70" s="1818"/>
      <c r="C70" s="1818"/>
      <c r="D70" s="1818"/>
      <c r="E70" s="1818"/>
      <c r="F70" s="1818"/>
      <c r="G70" s="1818"/>
      <c r="H70" s="1783"/>
      <c r="I70" s="1783"/>
      <c r="J70" s="1783"/>
      <c r="K70" s="1783"/>
      <c r="L70" s="1783"/>
      <c r="M70" s="1783"/>
      <c r="N70" s="1783"/>
      <c r="O70" s="1783"/>
      <c r="P70" s="1783"/>
      <c r="Q70" s="1783"/>
      <c r="R70" s="1783"/>
      <c r="S70" s="1783"/>
      <c r="T70" s="1783"/>
      <c r="U70" s="1783"/>
      <c r="V70" s="1783"/>
      <c r="W70" s="1783"/>
      <c r="X70" s="1783"/>
      <c r="Y70" s="1783"/>
      <c r="Z70" s="1783"/>
      <c r="AA70" s="1783"/>
      <c r="AB70" s="1783"/>
      <c r="AC70" s="1783"/>
      <c r="AD70" s="1783"/>
      <c r="AE70" s="1783"/>
      <c r="AF70" s="1783"/>
      <c r="AG70" s="1783"/>
      <c r="AH70" s="1783"/>
      <c r="AI70" s="1783"/>
      <c r="AJ70" s="1783"/>
      <c r="AK70" s="1783"/>
      <c r="AL70" s="1783"/>
      <c r="AM70" s="1783"/>
      <c r="AN70" s="1783"/>
      <c r="AO70" s="1783"/>
      <c r="AP70" s="1783"/>
      <c r="AQ70" s="1783"/>
      <c r="AR70" s="1783"/>
      <c r="AS70" s="1783"/>
      <c r="AT70" s="1783"/>
      <c r="AU70" s="1783"/>
      <c r="AV70" s="1783"/>
      <c r="AW70" s="1783"/>
      <c r="AX70" s="1783"/>
      <c r="AY70" s="1783"/>
      <c r="AZ70" s="1783"/>
      <c r="BA70" s="1783"/>
      <c r="BB70" s="1783"/>
      <c r="BC70" s="1783"/>
      <c r="BD70" s="1783"/>
      <c r="BE70" s="1783"/>
      <c r="BF70" s="1783"/>
      <c r="BG70" s="1783"/>
      <c r="BH70" s="1783"/>
      <c r="BI70" s="1783"/>
    </row>
    <row r="71" spans="1:61">
      <c r="A71" s="1819"/>
      <c r="B71" s="1818"/>
      <c r="C71" s="1818"/>
      <c r="D71" s="1818"/>
      <c r="E71" s="1818"/>
      <c r="F71" s="1818"/>
      <c r="G71" s="1818"/>
      <c r="H71" s="1783"/>
      <c r="I71" s="1783"/>
      <c r="J71" s="1783"/>
      <c r="K71" s="1783"/>
      <c r="L71" s="1783"/>
      <c r="M71" s="1783"/>
      <c r="N71" s="1783"/>
      <c r="O71" s="1783"/>
      <c r="P71" s="1783"/>
      <c r="Q71" s="1783"/>
      <c r="R71" s="1783"/>
      <c r="S71" s="1783"/>
      <c r="T71" s="1783"/>
      <c r="U71" s="1783"/>
      <c r="V71" s="1783"/>
      <c r="W71" s="1783"/>
      <c r="X71" s="1783"/>
      <c r="Y71" s="1783"/>
      <c r="Z71" s="1783"/>
      <c r="AA71" s="1783"/>
      <c r="AB71" s="1783"/>
      <c r="AC71" s="1783"/>
      <c r="AD71" s="1783"/>
      <c r="AE71" s="1783"/>
      <c r="AF71" s="1783"/>
      <c r="AG71" s="1783"/>
      <c r="AH71" s="1783"/>
      <c r="AI71" s="1783"/>
      <c r="AJ71" s="1783"/>
      <c r="AK71" s="1783"/>
      <c r="AL71" s="1783"/>
      <c r="AM71" s="1783"/>
      <c r="AN71" s="1783"/>
      <c r="AO71" s="1783"/>
      <c r="AP71" s="1783"/>
      <c r="AQ71" s="1783"/>
      <c r="AR71" s="1783"/>
      <c r="AS71" s="1783"/>
      <c r="AT71" s="1783"/>
      <c r="AU71" s="1783"/>
      <c r="AV71" s="1783"/>
      <c r="AW71" s="1783"/>
      <c r="AX71" s="1783"/>
      <c r="AY71" s="1783"/>
      <c r="AZ71" s="1783"/>
      <c r="BA71" s="1783"/>
      <c r="BB71" s="1783"/>
      <c r="BC71" s="1783"/>
      <c r="BD71" s="1783"/>
      <c r="BE71" s="1783"/>
      <c r="BF71" s="1783"/>
      <c r="BG71" s="1783"/>
      <c r="BH71" s="1783"/>
      <c r="BI71" s="1783"/>
    </row>
    <row r="72" spans="1:61">
      <c r="A72" s="1819"/>
      <c r="B72" s="1818"/>
      <c r="C72" s="1818"/>
      <c r="D72" s="1818"/>
      <c r="E72" s="1818"/>
      <c r="F72" s="1818"/>
      <c r="G72" s="1818"/>
      <c r="H72" s="1783"/>
      <c r="I72" s="1783"/>
      <c r="J72" s="1783"/>
      <c r="K72" s="1783"/>
      <c r="L72" s="1783"/>
      <c r="M72" s="1783"/>
      <c r="N72" s="1783"/>
      <c r="O72" s="1783"/>
      <c r="P72" s="1783"/>
      <c r="Q72" s="1783"/>
      <c r="R72" s="1783"/>
      <c r="S72" s="1783"/>
      <c r="T72" s="1783"/>
      <c r="U72" s="1783"/>
      <c r="V72" s="1783"/>
      <c r="W72" s="1783"/>
      <c r="X72" s="1783"/>
      <c r="Y72" s="1783"/>
      <c r="Z72" s="1783"/>
      <c r="AA72" s="1783"/>
      <c r="AB72" s="1783"/>
      <c r="AC72" s="1783"/>
      <c r="AD72" s="1783"/>
      <c r="AE72" s="1783"/>
      <c r="AF72" s="1783"/>
      <c r="AG72" s="1783"/>
      <c r="AH72" s="1783"/>
      <c r="AI72" s="1783"/>
      <c r="AJ72" s="1783"/>
      <c r="AK72" s="1783"/>
      <c r="AL72" s="1783"/>
      <c r="AM72" s="1783"/>
      <c r="AN72" s="1783"/>
      <c r="AO72" s="1783"/>
      <c r="AP72" s="1783"/>
      <c r="AQ72" s="1783"/>
      <c r="AR72" s="1783"/>
      <c r="AS72" s="1783"/>
      <c r="AT72" s="1783"/>
      <c r="AU72" s="1783"/>
      <c r="AV72" s="1783"/>
      <c r="AW72" s="1783"/>
      <c r="AX72" s="1783"/>
      <c r="AY72" s="1783"/>
      <c r="AZ72" s="1783"/>
      <c r="BA72" s="1783"/>
      <c r="BB72" s="1783"/>
      <c r="BC72" s="1783"/>
      <c r="BD72" s="1783"/>
      <c r="BE72" s="1783"/>
      <c r="BF72" s="1783"/>
      <c r="BG72" s="1783"/>
      <c r="BH72" s="1783"/>
      <c r="BI72" s="1783"/>
    </row>
    <row r="73" spans="1:61">
      <c r="A73" s="1819"/>
      <c r="B73" s="1818"/>
      <c r="C73" s="1818"/>
      <c r="D73" s="1818"/>
      <c r="E73" s="1818"/>
      <c r="F73" s="1818"/>
      <c r="G73" s="1818"/>
      <c r="H73" s="1783"/>
      <c r="I73" s="1783"/>
      <c r="J73" s="1783"/>
      <c r="K73" s="1783"/>
      <c r="L73" s="1783"/>
      <c r="M73" s="1783"/>
      <c r="N73" s="1783"/>
      <c r="O73" s="1783"/>
      <c r="P73" s="1783"/>
      <c r="Q73" s="1783"/>
      <c r="R73" s="1783"/>
      <c r="S73" s="1783"/>
      <c r="T73" s="1783"/>
      <c r="U73" s="1783"/>
      <c r="V73" s="1783"/>
      <c r="W73" s="1783"/>
      <c r="X73" s="1783"/>
      <c r="Y73" s="1783"/>
      <c r="Z73" s="1783"/>
      <c r="AA73" s="1783"/>
      <c r="AB73" s="1783"/>
      <c r="AC73" s="1783"/>
      <c r="AD73" s="1783"/>
      <c r="AE73" s="1783"/>
      <c r="AF73" s="1783"/>
      <c r="AG73" s="1783"/>
      <c r="AH73" s="1783"/>
      <c r="AI73" s="1783"/>
      <c r="AJ73" s="1783"/>
      <c r="AK73" s="1783"/>
      <c r="AL73" s="1783"/>
      <c r="AM73" s="1783"/>
      <c r="AN73" s="1783"/>
      <c r="AO73" s="1783"/>
      <c r="AP73" s="1783"/>
      <c r="AQ73" s="1783"/>
      <c r="AR73" s="1783"/>
      <c r="AS73" s="1783"/>
      <c r="AT73" s="1783"/>
      <c r="AU73" s="1783"/>
      <c r="AV73" s="1783"/>
      <c r="AW73" s="1783"/>
      <c r="AX73" s="1783"/>
      <c r="AY73" s="1783"/>
      <c r="AZ73" s="1783"/>
      <c r="BA73" s="1783"/>
      <c r="BB73" s="1783"/>
      <c r="BC73" s="1783"/>
      <c r="BD73" s="1783"/>
      <c r="BE73" s="1783"/>
      <c r="BF73" s="1783"/>
      <c r="BG73" s="1783"/>
      <c r="BH73" s="1783"/>
      <c r="BI73" s="1783"/>
    </row>
    <row r="74" spans="1:61">
      <c r="A74" s="1819"/>
      <c r="B74" s="1818"/>
      <c r="C74" s="1818"/>
      <c r="D74" s="1818"/>
      <c r="E74" s="1818"/>
      <c r="F74" s="1818"/>
      <c r="G74" s="1818"/>
      <c r="H74" s="1783"/>
      <c r="I74" s="1783"/>
      <c r="J74" s="1783"/>
      <c r="K74" s="1783"/>
      <c r="L74" s="1783"/>
      <c r="M74" s="1783"/>
      <c r="N74" s="1783"/>
      <c r="O74" s="1783"/>
      <c r="P74" s="1783"/>
      <c r="Q74" s="1783"/>
      <c r="R74" s="1783"/>
      <c r="S74" s="1783"/>
      <c r="T74" s="1783"/>
      <c r="U74" s="1783"/>
      <c r="V74" s="1783"/>
      <c r="W74" s="1783"/>
      <c r="X74" s="1783"/>
      <c r="Y74" s="1783"/>
      <c r="Z74" s="1783"/>
      <c r="AA74" s="1783"/>
      <c r="AB74" s="1783"/>
      <c r="AC74" s="1783"/>
      <c r="AD74" s="1783"/>
      <c r="AE74" s="1783"/>
      <c r="AF74" s="1783"/>
      <c r="AG74" s="1783"/>
      <c r="AH74" s="1783"/>
      <c r="AI74" s="1783"/>
      <c r="AJ74" s="1783"/>
      <c r="AK74" s="1783"/>
      <c r="AL74" s="1783"/>
      <c r="AM74" s="1783"/>
      <c r="AN74" s="1783"/>
      <c r="AO74" s="1783"/>
      <c r="AP74" s="1783"/>
      <c r="AQ74" s="1783"/>
      <c r="AR74" s="1783"/>
      <c r="AS74" s="1783"/>
      <c r="AT74" s="1783"/>
      <c r="AU74" s="1783"/>
      <c r="AV74" s="1783"/>
      <c r="AW74" s="1783"/>
      <c r="AX74" s="1783"/>
      <c r="AY74" s="1783"/>
      <c r="AZ74" s="1783"/>
      <c r="BA74" s="1783"/>
      <c r="BB74" s="1783"/>
      <c r="BC74" s="1783"/>
      <c r="BD74" s="1783"/>
      <c r="BE74" s="1783"/>
      <c r="BF74" s="1783"/>
      <c r="BG74" s="1783"/>
      <c r="BH74" s="1783"/>
      <c r="BI74" s="1783"/>
    </row>
    <row r="75" spans="1:61">
      <c r="A75" s="1819"/>
      <c r="B75" s="1818"/>
      <c r="C75" s="1818"/>
      <c r="D75" s="1818"/>
      <c r="E75" s="1818"/>
      <c r="F75" s="1818"/>
      <c r="G75" s="1818"/>
      <c r="H75" s="1783"/>
      <c r="I75" s="1783"/>
      <c r="J75" s="1783"/>
      <c r="K75" s="1783"/>
      <c r="L75" s="1783"/>
      <c r="M75" s="1783"/>
      <c r="N75" s="1783"/>
      <c r="O75" s="1783"/>
      <c r="P75" s="1783"/>
      <c r="Q75" s="1783"/>
      <c r="R75" s="1783"/>
      <c r="S75" s="1783"/>
      <c r="T75" s="1783"/>
      <c r="U75" s="1783"/>
      <c r="V75" s="1783"/>
      <c r="W75" s="1783"/>
      <c r="X75" s="1783"/>
      <c r="Y75" s="1783"/>
      <c r="Z75" s="1783"/>
      <c r="AA75" s="1783"/>
      <c r="AB75" s="1783"/>
      <c r="AC75" s="1783"/>
      <c r="AD75" s="1783"/>
      <c r="AE75" s="1783"/>
      <c r="AF75" s="1783"/>
      <c r="AG75" s="1783"/>
      <c r="AH75" s="1783"/>
      <c r="AI75" s="1783"/>
      <c r="AJ75" s="1783"/>
      <c r="AK75" s="1783"/>
      <c r="AL75" s="1783"/>
      <c r="AM75" s="1783"/>
      <c r="AN75" s="1783"/>
      <c r="AO75" s="1783"/>
      <c r="AP75" s="1783"/>
      <c r="AQ75" s="1783"/>
      <c r="AR75" s="1783"/>
      <c r="AS75" s="1783"/>
      <c r="AT75" s="1783"/>
      <c r="AU75" s="1783"/>
      <c r="AV75" s="1783"/>
      <c r="AW75" s="1783"/>
      <c r="AX75" s="1783"/>
      <c r="AY75" s="1783"/>
      <c r="AZ75" s="1783"/>
      <c r="BA75" s="1783"/>
      <c r="BB75" s="1783"/>
      <c r="BC75" s="1783"/>
      <c r="BD75" s="1783"/>
      <c r="BE75" s="1783"/>
      <c r="BF75" s="1783"/>
      <c r="BG75" s="1783"/>
      <c r="BH75" s="1783"/>
      <c r="BI75" s="1783"/>
    </row>
    <row r="76" spans="1:61">
      <c r="A76" s="1819"/>
      <c r="B76" s="1818"/>
      <c r="C76" s="1818"/>
      <c r="D76" s="1818"/>
      <c r="E76" s="1818"/>
      <c r="F76" s="1818"/>
      <c r="G76" s="1818"/>
      <c r="H76" s="1783"/>
      <c r="I76" s="1783"/>
      <c r="J76" s="1783"/>
      <c r="K76" s="1783"/>
      <c r="L76" s="1783"/>
      <c r="M76" s="1783"/>
      <c r="N76" s="1783"/>
      <c r="O76" s="1783"/>
      <c r="P76" s="1783"/>
      <c r="Q76" s="1783"/>
      <c r="R76" s="1783"/>
      <c r="S76" s="1783"/>
      <c r="T76" s="1783"/>
      <c r="U76" s="1783"/>
      <c r="V76" s="1783"/>
      <c r="W76" s="1783"/>
      <c r="X76" s="1783"/>
      <c r="Y76" s="1783"/>
      <c r="Z76" s="1783"/>
      <c r="AA76" s="1783"/>
      <c r="AB76" s="1783"/>
      <c r="AC76" s="1783"/>
      <c r="AD76" s="1783"/>
      <c r="AE76" s="1783"/>
      <c r="AF76" s="1783"/>
      <c r="AG76" s="1783"/>
      <c r="AH76" s="1783"/>
      <c r="AI76" s="1783"/>
      <c r="AJ76" s="1783"/>
      <c r="AK76" s="1783"/>
      <c r="AL76" s="1783"/>
      <c r="AM76" s="1783"/>
      <c r="AN76" s="1783"/>
      <c r="AO76" s="1783"/>
      <c r="AP76" s="1783"/>
      <c r="AQ76" s="1783"/>
      <c r="AR76" s="1783"/>
      <c r="AS76" s="1783"/>
      <c r="AT76" s="1783"/>
      <c r="AU76" s="1783"/>
      <c r="AV76" s="1783"/>
      <c r="AW76" s="1783"/>
      <c r="AX76" s="1783"/>
      <c r="AY76" s="1783"/>
      <c r="AZ76" s="1783"/>
      <c r="BA76" s="1783"/>
      <c r="BB76" s="1783"/>
      <c r="BC76" s="1783"/>
      <c r="BD76" s="1783"/>
      <c r="BE76" s="1783"/>
      <c r="BF76" s="1783"/>
      <c r="BG76" s="1783"/>
      <c r="BH76" s="1783"/>
      <c r="BI76" s="1783"/>
    </row>
    <row r="77" spans="1:61">
      <c r="A77" s="1819"/>
      <c r="B77" s="1818"/>
      <c r="C77" s="1818"/>
      <c r="D77" s="1818"/>
      <c r="E77" s="1818"/>
      <c r="F77" s="1818"/>
      <c r="G77" s="1818"/>
      <c r="H77" s="1783"/>
      <c r="I77" s="1783"/>
      <c r="J77" s="1783"/>
      <c r="K77" s="1783"/>
      <c r="L77" s="1783"/>
      <c r="M77" s="1783"/>
      <c r="N77" s="1783"/>
      <c r="O77" s="1783"/>
      <c r="P77" s="1783"/>
      <c r="Q77" s="1783"/>
      <c r="R77" s="1783"/>
      <c r="S77" s="1783"/>
      <c r="T77" s="1783"/>
      <c r="U77" s="1783"/>
      <c r="V77" s="1783"/>
      <c r="W77" s="1783"/>
      <c r="X77" s="1783"/>
      <c r="Y77" s="1783"/>
      <c r="Z77" s="1783"/>
      <c r="AA77" s="1783"/>
      <c r="AB77" s="1783"/>
      <c r="AC77" s="1783"/>
      <c r="AD77" s="1783"/>
      <c r="AE77" s="1783"/>
      <c r="AF77" s="1783"/>
      <c r="AG77" s="1783"/>
      <c r="AH77" s="1783"/>
      <c r="AI77" s="1783"/>
      <c r="AJ77" s="1783"/>
      <c r="AK77" s="1783"/>
      <c r="AL77" s="1783"/>
      <c r="AM77" s="1783"/>
      <c r="AN77" s="1783"/>
      <c r="AO77" s="1783"/>
      <c r="AP77" s="1783"/>
      <c r="AQ77" s="1783"/>
      <c r="AR77" s="1783"/>
      <c r="AS77" s="1783"/>
      <c r="AT77" s="1783"/>
      <c r="AU77" s="1783"/>
      <c r="AV77" s="1783"/>
      <c r="AW77" s="1783"/>
      <c r="AX77" s="1783"/>
      <c r="AY77" s="1783"/>
      <c r="AZ77" s="1783"/>
      <c r="BA77" s="1783"/>
      <c r="BB77" s="1783"/>
      <c r="BC77" s="1783"/>
      <c r="BD77" s="1783"/>
      <c r="BE77" s="1783"/>
      <c r="BF77" s="1783"/>
      <c r="BG77" s="1783"/>
      <c r="BH77" s="1783"/>
      <c r="BI77" s="1783"/>
    </row>
    <row r="78" spans="1:61">
      <c r="A78" s="1819"/>
      <c r="B78" s="1818"/>
      <c r="C78" s="1818"/>
      <c r="D78" s="1818"/>
      <c r="E78" s="1818"/>
      <c r="F78" s="1818"/>
      <c r="G78" s="1818"/>
      <c r="H78" s="1783"/>
      <c r="I78" s="1783"/>
      <c r="J78" s="1783"/>
      <c r="K78" s="1783"/>
      <c r="L78" s="1783"/>
      <c r="M78" s="1783"/>
      <c r="N78" s="1783"/>
      <c r="O78" s="1783"/>
      <c r="P78" s="1783"/>
      <c r="Q78" s="1783"/>
      <c r="R78" s="1783"/>
      <c r="S78" s="1783"/>
      <c r="T78" s="1783"/>
      <c r="U78" s="1783"/>
      <c r="V78" s="1783"/>
      <c r="W78" s="1783"/>
      <c r="X78" s="1783"/>
      <c r="Y78" s="1783"/>
      <c r="Z78" s="1783"/>
      <c r="AA78" s="1783"/>
      <c r="AB78" s="1783"/>
      <c r="AC78" s="1783"/>
      <c r="AD78" s="1783"/>
      <c r="AE78" s="1783"/>
      <c r="AF78" s="1783"/>
      <c r="AG78" s="1783"/>
      <c r="AH78" s="1783"/>
      <c r="AI78" s="1783"/>
      <c r="AJ78" s="1783"/>
      <c r="AK78" s="1783"/>
      <c r="AL78" s="1783"/>
      <c r="AM78" s="1783"/>
      <c r="AN78" s="1783"/>
      <c r="AO78" s="1783"/>
      <c r="AP78" s="1783"/>
      <c r="AQ78" s="1783"/>
      <c r="AR78" s="1783"/>
      <c r="AS78" s="1783"/>
      <c r="AT78" s="1783"/>
      <c r="AU78" s="1783"/>
      <c r="AV78" s="1783"/>
      <c r="AW78" s="1783"/>
      <c r="AX78" s="1783"/>
      <c r="AY78" s="1783"/>
      <c r="AZ78" s="1783"/>
      <c r="BA78" s="1783"/>
      <c r="BB78" s="1783"/>
      <c r="BC78" s="1783"/>
      <c r="BD78" s="1783"/>
      <c r="BE78" s="1783"/>
      <c r="BF78" s="1783"/>
      <c r="BG78" s="1783"/>
      <c r="BH78" s="1783"/>
      <c r="BI78" s="1783"/>
    </row>
    <row r="79" spans="1:61">
      <c r="A79" s="1819"/>
      <c r="B79" s="1818"/>
      <c r="C79" s="1818"/>
      <c r="D79" s="1818"/>
      <c r="E79" s="1818"/>
      <c r="F79" s="1818"/>
      <c r="G79" s="1818"/>
      <c r="H79" s="1783"/>
      <c r="I79" s="1783"/>
      <c r="J79" s="1783"/>
      <c r="K79" s="1783"/>
      <c r="L79" s="1783"/>
      <c r="M79" s="1783"/>
      <c r="N79" s="1783"/>
      <c r="O79" s="1783"/>
      <c r="P79" s="1783"/>
      <c r="Q79" s="1783"/>
      <c r="R79" s="1783"/>
      <c r="S79" s="1783"/>
      <c r="T79" s="1783"/>
      <c r="U79" s="1783"/>
      <c r="V79" s="1783"/>
      <c r="W79" s="1783"/>
      <c r="X79" s="1783"/>
      <c r="Y79" s="1783"/>
      <c r="Z79" s="1783"/>
      <c r="AA79" s="1783"/>
      <c r="AB79" s="1783"/>
      <c r="AC79" s="1783"/>
      <c r="AD79" s="1783"/>
      <c r="AE79" s="1783"/>
      <c r="AF79" s="1783"/>
      <c r="AG79" s="1783"/>
      <c r="AH79" s="1783"/>
      <c r="AI79" s="1783"/>
      <c r="AJ79" s="1783"/>
      <c r="AK79" s="1783"/>
      <c r="AL79" s="1783"/>
      <c r="AM79" s="1783"/>
      <c r="AN79" s="1783"/>
      <c r="AO79" s="1783"/>
      <c r="AP79" s="1783"/>
      <c r="AQ79" s="1783"/>
      <c r="AR79" s="1783"/>
      <c r="AS79" s="1783"/>
      <c r="AT79" s="1783"/>
      <c r="AU79" s="1783"/>
      <c r="AV79" s="1783"/>
      <c r="AW79" s="1783"/>
      <c r="AX79" s="1783"/>
      <c r="AY79" s="1783"/>
      <c r="AZ79" s="1783"/>
      <c r="BA79" s="1783"/>
      <c r="BB79" s="1783"/>
      <c r="BC79" s="1783"/>
      <c r="BD79" s="1783"/>
      <c r="BE79" s="1783"/>
      <c r="BF79" s="1783"/>
      <c r="BG79" s="1783"/>
      <c r="BH79" s="1783"/>
      <c r="BI79" s="1783"/>
    </row>
    <row r="80" spans="1:61">
      <c r="A80" s="1819"/>
      <c r="B80" s="1818"/>
      <c r="C80" s="1818"/>
      <c r="D80" s="1818"/>
      <c r="E80" s="1818"/>
      <c r="F80" s="1818"/>
      <c r="G80" s="1818"/>
      <c r="H80" s="1783"/>
      <c r="I80" s="1783"/>
      <c r="J80" s="1783"/>
      <c r="K80" s="1783"/>
      <c r="L80" s="1783"/>
      <c r="M80" s="1783"/>
      <c r="N80" s="1783"/>
      <c r="O80" s="1783"/>
      <c r="P80" s="1783"/>
      <c r="Q80" s="1783"/>
      <c r="R80" s="1783"/>
      <c r="S80" s="1783"/>
      <c r="T80" s="1783"/>
      <c r="U80" s="1783"/>
      <c r="V80" s="1783"/>
      <c r="W80" s="1783"/>
      <c r="X80" s="1783"/>
      <c r="Y80" s="1783"/>
      <c r="Z80" s="1783"/>
      <c r="AA80" s="1783"/>
      <c r="AB80" s="1783"/>
      <c r="AC80" s="1783"/>
      <c r="AD80" s="1783"/>
      <c r="AE80" s="1783"/>
      <c r="AF80" s="1783"/>
      <c r="AG80" s="1783"/>
      <c r="AH80" s="1783"/>
      <c r="AI80" s="1783"/>
      <c r="AJ80" s="1783"/>
      <c r="AK80" s="1783"/>
      <c r="AL80" s="1783"/>
      <c r="AM80" s="1783"/>
      <c r="AN80" s="1783"/>
      <c r="AO80" s="1783"/>
      <c r="AP80" s="1783"/>
      <c r="AQ80" s="1783"/>
      <c r="AR80" s="1783"/>
      <c r="AS80" s="1783"/>
      <c r="AT80" s="1783"/>
      <c r="AU80" s="1783"/>
      <c r="AV80" s="1783"/>
      <c r="AW80" s="1783"/>
      <c r="AX80" s="1783"/>
      <c r="AY80" s="1783"/>
      <c r="AZ80" s="1783"/>
      <c r="BA80" s="1783"/>
      <c r="BB80" s="1783"/>
      <c r="BC80" s="1783"/>
      <c r="BD80" s="1783"/>
      <c r="BE80" s="1783"/>
      <c r="BF80" s="1783"/>
      <c r="BG80" s="1783"/>
      <c r="BH80" s="1783"/>
      <c r="BI80" s="1783"/>
    </row>
    <row r="81" spans="1:61">
      <c r="A81" s="1819"/>
      <c r="B81" s="1818"/>
      <c r="C81" s="1818"/>
      <c r="D81" s="1818"/>
      <c r="E81" s="1818"/>
      <c r="F81" s="1818"/>
      <c r="G81" s="1818"/>
      <c r="H81" s="1783"/>
      <c r="I81" s="1783"/>
      <c r="J81" s="1783"/>
      <c r="K81" s="1783"/>
      <c r="L81" s="1783"/>
      <c r="M81" s="1783"/>
      <c r="N81" s="1783"/>
      <c r="O81" s="1783"/>
      <c r="P81" s="1783"/>
      <c r="Q81" s="1783"/>
      <c r="R81" s="1783"/>
      <c r="S81" s="1783"/>
      <c r="T81" s="1783"/>
      <c r="U81" s="1783"/>
      <c r="V81" s="1783"/>
      <c r="W81" s="1783"/>
      <c r="X81" s="1783"/>
      <c r="Y81" s="1783"/>
      <c r="Z81" s="1783"/>
      <c r="AA81" s="1783"/>
      <c r="AB81" s="1783"/>
      <c r="AC81" s="1783"/>
      <c r="AD81" s="1783"/>
      <c r="AE81" s="1783"/>
      <c r="AF81" s="1783"/>
      <c r="AG81" s="1783"/>
      <c r="AH81" s="1783"/>
      <c r="AI81" s="1783"/>
      <c r="AJ81" s="1783"/>
      <c r="AK81" s="1783"/>
      <c r="AL81" s="1783"/>
      <c r="AM81" s="1783"/>
      <c r="AN81" s="1783"/>
      <c r="AO81" s="1783"/>
      <c r="AP81" s="1783"/>
      <c r="AQ81" s="1783"/>
      <c r="AR81" s="1783"/>
      <c r="AS81" s="1783"/>
      <c r="AT81" s="1783"/>
      <c r="AU81" s="1783"/>
      <c r="AV81" s="1783"/>
      <c r="AW81" s="1783"/>
      <c r="AX81" s="1783"/>
      <c r="AY81" s="1783"/>
      <c r="AZ81" s="1783"/>
      <c r="BA81" s="1783"/>
      <c r="BB81" s="1783"/>
      <c r="BC81" s="1783"/>
      <c r="BD81" s="1783"/>
      <c r="BE81" s="1783"/>
      <c r="BF81" s="1783"/>
      <c r="BG81" s="1783"/>
      <c r="BH81" s="1783"/>
      <c r="BI81" s="1783"/>
    </row>
    <row r="82" spans="1:61">
      <c r="A82" s="1819"/>
      <c r="B82" s="1818"/>
      <c r="C82" s="1818"/>
      <c r="D82" s="1818"/>
      <c r="E82" s="1818"/>
      <c r="F82" s="1818"/>
      <c r="G82" s="1818"/>
      <c r="H82" s="1783"/>
      <c r="I82" s="1783"/>
      <c r="J82" s="1783"/>
      <c r="K82" s="1783"/>
      <c r="L82" s="1783"/>
      <c r="M82" s="1783"/>
      <c r="N82" s="1783"/>
      <c r="O82" s="1783"/>
      <c r="P82" s="1783"/>
      <c r="Q82" s="1783"/>
      <c r="R82" s="1783"/>
      <c r="S82" s="1783"/>
      <c r="T82" s="1783"/>
      <c r="U82" s="1783"/>
      <c r="V82" s="1783"/>
      <c r="W82" s="1783"/>
      <c r="X82" s="1783"/>
      <c r="Y82" s="1783"/>
      <c r="Z82" s="1783"/>
      <c r="AA82" s="1783"/>
      <c r="AB82" s="1783"/>
      <c r="AC82" s="1783"/>
      <c r="AD82" s="1783"/>
      <c r="AE82" s="1783"/>
      <c r="AF82" s="1783"/>
      <c r="AG82" s="1783"/>
      <c r="AH82" s="1783"/>
      <c r="AI82" s="1783"/>
      <c r="AJ82" s="1783"/>
      <c r="AK82" s="1783"/>
      <c r="AL82" s="1783"/>
      <c r="AM82" s="1783"/>
      <c r="AN82" s="1783"/>
      <c r="AO82" s="1783"/>
      <c r="AP82" s="1783"/>
      <c r="AQ82" s="1783"/>
      <c r="AR82" s="1783"/>
      <c r="AS82" s="1783"/>
      <c r="AT82" s="1783"/>
      <c r="AU82" s="1783"/>
      <c r="AV82" s="1783"/>
      <c r="AW82" s="1783"/>
      <c r="AX82" s="1783"/>
      <c r="AY82" s="1783"/>
      <c r="AZ82" s="1783"/>
      <c r="BA82" s="1783"/>
      <c r="BB82" s="1783"/>
      <c r="BC82" s="1783"/>
      <c r="BD82" s="1783"/>
      <c r="BE82" s="1783"/>
      <c r="BF82" s="1783"/>
      <c r="BG82" s="1783"/>
      <c r="BH82" s="1783"/>
      <c r="BI82" s="1783"/>
    </row>
    <row r="83" spans="1:61">
      <c r="A83" s="1819"/>
      <c r="B83" s="1818"/>
      <c r="C83" s="1818"/>
      <c r="D83" s="1818"/>
      <c r="E83" s="1818"/>
      <c r="F83" s="1818"/>
      <c r="G83" s="1818"/>
      <c r="H83" s="1783"/>
      <c r="I83" s="1783"/>
      <c r="J83" s="1783"/>
      <c r="K83" s="1783"/>
      <c r="L83" s="1783"/>
      <c r="M83" s="1783"/>
      <c r="N83" s="1783"/>
      <c r="O83" s="1783"/>
      <c r="P83" s="1783"/>
      <c r="Q83" s="1783"/>
      <c r="R83" s="1783"/>
      <c r="S83" s="1783"/>
      <c r="T83" s="1783"/>
      <c r="U83" s="1783"/>
      <c r="V83" s="1783"/>
      <c r="W83" s="1783"/>
      <c r="X83" s="1783"/>
      <c r="Y83" s="1783"/>
      <c r="Z83" s="1783"/>
      <c r="AA83" s="1783"/>
      <c r="AB83" s="1783"/>
      <c r="AC83" s="1783"/>
      <c r="AD83" s="1783"/>
      <c r="AE83" s="1783"/>
      <c r="AF83" s="1783"/>
      <c r="AG83" s="1783"/>
      <c r="AH83" s="1783"/>
      <c r="AI83" s="1783"/>
      <c r="AJ83" s="1783"/>
      <c r="AK83" s="1783"/>
      <c r="AL83" s="1783"/>
      <c r="AM83" s="1783"/>
      <c r="AN83" s="1783"/>
      <c r="AO83" s="1783"/>
      <c r="AP83" s="1783"/>
      <c r="AQ83" s="1783"/>
      <c r="AR83" s="1783"/>
      <c r="AS83" s="1783"/>
      <c r="AT83" s="1783"/>
      <c r="AU83" s="1783"/>
      <c r="AV83" s="1783"/>
      <c r="AW83" s="1783"/>
      <c r="AX83" s="1783"/>
      <c r="AY83" s="1783"/>
      <c r="AZ83" s="1783"/>
      <c r="BA83" s="1783"/>
      <c r="BB83" s="1783"/>
      <c r="BC83" s="1783"/>
      <c r="BD83" s="1783"/>
      <c r="BE83" s="1783"/>
      <c r="BF83" s="1783"/>
      <c r="BG83" s="1783"/>
      <c r="BH83" s="1783"/>
      <c r="BI83" s="1783"/>
    </row>
    <row r="84" spans="1:61">
      <c r="A84" s="1819"/>
      <c r="B84" s="1818"/>
      <c r="C84" s="1818"/>
      <c r="D84" s="1818"/>
      <c r="E84" s="1818"/>
      <c r="F84" s="1818"/>
      <c r="G84" s="1818"/>
      <c r="H84" s="1783"/>
      <c r="I84" s="1783"/>
      <c r="J84" s="1783"/>
      <c r="K84" s="1783"/>
      <c r="L84" s="1783"/>
      <c r="M84" s="1783"/>
      <c r="N84" s="1783"/>
      <c r="O84" s="1783"/>
      <c r="P84" s="1783"/>
      <c r="Q84" s="1783"/>
      <c r="R84" s="1783"/>
      <c r="S84" s="1783"/>
      <c r="T84" s="1783"/>
      <c r="U84" s="1783"/>
      <c r="V84" s="1783"/>
      <c r="W84" s="1783"/>
      <c r="X84" s="1783"/>
      <c r="Y84" s="1783"/>
      <c r="Z84" s="1783"/>
      <c r="AA84" s="1783"/>
      <c r="AB84" s="1783"/>
      <c r="AC84" s="1783"/>
      <c r="AD84" s="1783"/>
      <c r="AE84" s="1783"/>
      <c r="AF84" s="1783"/>
      <c r="AG84" s="1783"/>
      <c r="AH84" s="1783"/>
      <c r="AI84" s="1783"/>
      <c r="AJ84" s="1783"/>
      <c r="AK84" s="1783"/>
      <c r="AL84" s="1783"/>
      <c r="AM84" s="1783"/>
      <c r="AN84" s="1783"/>
      <c r="AO84" s="1783"/>
      <c r="AP84" s="1783"/>
      <c r="AQ84" s="1783"/>
      <c r="AR84" s="1783"/>
      <c r="AS84" s="1783"/>
      <c r="AT84" s="1783"/>
      <c r="AU84" s="1783"/>
      <c r="AV84" s="1783"/>
      <c r="AW84" s="1783"/>
      <c r="AX84" s="1783"/>
      <c r="AY84" s="1783"/>
      <c r="AZ84" s="1783"/>
      <c r="BA84" s="1783"/>
      <c r="BB84" s="1783"/>
      <c r="BC84" s="1783"/>
      <c r="BD84" s="1783"/>
      <c r="BE84" s="1783"/>
      <c r="BF84" s="1783"/>
      <c r="BG84" s="1783"/>
      <c r="BH84" s="1783"/>
      <c r="BI84" s="1783"/>
    </row>
    <row r="85" spans="1:61">
      <c r="A85" s="1819"/>
      <c r="B85" s="1818"/>
      <c r="C85" s="1818"/>
      <c r="D85" s="1818"/>
      <c r="E85" s="1818"/>
      <c r="F85" s="1818"/>
      <c r="G85" s="1818"/>
      <c r="H85" s="1783"/>
      <c r="I85" s="1783"/>
      <c r="J85" s="1783"/>
      <c r="K85" s="1783"/>
      <c r="L85" s="1783"/>
      <c r="M85" s="1783"/>
      <c r="N85" s="1783"/>
      <c r="O85" s="1783"/>
      <c r="P85" s="1783"/>
      <c r="Q85" s="1783"/>
      <c r="R85" s="1783"/>
      <c r="S85" s="1783"/>
      <c r="T85" s="1783"/>
      <c r="U85" s="1783"/>
      <c r="V85" s="1783"/>
      <c r="W85" s="1783"/>
      <c r="X85" s="1783"/>
      <c r="Y85" s="1783"/>
      <c r="Z85" s="1783"/>
      <c r="AA85" s="1783"/>
      <c r="AB85" s="1783"/>
      <c r="AC85" s="1783"/>
      <c r="AD85" s="1783"/>
      <c r="AE85" s="1783"/>
      <c r="AF85" s="1783"/>
      <c r="AG85" s="1783"/>
      <c r="AH85" s="1783"/>
      <c r="AI85" s="1783"/>
      <c r="AJ85" s="1783"/>
      <c r="AK85" s="1783"/>
      <c r="AL85" s="1783"/>
      <c r="AM85" s="1783"/>
      <c r="AN85" s="1783"/>
      <c r="AO85" s="1783"/>
      <c r="AP85" s="1783"/>
      <c r="AQ85" s="1783"/>
      <c r="AR85" s="1783"/>
      <c r="AS85" s="1783"/>
      <c r="AT85" s="1783"/>
      <c r="AU85" s="1783"/>
      <c r="AV85" s="1783"/>
      <c r="AW85" s="1783"/>
      <c r="AX85" s="1783"/>
      <c r="AY85" s="1783"/>
      <c r="AZ85" s="1783"/>
      <c r="BA85" s="1783"/>
      <c r="BB85" s="1783"/>
      <c r="BC85" s="1783"/>
      <c r="BD85" s="1783"/>
      <c r="BE85" s="1783"/>
      <c r="BF85" s="1783"/>
      <c r="BG85" s="1783"/>
      <c r="BH85" s="1783"/>
      <c r="BI85" s="1783"/>
    </row>
    <row r="86" spans="1:61">
      <c r="A86" s="1819"/>
      <c r="B86" s="1818"/>
      <c r="C86" s="1818"/>
      <c r="D86" s="1818"/>
      <c r="E86" s="1818"/>
      <c r="F86" s="1818"/>
      <c r="G86" s="1818"/>
      <c r="H86" s="1783"/>
      <c r="I86" s="1783"/>
      <c r="J86" s="1783"/>
      <c r="K86" s="1783"/>
      <c r="L86" s="1783"/>
      <c r="M86" s="1783"/>
      <c r="N86" s="1783"/>
      <c r="O86" s="1783"/>
      <c r="P86" s="1783"/>
      <c r="Q86" s="1783"/>
      <c r="R86" s="1783"/>
      <c r="S86" s="1783"/>
      <c r="T86" s="1783"/>
      <c r="U86" s="1783"/>
      <c r="V86" s="1783"/>
      <c r="W86" s="1783"/>
      <c r="X86" s="1783"/>
      <c r="Y86" s="1783"/>
      <c r="Z86" s="1783"/>
      <c r="AA86" s="1783"/>
      <c r="AB86" s="1783"/>
      <c r="AC86" s="1783"/>
      <c r="AD86" s="1783"/>
      <c r="AE86" s="1783"/>
      <c r="AF86" s="1783"/>
      <c r="AG86" s="1783"/>
      <c r="AH86" s="1783"/>
      <c r="AI86" s="1783"/>
      <c r="AJ86" s="1783"/>
      <c r="AK86" s="1783"/>
      <c r="AL86" s="1783"/>
      <c r="AM86" s="1783"/>
      <c r="AN86" s="1783"/>
      <c r="AO86" s="1783"/>
      <c r="AP86" s="1783"/>
      <c r="AQ86" s="1783"/>
      <c r="AR86" s="1783"/>
      <c r="AS86" s="1783"/>
      <c r="AT86" s="1783"/>
      <c r="AU86" s="1783"/>
      <c r="AV86" s="1783"/>
      <c r="AW86" s="1783"/>
      <c r="AX86" s="1783"/>
      <c r="AY86" s="1783"/>
      <c r="AZ86" s="1783"/>
      <c r="BA86" s="1783"/>
      <c r="BB86" s="1783"/>
      <c r="BC86" s="1783"/>
      <c r="BD86" s="1783"/>
      <c r="BE86" s="1783"/>
      <c r="BF86" s="1783"/>
      <c r="BG86" s="1783"/>
      <c r="BH86" s="1783"/>
      <c r="BI86" s="1783"/>
    </row>
    <row r="87" spans="1:61">
      <c r="A87" s="1819"/>
      <c r="B87" s="1818"/>
      <c r="C87" s="1818"/>
      <c r="D87" s="1818"/>
      <c r="E87" s="1818"/>
      <c r="F87" s="1818"/>
      <c r="G87" s="1818"/>
      <c r="H87" s="1783"/>
      <c r="I87" s="1783"/>
      <c r="J87" s="1783"/>
      <c r="K87" s="1783"/>
      <c r="L87" s="1783"/>
      <c r="M87" s="1783"/>
      <c r="N87" s="1783"/>
      <c r="O87" s="1783"/>
      <c r="P87" s="1783"/>
      <c r="Q87" s="1783"/>
      <c r="R87" s="1783"/>
      <c r="S87" s="1783"/>
      <c r="T87" s="1783"/>
      <c r="U87" s="1783"/>
      <c r="V87" s="1783"/>
      <c r="W87" s="1783"/>
      <c r="X87" s="1783"/>
      <c r="Y87" s="1783"/>
      <c r="Z87" s="1783"/>
      <c r="AA87" s="1783"/>
      <c r="AB87" s="1783"/>
      <c r="AC87" s="1783"/>
      <c r="AD87" s="1783"/>
      <c r="AE87" s="1783"/>
      <c r="AF87" s="1783"/>
      <c r="AG87" s="1783"/>
      <c r="AH87" s="1783"/>
      <c r="AI87" s="1783"/>
      <c r="AJ87" s="1783"/>
      <c r="AK87" s="1783"/>
      <c r="AL87" s="1783"/>
      <c r="AM87" s="1783"/>
      <c r="AN87" s="1783"/>
      <c r="AO87" s="1783"/>
      <c r="AP87" s="1783"/>
      <c r="AQ87" s="1783"/>
      <c r="AR87" s="1783"/>
      <c r="AS87" s="1783"/>
      <c r="AT87" s="1783"/>
      <c r="AU87" s="1783"/>
      <c r="AV87" s="1783"/>
      <c r="AW87" s="1783"/>
      <c r="AX87" s="1783"/>
      <c r="AY87" s="1783"/>
      <c r="AZ87" s="1783"/>
      <c r="BA87" s="1783"/>
      <c r="BB87" s="1783"/>
      <c r="BC87" s="1783"/>
      <c r="BD87" s="1783"/>
      <c r="BE87" s="1783"/>
      <c r="BF87" s="1783"/>
      <c r="BG87" s="1783"/>
      <c r="BH87" s="1783"/>
      <c r="BI87" s="1783"/>
    </row>
    <row r="88" spans="1:61">
      <c r="A88" s="1819"/>
      <c r="B88" s="1818"/>
      <c r="C88" s="1818"/>
      <c r="D88" s="1818"/>
      <c r="E88" s="1818"/>
      <c r="F88" s="1818"/>
      <c r="G88" s="1818"/>
      <c r="H88" s="1783"/>
      <c r="I88" s="1783"/>
      <c r="J88" s="1783"/>
      <c r="K88" s="1783"/>
      <c r="L88" s="1783"/>
      <c r="M88" s="1783"/>
      <c r="N88" s="1783"/>
      <c r="O88" s="1783"/>
      <c r="P88" s="1783"/>
      <c r="Q88" s="1783"/>
      <c r="R88" s="1783"/>
      <c r="S88" s="1783"/>
      <c r="T88" s="1783"/>
      <c r="U88" s="1783"/>
      <c r="V88" s="1783"/>
      <c r="W88" s="1783"/>
      <c r="X88" s="1783"/>
      <c r="Y88" s="1783"/>
      <c r="Z88" s="1783"/>
      <c r="AA88" s="1783"/>
      <c r="AB88" s="1783"/>
      <c r="AC88" s="1783"/>
      <c r="AD88" s="1783"/>
      <c r="AE88" s="1783"/>
      <c r="AF88" s="1783"/>
      <c r="AG88" s="1783"/>
      <c r="AH88" s="1783"/>
      <c r="AI88" s="1783"/>
      <c r="AJ88" s="1783"/>
      <c r="AK88" s="1783"/>
      <c r="AL88" s="1783"/>
      <c r="AM88" s="1783"/>
      <c r="AN88" s="1783"/>
      <c r="AO88" s="1783"/>
      <c r="AP88" s="1783"/>
      <c r="AQ88" s="1783"/>
      <c r="AR88" s="1783"/>
      <c r="AS88" s="1783"/>
      <c r="AT88" s="1783"/>
      <c r="AU88" s="1783"/>
      <c r="AV88" s="1783"/>
      <c r="AW88" s="1783"/>
      <c r="AX88" s="1783"/>
      <c r="AY88" s="1783"/>
      <c r="AZ88" s="1783"/>
      <c r="BA88" s="1783"/>
      <c r="BB88" s="1783"/>
      <c r="BC88" s="1783"/>
      <c r="BD88" s="1783"/>
      <c r="BE88" s="1783"/>
      <c r="BF88" s="1783"/>
      <c r="BG88" s="1783"/>
      <c r="BH88" s="1783"/>
      <c r="BI88" s="1783"/>
    </row>
    <row r="89" spans="1:61">
      <c r="A89" s="1819"/>
      <c r="B89" s="1818"/>
      <c r="C89" s="1818"/>
      <c r="D89" s="1818"/>
      <c r="E89" s="1818"/>
      <c r="F89" s="1818"/>
      <c r="G89" s="1818"/>
      <c r="H89" s="1783"/>
      <c r="I89" s="1783"/>
      <c r="J89" s="1783"/>
      <c r="K89" s="1783"/>
      <c r="L89" s="1783"/>
      <c r="M89" s="1783"/>
      <c r="N89" s="1783"/>
      <c r="O89" s="1783"/>
      <c r="P89" s="1783"/>
      <c r="Q89" s="1783"/>
      <c r="R89" s="1783"/>
      <c r="S89" s="1783"/>
      <c r="T89" s="1783"/>
      <c r="U89" s="1783"/>
      <c r="V89" s="1783"/>
      <c r="W89" s="1783"/>
      <c r="X89" s="1783"/>
      <c r="Y89" s="1783"/>
      <c r="Z89" s="1783"/>
      <c r="AA89" s="1783"/>
      <c r="AB89" s="1783"/>
      <c r="AC89" s="1783"/>
      <c r="AD89" s="1783"/>
      <c r="AE89" s="1783"/>
      <c r="AF89" s="1783"/>
      <c r="AG89" s="1783"/>
      <c r="AH89" s="1783"/>
      <c r="AI89" s="1783"/>
      <c r="AJ89" s="1783"/>
      <c r="AK89" s="1783"/>
      <c r="AL89" s="1783"/>
      <c r="AM89" s="1783"/>
      <c r="AN89" s="1783"/>
      <c r="AO89" s="1783"/>
      <c r="AP89" s="1783"/>
      <c r="AQ89" s="1783"/>
      <c r="AR89" s="1783"/>
      <c r="AS89" s="1783"/>
      <c r="AT89" s="1783"/>
      <c r="AU89" s="1783"/>
      <c r="AV89" s="1783"/>
      <c r="AW89" s="1783"/>
      <c r="AX89" s="1783"/>
      <c r="AY89" s="1783"/>
      <c r="AZ89" s="1783"/>
      <c r="BA89" s="1783"/>
      <c r="BB89" s="1783"/>
      <c r="BC89" s="1783"/>
      <c r="BD89" s="1783"/>
      <c r="BE89" s="1783"/>
      <c r="BF89" s="1783"/>
      <c r="BG89" s="1783"/>
      <c r="BH89" s="1783"/>
      <c r="BI89" s="1783"/>
    </row>
    <row r="90" spans="1:61">
      <c r="A90" s="1819"/>
      <c r="B90" s="1818"/>
      <c r="C90" s="1818"/>
      <c r="D90" s="1818"/>
      <c r="E90" s="1818"/>
      <c r="F90" s="1818"/>
      <c r="G90" s="1818"/>
      <c r="H90" s="1783"/>
      <c r="I90" s="1783"/>
      <c r="J90" s="1783"/>
      <c r="K90" s="1783"/>
      <c r="L90" s="1783"/>
      <c r="M90" s="1783"/>
      <c r="N90" s="1783"/>
      <c r="O90" s="1783"/>
      <c r="P90" s="1783"/>
      <c r="Q90" s="1783"/>
      <c r="R90" s="1783"/>
      <c r="S90" s="1783"/>
      <c r="T90" s="1783"/>
      <c r="U90" s="1783"/>
      <c r="V90" s="1783"/>
      <c r="W90" s="1783"/>
      <c r="X90" s="1783"/>
      <c r="Y90" s="1783"/>
      <c r="Z90" s="1783"/>
      <c r="AA90" s="1783"/>
      <c r="AB90" s="1783"/>
      <c r="AC90" s="1783"/>
      <c r="AD90" s="1783"/>
      <c r="AE90" s="1783"/>
      <c r="AF90" s="1783"/>
      <c r="AG90" s="1783"/>
      <c r="AH90" s="1783"/>
      <c r="AI90" s="1783"/>
      <c r="AJ90" s="1783"/>
      <c r="AK90" s="1783"/>
      <c r="AL90" s="1783"/>
      <c r="AM90" s="1783"/>
      <c r="AN90" s="1783"/>
      <c r="AO90" s="1783"/>
      <c r="AP90" s="1783"/>
      <c r="AQ90" s="1783"/>
      <c r="AR90" s="1783"/>
      <c r="AS90" s="1783"/>
      <c r="AT90" s="1783"/>
      <c r="AU90" s="1783"/>
      <c r="AV90" s="1783"/>
      <c r="AW90" s="1783"/>
      <c r="AX90" s="1783"/>
      <c r="AY90" s="1783"/>
      <c r="AZ90" s="1783"/>
      <c r="BA90" s="1783"/>
      <c r="BB90" s="1783"/>
      <c r="BC90" s="1783"/>
      <c r="BD90" s="1783"/>
      <c r="BE90" s="1783"/>
      <c r="BF90" s="1783"/>
      <c r="BG90" s="1783"/>
      <c r="BH90" s="1783"/>
      <c r="BI90" s="1783"/>
    </row>
    <row r="91" spans="1:61">
      <c r="A91" s="1819"/>
      <c r="B91" s="1818"/>
      <c r="C91" s="1818"/>
      <c r="D91" s="1818"/>
      <c r="E91" s="1818"/>
      <c r="F91" s="1818"/>
      <c r="G91" s="1818"/>
      <c r="H91" s="1783"/>
      <c r="I91" s="1783"/>
      <c r="J91" s="1783"/>
      <c r="K91" s="1783"/>
      <c r="L91" s="1783"/>
      <c r="M91" s="1783"/>
      <c r="N91" s="1783"/>
      <c r="O91" s="1783"/>
      <c r="P91" s="1783"/>
      <c r="Q91" s="1783"/>
      <c r="R91" s="1783"/>
      <c r="S91" s="1783"/>
      <c r="T91" s="1783"/>
      <c r="U91" s="1783"/>
      <c r="V91" s="1783"/>
      <c r="W91" s="1783"/>
      <c r="X91" s="1783"/>
      <c r="Y91" s="1783"/>
      <c r="Z91" s="1783"/>
      <c r="AA91" s="1783"/>
      <c r="AB91" s="1783"/>
      <c r="AC91" s="1783"/>
      <c r="AD91" s="1783"/>
      <c r="AE91" s="1783"/>
      <c r="AF91" s="1783"/>
      <c r="AG91" s="1783"/>
      <c r="AH91" s="1783"/>
      <c r="AI91" s="1783"/>
      <c r="AJ91" s="1783"/>
      <c r="AK91" s="1783"/>
      <c r="AL91" s="1783"/>
      <c r="AM91" s="1783"/>
      <c r="AN91" s="1783"/>
      <c r="AO91" s="1783"/>
      <c r="AP91" s="1783"/>
      <c r="AQ91" s="1783"/>
      <c r="AR91" s="1783"/>
      <c r="AS91" s="1783"/>
      <c r="AT91" s="1783"/>
      <c r="AU91" s="1783"/>
      <c r="AV91" s="1783"/>
      <c r="AW91" s="1783"/>
      <c r="AX91" s="1783"/>
      <c r="AY91" s="1783"/>
      <c r="AZ91" s="1783"/>
      <c r="BA91" s="1783"/>
      <c r="BB91" s="1783"/>
      <c r="BC91" s="1783"/>
      <c r="BD91" s="1783"/>
      <c r="BE91" s="1783"/>
      <c r="BF91" s="1783"/>
      <c r="BG91" s="1783"/>
      <c r="BH91" s="1783"/>
      <c r="BI91" s="1783"/>
    </row>
    <row r="92" spans="1:61">
      <c r="A92" s="1819"/>
      <c r="B92" s="1818"/>
      <c r="C92" s="1818"/>
      <c r="D92" s="1818"/>
      <c r="E92" s="1818"/>
      <c r="F92" s="1818"/>
      <c r="G92" s="1818"/>
      <c r="H92" s="1783"/>
      <c r="I92" s="1783"/>
      <c r="J92" s="1783"/>
      <c r="K92" s="1783"/>
      <c r="L92" s="1783"/>
      <c r="M92" s="1783"/>
      <c r="N92" s="1783"/>
      <c r="O92" s="1783"/>
      <c r="P92" s="1783"/>
      <c r="Q92" s="1783"/>
      <c r="R92" s="1783"/>
      <c r="S92" s="1783"/>
      <c r="T92" s="1783"/>
      <c r="U92" s="1783"/>
      <c r="V92" s="1783"/>
      <c r="W92" s="1783"/>
      <c r="X92" s="1783"/>
      <c r="Y92" s="1783"/>
      <c r="Z92" s="1783"/>
      <c r="AA92" s="1783"/>
      <c r="AB92" s="1783"/>
      <c r="AC92" s="1783"/>
      <c r="AD92" s="1783"/>
      <c r="AE92" s="1783"/>
      <c r="AF92" s="1783"/>
      <c r="AG92" s="1783"/>
      <c r="AH92" s="1783"/>
      <c r="AI92" s="1783"/>
      <c r="AJ92" s="1783"/>
      <c r="AK92" s="1783"/>
      <c r="AL92" s="1783"/>
      <c r="AM92" s="1783"/>
      <c r="AN92" s="1783"/>
      <c r="AO92" s="1783"/>
      <c r="AP92" s="1783"/>
      <c r="AQ92" s="1783"/>
      <c r="AR92" s="1783"/>
      <c r="AS92" s="1783"/>
      <c r="AT92" s="1783"/>
      <c r="AU92" s="1783"/>
      <c r="AV92" s="1783"/>
      <c r="AW92" s="1783"/>
      <c r="AX92" s="1783"/>
      <c r="AY92" s="1783"/>
      <c r="AZ92" s="1783"/>
      <c r="BA92" s="1783"/>
      <c r="BB92" s="1783"/>
      <c r="BC92" s="1783"/>
      <c r="BD92" s="1783"/>
      <c r="BE92" s="1783"/>
      <c r="BF92" s="1783"/>
      <c r="BG92" s="1783"/>
      <c r="BH92" s="1783"/>
      <c r="BI92" s="1783"/>
    </row>
    <row r="93" spans="1:61">
      <c r="A93" s="1819"/>
      <c r="B93" s="1818"/>
      <c r="C93" s="1818"/>
      <c r="D93" s="1818"/>
      <c r="E93" s="1818"/>
      <c r="F93" s="1818"/>
      <c r="G93" s="1818"/>
      <c r="H93" s="1783"/>
      <c r="I93" s="1783"/>
      <c r="J93" s="1783"/>
      <c r="K93" s="1783"/>
      <c r="L93" s="1783"/>
      <c r="M93" s="1783"/>
      <c r="N93" s="1783"/>
      <c r="O93" s="1783"/>
      <c r="P93" s="1783"/>
      <c r="Q93" s="1783"/>
      <c r="R93" s="1783"/>
      <c r="S93" s="1783"/>
      <c r="T93" s="1783"/>
      <c r="U93" s="1783"/>
      <c r="V93" s="1783"/>
      <c r="W93" s="1783"/>
      <c r="X93" s="1783"/>
      <c r="Y93" s="1783"/>
      <c r="Z93" s="1783"/>
      <c r="AA93" s="1783"/>
      <c r="AB93" s="1783"/>
      <c r="AC93" s="1783"/>
      <c r="AD93" s="1783"/>
      <c r="AE93" s="1783"/>
      <c r="AF93" s="1783"/>
      <c r="AG93" s="1783"/>
      <c r="AH93" s="1783"/>
      <c r="AI93" s="1783"/>
      <c r="AJ93" s="1783"/>
      <c r="AK93" s="1783"/>
      <c r="AL93" s="1783"/>
      <c r="AM93" s="1783"/>
      <c r="AN93" s="1783"/>
      <c r="AO93" s="1783"/>
      <c r="AP93" s="1783"/>
      <c r="AQ93" s="1783"/>
      <c r="AR93" s="1783"/>
      <c r="AS93" s="1783"/>
      <c r="AT93" s="1783"/>
      <c r="AU93" s="1783"/>
      <c r="AV93" s="1783"/>
      <c r="AW93" s="1783"/>
      <c r="AX93" s="1783"/>
      <c r="AY93" s="1783"/>
      <c r="AZ93" s="1783"/>
      <c r="BA93" s="1783"/>
      <c r="BB93" s="1783"/>
      <c r="BC93" s="1783"/>
      <c r="BD93" s="1783"/>
      <c r="BE93" s="1783"/>
      <c r="BF93" s="1783"/>
      <c r="BG93" s="1783"/>
      <c r="BH93" s="1783"/>
      <c r="BI93" s="1783"/>
    </row>
    <row r="94" spans="1:61">
      <c r="A94" s="1819"/>
      <c r="B94" s="1818"/>
      <c r="C94" s="1818"/>
      <c r="D94" s="1818"/>
      <c r="E94" s="1818"/>
      <c r="F94" s="1818"/>
      <c r="G94" s="1818"/>
      <c r="H94" s="1783"/>
      <c r="I94" s="1783"/>
      <c r="J94" s="1783"/>
      <c r="K94" s="1783"/>
      <c r="L94" s="1783"/>
      <c r="M94" s="1783"/>
      <c r="N94" s="1783"/>
      <c r="O94" s="1783"/>
      <c r="P94" s="1783"/>
      <c r="Q94" s="1783"/>
      <c r="R94" s="1783"/>
      <c r="S94" s="1783"/>
      <c r="T94" s="1783"/>
      <c r="U94" s="1783"/>
      <c r="V94" s="1783"/>
      <c r="W94" s="1783"/>
      <c r="X94" s="1783"/>
      <c r="Y94" s="1783"/>
      <c r="Z94" s="1783"/>
      <c r="AA94" s="1783"/>
      <c r="AB94" s="1783"/>
      <c r="AC94" s="1783"/>
      <c r="AD94" s="1783"/>
      <c r="AE94" s="1783"/>
      <c r="AF94" s="1783"/>
      <c r="AG94" s="1783"/>
      <c r="AH94" s="1783"/>
      <c r="AI94" s="1783"/>
      <c r="AJ94" s="1783"/>
      <c r="AK94" s="1783"/>
      <c r="AL94" s="1783"/>
      <c r="AM94" s="1783"/>
      <c r="AN94" s="1783"/>
      <c r="AO94" s="1783"/>
      <c r="AP94" s="1783"/>
      <c r="AQ94" s="1783"/>
      <c r="AR94" s="1783"/>
      <c r="AS94" s="1783"/>
      <c r="AT94" s="1783"/>
      <c r="AU94" s="1783"/>
      <c r="AV94" s="1783"/>
      <c r="AW94" s="1783"/>
      <c r="AX94" s="1783"/>
      <c r="AY94" s="1783"/>
      <c r="AZ94" s="1783"/>
      <c r="BA94" s="1783"/>
      <c r="BB94" s="1783"/>
      <c r="BC94" s="1783"/>
      <c r="BD94" s="1783"/>
      <c r="BE94" s="1783"/>
      <c r="BF94" s="1783"/>
      <c r="BG94" s="1783"/>
      <c r="BH94" s="1783"/>
      <c r="BI94" s="1783"/>
    </row>
    <row r="95" spans="1:61">
      <c r="A95" s="1819"/>
      <c r="B95" s="1818"/>
      <c r="C95" s="1818"/>
      <c r="D95" s="1818"/>
      <c r="E95" s="1818"/>
      <c r="F95" s="1818"/>
      <c r="G95" s="1818"/>
      <c r="H95" s="1783"/>
      <c r="I95" s="1783"/>
      <c r="J95" s="1783"/>
      <c r="K95" s="1783"/>
      <c r="L95" s="1783"/>
      <c r="M95" s="1783"/>
      <c r="N95" s="1783"/>
      <c r="O95" s="1783"/>
      <c r="P95" s="1783"/>
      <c r="Q95" s="1783"/>
      <c r="R95" s="1783"/>
      <c r="S95" s="1783"/>
      <c r="T95" s="1783"/>
      <c r="U95" s="1783"/>
      <c r="V95" s="1783"/>
      <c r="W95" s="1783"/>
      <c r="X95" s="1783"/>
      <c r="Y95" s="1783"/>
      <c r="Z95" s="1783"/>
      <c r="AA95" s="1783"/>
      <c r="AB95" s="1783"/>
      <c r="AC95" s="1783"/>
      <c r="AD95" s="1783"/>
      <c r="AE95" s="1783"/>
      <c r="AF95" s="1783"/>
      <c r="AG95" s="1783"/>
      <c r="AH95" s="1783"/>
      <c r="AI95" s="1783"/>
      <c r="AJ95" s="1783"/>
      <c r="AK95" s="1783"/>
      <c r="AL95" s="1783"/>
      <c r="AM95" s="1783"/>
      <c r="AN95" s="1783"/>
      <c r="AO95" s="1783"/>
      <c r="AP95" s="1783"/>
      <c r="AQ95" s="1783"/>
      <c r="AR95" s="1783"/>
      <c r="AS95" s="1783"/>
      <c r="AT95" s="1783"/>
      <c r="AU95" s="1783"/>
      <c r="AV95" s="1783"/>
      <c r="AW95" s="1783"/>
      <c r="AX95" s="1783"/>
      <c r="AY95" s="1783"/>
      <c r="AZ95" s="1783"/>
      <c r="BA95" s="1783"/>
      <c r="BB95" s="1783"/>
      <c r="BC95" s="1783"/>
      <c r="BD95" s="1783"/>
      <c r="BE95" s="1783"/>
      <c r="BF95" s="1783"/>
      <c r="BG95" s="1783"/>
      <c r="BH95" s="1783"/>
      <c r="BI95" s="1783"/>
    </row>
    <row r="96" spans="1:61">
      <c r="A96" s="1819"/>
      <c r="B96" s="1818"/>
      <c r="C96" s="1818"/>
      <c r="D96" s="1818"/>
      <c r="E96" s="1818"/>
      <c r="F96" s="1818"/>
      <c r="G96" s="1818"/>
      <c r="H96" s="1783"/>
      <c r="I96" s="1783"/>
      <c r="J96" s="1783"/>
      <c r="K96" s="1783"/>
      <c r="L96" s="1783"/>
      <c r="M96" s="1783"/>
      <c r="N96" s="1783"/>
      <c r="O96" s="1783"/>
      <c r="P96" s="1783"/>
      <c r="Q96" s="1783"/>
      <c r="R96" s="1783"/>
      <c r="S96" s="1783"/>
      <c r="T96" s="1783"/>
      <c r="U96" s="1783"/>
      <c r="V96" s="1783"/>
      <c r="W96" s="1783"/>
      <c r="X96" s="1783"/>
      <c r="Y96" s="1783"/>
      <c r="Z96" s="1783"/>
      <c r="AA96" s="1783"/>
      <c r="AB96" s="1783"/>
      <c r="AC96" s="1783"/>
      <c r="AD96" s="1783"/>
      <c r="AE96" s="1783"/>
      <c r="AF96" s="1783"/>
      <c r="AG96" s="1783"/>
      <c r="AH96" s="1783"/>
      <c r="AI96" s="1783"/>
      <c r="AJ96" s="1783"/>
      <c r="AK96" s="1783"/>
      <c r="AL96" s="1783"/>
      <c r="AM96" s="1783"/>
      <c r="AN96" s="1783"/>
      <c r="AO96" s="1783"/>
      <c r="AP96" s="1783"/>
      <c r="AQ96" s="1783"/>
      <c r="AR96" s="1783"/>
      <c r="AS96" s="1783"/>
      <c r="AT96" s="1783"/>
      <c r="AU96" s="1783"/>
      <c r="AV96" s="1783"/>
      <c r="AW96" s="1783"/>
      <c r="AX96" s="1783"/>
      <c r="AY96" s="1783"/>
      <c r="AZ96" s="1783"/>
      <c r="BA96" s="1783"/>
      <c r="BB96" s="1783"/>
      <c r="BC96" s="1783"/>
      <c r="BD96" s="1783"/>
      <c r="BE96" s="1783"/>
      <c r="BF96" s="1783"/>
      <c r="BG96" s="1783"/>
      <c r="BH96" s="1783"/>
      <c r="BI96" s="1783"/>
    </row>
    <row r="97" spans="1:61">
      <c r="A97" s="1819"/>
      <c r="B97" s="1818"/>
      <c r="C97" s="1818"/>
      <c r="D97" s="1818"/>
      <c r="E97" s="1818"/>
      <c r="F97" s="1818"/>
      <c r="G97" s="1818"/>
      <c r="H97" s="1783"/>
      <c r="I97" s="1783"/>
      <c r="J97" s="1783"/>
      <c r="K97" s="1783"/>
      <c r="L97" s="1783"/>
      <c r="M97" s="1783"/>
      <c r="N97" s="1783"/>
      <c r="O97" s="1783"/>
      <c r="P97" s="1783"/>
      <c r="Q97" s="1783"/>
      <c r="R97" s="1783"/>
      <c r="S97" s="1783"/>
      <c r="T97" s="1783"/>
      <c r="U97" s="1783"/>
      <c r="V97" s="1783"/>
      <c r="W97" s="1783"/>
      <c r="X97" s="1783"/>
      <c r="Y97" s="1783"/>
      <c r="Z97" s="1783"/>
      <c r="AA97" s="1783"/>
      <c r="AB97" s="1783"/>
      <c r="AC97" s="1783"/>
      <c r="AD97" s="1783"/>
      <c r="AE97" s="1783"/>
      <c r="AF97" s="1783"/>
      <c r="AG97" s="1783"/>
      <c r="AH97" s="1783"/>
      <c r="AI97" s="1783"/>
      <c r="AJ97" s="1783"/>
      <c r="AK97" s="1783"/>
      <c r="AL97" s="1783"/>
      <c r="AM97" s="1783"/>
      <c r="AN97" s="1783"/>
      <c r="AO97" s="1783"/>
      <c r="AP97" s="1783"/>
      <c r="AQ97" s="1783"/>
      <c r="AR97" s="1783"/>
      <c r="AS97" s="1783"/>
      <c r="AT97" s="1783"/>
      <c r="AU97" s="1783"/>
      <c r="AV97" s="1783"/>
      <c r="AW97" s="1783"/>
      <c r="AX97" s="1783"/>
      <c r="AY97" s="1783"/>
      <c r="AZ97" s="1783"/>
      <c r="BA97" s="1783"/>
      <c r="BB97" s="1783"/>
      <c r="BC97" s="1783"/>
      <c r="BD97" s="1783"/>
      <c r="BE97" s="1783"/>
      <c r="BF97" s="1783"/>
      <c r="BG97" s="1783"/>
      <c r="BH97" s="1783"/>
      <c r="BI97" s="1783"/>
    </row>
    <row r="98" spans="1:61">
      <c r="A98" s="1819"/>
      <c r="B98" s="1818"/>
      <c r="C98" s="1818"/>
      <c r="D98" s="1818"/>
      <c r="E98" s="1818"/>
      <c r="F98" s="1818"/>
      <c r="G98" s="1818"/>
      <c r="H98" s="1783"/>
      <c r="I98" s="1783"/>
      <c r="J98" s="1783"/>
      <c r="K98" s="1783"/>
      <c r="L98" s="1783"/>
      <c r="M98" s="1783"/>
      <c r="N98" s="1783"/>
      <c r="O98" s="1783"/>
      <c r="P98" s="1783"/>
      <c r="Q98" s="1783"/>
      <c r="R98" s="1783"/>
      <c r="S98" s="1783"/>
      <c r="T98" s="1783"/>
      <c r="U98" s="1783"/>
      <c r="V98" s="1783"/>
      <c r="W98" s="1783"/>
      <c r="X98" s="1783"/>
      <c r="Y98" s="1783"/>
      <c r="Z98" s="1783"/>
      <c r="AA98" s="1783"/>
      <c r="AB98" s="1783"/>
      <c r="AC98" s="1783"/>
      <c r="AD98" s="1783"/>
      <c r="AE98" s="1783"/>
      <c r="AF98" s="1783"/>
      <c r="AG98" s="1783"/>
      <c r="AH98" s="1783"/>
      <c r="AI98" s="1783"/>
      <c r="AJ98" s="1783"/>
      <c r="AK98" s="1783"/>
      <c r="AL98" s="1783"/>
      <c r="AM98" s="1783"/>
      <c r="AN98" s="1783"/>
      <c r="AO98" s="1783"/>
      <c r="AP98" s="1783"/>
      <c r="AQ98" s="1783"/>
      <c r="AR98" s="1783"/>
      <c r="AS98" s="1783"/>
      <c r="AT98" s="1783"/>
      <c r="AU98" s="1783"/>
      <c r="AV98" s="1783"/>
      <c r="AW98" s="1783"/>
      <c r="AX98" s="1783"/>
      <c r="AY98" s="1783"/>
      <c r="AZ98" s="1783"/>
      <c r="BA98" s="1783"/>
      <c r="BB98" s="1783"/>
      <c r="BC98" s="1783"/>
      <c r="BD98" s="1783"/>
      <c r="BE98" s="1783"/>
      <c r="BF98" s="1783"/>
      <c r="BG98" s="1783"/>
      <c r="BH98" s="1783"/>
      <c r="BI98" s="1783"/>
    </row>
    <row r="99" spans="1:61">
      <c r="A99" s="1819"/>
      <c r="B99" s="1818"/>
      <c r="C99" s="1818"/>
      <c r="D99" s="1818"/>
      <c r="E99" s="1818"/>
      <c r="F99" s="1818"/>
      <c r="G99" s="1818"/>
      <c r="H99" s="1783"/>
      <c r="I99" s="1783"/>
      <c r="J99" s="1783"/>
      <c r="K99" s="1783"/>
      <c r="L99" s="1783"/>
      <c r="M99" s="1783"/>
      <c r="N99" s="1783"/>
      <c r="O99" s="1783"/>
      <c r="P99" s="1783"/>
      <c r="Q99" s="1783"/>
      <c r="R99" s="1783"/>
      <c r="S99" s="1783"/>
      <c r="T99" s="1783"/>
      <c r="U99" s="1783"/>
      <c r="V99" s="1783"/>
      <c r="W99" s="1783"/>
      <c r="X99" s="1783"/>
      <c r="Y99" s="1783"/>
      <c r="Z99" s="1783"/>
      <c r="AA99" s="1783"/>
      <c r="AB99" s="1783"/>
      <c r="AC99" s="1783"/>
      <c r="AD99" s="1783"/>
      <c r="AE99" s="1783"/>
      <c r="AF99" s="1783"/>
      <c r="AG99" s="1783"/>
      <c r="AH99" s="1783"/>
      <c r="AI99" s="1783"/>
      <c r="AJ99" s="1783"/>
      <c r="AK99" s="1783"/>
      <c r="AL99" s="1783"/>
      <c r="AM99" s="1783"/>
      <c r="AN99" s="1783"/>
      <c r="AO99" s="1783"/>
      <c r="AP99" s="1783"/>
      <c r="AQ99" s="1783"/>
      <c r="AR99" s="1783"/>
      <c r="AS99" s="1783"/>
      <c r="AT99" s="1783"/>
      <c r="AU99" s="1783"/>
      <c r="AV99" s="1783"/>
      <c r="AW99" s="1783"/>
      <c r="AX99" s="1783"/>
      <c r="AY99" s="1783"/>
      <c r="AZ99" s="1783"/>
      <c r="BA99" s="1783"/>
      <c r="BB99" s="1783"/>
      <c r="BC99" s="1783"/>
      <c r="BD99" s="1783"/>
      <c r="BE99" s="1783"/>
      <c r="BF99" s="1783"/>
      <c r="BG99" s="1783"/>
      <c r="BH99" s="1783"/>
      <c r="BI99" s="1783"/>
    </row>
    <row r="100" spans="1:61">
      <c r="A100" s="1819"/>
      <c r="B100" s="1818"/>
      <c r="C100" s="1818"/>
      <c r="D100" s="1818"/>
      <c r="E100" s="1818"/>
      <c r="F100" s="1818"/>
      <c r="G100" s="1818"/>
      <c r="H100" s="1783"/>
      <c r="I100" s="1783"/>
      <c r="J100" s="1783"/>
      <c r="K100" s="1783"/>
      <c r="L100" s="1783"/>
      <c r="M100" s="1783"/>
      <c r="N100" s="1783"/>
      <c r="O100" s="1783"/>
      <c r="P100" s="1783"/>
      <c r="Q100" s="1783"/>
      <c r="R100" s="1783"/>
      <c r="S100" s="1783"/>
      <c r="T100" s="1783"/>
      <c r="U100" s="1783"/>
      <c r="V100" s="1783"/>
      <c r="W100" s="1783"/>
      <c r="X100" s="1783"/>
      <c r="Y100" s="1783"/>
      <c r="Z100" s="1783"/>
      <c r="AA100" s="1783"/>
      <c r="AB100" s="1783"/>
      <c r="AC100" s="1783"/>
      <c r="AD100" s="1783"/>
      <c r="AE100" s="1783"/>
      <c r="AF100" s="1783"/>
      <c r="AG100" s="1783"/>
      <c r="AH100" s="1783"/>
      <c r="AI100" s="1783"/>
      <c r="AJ100" s="1783"/>
      <c r="AK100" s="1783"/>
      <c r="AL100" s="1783"/>
      <c r="AM100" s="1783"/>
      <c r="AN100" s="1783"/>
      <c r="AO100" s="1783"/>
      <c r="AP100" s="1783"/>
      <c r="AQ100" s="1783"/>
      <c r="AR100" s="1783"/>
      <c r="AS100" s="1783"/>
      <c r="AT100" s="1783"/>
      <c r="AU100" s="1783"/>
      <c r="AV100" s="1783"/>
      <c r="AW100" s="1783"/>
      <c r="AX100" s="1783"/>
      <c r="AY100" s="1783"/>
      <c r="AZ100" s="1783"/>
      <c r="BA100" s="1783"/>
      <c r="BB100" s="1783"/>
      <c r="BC100" s="1783"/>
      <c r="BD100" s="1783"/>
      <c r="BE100" s="1783"/>
      <c r="BF100" s="1783"/>
      <c r="BG100" s="1783"/>
      <c r="BH100" s="1783"/>
      <c r="BI100" s="1783"/>
    </row>
    <row r="101" spans="1:61">
      <c r="A101" s="1819"/>
      <c r="B101" s="1818"/>
      <c r="C101" s="1818"/>
      <c r="D101" s="1818"/>
      <c r="E101" s="1818"/>
      <c r="F101" s="1818"/>
      <c r="G101" s="1818"/>
      <c r="H101" s="1783"/>
      <c r="I101" s="1783"/>
      <c r="J101" s="1783"/>
      <c r="K101" s="1783"/>
      <c r="L101" s="1783"/>
      <c r="M101" s="1783"/>
      <c r="N101" s="1783"/>
      <c r="O101" s="1783"/>
      <c r="P101" s="1783"/>
      <c r="Q101" s="1783"/>
      <c r="R101" s="1783"/>
      <c r="S101" s="1783"/>
      <c r="T101" s="1783"/>
      <c r="U101" s="1783"/>
      <c r="V101" s="1783"/>
      <c r="W101" s="1783"/>
      <c r="X101" s="1783"/>
      <c r="Y101" s="1783"/>
      <c r="Z101" s="1783"/>
      <c r="AA101" s="1783"/>
      <c r="AB101" s="1783"/>
      <c r="AC101" s="1783"/>
      <c r="AD101" s="1783"/>
      <c r="AE101" s="1783"/>
      <c r="AF101" s="1783"/>
      <c r="AG101" s="1783"/>
      <c r="AH101" s="1783"/>
      <c r="AI101" s="1783"/>
      <c r="AJ101" s="1783"/>
      <c r="AK101" s="1783"/>
      <c r="AL101" s="1783"/>
      <c r="AM101" s="1783"/>
      <c r="AN101" s="1783"/>
      <c r="AO101" s="1783"/>
      <c r="AP101" s="1783"/>
      <c r="AQ101" s="1783"/>
      <c r="AR101" s="1783"/>
      <c r="AS101" s="1783"/>
      <c r="AT101" s="1783"/>
      <c r="AU101" s="1783"/>
      <c r="AV101" s="1783"/>
      <c r="AW101" s="1783"/>
      <c r="AX101" s="1783"/>
      <c r="AY101" s="1783"/>
      <c r="AZ101" s="1783"/>
      <c r="BA101" s="1783"/>
      <c r="BB101" s="1783"/>
      <c r="BC101" s="1783"/>
      <c r="BD101" s="1783"/>
      <c r="BE101" s="1783"/>
      <c r="BF101" s="1783"/>
      <c r="BG101" s="1783"/>
      <c r="BH101" s="1783"/>
      <c r="BI101" s="1783"/>
    </row>
    <row r="102" spans="1:61">
      <c r="A102" s="1819"/>
      <c r="B102" s="1818"/>
      <c r="C102" s="1818"/>
      <c r="D102" s="1818"/>
      <c r="E102" s="1818"/>
      <c r="F102" s="1818"/>
      <c r="G102" s="1818"/>
      <c r="H102" s="1783"/>
      <c r="I102" s="1783"/>
      <c r="J102" s="1783"/>
      <c r="K102" s="1783"/>
      <c r="L102" s="1783"/>
      <c r="M102" s="1783"/>
      <c r="N102" s="1783"/>
      <c r="O102" s="1783"/>
      <c r="P102" s="1783"/>
      <c r="Q102" s="1783"/>
      <c r="R102" s="1783"/>
      <c r="S102" s="1783"/>
      <c r="T102" s="1783"/>
      <c r="U102" s="1783"/>
      <c r="V102" s="1783"/>
      <c r="W102" s="1783"/>
      <c r="X102" s="1783"/>
      <c r="Y102" s="1783"/>
      <c r="Z102" s="1783"/>
      <c r="AA102" s="1783"/>
      <c r="AB102" s="1783"/>
      <c r="AC102" s="1783"/>
      <c r="AD102" s="1783"/>
      <c r="AE102" s="1783"/>
      <c r="AF102" s="1783"/>
      <c r="AG102" s="1783"/>
      <c r="AH102" s="1783"/>
      <c r="AI102" s="1783"/>
      <c r="AJ102" s="1783"/>
      <c r="AK102" s="1783"/>
      <c r="AL102" s="1783"/>
      <c r="AM102" s="1783"/>
      <c r="AN102" s="1783"/>
      <c r="AO102" s="1783"/>
      <c r="AP102" s="1783"/>
      <c r="AQ102" s="1783"/>
      <c r="AR102" s="1783"/>
      <c r="AS102" s="1783"/>
      <c r="AT102" s="1783"/>
      <c r="AU102" s="1783"/>
      <c r="AV102" s="1783"/>
      <c r="AW102" s="1783"/>
      <c r="AX102" s="1783"/>
      <c r="AY102" s="1783"/>
      <c r="AZ102" s="1783"/>
      <c r="BA102" s="1783"/>
      <c r="BB102" s="1783"/>
      <c r="BC102" s="1783"/>
      <c r="BD102" s="1783"/>
      <c r="BE102" s="1783"/>
      <c r="BF102" s="1783"/>
      <c r="BG102" s="1783"/>
      <c r="BH102" s="1783"/>
      <c r="BI102" s="1783"/>
    </row>
    <row r="103" spans="1:61">
      <c r="A103" s="1819"/>
      <c r="B103" s="1818"/>
      <c r="C103" s="1818"/>
      <c r="D103" s="1818"/>
      <c r="E103" s="1818"/>
      <c r="F103" s="1818"/>
      <c r="G103" s="1818"/>
      <c r="H103" s="1783"/>
      <c r="I103" s="1783"/>
      <c r="J103" s="1783"/>
      <c r="K103" s="1783"/>
      <c r="L103" s="1783"/>
      <c r="M103" s="1783"/>
      <c r="N103" s="1783"/>
      <c r="O103" s="1783"/>
      <c r="P103" s="1783"/>
      <c r="Q103" s="1783"/>
      <c r="R103" s="1783"/>
      <c r="S103" s="1783"/>
      <c r="T103" s="1783"/>
      <c r="U103" s="1783"/>
      <c r="V103" s="1783"/>
      <c r="W103" s="1783"/>
      <c r="X103" s="1783"/>
      <c r="Y103" s="1783"/>
      <c r="Z103" s="1783"/>
      <c r="AA103" s="1783"/>
      <c r="AB103" s="1783"/>
      <c r="AC103" s="1783"/>
      <c r="AD103" s="1783"/>
      <c r="AE103" s="1783"/>
      <c r="AF103" s="1783"/>
      <c r="AG103" s="1783"/>
      <c r="AH103" s="1783"/>
      <c r="AI103" s="1783"/>
      <c r="AJ103" s="1783"/>
      <c r="AK103" s="1783"/>
      <c r="AL103" s="1783"/>
      <c r="AM103" s="1783"/>
      <c r="AN103" s="1783"/>
      <c r="AO103" s="1783"/>
      <c r="AP103" s="1783"/>
      <c r="AQ103" s="1783"/>
      <c r="AR103" s="1783"/>
      <c r="AS103" s="1783"/>
      <c r="AT103" s="1783"/>
      <c r="AU103" s="1783"/>
      <c r="AV103" s="1783"/>
      <c r="AW103" s="1783"/>
      <c r="AX103" s="1783"/>
      <c r="AY103" s="1783"/>
      <c r="AZ103" s="1783"/>
      <c r="BA103" s="1783"/>
      <c r="BB103" s="1783"/>
      <c r="BC103" s="1783"/>
      <c r="BD103" s="1783"/>
      <c r="BE103" s="1783"/>
      <c r="BF103" s="1783"/>
      <c r="BG103" s="1783"/>
      <c r="BH103" s="1783"/>
      <c r="BI103" s="1783"/>
    </row>
    <row r="104" spans="1:61">
      <c r="A104" s="1819"/>
      <c r="B104" s="1818"/>
      <c r="C104" s="1818"/>
      <c r="D104" s="1818"/>
      <c r="E104" s="1818"/>
      <c r="F104" s="1818"/>
      <c r="G104" s="1818"/>
      <c r="H104" s="1783"/>
      <c r="I104" s="1783"/>
      <c r="J104" s="1783"/>
      <c r="K104" s="1783"/>
      <c r="L104" s="1783"/>
      <c r="M104" s="1783"/>
      <c r="N104" s="1783"/>
      <c r="O104" s="1783"/>
      <c r="P104" s="1783"/>
      <c r="Q104" s="1783"/>
      <c r="R104" s="1783"/>
      <c r="S104" s="1783"/>
      <c r="T104" s="1783"/>
      <c r="U104" s="1783"/>
      <c r="V104" s="1783"/>
      <c r="W104" s="1783"/>
      <c r="X104" s="1783"/>
      <c r="Y104" s="1783"/>
      <c r="Z104" s="1783"/>
      <c r="AA104" s="1783"/>
      <c r="AB104" s="1783"/>
      <c r="AC104" s="1783"/>
      <c r="AD104" s="1783"/>
      <c r="AE104" s="1783"/>
      <c r="AF104" s="1783"/>
      <c r="AG104" s="1783"/>
      <c r="AH104" s="1783"/>
      <c r="AI104" s="1783"/>
      <c r="AJ104" s="1783"/>
      <c r="AK104" s="1783"/>
      <c r="AL104" s="1783"/>
      <c r="AM104" s="1783"/>
      <c r="AN104" s="1783"/>
      <c r="AO104" s="1783"/>
      <c r="AP104" s="1783"/>
      <c r="AQ104" s="1783"/>
      <c r="AR104" s="1783"/>
      <c r="AS104" s="1783"/>
      <c r="AT104" s="1783"/>
      <c r="AU104" s="1783"/>
      <c r="AV104" s="1783"/>
      <c r="AW104" s="1783"/>
      <c r="AX104" s="1783"/>
      <c r="AY104" s="1783"/>
      <c r="AZ104" s="1783"/>
      <c r="BA104" s="1783"/>
      <c r="BB104" s="1783"/>
      <c r="BC104" s="1783"/>
      <c r="BD104" s="1783"/>
      <c r="BE104" s="1783"/>
      <c r="BF104" s="1783"/>
      <c r="BG104" s="1783"/>
      <c r="BH104" s="1783"/>
      <c r="BI104" s="1783"/>
    </row>
    <row r="105" spans="1:61">
      <c r="A105" s="1819"/>
      <c r="B105" s="1818"/>
      <c r="C105" s="1818"/>
      <c r="D105" s="1818"/>
      <c r="E105" s="1818"/>
      <c r="F105" s="1818"/>
      <c r="G105" s="1818"/>
      <c r="H105" s="1783"/>
      <c r="I105" s="1783"/>
      <c r="J105" s="1783"/>
      <c r="K105" s="1783"/>
      <c r="L105" s="1783"/>
      <c r="M105" s="1783"/>
      <c r="N105" s="1783"/>
      <c r="O105" s="1783"/>
      <c r="P105" s="1783"/>
      <c r="Q105" s="1783"/>
      <c r="R105" s="1783"/>
      <c r="S105" s="1783"/>
      <c r="T105" s="1783"/>
      <c r="U105" s="1783"/>
      <c r="V105" s="1783"/>
      <c r="W105" s="1783"/>
      <c r="X105" s="1783"/>
      <c r="Y105" s="1783"/>
      <c r="Z105" s="1783"/>
      <c r="AA105" s="1783"/>
      <c r="AB105" s="1783"/>
      <c r="AC105" s="1783"/>
      <c r="AD105" s="1783"/>
      <c r="AE105" s="1783"/>
      <c r="AF105" s="1783"/>
      <c r="AG105" s="1783"/>
      <c r="AH105" s="1783"/>
      <c r="AI105" s="1783"/>
      <c r="AJ105" s="1783"/>
      <c r="AK105" s="1783"/>
      <c r="AL105" s="1783"/>
      <c r="AM105" s="1783"/>
      <c r="AN105" s="1783"/>
      <c r="AO105" s="1783"/>
      <c r="AP105" s="1783"/>
      <c r="AQ105" s="1783"/>
      <c r="AR105" s="1783"/>
      <c r="AS105" s="1783"/>
      <c r="AT105" s="1783"/>
      <c r="AU105" s="1783"/>
      <c r="AV105" s="1783"/>
      <c r="AW105" s="1783"/>
      <c r="AX105" s="1783"/>
      <c r="AY105" s="1783"/>
      <c r="AZ105" s="1783"/>
      <c r="BA105" s="1783"/>
      <c r="BB105" s="1783"/>
      <c r="BC105" s="1783"/>
      <c r="BD105" s="1783"/>
      <c r="BE105" s="1783"/>
      <c r="BF105" s="1783"/>
      <c r="BG105" s="1783"/>
      <c r="BH105" s="1783"/>
      <c r="BI105" s="1783"/>
    </row>
    <row r="106" spans="1:61">
      <c r="A106" s="1819"/>
      <c r="B106" s="1818"/>
      <c r="C106" s="1818"/>
      <c r="D106" s="1818"/>
      <c r="E106" s="1818"/>
      <c r="F106" s="1818"/>
      <c r="G106" s="1818"/>
      <c r="H106" s="1783"/>
      <c r="I106" s="1783"/>
      <c r="J106" s="1783"/>
      <c r="K106" s="1783"/>
      <c r="L106" s="1783"/>
      <c r="M106" s="1783"/>
      <c r="N106" s="1783"/>
      <c r="O106" s="1783"/>
      <c r="P106" s="1783"/>
      <c r="Q106" s="1783"/>
      <c r="R106" s="1783"/>
      <c r="S106" s="1783"/>
      <c r="T106" s="1783"/>
      <c r="U106" s="1783"/>
      <c r="V106" s="1783"/>
      <c r="W106" s="1783"/>
      <c r="X106" s="1783"/>
      <c r="Y106" s="1783"/>
      <c r="Z106" s="1783"/>
      <c r="AA106" s="1783"/>
      <c r="AB106" s="1783"/>
      <c r="AC106" s="1783"/>
      <c r="AD106" s="1783"/>
      <c r="AE106" s="1783"/>
      <c r="AF106" s="1783"/>
      <c r="AG106" s="1783"/>
      <c r="AH106" s="1783"/>
      <c r="AI106" s="1783"/>
      <c r="AJ106" s="1783"/>
      <c r="AK106" s="1783"/>
      <c r="AL106" s="1783"/>
      <c r="AM106" s="1783"/>
      <c r="AN106" s="1783"/>
      <c r="AO106" s="1783"/>
      <c r="AP106" s="1783"/>
      <c r="AQ106" s="1783"/>
      <c r="AR106" s="1783"/>
      <c r="AS106" s="1783"/>
      <c r="AT106" s="1783"/>
      <c r="AU106" s="1783"/>
      <c r="AV106" s="1783"/>
      <c r="AW106" s="1783"/>
      <c r="AX106" s="1783"/>
      <c r="AY106" s="1783"/>
      <c r="AZ106" s="1783"/>
      <c r="BA106" s="1783"/>
      <c r="BB106" s="1783"/>
      <c r="BC106" s="1783"/>
      <c r="BD106" s="1783"/>
      <c r="BE106" s="1783"/>
      <c r="BF106" s="1783"/>
      <c r="BG106" s="1783"/>
      <c r="BH106" s="1783"/>
      <c r="BI106" s="1783"/>
    </row>
    <row r="107" spans="1:61">
      <c r="A107" s="1819"/>
      <c r="B107" s="1818"/>
      <c r="C107" s="1818"/>
      <c r="D107" s="1818"/>
      <c r="E107" s="1818"/>
      <c r="F107" s="1818"/>
      <c r="G107" s="1818"/>
      <c r="H107" s="1783"/>
      <c r="I107" s="1783"/>
      <c r="J107" s="1783"/>
      <c r="K107" s="1783"/>
      <c r="L107" s="1783"/>
      <c r="M107" s="1783"/>
      <c r="N107" s="1783"/>
      <c r="O107" s="1783"/>
      <c r="P107" s="1783"/>
      <c r="Q107" s="1783"/>
      <c r="R107" s="1783"/>
      <c r="S107" s="1783"/>
      <c r="T107" s="1783"/>
      <c r="U107" s="1783"/>
      <c r="V107" s="1783"/>
      <c r="W107" s="1783"/>
      <c r="X107" s="1783"/>
      <c r="Y107" s="1783"/>
      <c r="Z107" s="1783"/>
      <c r="AA107" s="1783"/>
      <c r="AB107" s="1783"/>
      <c r="AC107" s="1783"/>
      <c r="AD107" s="1783"/>
      <c r="AE107" s="1783"/>
      <c r="AF107" s="1783"/>
      <c r="AG107" s="1783"/>
      <c r="AH107" s="1783"/>
      <c r="AI107" s="1783"/>
      <c r="AJ107" s="1783"/>
      <c r="AK107" s="1783"/>
      <c r="AL107" s="1783"/>
      <c r="AM107" s="1783"/>
      <c r="AN107" s="1783"/>
      <c r="AO107" s="1783"/>
      <c r="AP107" s="1783"/>
      <c r="AQ107" s="1783"/>
      <c r="AR107" s="1783"/>
      <c r="AS107" s="1783"/>
      <c r="AT107" s="1783"/>
      <c r="AU107" s="1783"/>
      <c r="AV107" s="1783"/>
      <c r="AW107" s="1783"/>
      <c r="AX107" s="1783"/>
      <c r="AY107" s="1783"/>
      <c r="AZ107" s="1783"/>
      <c r="BA107" s="1783"/>
      <c r="BB107" s="1783"/>
      <c r="BC107" s="1783"/>
      <c r="BD107" s="1783"/>
      <c r="BE107" s="1783"/>
      <c r="BF107" s="1783"/>
      <c r="BG107" s="1783"/>
      <c r="BH107" s="1783"/>
      <c r="BI107" s="1783"/>
    </row>
    <row r="108" spans="1:61">
      <c r="A108" s="1819"/>
      <c r="B108" s="1818"/>
      <c r="C108" s="1818"/>
      <c r="D108" s="1818"/>
      <c r="E108" s="1818"/>
      <c r="F108" s="1818"/>
      <c r="G108" s="1818"/>
      <c r="H108" s="1783"/>
      <c r="I108" s="1783"/>
      <c r="J108" s="1783"/>
      <c r="K108" s="1783"/>
      <c r="L108" s="1783"/>
      <c r="M108" s="1783"/>
      <c r="N108" s="1783"/>
      <c r="O108" s="1783"/>
      <c r="P108" s="1783"/>
      <c r="Q108" s="1783"/>
      <c r="R108" s="1783"/>
      <c r="S108" s="1783"/>
      <c r="T108" s="1783"/>
      <c r="U108" s="1783"/>
      <c r="V108" s="1783"/>
      <c r="W108" s="1783"/>
      <c r="X108" s="1783"/>
      <c r="Y108" s="1783"/>
      <c r="Z108" s="1783"/>
      <c r="AA108" s="1783"/>
      <c r="AB108" s="1783"/>
      <c r="AC108" s="1783"/>
      <c r="AD108" s="1783"/>
      <c r="AE108" s="1783"/>
      <c r="AF108" s="1783"/>
      <c r="AG108" s="1783"/>
      <c r="AH108" s="1783"/>
      <c r="AI108" s="1783"/>
      <c r="AJ108" s="1783"/>
      <c r="AK108" s="1783"/>
      <c r="AL108" s="1783"/>
      <c r="AM108" s="1783"/>
      <c r="AN108" s="1783"/>
      <c r="AO108" s="1783"/>
      <c r="AP108" s="1783"/>
      <c r="AQ108" s="1783"/>
      <c r="AR108" s="1783"/>
      <c r="AS108" s="1783"/>
      <c r="AT108" s="1783"/>
      <c r="AU108" s="1783"/>
      <c r="AV108" s="1783"/>
      <c r="AW108" s="1783"/>
      <c r="AX108" s="1783"/>
      <c r="AY108" s="1783"/>
      <c r="AZ108" s="1783"/>
      <c r="BA108" s="1783"/>
      <c r="BB108" s="1783"/>
      <c r="BC108" s="1783"/>
      <c r="BD108" s="1783"/>
      <c r="BE108" s="1783"/>
      <c r="BF108" s="1783"/>
      <c r="BG108" s="1783"/>
      <c r="BH108" s="1783"/>
      <c r="BI108" s="1783"/>
    </row>
    <row r="109" spans="1:61">
      <c r="A109" s="1819"/>
      <c r="B109" s="1818"/>
      <c r="C109" s="1818"/>
      <c r="D109" s="1818"/>
      <c r="E109" s="1818"/>
      <c r="F109" s="1818"/>
      <c r="G109" s="1818"/>
      <c r="H109" s="1783"/>
      <c r="I109" s="1783"/>
      <c r="J109" s="1783"/>
      <c r="K109" s="1783"/>
      <c r="L109" s="1783"/>
      <c r="M109" s="1783"/>
      <c r="N109" s="1783"/>
      <c r="O109" s="1783"/>
      <c r="P109" s="1783"/>
      <c r="Q109" s="1783"/>
      <c r="R109" s="1783"/>
      <c r="S109" s="1783"/>
      <c r="T109" s="1783"/>
      <c r="U109" s="1783"/>
      <c r="V109" s="1783"/>
      <c r="W109" s="1783"/>
      <c r="X109" s="1783"/>
      <c r="Y109" s="1783"/>
      <c r="Z109" s="1783"/>
      <c r="AA109" s="1783"/>
      <c r="AB109" s="1783"/>
      <c r="AC109" s="1783"/>
      <c r="AD109" s="1783"/>
      <c r="AE109" s="1783"/>
      <c r="AF109" s="1783"/>
      <c r="AG109" s="1783"/>
      <c r="AH109" s="1783"/>
      <c r="AI109" s="1783"/>
      <c r="AJ109" s="1783"/>
      <c r="AK109" s="1783"/>
      <c r="AL109" s="1783"/>
      <c r="AM109" s="1783"/>
      <c r="AN109" s="1783"/>
      <c r="AO109" s="1783"/>
      <c r="AP109" s="1783"/>
      <c r="AQ109" s="1783"/>
      <c r="AR109" s="1783"/>
      <c r="AS109" s="1783"/>
      <c r="AT109" s="1783"/>
      <c r="AU109" s="1783"/>
      <c r="AV109" s="1783"/>
      <c r="AW109" s="1783"/>
      <c r="AX109" s="1783"/>
      <c r="AY109" s="1783"/>
      <c r="AZ109" s="1783"/>
      <c r="BA109" s="1783"/>
      <c r="BB109" s="1783"/>
      <c r="BC109" s="1783"/>
      <c r="BD109" s="1783"/>
      <c r="BE109" s="1783"/>
      <c r="BF109" s="1783"/>
      <c r="BG109" s="1783"/>
      <c r="BH109" s="1783"/>
      <c r="BI109" s="1783"/>
    </row>
    <row r="110" spans="1:61">
      <c r="A110" s="1819"/>
      <c r="B110" s="1818"/>
      <c r="C110" s="1818"/>
      <c r="D110" s="1818"/>
      <c r="E110" s="1818"/>
      <c r="F110" s="1818"/>
      <c r="G110" s="1818"/>
      <c r="H110" s="1783"/>
      <c r="I110" s="1783"/>
      <c r="J110" s="1783"/>
      <c r="K110" s="1783"/>
      <c r="L110" s="1783"/>
      <c r="M110" s="1783"/>
      <c r="N110" s="1783"/>
      <c r="O110" s="1783"/>
      <c r="P110" s="1783"/>
      <c r="Q110" s="1783"/>
      <c r="R110" s="1783"/>
      <c r="S110" s="1783"/>
      <c r="T110" s="1783"/>
      <c r="U110" s="1783"/>
      <c r="V110" s="1783"/>
      <c r="W110" s="1783"/>
      <c r="X110" s="1783"/>
      <c r="Y110" s="1783"/>
      <c r="Z110" s="1783"/>
      <c r="AA110" s="1783"/>
      <c r="AB110" s="1783"/>
      <c r="AC110" s="1783"/>
      <c r="AD110" s="1783"/>
      <c r="AE110" s="1783"/>
      <c r="AF110" s="1783"/>
      <c r="AG110" s="1783"/>
      <c r="AH110" s="1783"/>
      <c r="AI110" s="1783"/>
      <c r="AJ110" s="1783"/>
      <c r="AK110" s="1783"/>
      <c r="AL110" s="1783"/>
      <c r="AM110" s="1783"/>
      <c r="AN110" s="1783"/>
      <c r="AO110" s="1783"/>
      <c r="AP110" s="1783"/>
      <c r="AQ110" s="1783"/>
      <c r="AR110" s="1783"/>
      <c r="AS110" s="1783"/>
      <c r="AT110" s="1783"/>
      <c r="AU110" s="1783"/>
      <c r="AV110" s="1783"/>
      <c r="AW110" s="1783"/>
      <c r="AX110" s="1783"/>
      <c r="AY110" s="1783"/>
      <c r="AZ110" s="1783"/>
      <c r="BA110" s="1783"/>
      <c r="BB110" s="1783"/>
      <c r="BC110" s="1783"/>
      <c r="BD110" s="1783"/>
      <c r="BE110" s="1783"/>
      <c r="BF110" s="1783"/>
      <c r="BG110" s="1783"/>
      <c r="BH110" s="1783"/>
      <c r="BI110" s="1783"/>
    </row>
    <row r="111" spans="1:61">
      <c r="A111" s="1819"/>
      <c r="B111" s="1818"/>
      <c r="C111" s="1818"/>
      <c r="D111" s="1818"/>
      <c r="E111" s="1818"/>
      <c r="F111" s="1818"/>
      <c r="G111" s="1818"/>
      <c r="H111" s="1783"/>
      <c r="I111" s="1783"/>
      <c r="J111" s="1783"/>
      <c r="K111" s="1783"/>
      <c r="L111" s="1783"/>
      <c r="M111" s="1783"/>
      <c r="N111" s="1783"/>
      <c r="O111" s="1783"/>
      <c r="P111" s="1783"/>
      <c r="Q111" s="1783"/>
      <c r="R111" s="1783"/>
      <c r="S111" s="1783"/>
      <c r="T111" s="1783"/>
      <c r="U111" s="1783"/>
      <c r="V111" s="1783"/>
      <c r="W111" s="1783"/>
      <c r="X111" s="1783"/>
      <c r="Y111" s="1783"/>
      <c r="Z111" s="1783"/>
      <c r="AA111" s="1783"/>
      <c r="AB111" s="1783"/>
      <c r="AC111" s="1783"/>
      <c r="AD111" s="1783"/>
      <c r="AE111" s="1783"/>
      <c r="AF111" s="1783"/>
      <c r="AG111" s="1783"/>
      <c r="AH111" s="1783"/>
      <c r="AI111" s="1783"/>
      <c r="AJ111" s="1783"/>
      <c r="AK111" s="1783"/>
      <c r="AL111" s="1783"/>
      <c r="AM111" s="1783"/>
      <c r="AN111" s="1783"/>
      <c r="AO111" s="1783"/>
      <c r="AP111" s="1783"/>
      <c r="AQ111" s="1783"/>
      <c r="AR111" s="1783"/>
      <c r="AS111" s="1783"/>
      <c r="AT111" s="1783"/>
      <c r="AU111" s="1783"/>
      <c r="AV111" s="1783"/>
      <c r="AW111" s="1783"/>
      <c r="AX111" s="1783"/>
      <c r="AY111" s="1783"/>
      <c r="AZ111" s="1783"/>
      <c r="BA111" s="1783"/>
      <c r="BB111" s="1783"/>
      <c r="BC111" s="1783"/>
      <c r="BD111" s="1783"/>
      <c r="BE111" s="1783"/>
      <c r="BF111" s="1783"/>
      <c r="BG111" s="1783"/>
      <c r="BH111" s="1783"/>
      <c r="BI111" s="1783"/>
    </row>
    <row r="112" spans="1:61">
      <c r="A112" s="1819"/>
      <c r="B112" s="1818"/>
      <c r="C112" s="1818"/>
      <c r="D112" s="1818"/>
      <c r="E112" s="1818"/>
      <c r="F112" s="1818"/>
      <c r="G112" s="1818"/>
      <c r="H112" s="1783"/>
      <c r="I112" s="1783"/>
      <c r="J112" s="1783"/>
      <c r="K112" s="1783"/>
      <c r="L112" s="1783"/>
      <c r="M112" s="1783"/>
      <c r="N112" s="1783"/>
      <c r="O112" s="1783"/>
      <c r="P112" s="1783"/>
      <c r="Q112" s="1783"/>
      <c r="R112" s="1783"/>
      <c r="S112" s="1783"/>
      <c r="T112" s="1783"/>
      <c r="U112" s="1783"/>
      <c r="V112" s="1783"/>
      <c r="W112" s="1783"/>
      <c r="X112" s="1783"/>
      <c r="Y112" s="1783"/>
      <c r="Z112" s="1783"/>
      <c r="AA112" s="1783"/>
      <c r="AB112" s="1783"/>
      <c r="AC112" s="1783"/>
      <c r="AD112" s="1783"/>
      <c r="AE112" s="1783"/>
      <c r="AF112" s="1783"/>
      <c r="AG112" s="1783"/>
      <c r="AH112" s="1783"/>
      <c r="AI112" s="1783"/>
      <c r="AJ112" s="1783"/>
      <c r="AK112" s="1783"/>
      <c r="AL112" s="1783"/>
      <c r="AM112" s="1783"/>
      <c r="AN112" s="1783"/>
      <c r="AO112" s="1783"/>
      <c r="AP112" s="1783"/>
      <c r="AQ112" s="1783"/>
      <c r="AR112" s="1783"/>
      <c r="AS112" s="1783"/>
      <c r="AT112" s="1783"/>
      <c r="AU112" s="1783"/>
      <c r="AV112" s="1783"/>
      <c r="AW112" s="1783"/>
      <c r="AX112" s="1783"/>
      <c r="AY112" s="1783"/>
      <c r="AZ112" s="1783"/>
      <c r="BA112" s="1783"/>
      <c r="BB112" s="1783"/>
      <c r="BC112" s="1783"/>
      <c r="BD112" s="1783"/>
      <c r="BE112" s="1783"/>
      <c r="BF112" s="1783"/>
      <c r="BG112" s="1783"/>
      <c r="BH112" s="1783"/>
      <c r="BI112" s="1783"/>
    </row>
    <row r="113" spans="1:61">
      <c r="A113" s="1819"/>
      <c r="B113" s="1818"/>
      <c r="C113" s="1818"/>
      <c r="D113" s="1818"/>
      <c r="E113" s="1818"/>
      <c r="F113" s="1818"/>
      <c r="G113" s="1818"/>
      <c r="H113" s="1783"/>
      <c r="I113" s="1783"/>
      <c r="J113" s="1783"/>
      <c r="K113" s="1783"/>
      <c r="L113" s="1783"/>
      <c r="M113" s="1783"/>
      <c r="N113" s="1783"/>
      <c r="O113" s="1783"/>
      <c r="P113" s="1783"/>
      <c r="Q113" s="1783"/>
      <c r="R113" s="1783"/>
      <c r="S113" s="1783"/>
      <c r="T113" s="1783"/>
      <c r="U113" s="1783"/>
      <c r="V113" s="1783"/>
      <c r="W113" s="1783"/>
      <c r="X113" s="1783"/>
      <c r="Y113" s="1783"/>
      <c r="Z113" s="1783"/>
      <c r="AA113" s="1783"/>
      <c r="AB113" s="1783"/>
      <c r="AC113" s="1783"/>
      <c r="AD113" s="1783"/>
      <c r="AE113" s="1783"/>
      <c r="AF113" s="1783"/>
      <c r="AG113" s="1783"/>
      <c r="AH113" s="1783"/>
      <c r="AI113" s="1783"/>
      <c r="AJ113" s="1783"/>
      <c r="AK113" s="1783"/>
      <c r="AL113" s="1783"/>
      <c r="AM113" s="1783"/>
      <c r="AN113" s="1783"/>
      <c r="AO113" s="1783"/>
      <c r="AP113" s="1783"/>
      <c r="AQ113" s="1783"/>
      <c r="AR113" s="1783"/>
      <c r="AS113" s="1783"/>
      <c r="AT113" s="1783"/>
      <c r="AU113" s="1783"/>
      <c r="AV113" s="1783"/>
      <c r="AW113" s="1783"/>
      <c r="AX113" s="1783"/>
      <c r="AY113" s="1783"/>
      <c r="AZ113" s="1783"/>
      <c r="BA113" s="1783"/>
      <c r="BB113" s="1783"/>
      <c r="BC113" s="1783"/>
      <c r="BD113" s="1783"/>
      <c r="BE113" s="1783"/>
      <c r="BF113" s="1783"/>
      <c r="BG113" s="1783"/>
      <c r="BH113" s="1783"/>
      <c r="BI113" s="1783"/>
    </row>
    <row r="114" spans="1:61">
      <c r="A114" s="1819"/>
      <c r="B114" s="1818"/>
      <c r="C114" s="1818"/>
      <c r="D114" s="1818"/>
      <c r="E114" s="1818"/>
      <c r="F114" s="1818"/>
      <c r="G114" s="1818"/>
      <c r="H114" s="1783"/>
      <c r="I114" s="1783"/>
      <c r="J114" s="1783"/>
      <c r="K114" s="1783"/>
      <c r="L114" s="1783"/>
      <c r="M114" s="1783"/>
      <c r="N114" s="1783"/>
      <c r="O114" s="1783"/>
      <c r="P114" s="1783"/>
      <c r="Q114" s="1783"/>
      <c r="R114" s="1783"/>
      <c r="S114" s="1783"/>
      <c r="T114" s="1783"/>
      <c r="U114" s="1783"/>
      <c r="V114" s="1783"/>
      <c r="W114" s="1783"/>
      <c r="X114" s="1783"/>
      <c r="Y114" s="1783"/>
      <c r="Z114" s="1783"/>
      <c r="AA114" s="1783"/>
      <c r="AB114" s="1783"/>
      <c r="AC114" s="1783"/>
      <c r="AD114" s="1783"/>
      <c r="AE114" s="1783"/>
      <c r="AF114" s="1783"/>
      <c r="AG114" s="1783"/>
      <c r="AH114" s="1783"/>
      <c r="AI114" s="1783"/>
      <c r="AJ114" s="1783"/>
      <c r="AK114" s="1783"/>
      <c r="AL114" s="1783"/>
      <c r="AM114" s="1783"/>
      <c r="AN114" s="1783"/>
      <c r="AO114" s="1783"/>
      <c r="AP114" s="1783"/>
      <c r="AQ114" s="1783"/>
      <c r="AR114" s="1783"/>
      <c r="AS114" s="1783"/>
      <c r="AT114" s="1783"/>
      <c r="AU114" s="1783"/>
      <c r="AV114" s="1783"/>
      <c r="AW114" s="1783"/>
      <c r="AX114" s="1783"/>
      <c r="AY114" s="1783"/>
      <c r="AZ114" s="1783"/>
      <c r="BA114" s="1783"/>
      <c r="BB114" s="1783"/>
      <c r="BC114" s="1783"/>
      <c r="BD114" s="1783"/>
      <c r="BE114" s="1783"/>
      <c r="BF114" s="1783"/>
      <c r="BG114" s="1783"/>
      <c r="BH114" s="1783"/>
      <c r="BI114" s="1783"/>
    </row>
    <row r="115" spans="1:61">
      <c r="A115" s="1819"/>
      <c r="B115" s="1818"/>
      <c r="C115" s="1818"/>
      <c r="D115" s="1818"/>
      <c r="E115" s="1818"/>
      <c r="F115" s="1818"/>
      <c r="G115" s="1818"/>
      <c r="H115" s="1783"/>
      <c r="I115" s="1783"/>
      <c r="J115" s="1783"/>
      <c r="K115" s="1783"/>
      <c r="L115" s="1783"/>
      <c r="M115" s="1783"/>
      <c r="N115" s="1783"/>
      <c r="O115" s="1783"/>
      <c r="P115" s="1783"/>
      <c r="Q115" s="1783"/>
      <c r="R115" s="1783"/>
      <c r="S115" s="1783"/>
      <c r="T115" s="1783"/>
      <c r="U115" s="1783"/>
      <c r="V115" s="1783"/>
      <c r="W115" s="1783"/>
      <c r="X115" s="1783"/>
      <c r="Y115" s="1783"/>
      <c r="Z115" s="1783"/>
      <c r="AA115" s="1783"/>
      <c r="AB115" s="1783"/>
      <c r="AC115" s="1783"/>
      <c r="AD115" s="1783"/>
      <c r="AE115" s="1783"/>
      <c r="AF115" s="1783"/>
      <c r="AG115" s="1783"/>
      <c r="AH115" s="1783"/>
      <c r="AI115" s="1783"/>
      <c r="AJ115" s="1783"/>
      <c r="AK115" s="1783"/>
      <c r="AL115" s="1783"/>
      <c r="AM115" s="1783"/>
      <c r="AN115" s="1783"/>
      <c r="AO115" s="1783"/>
      <c r="AP115" s="1783"/>
      <c r="AQ115" s="1783"/>
      <c r="AR115" s="1783"/>
      <c r="AS115" s="1783"/>
      <c r="AT115" s="1783"/>
      <c r="AU115" s="1783"/>
      <c r="AV115" s="1783"/>
      <c r="AW115" s="1783"/>
      <c r="AX115" s="1783"/>
      <c r="AY115" s="1783"/>
      <c r="AZ115" s="1783"/>
      <c r="BA115" s="1783"/>
      <c r="BB115" s="1783"/>
      <c r="BC115" s="1783"/>
      <c r="BD115" s="1783"/>
      <c r="BE115" s="1783"/>
      <c r="BF115" s="1783"/>
      <c r="BG115" s="1783"/>
      <c r="BH115" s="1783"/>
      <c r="BI115" s="1783"/>
    </row>
    <row r="116" spans="1:61">
      <c r="A116" s="1819"/>
      <c r="B116" s="1818"/>
      <c r="C116" s="1818"/>
      <c r="D116" s="1818"/>
      <c r="E116" s="1818"/>
      <c r="F116" s="1818"/>
      <c r="G116" s="1818"/>
      <c r="H116" s="1783"/>
      <c r="I116" s="1783"/>
      <c r="J116" s="1783"/>
      <c r="K116" s="1783"/>
      <c r="L116" s="1783"/>
      <c r="M116" s="1783"/>
      <c r="N116" s="1783"/>
      <c r="O116" s="1783"/>
      <c r="P116" s="1783"/>
      <c r="Q116" s="1783"/>
      <c r="R116" s="1783"/>
      <c r="S116" s="1783"/>
      <c r="T116" s="1783"/>
      <c r="U116" s="1783"/>
      <c r="V116" s="1783"/>
      <c r="W116" s="1783"/>
      <c r="X116" s="1783"/>
      <c r="Y116" s="1783"/>
      <c r="Z116" s="1783"/>
      <c r="AA116" s="1783"/>
      <c r="AB116" s="1783"/>
      <c r="AC116" s="1783"/>
      <c r="AD116" s="1783"/>
      <c r="AE116" s="1783"/>
      <c r="AF116" s="1783"/>
      <c r="AG116" s="1783"/>
      <c r="AH116" s="1783"/>
      <c r="AI116" s="1783"/>
      <c r="AJ116" s="1783"/>
      <c r="AK116" s="1783"/>
      <c r="AL116" s="1783"/>
      <c r="AM116" s="1783"/>
      <c r="AN116" s="1783"/>
      <c r="AO116" s="1783"/>
      <c r="AP116" s="1783"/>
      <c r="AQ116" s="1783"/>
      <c r="AR116" s="1783"/>
      <c r="AS116" s="1783"/>
      <c r="AT116" s="1783"/>
      <c r="AU116" s="1783"/>
      <c r="AV116" s="1783"/>
      <c r="AW116" s="1783"/>
      <c r="AX116" s="1783"/>
      <c r="AY116" s="1783"/>
      <c r="AZ116" s="1783"/>
      <c r="BA116" s="1783"/>
      <c r="BB116" s="1783"/>
      <c r="BC116" s="1783"/>
      <c r="BD116" s="1783"/>
      <c r="BE116" s="1783"/>
      <c r="BF116" s="1783"/>
      <c r="BG116" s="1783"/>
      <c r="BH116" s="1783"/>
      <c r="BI116" s="1783"/>
    </row>
    <row r="117" spans="1:61">
      <c r="A117" s="1819"/>
      <c r="B117" s="1818"/>
      <c r="C117" s="1818"/>
      <c r="D117" s="1818"/>
      <c r="E117" s="1818"/>
      <c r="F117" s="1818"/>
      <c r="G117" s="1818"/>
      <c r="H117" s="1783"/>
      <c r="I117" s="1783"/>
      <c r="J117" s="1783"/>
      <c r="K117" s="1783"/>
      <c r="L117" s="1783"/>
      <c r="M117" s="1783"/>
      <c r="N117" s="1783"/>
      <c r="O117" s="1783"/>
      <c r="P117" s="1783"/>
      <c r="Q117" s="1783"/>
      <c r="R117" s="1783"/>
      <c r="S117" s="1783"/>
      <c r="T117" s="1783"/>
      <c r="U117" s="1783"/>
      <c r="V117" s="1783"/>
      <c r="W117" s="1783"/>
      <c r="X117" s="1783"/>
      <c r="Y117" s="1783"/>
      <c r="Z117" s="1783"/>
      <c r="AA117" s="1783"/>
      <c r="AB117" s="1783"/>
      <c r="AC117" s="1783"/>
      <c r="AD117" s="1783"/>
      <c r="AE117" s="1783"/>
      <c r="AF117" s="1783"/>
      <c r="AG117" s="1783"/>
      <c r="AH117" s="1783"/>
      <c r="AI117" s="1783"/>
      <c r="AJ117" s="1783"/>
      <c r="AK117" s="1783"/>
      <c r="AL117" s="1783"/>
      <c r="AM117" s="1783"/>
      <c r="AN117" s="1783"/>
      <c r="AO117" s="1783"/>
      <c r="AP117" s="1783"/>
      <c r="AQ117" s="1783"/>
      <c r="AR117" s="1783"/>
      <c r="AS117" s="1783"/>
      <c r="AT117" s="1783"/>
      <c r="AU117" s="1783"/>
      <c r="AV117" s="1783"/>
      <c r="AW117" s="1783"/>
      <c r="AX117" s="1783"/>
      <c r="AY117" s="1783"/>
      <c r="AZ117" s="1783"/>
      <c r="BA117" s="1783"/>
      <c r="BB117" s="1783"/>
      <c r="BC117" s="1783"/>
      <c r="BD117" s="1783"/>
      <c r="BE117" s="1783"/>
      <c r="BF117" s="1783"/>
      <c r="BG117" s="1783"/>
      <c r="BH117" s="1783"/>
      <c r="BI117" s="1783"/>
    </row>
    <row r="118" spans="1:61">
      <c r="A118" s="1819"/>
      <c r="B118" s="1818"/>
      <c r="C118" s="1818"/>
      <c r="D118" s="1818"/>
      <c r="E118" s="1818"/>
      <c r="F118" s="1818"/>
      <c r="G118" s="1818"/>
      <c r="H118" s="1783"/>
      <c r="I118" s="1783"/>
      <c r="J118" s="1783"/>
      <c r="K118" s="1783"/>
      <c r="L118" s="1783"/>
      <c r="M118" s="1783"/>
      <c r="N118" s="1783"/>
      <c r="O118" s="1783"/>
      <c r="P118" s="1783"/>
      <c r="Q118" s="1783"/>
      <c r="R118" s="1783"/>
      <c r="S118" s="1783"/>
      <c r="T118" s="1783"/>
      <c r="U118" s="1783"/>
      <c r="V118" s="1783"/>
      <c r="W118" s="1783"/>
      <c r="X118" s="1783"/>
      <c r="Y118" s="1783"/>
      <c r="Z118" s="1783"/>
      <c r="AA118" s="1783"/>
      <c r="AB118" s="1783"/>
      <c r="AC118" s="1783"/>
      <c r="AD118" s="1783"/>
      <c r="AE118" s="1783"/>
      <c r="AF118" s="1783"/>
      <c r="AG118" s="1783"/>
      <c r="AH118" s="1783"/>
      <c r="AI118" s="1783"/>
      <c r="AJ118" s="1783"/>
      <c r="AK118" s="1783"/>
      <c r="AL118" s="1783"/>
      <c r="AM118" s="1783"/>
      <c r="AN118" s="1783"/>
      <c r="AO118" s="1783"/>
      <c r="AP118" s="1783"/>
      <c r="AQ118" s="1783"/>
      <c r="AR118" s="1783"/>
      <c r="AS118" s="1783"/>
      <c r="AT118" s="1783"/>
      <c r="AU118" s="1783"/>
      <c r="AV118" s="1783"/>
      <c r="AW118" s="1783"/>
      <c r="AX118" s="1783"/>
      <c r="AY118" s="1783"/>
      <c r="AZ118" s="1783"/>
      <c r="BA118" s="1783"/>
      <c r="BB118" s="1783"/>
      <c r="BC118" s="1783"/>
      <c r="BD118" s="1783"/>
      <c r="BE118" s="1783"/>
      <c r="BF118" s="1783"/>
      <c r="BG118" s="1783"/>
      <c r="BH118" s="1783"/>
      <c r="BI118" s="1783"/>
    </row>
    <row r="119" spans="1:61">
      <c r="A119" s="1819"/>
      <c r="B119" s="1818"/>
      <c r="C119" s="1818"/>
      <c r="D119" s="1818"/>
      <c r="E119" s="1818"/>
      <c r="F119" s="1818"/>
      <c r="G119" s="1818"/>
      <c r="H119" s="1783"/>
      <c r="I119" s="1783"/>
      <c r="J119" s="1783"/>
      <c r="K119" s="1783"/>
      <c r="L119" s="1783"/>
      <c r="M119" s="1783"/>
      <c r="N119" s="1783"/>
      <c r="O119" s="1783"/>
      <c r="P119" s="1783"/>
      <c r="Q119" s="1783"/>
      <c r="R119" s="1783"/>
      <c r="S119" s="1783"/>
      <c r="T119" s="1783"/>
      <c r="U119" s="1783"/>
      <c r="V119" s="1783"/>
      <c r="W119" s="1783"/>
      <c r="X119" s="1783"/>
      <c r="Y119" s="1783"/>
      <c r="Z119" s="1783"/>
      <c r="AA119" s="1783"/>
      <c r="AB119" s="1783"/>
      <c r="AC119" s="1783"/>
      <c r="AD119" s="1783"/>
      <c r="AE119" s="1783"/>
      <c r="AF119" s="1783"/>
      <c r="AG119" s="1783"/>
      <c r="AH119" s="1783"/>
      <c r="AI119" s="1783"/>
      <c r="AJ119" s="1783"/>
      <c r="AK119" s="1783"/>
      <c r="AL119" s="1783"/>
      <c r="AM119" s="1783"/>
      <c r="AN119" s="1783"/>
      <c r="AO119" s="1783"/>
      <c r="AP119" s="1783"/>
      <c r="AQ119" s="1783"/>
      <c r="AR119" s="1783"/>
      <c r="AS119" s="1783"/>
      <c r="AT119" s="1783"/>
      <c r="AU119" s="1783"/>
      <c r="AV119" s="1783"/>
      <c r="AW119" s="1783"/>
      <c r="AX119" s="1783"/>
      <c r="AY119" s="1783"/>
      <c r="AZ119" s="1783"/>
      <c r="BA119" s="1783"/>
      <c r="BB119" s="1783"/>
      <c r="BC119" s="1783"/>
      <c r="BD119" s="1783"/>
      <c r="BE119" s="1783"/>
      <c r="BF119" s="1783"/>
      <c r="BG119" s="1783"/>
      <c r="BH119" s="1783"/>
      <c r="BI119" s="1783"/>
    </row>
    <row r="120" spans="1:61">
      <c r="A120" s="1819"/>
      <c r="B120" s="1818"/>
      <c r="C120" s="1818"/>
      <c r="D120" s="1818"/>
      <c r="E120" s="1818"/>
      <c r="F120" s="1818"/>
      <c r="G120" s="1818"/>
      <c r="H120" s="1783"/>
      <c r="I120" s="1783"/>
      <c r="J120" s="1783"/>
      <c r="K120" s="1783"/>
      <c r="L120" s="1783"/>
      <c r="M120" s="1783"/>
      <c r="N120" s="1783"/>
      <c r="O120" s="1783"/>
      <c r="P120" s="1783"/>
      <c r="Q120" s="1783"/>
      <c r="R120" s="1783"/>
      <c r="S120" s="1783"/>
      <c r="T120" s="1783"/>
      <c r="U120" s="1783"/>
      <c r="V120" s="1783"/>
      <c r="W120" s="1783"/>
      <c r="X120" s="1783"/>
      <c r="Y120" s="1783"/>
      <c r="Z120" s="1783"/>
      <c r="AA120" s="1783"/>
      <c r="AB120" s="1783"/>
      <c r="AC120" s="1783"/>
      <c r="AD120" s="1783"/>
      <c r="AE120" s="1783"/>
      <c r="AF120" s="1783"/>
      <c r="AG120" s="1783"/>
      <c r="AH120" s="1783"/>
      <c r="AI120" s="1783"/>
      <c r="AJ120" s="1783"/>
      <c r="AK120" s="1783"/>
      <c r="AL120" s="1783"/>
      <c r="AM120" s="1783"/>
      <c r="AN120" s="1783"/>
      <c r="AO120" s="1783"/>
      <c r="AP120" s="1783"/>
      <c r="AQ120" s="1783"/>
      <c r="AR120" s="1783"/>
      <c r="AS120" s="1783"/>
      <c r="AT120" s="1783"/>
      <c r="AU120" s="1783"/>
      <c r="AV120" s="1783"/>
      <c r="AW120" s="1783"/>
      <c r="AX120" s="1783"/>
      <c r="AY120" s="1783"/>
      <c r="AZ120" s="1783"/>
      <c r="BA120" s="1783"/>
      <c r="BB120" s="1783"/>
      <c r="BC120" s="1783"/>
      <c r="BD120" s="1783"/>
      <c r="BE120" s="1783"/>
      <c r="BF120" s="1783"/>
      <c r="BG120" s="1783"/>
      <c r="BH120" s="1783"/>
      <c r="BI120" s="1783"/>
    </row>
    <row r="121" spans="1:61">
      <c r="A121" s="1819"/>
      <c r="B121" s="1818"/>
      <c r="C121" s="1818"/>
      <c r="D121" s="1818"/>
      <c r="E121" s="1818"/>
      <c r="F121" s="1818"/>
      <c r="G121" s="1818"/>
      <c r="H121" s="1783"/>
      <c r="I121" s="1783"/>
      <c r="J121" s="1783"/>
      <c r="K121" s="1783"/>
      <c r="L121" s="1783"/>
      <c r="M121" s="1783"/>
      <c r="N121" s="1783"/>
      <c r="O121" s="1783"/>
      <c r="P121" s="1783"/>
      <c r="Q121" s="1783"/>
      <c r="R121" s="1783"/>
      <c r="S121" s="1783"/>
      <c r="T121" s="1783"/>
      <c r="U121" s="1783"/>
      <c r="V121" s="1783"/>
      <c r="W121" s="1783"/>
      <c r="X121" s="1783"/>
      <c r="Y121" s="1783"/>
      <c r="Z121" s="1783"/>
      <c r="AA121" s="1783"/>
      <c r="AB121" s="1783"/>
      <c r="AC121" s="1783"/>
      <c r="AD121" s="1783"/>
      <c r="AE121" s="1783"/>
      <c r="AF121" s="1783"/>
      <c r="AG121" s="1783"/>
      <c r="AH121" s="1783"/>
      <c r="AI121" s="1783"/>
      <c r="AJ121" s="1783"/>
      <c r="AK121" s="1783"/>
      <c r="AL121" s="1783"/>
      <c r="AM121" s="1783"/>
      <c r="AN121" s="1783"/>
      <c r="AO121" s="1783"/>
      <c r="AP121" s="1783"/>
      <c r="AQ121" s="1783"/>
      <c r="AR121" s="1783"/>
      <c r="AS121" s="1783"/>
      <c r="AT121" s="1783"/>
      <c r="AU121" s="1783"/>
      <c r="AV121" s="1783"/>
      <c r="AW121" s="1783"/>
      <c r="AX121" s="1783"/>
      <c r="AY121" s="1783"/>
      <c r="AZ121" s="1783"/>
      <c r="BA121" s="1783"/>
      <c r="BB121" s="1783"/>
      <c r="BC121" s="1783"/>
      <c r="BD121" s="1783"/>
      <c r="BE121" s="1783"/>
      <c r="BF121" s="1783"/>
      <c r="BG121" s="1783"/>
      <c r="BH121" s="1783"/>
      <c r="BI121" s="1783"/>
    </row>
    <row r="122" spans="1:61">
      <c r="A122" s="1819"/>
      <c r="B122" s="1818"/>
      <c r="C122" s="1818"/>
      <c r="D122" s="1818"/>
      <c r="E122" s="1818"/>
      <c r="F122" s="1818"/>
      <c r="G122" s="1818"/>
      <c r="H122" s="1783"/>
      <c r="I122" s="1783"/>
      <c r="J122" s="1783"/>
      <c r="K122" s="1783"/>
      <c r="L122" s="1783"/>
      <c r="M122" s="1783"/>
      <c r="N122" s="1783"/>
      <c r="O122" s="1783"/>
      <c r="P122" s="1783"/>
      <c r="Q122" s="1783"/>
      <c r="R122" s="1783"/>
      <c r="S122" s="1783"/>
      <c r="T122" s="1783"/>
      <c r="U122" s="1783"/>
      <c r="V122" s="1783"/>
      <c r="W122" s="1783"/>
      <c r="X122" s="1783"/>
      <c r="Y122" s="1783"/>
      <c r="Z122" s="1783"/>
      <c r="AA122" s="1783"/>
      <c r="AB122" s="1783"/>
      <c r="AC122" s="1783"/>
      <c r="AD122" s="1783"/>
      <c r="AE122" s="1783"/>
      <c r="AF122" s="1783"/>
      <c r="AG122" s="1783"/>
      <c r="AH122" s="1783"/>
      <c r="AI122" s="1783"/>
      <c r="AJ122" s="1783"/>
      <c r="AK122" s="1783"/>
      <c r="AL122" s="1783"/>
      <c r="AM122" s="1783"/>
      <c r="AN122" s="1783"/>
      <c r="AO122" s="1783"/>
      <c r="AP122" s="1783"/>
      <c r="AQ122" s="1783"/>
      <c r="AR122" s="1783"/>
      <c r="AS122" s="1783"/>
      <c r="AT122" s="1783"/>
      <c r="AU122" s="1783"/>
      <c r="AV122" s="1783"/>
      <c r="AW122" s="1783"/>
      <c r="AX122" s="1783"/>
      <c r="AY122" s="1783"/>
      <c r="AZ122" s="1783"/>
      <c r="BA122" s="1783"/>
      <c r="BB122" s="1783"/>
      <c r="BC122" s="1783"/>
      <c r="BD122" s="1783"/>
      <c r="BE122" s="1783"/>
      <c r="BF122" s="1783"/>
      <c r="BG122" s="1783"/>
      <c r="BH122" s="1783"/>
      <c r="BI122" s="1783"/>
    </row>
    <row r="123" spans="1:61">
      <c r="A123" s="1819"/>
      <c r="B123" s="1818"/>
      <c r="C123" s="1818"/>
      <c r="D123" s="1818"/>
      <c r="E123" s="1818"/>
      <c r="F123" s="1818"/>
      <c r="G123" s="1818"/>
      <c r="H123" s="1783"/>
      <c r="I123" s="1783"/>
      <c r="J123" s="1783"/>
      <c r="K123" s="1783"/>
      <c r="L123" s="1783"/>
      <c r="M123" s="1783"/>
      <c r="N123" s="1783"/>
      <c r="O123" s="1783"/>
      <c r="P123" s="1783"/>
      <c r="Q123" s="1783"/>
      <c r="R123" s="1783"/>
      <c r="S123" s="1783"/>
      <c r="T123" s="1783"/>
      <c r="U123" s="1783"/>
      <c r="V123" s="1783"/>
      <c r="W123" s="1783"/>
      <c r="X123" s="1783"/>
      <c r="Y123" s="1783"/>
      <c r="Z123" s="1783"/>
      <c r="AA123" s="1783"/>
      <c r="AB123" s="1783"/>
      <c r="AC123" s="1783"/>
      <c r="AD123" s="1783"/>
      <c r="AE123" s="1783"/>
      <c r="AF123" s="1783"/>
      <c r="AG123" s="1783"/>
      <c r="AH123" s="1783"/>
      <c r="AI123" s="1783"/>
      <c r="AJ123" s="1783"/>
      <c r="AK123" s="1783"/>
      <c r="AL123" s="1783"/>
      <c r="AM123" s="1783"/>
      <c r="AN123" s="1783"/>
      <c r="AO123" s="1783"/>
      <c r="AP123" s="1783"/>
      <c r="AQ123" s="1783"/>
      <c r="AR123" s="1783"/>
      <c r="AS123" s="1783"/>
      <c r="AT123" s="1783"/>
      <c r="AU123" s="1783"/>
      <c r="AV123" s="1783"/>
      <c r="AW123" s="1783"/>
      <c r="AX123" s="1783"/>
      <c r="AY123" s="1783"/>
      <c r="AZ123" s="1783"/>
      <c r="BA123" s="1783"/>
      <c r="BB123" s="1783"/>
      <c r="BC123" s="1783"/>
      <c r="BD123" s="1783"/>
      <c r="BE123" s="1783"/>
      <c r="BF123" s="1783"/>
      <c r="BG123" s="1783"/>
      <c r="BH123" s="1783"/>
      <c r="BI123" s="1783"/>
    </row>
    <row r="124" spans="1:61">
      <c r="A124" s="1819"/>
      <c r="B124" s="1818"/>
      <c r="C124" s="1818"/>
      <c r="D124" s="1818"/>
      <c r="E124" s="1818"/>
      <c r="F124" s="1818"/>
      <c r="G124" s="1818"/>
      <c r="H124" s="1783"/>
      <c r="I124" s="1783"/>
      <c r="J124" s="1783"/>
      <c r="K124" s="1783"/>
      <c r="L124" s="1783"/>
      <c r="M124" s="1783"/>
      <c r="N124" s="1783"/>
      <c r="O124" s="1783"/>
      <c r="P124" s="1783"/>
      <c r="Q124" s="1783"/>
      <c r="R124" s="1783"/>
      <c r="S124" s="1783"/>
      <c r="T124" s="1783"/>
      <c r="U124" s="1783"/>
      <c r="V124" s="1783"/>
      <c r="W124" s="1783"/>
      <c r="X124" s="1783"/>
      <c r="Y124" s="1783"/>
      <c r="Z124" s="1783"/>
      <c r="AA124" s="1783"/>
      <c r="AB124" s="1783"/>
      <c r="AC124" s="1783"/>
      <c r="AD124" s="1783"/>
      <c r="AE124" s="1783"/>
      <c r="AF124" s="1783"/>
      <c r="AG124" s="1783"/>
      <c r="AH124" s="1783"/>
      <c r="AI124" s="1783"/>
      <c r="AJ124" s="1783"/>
      <c r="AK124" s="1783"/>
      <c r="AL124" s="1783"/>
      <c r="AM124" s="1783"/>
      <c r="AN124" s="1783"/>
      <c r="AO124" s="1783"/>
      <c r="AP124" s="1783"/>
      <c r="AQ124" s="1783"/>
      <c r="AR124" s="1783"/>
      <c r="AS124" s="1783"/>
      <c r="AT124" s="1783"/>
      <c r="AU124" s="1783"/>
      <c r="AV124" s="1783"/>
      <c r="AW124" s="1783"/>
      <c r="AX124" s="1783"/>
      <c r="AY124" s="1783"/>
      <c r="AZ124" s="1783"/>
      <c r="BA124" s="1783"/>
      <c r="BB124" s="1783"/>
      <c r="BC124" s="1783"/>
      <c r="BD124" s="1783"/>
      <c r="BE124" s="1783"/>
      <c r="BF124" s="1783"/>
      <c r="BG124" s="1783"/>
      <c r="BH124" s="1783"/>
      <c r="BI124" s="1783"/>
    </row>
    <row r="125" spans="1:61">
      <c r="A125" s="1819"/>
      <c r="B125" s="1818"/>
      <c r="C125" s="1818"/>
      <c r="D125" s="1818"/>
      <c r="E125" s="1818"/>
      <c r="F125" s="1818"/>
      <c r="G125" s="1818"/>
      <c r="H125" s="1783"/>
      <c r="I125" s="1783"/>
      <c r="J125" s="1783"/>
      <c r="K125" s="1783"/>
      <c r="L125" s="1783"/>
      <c r="M125" s="1783"/>
      <c r="N125" s="1783"/>
      <c r="O125" s="1783"/>
      <c r="P125" s="1783"/>
      <c r="Q125" s="1783"/>
      <c r="R125" s="1783"/>
      <c r="S125" s="1783"/>
      <c r="T125" s="1783"/>
      <c r="U125" s="1783"/>
      <c r="V125" s="1783"/>
      <c r="W125" s="1783"/>
      <c r="X125" s="1783"/>
      <c r="Y125" s="1783"/>
      <c r="Z125" s="1783"/>
      <c r="AA125" s="1783"/>
      <c r="AB125" s="1783"/>
      <c r="AC125" s="1783"/>
      <c r="AD125" s="1783"/>
      <c r="AE125" s="1783"/>
      <c r="AF125" s="1783"/>
      <c r="AG125" s="1783"/>
      <c r="AH125" s="1783"/>
      <c r="AI125" s="1783"/>
      <c r="AJ125" s="1783"/>
      <c r="AK125" s="1783"/>
      <c r="AL125" s="1783"/>
      <c r="AM125" s="1783"/>
      <c r="AN125" s="1783"/>
      <c r="AO125" s="1783"/>
      <c r="AP125" s="1783"/>
      <c r="AQ125" s="1783"/>
      <c r="AR125" s="1783"/>
      <c r="AS125" s="1783"/>
      <c r="AT125" s="1783"/>
      <c r="AU125" s="1783"/>
      <c r="AV125" s="1783"/>
      <c r="AW125" s="1783"/>
      <c r="AX125" s="1783"/>
      <c r="AY125" s="1783"/>
      <c r="AZ125" s="1783"/>
      <c r="BA125" s="1783"/>
      <c r="BB125" s="1783"/>
      <c r="BC125" s="1783"/>
      <c r="BD125" s="1783"/>
      <c r="BE125" s="1783"/>
      <c r="BF125" s="1783"/>
      <c r="BG125" s="1783"/>
      <c r="BH125" s="1783"/>
      <c r="BI125" s="1783"/>
    </row>
    <row r="126" spans="1:61">
      <c r="A126" s="1819"/>
      <c r="B126" s="1818"/>
      <c r="C126" s="1818"/>
      <c r="D126" s="1818"/>
      <c r="E126" s="1818"/>
      <c r="F126" s="1818"/>
      <c r="G126" s="1818"/>
      <c r="H126" s="1783"/>
      <c r="I126" s="1783"/>
      <c r="J126" s="1783"/>
      <c r="K126" s="1783"/>
      <c r="L126" s="1783"/>
      <c r="M126" s="1783"/>
      <c r="N126" s="1783"/>
      <c r="O126" s="1783"/>
      <c r="P126" s="1783"/>
      <c r="Q126" s="1783"/>
      <c r="R126" s="1783"/>
      <c r="S126" s="1783"/>
      <c r="T126" s="1783"/>
      <c r="U126" s="1783"/>
      <c r="V126" s="1783"/>
      <c r="W126" s="1783"/>
      <c r="X126" s="1783"/>
      <c r="Y126" s="1783"/>
      <c r="Z126" s="1783"/>
      <c r="AA126" s="1783"/>
      <c r="AB126" s="1783"/>
      <c r="AC126" s="1783"/>
      <c r="AD126" s="1783"/>
      <c r="AE126" s="1783"/>
      <c r="AF126" s="1783"/>
      <c r="AG126" s="1783"/>
      <c r="AH126" s="1783"/>
      <c r="AI126" s="1783"/>
      <c r="AJ126" s="1783"/>
      <c r="AK126" s="1783"/>
      <c r="AL126" s="1783"/>
      <c r="AM126" s="1783"/>
      <c r="AN126" s="1783"/>
      <c r="AO126" s="1783"/>
      <c r="AP126" s="1783"/>
      <c r="AQ126" s="1783"/>
      <c r="AR126" s="1783"/>
      <c r="AS126" s="1783"/>
      <c r="AT126" s="1783"/>
      <c r="AU126" s="1783"/>
      <c r="AV126" s="1783"/>
      <c r="AW126" s="1783"/>
      <c r="AX126" s="1783"/>
      <c r="AY126" s="1783"/>
      <c r="AZ126" s="1783"/>
      <c r="BA126" s="1783"/>
      <c r="BB126" s="1783"/>
      <c r="BC126" s="1783"/>
      <c r="BD126" s="1783"/>
      <c r="BE126" s="1783"/>
      <c r="BF126" s="1783"/>
      <c r="BG126" s="1783"/>
      <c r="BH126" s="1783"/>
      <c r="BI126" s="1783"/>
    </row>
    <row r="127" spans="1:61">
      <c r="A127" s="1819"/>
      <c r="B127" s="1818"/>
      <c r="C127" s="1818"/>
      <c r="D127" s="1818"/>
      <c r="E127" s="1818"/>
      <c r="F127" s="1818"/>
      <c r="G127" s="1818"/>
      <c r="H127" s="1783"/>
      <c r="I127" s="1783"/>
      <c r="J127" s="1783"/>
      <c r="K127" s="1783"/>
      <c r="L127" s="1783"/>
      <c r="M127" s="1783"/>
      <c r="N127" s="1783"/>
      <c r="O127" s="1783"/>
      <c r="P127" s="1783"/>
      <c r="Q127" s="1783"/>
      <c r="R127" s="1783"/>
      <c r="S127" s="1783"/>
      <c r="T127" s="1783"/>
      <c r="U127" s="1783"/>
      <c r="V127" s="1783"/>
      <c r="W127" s="1783"/>
      <c r="X127" s="1783"/>
      <c r="Y127" s="1783"/>
      <c r="Z127" s="1783"/>
      <c r="AA127" s="1783"/>
      <c r="AB127" s="1783"/>
      <c r="AC127" s="1783"/>
      <c r="AD127" s="1783"/>
      <c r="AE127" s="1783"/>
      <c r="AF127" s="1783"/>
      <c r="AG127" s="1783"/>
      <c r="AH127" s="1783"/>
      <c r="AI127" s="1783"/>
      <c r="AJ127" s="1783"/>
      <c r="AK127" s="1783"/>
      <c r="AL127" s="1783"/>
      <c r="AM127" s="1783"/>
      <c r="AN127" s="1783"/>
      <c r="AO127" s="1783"/>
      <c r="AP127" s="1783"/>
      <c r="AQ127" s="1783"/>
      <c r="AR127" s="1783"/>
      <c r="AS127" s="1783"/>
      <c r="AT127" s="1783"/>
      <c r="AU127" s="1783"/>
      <c r="AV127" s="1783"/>
      <c r="AW127" s="1783"/>
      <c r="AX127" s="1783"/>
      <c r="AY127" s="1783"/>
      <c r="AZ127" s="1783"/>
      <c r="BA127" s="1783"/>
      <c r="BB127" s="1783"/>
      <c r="BC127" s="1783"/>
      <c r="BD127" s="1783"/>
      <c r="BE127" s="1783"/>
      <c r="BF127" s="1783"/>
      <c r="BG127" s="1783"/>
      <c r="BH127" s="1783"/>
      <c r="BI127" s="1783"/>
    </row>
    <row r="128" spans="1:61">
      <c r="A128" s="1819"/>
      <c r="B128" s="1818"/>
      <c r="C128" s="1818"/>
      <c r="D128" s="1818"/>
      <c r="E128" s="1818"/>
      <c r="F128" s="1818"/>
      <c r="G128" s="1818"/>
      <c r="H128" s="1783"/>
      <c r="I128" s="1783"/>
      <c r="J128" s="1783"/>
      <c r="K128" s="1783"/>
      <c r="L128" s="1783"/>
      <c r="M128" s="1783"/>
      <c r="N128" s="1783"/>
      <c r="O128" s="1783"/>
      <c r="P128" s="1783"/>
      <c r="Q128" s="1783"/>
      <c r="R128" s="1783"/>
      <c r="S128" s="1783"/>
      <c r="T128" s="1783"/>
      <c r="U128" s="1783"/>
      <c r="V128" s="1783"/>
      <c r="W128" s="1783"/>
      <c r="X128" s="1783"/>
      <c r="Y128" s="1783"/>
      <c r="Z128" s="1783"/>
      <c r="AA128" s="1783"/>
      <c r="AB128" s="1783"/>
      <c r="AC128" s="1783"/>
      <c r="AD128" s="1783"/>
      <c r="AE128" s="1783"/>
      <c r="AF128" s="1783"/>
      <c r="AG128" s="1783"/>
      <c r="AH128" s="1783"/>
      <c r="AI128" s="1783"/>
      <c r="AJ128" s="1783"/>
      <c r="AK128" s="1783"/>
      <c r="AL128" s="1783"/>
      <c r="AM128" s="1783"/>
      <c r="AN128" s="1783"/>
      <c r="AO128" s="1783"/>
      <c r="AP128" s="1783"/>
      <c r="AQ128" s="1783"/>
      <c r="AR128" s="1783"/>
      <c r="AS128" s="1783"/>
      <c r="AT128" s="1783"/>
      <c r="AU128" s="1783"/>
      <c r="AV128" s="1783"/>
      <c r="AW128" s="1783"/>
      <c r="AX128" s="1783"/>
      <c r="AY128" s="1783"/>
      <c r="AZ128" s="1783"/>
      <c r="BA128" s="1783"/>
      <c r="BB128" s="1783"/>
      <c r="BC128" s="1783"/>
      <c r="BD128" s="1783"/>
      <c r="BE128" s="1783"/>
      <c r="BF128" s="1783"/>
      <c r="BG128" s="1783"/>
      <c r="BH128" s="1783"/>
      <c r="BI128" s="1783"/>
    </row>
    <row r="129" spans="1:61">
      <c r="A129" s="1819"/>
      <c r="B129" s="1818"/>
      <c r="C129" s="1818"/>
      <c r="D129" s="1818"/>
      <c r="E129" s="1818"/>
      <c r="F129" s="1818"/>
      <c r="G129" s="1818"/>
      <c r="H129" s="1783"/>
      <c r="I129" s="1783"/>
      <c r="J129" s="1783"/>
      <c r="K129" s="1783"/>
      <c r="L129" s="1783"/>
      <c r="M129" s="1783"/>
      <c r="N129" s="1783"/>
      <c r="O129" s="1783"/>
      <c r="P129" s="1783"/>
      <c r="Q129" s="1783"/>
      <c r="R129" s="1783"/>
      <c r="S129" s="1783"/>
      <c r="T129" s="1783"/>
      <c r="U129" s="1783"/>
      <c r="V129" s="1783"/>
      <c r="W129" s="1783"/>
      <c r="X129" s="1783"/>
      <c r="Y129" s="1783"/>
      <c r="Z129" s="1783"/>
      <c r="AA129" s="1783"/>
      <c r="AB129" s="1783"/>
      <c r="AC129" s="1783"/>
      <c r="AD129" s="1783"/>
      <c r="AE129" s="1783"/>
      <c r="AF129" s="1783"/>
      <c r="AG129" s="1783"/>
      <c r="AH129" s="1783"/>
      <c r="AI129" s="1783"/>
      <c r="AJ129" s="1783"/>
      <c r="AK129" s="1783"/>
      <c r="AL129" s="1783"/>
      <c r="AM129" s="1783"/>
      <c r="AN129" s="1783"/>
      <c r="AO129" s="1783"/>
      <c r="AP129" s="1783"/>
      <c r="AQ129" s="1783"/>
      <c r="AR129" s="1783"/>
      <c r="AS129" s="1783"/>
      <c r="AT129" s="1783"/>
      <c r="AU129" s="1783"/>
      <c r="AV129" s="1783"/>
      <c r="AW129" s="1783"/>
      <c r="AX129" s="1783"/>
      <c r="AY129" s="1783"/>
      <c r="AZ129" s="1783"/>
      <c r="BA129" s="1783"/>
      <c r="BB129" s="1783"/>
      <c r="BC129" s="1783"/>
      <c r="BD129" s="1783"/>
      <c r="BE129" s="1783"/>
      <c r="BF129" s="1783"/>
      <c r="BG129" s="1783"/>
      <c r="BH129" s="1783"/>
      <c r="BI129" s="1783"/>
    </row>
    <row r="130" spans="1:61">
      <c r="A130" s="1819"/>
      <c r="B130" s="1818"/>
      <c r="C130" s="1818"/>
      <c r="D130" s="1818"/>
      <c r="E130" s="1818"/>
      <c r="F130" s="1818"/>
      <c r="G130" s="1818"/>
      <c r="H130" s="1783"/>
      <c r="I130" s="1783"/>
      <c r="J130" s="1783"/>
      <c r="K130" s="1783"/>
      <c r="L130" s="1783"/>
      <c r="M130" s="1783"/>
      <c r="N130" s="1783"/>
      <c r="O130" s="1783"/>
      <c r="P130" s="1783"/>
      <c r="Q130" s="1783"/>
      <c r="R130" s="1783"/>
      <c r="S130" s="1783"/>
      <c r="T130" s="1783"/>
      <c r="U130" s="1783"/>
      <c r="V130" s="1783"/>
      <c r="W130" s="1783"/>
      <c r="X130" s="1783"/>
      <c r="Y130" s="1783"/>
      <c r="Z130" s="1783"/>
      <c r="AA130" s="1783"/>
      <c r="AB130" s="1783"/>
      <c r="AC130" s="1783"/>
      <c r="AD130" s="1783"/>
      <c r="AE130" s="1783"/>
      <c r="AF130" s="1783"/>
      <c r="AG130" s="1783"/>
      <c r="AH130" s="1783"/>
      <c r="AI130" s="1783"/>
      <c r="AJ130" s="1783"/>
      <c r="AK130" s="1783"/>
      <c r="AL130" s="1783"/>
      <c r="AM130" s="1783"/>
      <c r="AN130" s="1783"/>
      <c r="AO130" s="1783"/>
      <c r="AP130" s="1783"/>
      <c r="AQ130" s="1783"/>
      <c r="AR130" s="1783"/>
      <c r="AS130" s="1783"/>
      <c r="AT130" s="1783"/>
      <c r="AU130" s="1783"/>
      <c r="AV130" s="1783"/>
      <c r="AW130" s="1783"/>
      <c r="AX130" s="1783"/>
      <c r="AY130" s="1783"/>
      <c r="AZ130" s="1783"/>
      <c r="BA130" s="1783"/>
      <c r="BB130" s="1783"/>
      <c r="BC130" s="1783"/>
      <c r="BD130" s="1783"/>
      <c r="BE130" s="1783"/>
      <c r="BF130" s="1783"/>
      <c r="BG130" s="1783"/>
      <c r="BH130" s="1783"/>
      <c r="BI130" s="1783"/>
    </row>
    <row r="131" spans="1:61">
      <c r="A131" s="1819"/>
      <c r="B131" s="1818"/>
      <c r="C131" s="1818"/>
      <c r="D131" s="1818"/>
      <c r="E131" s="1818"/>
      <c r="F131" s="1818"/>
      <c r="G131" s="1818"/>
      <c r="H131" s="1783"/>
      <c r="I131" s="1783"/>
      <c r="J131" s="1783"/>
      <c r="K131" s="1783"/>
      <c r="L131" s="1783"/>
      <c r="M131" s="1783"/>
      <c r="N131" s="1783"/>
      <c r="O131" s="1783"/>
      <c r="P131" s="1783"/>
      <c r="Q131" s="1783"/>
      <c r="R131" s="1783"/>
      <c r="S131" s="1783"/>
      <c r="T131" s="1783"/>
      <c r="U131" s="1783"/>
      <c r="V131" s="1783"/>
      <c r="W131" s="1783"/>
      <c r="X131" s="1783"/>
      <c r="Y131" s="1783"/>
      <c r="Z131" s="1783"/>
      <c r="AA131" s="1783"/>
      <c r="AB131" s="1783"/>
      <c r="AC131" s="1783"/>
      <c r="AD131" s="1783"/>
      <c r="AE131" s="1783"/>
      <c r="AF131" s="1783"/>
      <c r="AG131" s="1783"/>
      <c r="AH131" s="1783"/>
      <c r="AI131" s="1783"/>
      <c r="AJ131" s="1783"/>
      <c r="AK131" s="1783"/>
      <c r="AL131" s="1783"/>
      <c r="AM131" s="1783"/>
      <c r="AN131" s="1783"/>
      <c r="AO131" s="1783"/>
      <c r="AP131" s="1783"/>
      <c r="AQ131" s="1783"/>
      <c r="AR131" s="1783"/>
      <c r="AS131" s="1783"/>
      <c r="AT131" s="1783"/>
      <c r="AU131" s="1783"/>
      <c r="AV131" s="1783"/>
      <c r="AW131" s="1783"/>
      <c r="AX131" s="1783"/>
      <c r="AY131" s="1783"/>
      <c r="AZ131" s="1783"/>
      <c r="BA131" s="1783"/>
      <c r="BB131" s="1783"/>
      <c r="BC131" s="1783"/>
      <c r="BD131" s="1783"/>
      <c r="BE131" s="1783"/>
      <c r="BF131" s="1783"/>
      <c r="BG131" s="1783"/>
      <c r="BH131" s="1783"/>
      <c r="BI131" s="1783"/>
    </row>
    <row r="132" spans="1:61">
      <c r="A132" s="1819"/>
      <c r="B132" s="1818"/>
      <c r="C132" s="1818"/>
      <c r="D132" s="1818"/>
      <c r="E132" s="1818"/>
      <c r="F132" s="1818"/>
      <c r="G132" s="1818"/>
      <c r="H132" s="1783"/>
      <c r="I132" s="1783"/>
      <c r="J132" s="1783"/>
      <c r="K132" s="1783"/>
      <c r="L132" s="1783"/>
      <c r="M132" s="1783"/>
      <c r="N132" s="1783"/>
      <c r="O132" s="1783"/>
      <c r="P132" s="1783"/>
      <c r="Q132" s="1783"/>
      <c r="R132" s="1783"/>
      <c r="S132" s="1783"/>
      <c r="T132" s="1783"/>
      <c r="U132" s="1783"/>
      <c r="V132" s="1783"/>
      <c r="W132" s="1783"/>
      <c r="X132" s="1783"/>
      <c r="Y132" s="1783"/>
      <c r="Z132" s="1783"/>
      <c r="AA132" s="1783"/>
      <c r="AB132" s="1783"/>
      <c r="AC132" s="1783"/>
      <c r="AD132" s="1783"/>
      <c r="AE132" s="1783"/>
      <c r="AF132" s="1783"/>
      <c r="AG132" s="1783"/>
      <c r="AH132" s="1783"/>
      <c r="AI132" s="1783"/>
      <c r="AJ132" s="1783"/>
      <c r="AK132" s="1783"/>
      <c r="AL132" s="1783"/>
      <c r="AM132" s="1783"/>
      <c r="AN132" s="1783"/>
      <c r="AO132" s="1783"/>
      <c r="AP132" s="1783"/>
      <c r="AQ132" s="1783"/>
      <c r="AR132" s="1783"/>
      <c r="AS132" s="1783"/>
      <c r="AT132" s="1783"/>
      <c r="AU132" s="1783"/>
      <c r="AV132" s="1783"/>
      <c r="AW132" s="1783"/>
      <c r="AX132" s="1783"/>
      <c r="AY132" s="1783"/>
      <c r="AZ132" s="1783"/>
      <c r="BA132" s="1783"/>
      <c r="BB132" s="1783"/>
      <c r="BC132" s="1783"/>
      <c r="BD132" s="1783"/>
      <c r="BE132" s="1783"/>
      <c r="BF132" s="1783"/>
      <c r="BG132" s="1783"/>
      <c r="BH132" s="1783"/>
      <c r="BI132" s="1783"/>
    </row>
    <row r="133" spans="1:61">
      <c r="A133" s="1819"/>
      <c r="B133" s="1818"/>
      <c r="C133" s="1818"/>
      <c r="D133" s="1818"/>
      <c r="E133" s="1818"/>
      <c r="F133" s="1818"/>
      <c r="G133" s="1818"/>
      <c r="H133" s="1783"/>
      <c r="I133" s="1783"/>
      <c r="J133" s="1783"/>
      <c r="K133" s="1783"/>
      <c r="L133" s="1783"/>
      <c r="M133" s="1783"/>
      <c r="N133" s="1783"/>
      <c r="O133" s="1783"/>
      <c r="P133" s="1783"/>
      <c r="Q133" s="1783"/>
      <c r="R133" s="1783"/>
      <c r="S133" s="1783"/>
      <c r="T133" s="1783"/>
      <c r="U133" s="1783"/>
      <c r="V133" s="1783"/>
      <c r="W133" s="1783"/>
      <c r="X133" s="1783"/>
      <c r="Y133" s="1783"/>
      <c r="Z133" s="1783"/>
      <c r="AA133" s="1783"/>
      <c r="AB133" s="1783"/>
      <c r="AC133" s="1783"/>
      <c r="AD133" s="1783"/>
      <c r="AE133" s="1783"/>
      <c r="AF133" s="1783"/>
      <c r="AG133" s="1783"/>
      <c r="AH133" s="1783"/>
      <c r="AI133" s="1783"/>
      <c r="AJ133" s="1783"/>
      <c r="AK133" s="1783"/>
      <c r="AL133" s="1783"/>
      <c r="AM133" s="1783"/>
      <c r="AN133" s="1783"/>
      <c r="AO133" s="1783"/>
      <c r="AP133" s="1783"/>
      <c r="AQ133" s="1783"/>
      <c r="AR133" s="1783"/>
      <c r="AS133" s="1783"/>
      <c r="AT133" s="1783"/>
      <c r="AU133" s="1783"/>
      <c r="AV133" s="1783"/>
      <c r="AW133" s="1783"/>
      <c r="AX133" s="1783"/>
      <c r="AY133" s="1783"/>
      <c r="AZ133" s="1783"/>
      <c r="BA133" s="1783"/>
      <c r="BB133" s="1783"/>
      <c r="BC133" s="1783"/>
      <c r="BD133" s="1783"/>
      <c r="BE133" s="1783"/>
      <c r="BF133" s="1783"/>
      <c r="BG133" s="1783"/>
      <c r="BH133" s="1783"/>
      <c r="BI133" s="1783"/>
    </row>
    <row r="134" spans="1:61">
      <c r="A134" s="1819"/>
      <c r="B134" s="1818"/>
      <c r="C134" s="1818"/>
      <c r="D134" s="1818"/>
      <c r="E134" s="1818"/>
      <c r="F134" s="1818"/>
      <c r="G134" s="1818"/>
      <c r="H134" s="1783"/>
      <c r="I134" s="1783"/>
      <c r="J134" s="1783"/>
      <c r="K134" s="1783"/>
      <c r="L134" s="1783"/>
      <c r="M134" s="1783"/>
      <c r="N134" s="1783"/>
      <c r="O134" s="1783"/>
      <c r="P134" s="1783"/>
      <c r="Q134" s="1783"/>
      <c r="R134" s="1783"/>
      <c r="S134" s="1783"/>
      <c r="T134" s="1783"/>
      <c r="U134" s="1783"/>
      <c r="V134" s="1783"/>
      <c r="W134" s="1783"/>
      <c r="X134" s="1783"/>
      <c r="Y134" s="1783"/>
      <c r="Z134" s="1783"/>
      <c r="AA134" s="1783"/>
      <c r="AB134" s="1783"/>
      <c r="AC134" s="1783"/>
      <c r="AD134" s="1783"/>
      <c r="AE134" s="1783"/>
      <c r="AF134" s="1783"/>
      <c r="AG134" s="1783"/>
      <c r="AH134" s="1783"/>
      <c r="AI134" s="1783"/>
      <c r="AJ134" s="1783"/>
      <c r="AK134" s="1783"/>
      <c r="AL134" s="1783"/>
      <c r="AM134" s="1783"/>
      <c r="AN134" s="1783"/>
      <c r="AO134" s="1783"/>
      <c r="AP134" s="1783"/>
      <c r="AQ134" s="1783"/>
      <c r="AR134" s="1783"/>
      <c r="AS134" s="1783"/>
      <c r="AT134" s="1783"/>
      <c r="AU134" s="1783"/>
      <c r="AV134" s="1783"/>
      <c r="AW134" s="1783"/>
      <c r="AX134" s="1783"/>
      <c r="AY134" s="1783"/>
      <c r="AZ134" s="1783"/>
      <c r="BA134" s="1783"/>
      <c r="BB134" s="1783"/>
      <c r="BC134" s="1783"/>
      <c r="BD134" s="1783"/>
      <c r="BE134" s="1783"/>
      <c r="BF134" s="1783"/>
      <c r="BG134" s="1783"/>
      <c r="BH134" s="1783"/>
      <c r="BI134" s="1783"/>
    </row>
    <row r="135" spans="1:61">
      <c r="A135" s="1819"/>
      <c r="B135" s="1818"/>
      <c r="C135" s="1818"/>
      <c r="D135" s="1818"/>
      <c r="E135" s="1818"/>
      <c r="F135" s="1818"/>
      <c r="G135" s="1818"/>
      <c r="H135" s="1783"/>
      <c r="I135" s="1783"/>
      <c r="J135" s="1783"/>
      <c r="K135" s="1783"/>
      <c r="L135" s="1783"/>
      <c r="M135" s="1783"/>
      <c r="N135" s="1783"/>
      <c r="O135" s="1783"/>
      <c r="P135" s="1783"/>
      <c r="Q135" s="1783"/>
      <c r="R135" s="1783"/>
      <c r="S135" s="1783"/>
      <c r="T135" s="1783"/>
      <c r="U135" s="1783"/>
      <c r="V135" s="1783"/>
      <c r="W135" s="1783"/>
      <c r="X135" s="1783"/>
      <c r="Y135" s="1783"/>
      <c r="Z135" s="1783"/>
      <c r="AA135" s="1783"/>
      <c r="AB135" s="1783"/>
      <c r="AC135" s="1783"/>
      <c r="AD135" s="1783"/>
      <c r="AE135" s="1783"/>
      <c r="AF135" s="1783"/>
      <c r="AG135" s="1783"/>
      <c r="AH135" s="1783"/>
      <c r="AI135" s="1783"/>
      <c r="AJ135" s="1783"/>
      <c r="AK135" s="1783"/>
      <c r="AL135" s="1783"/>
      <c r="AM135" s="1783"/>
      <c r="AN135" s="1783"/>
      <c r="AO135" s="1783"/>
      <c r="AP135" s="1783"/>
      <c r="AQ135" s="1783"/>
      <c r="AR135" s="1783"/>
      <c r="AS135" s="1783"/>
      <c r="AT135" s="1783"/>
      <c r="AU135" s="1783"/>
      <c r="AV135" s="1783"/>
      <c r="AW135" s="1783"/>
      <c r="AX135" s="1783"/>
      <c r="AY135" s="1783"/>
      <c r="AZ135" s="1783"/>
      <c r="BA135" s="1783"/>
      <c r="BB135" s="1783"/>
      <c r="BC135" s="1783"/>
      <c r="BD135" s="1783"/>
      <c r="BE135" s="1783"/>
      <c r="BF135" s="1783"/>
      <c r="BG135" s="1783"/>
      <c r="BH135" s="1783"/>
      <c r="BI135" s="1783"/>
    </row>
    <row r="136" spans="1:61">
      <c r="A136" s="1819"/>
      <c r="B136" s="1818"/>
      <c r="C136" s="1818"/>
      <c r="D136" s="1818"/>
      <c r="E136" s="1818"/>
      <c r="F136" s="1818"/>
      <c r="G136" s="1818"/>
      <c r="H136" s="1783"/>
      <c r="I136" s="1783"/>
      <c r="J136" s="1783"/>
      <c r="K136" s="1783"/>
      <c r="L136" s="1783"/>
      <c r="M136" s="1783"/>
      <c r="N136" s="1783"/>
      <c r="O136" s="1783"/>
      <c r="P136" s="1783"/>
      <c r="Q136" s="1783"/>
      <c r="R136" s="1783"/>
      <c r="S136" s="1783"/>
      <c r="T136" s="1783"/>
      <c r="U136" s="1783"/>
      <c r="V136" s="1783"/>
      <c r="W136" s="1783"/>
      <c r="X136" s="1783"/>
      <c r="Y136" s="1783"/>
      <c r="Z136" s="1783"/>
      <c r="AA136" s="1783"/>
      <c r="AB136" s="1783"/>
      <c r="AC136" s="1783"/>
      <c r="AD136" s="1783"/>
      <c r="AE136" s="1783"/>
      <c r="AF136" s="1783"/>
      <c r="AG136" s="1783"/>
      <c r="AH136" s="1783"/>
      <c r="AI136" s="1783"/>
      <c r="AJ136" s="1783"/>
      <c r="AK136" s="1783"/>
      <c r="AL136" s="1783"/>
      <c r="AM136" s="1783"/>
      <c r="AN136" s="1783"/>
      <c r="AO136" s="1783"/>
      <c r="AP136" s="1783"/>
      <c r="AQ136" s="1783"/>
      <c r="AR136" s="1783"/>
      <c r="AS136" s="1783"/>
      <c r="AT136" s="1783"/>
      <c r="AU136" s="1783"/>
      <c r="AV136" s="1783"/>
      <c r="AW136" s="1783"/>
      <c r="AX136" s="1783"/>
      <c r="AY136" s="1783"/>
      <c r="AZ136" s="1783"/>
      <c r="BA136" s="1783"/>
      <c r="BB136" s="1783"/>
      <c r="BC136" s="1783"/>
      <c r="BD136" s="1783"/>
      <c r="BE136" s="1783"/>
      <c r="BF136" s="1783"/>
      <c r="BG136" s="1783"/>
      <c r="BH136" s="1783"/>
      <c r="BI136" s="1783"/>
    </row>
    <row r="137" spans="1:61">
      <c r="A137" s="1819"/>
      <c r="B137" s="1818"/>
      <c r="C137" s="1818"/>
      <c r="D137" s="1818"/>
      <c r="E137" s="1818"/>
      <c r="F137" s="1818"/>
      <c r="G137" s="1818"/>
      <c r="H137" s="1783"/>
      <c r="I137" s="1783"/>
      <c r="J137" s="1783"/>
      <c r="K137" s="1783"/>
      <c r="L137" s="1783"/>
      <c r="M137" s="1783"/>
      <c r="N137" s="1783"/>
      <c r="O137" s="1783"/>
      <c r="P137" s="1783"/>
      <c r="Q137" s="1783"/>
      <c r="R137" s="1783"/>
      <c r="S137" s="1783"/>
      <c r="T137" s="1783"/>
      <c r="U137" s="1783"/>
      <c r="V137" s="1783"/>
      <c r="W137" s="1783"/>
      <c r="X137" s="1783"/>
      <c r="Y137" s="1783"/>
      <c r="Z137" s="1783"/>
      <c r="AA137" s="1783"/>
      <c r="AB137" s="1783"/>
      <c r="AC137" s="1783"/>
      <c r="AD137" s="1783"/>
      <c r="AE137" s="1783"/>
      <c r="AF137" s="1783"/>
      <c r="AG137" s="1783"/>
      <c r="AH137" s="1783"/>
      <c r="AI137" s="1783"/>
      <c r="AJ137" s="1783"/>
      <c r="AK137" s="1783"/>
      <c r="AL137" s="1783"/>
      <c r="AM137" s="1783"/>
      <c r="AN137" s="1783"/>
      <c r="AO137" s="1783"/>
      <c r="AP137" s="1783"/>
      <c r="AQ137" s="1783"/>
      <c r="AR137" s="1783"/>
      <c r="AS137" s="1783"/>
      <c r="AT137" s="1783"/>
      <c r="AU137" s="1783"/>
      <c r="AV137" s="1783"/>
      <c r="AW137" s="1783"/>
      <c r="AX137" s="1783"/>
      <c r="AY137" s="1783"/>
      <c r="AZ137" s="1783"/>
      <c r="BA137" s="1783"/>
      <c r="BB137" s="1783"/>
      <c r="BC137" s="1783"/>
      <c r="BD137" s="1783"/>
      <c r="BE137" s="1783"/>
      <c r="BF137" s="1783"/>
      <c r="BG137" s="1783"/>
      <c r="BH137" s="1783"/>
      <c r="BI137" s="1783"/>
    </row>
    <row r="138" spans="1:61">
      <c r="A138" s="1819"/>
      <c r="B138" s="1818"/>
      <c r="C138" s="1818"/>
      <c r="D138" s="1818"/>
      <c r="E138" s="1818"/>
      <c r="F138" s="1818"/>
      <c r="G138" s="1818"/>
      <c r="H138" s="1783"/>
      <c r="I138" s="1783"/>
      <c r="J138" s="1783"/>
      <c r="K138" s="1783"/>
      <c r="L138" s="1783"/>
      <c r="M138" s="1783"/>
      <c r="N138" s="1783"/>
      <c r="O138" s="1783"/>
      <c r="P138" s="1783"/>
      <c r="Q138" s="1783"/>
      <c r="R138" s="1783"/>
      <c r="S138" s="1783"/>
      <c r="T138" s="1783"/>
      <c r="U138" s="1783"/>
      <c r="V138" s="1783"/>
      <c r="W138" s="1783"/>
      <c r="X138" s="1783"/>
      <c r="Y138" s="1783"/>
      <c r="Z138" s="1783"/>
      <c r="AA138" s="1783"/>
      <c r="AB138" s="1783"/>
      <c r="AC138" s="1783"/>
      <c r="AD138" s="1783"/>
      <c r="AE138" s="1783"/>
      <c r="AF138" s="1783"/>
      <c r="AG138" s="1783"/>
      <c r="AH138" s="1783"/>
      <c r="AI138" s="1783"/>
      <c r="AJ138" s="1783"/>
      <c r="AK138" s="1783"/>
      <c r="AL138" s="1783"/>
      <c r="AM138" s="1783"/>
      <c r="AN138" s="1783"/>
      <c r="AO138" s="1783"/>
      <c r="AP138" s="1783"/>
      <c r="AQ138" s="1783"/>
      <c r="AR138" s="1783"/>
      <c r="AS138" s="1783"/>
      <c r="AT138" s="1783"/>
      <c r="AU138" s="1783"/>
      <c r="AV138" s="1783"/>
      <c r="AW138" s="1783"/>
      <c r="AX138" s="1783"/>
      <c r="AY138" s="1783"/>
      <c r="AZ138" s="1783"/>
      <c r="BA138" s="1783"/>
      <c r="BB138" s="1783"/>
      <c r="BC138" s="1783"/>
      <c r="BD138" s="1783"/>
      <c r="BE138" s="1783"/>
      <c r="BF138" s="1783"/>
      <c r="BG138" s="1783"/>
      <c r="BH138" s="1783"/>
      <c r="BI138" s="1783"/>
    </row>
    <row r="139" spans="1:61">
      <c r="A139" s="1819"/>
      <c r="B139" s="1818"/>
      <c r="C139" s="1818"/>
      <c r="D139" s="1818"/>
      <c r="E139" s="1818"/>
      <c r="F139" s="1818"/>
      <c r="G139" s="1818"/>
      <c r="H139" s="1783"/>
      <c r="I139" s="1783"/>
      <c r="J139" s="1783"/>
      <c r="K139" s="1783"/>
      <c r="L139" s="1783"/>
      <c r="M139" s="1783"/>
      <c r="N139" s="1783"/>
      <c r="O139" s="1783"/>
      <c r="P139" s="1783"/>
      <c r="Q139" s="1783"/>
      <c r="R139" s="1783"/>
      <c r="S139" s="1783"/>
      <c r="T139" s="1783"/>
      <c r="U139" s="1783"/>
      <c r="V139" s="1783"/>
      <c r="W139" s="1783"/>
      <c r="X139" s="1783"/>
      <c r="Y139" s="1783"/>
      <c r="Z139" s="1783"/>
      <c r="AA139" s="1783"/>
      <c r="AB139" s="1783"/>
      <c r="AC139" s="1783"/>
      <c r="AD139" s="1783"/>
      <c r="AE139" s="1783"/>
      <c r="AF139" s="1783"/>
      <c r="AG139" s="1783"/>
      <c r="AH139" s="1783"/>
      <c r="AI139" s="1783"/>
      <c r="AJ139" s="1783"/>
      <c r="AK139" s="1783"/>
      <c r="AL139" s="1783"/>
      <c r="AM139" s="1783"/>
      <c r="AN139" s="1783"/>
      <c r="AO139" s="1783"/>
      <c r="AP139" s="1783"/>
      <c r="AQ139" s="1783"/>
      <c r="AR139" s="1783"/>
      <c r="AS139" s="1783"/>
      <c r="AT139" s="1783"/>
      <c r="AU139" s="1783"/>
      <c r="AV139" s="1783"/>
      <c r="AW139" s="1783"/>
      <c r="AX139" s="1783"/>
      <c r="AY139" s="1783"/>
      <c r="AZ139" s="1783"/>
      <c r="BA139" s="1783"/>
      <c r="BB139" s="1783"/>
      <c r="BC139" s="1783"/>
      <c r="BD139" s="1783"/>
      <c r="BE139" s="1783"/>
      <c r="BF139" s="1783"/>
      <c r="BG139" s="1783"/>
      <c r="BH139" s="1783"/>
      <c r="BI139" s="1783"/>
    </row>
    <row r="140" spans="1:61">
      <c r="A140" s="1819"/>
      <c r="B140" s="1818"/>
      <c r="C140" s="1818"/>
      <c r="D140" s="1818"/>
      <c r="E140" s="1818"/>
      <c r="F140" s="1818"/>
      <c r="G140" s="1818"/>
      <c r="H140" s="1783"/>
      <c r="I140" s="1783"/>
      <c r="J140" s="1783"/>
      <c r="K140" s="1783"/>
      <c r="L140" s="1783"/>
      <c r="M140" s="1783"/>
      <c r="N140" s="1783"/>
      <c r="O140" s="1783"/>
      <c r="P140" s="1783"/>
      <c r="Q140" s="1783"/>
      <c r="R140" s="1783"/>
      <c r="S140" s="1783"/>
      <c r="T140" s="1783"/>
      <c r="U140" s="1783"/>
      <c r="V140" s="1783"/>
      <c r="W140" s="1783"/>
      <c r="X140" s="1783"/>
      <c r="Y140" s="1783"/>
      <c r="Z140" s="1783"/>
      <c r="AA140" s="1783"/>
      <c r="AB140" s="1783"/>
      <c r="AC140" s="1783"/>
      <c r="AD140" s="1783"/>
      <c r="AE140" s="1783"/>
      <c r="AF140" s="1783"/>
      <c r="AG140" s="1783"/>
      <c r="AH140" s="1783"/>
      <c r="AI140" s="1783"/>
      <c r="AJ140" s="1783"/>
      <c r="AK140" s="1783"/>
      <c r="AL140" s="1783"/>
      <c r="AM140" s="1783"/>
      <c r="AN140" s="1783"/>
      <c r="AO140" s="1783"/>
      <c r="AP140" s="1783"/>
      <c r="AQ140" s="1783"/>
      <c r="AR140" s="1783"/>
      <c r="AS140" s="1783"/>
      <c r="AT140" s="1783"/>
      <c r="AU140" s="1783"/>
      <c r="AV140" s="1783"/>
      <c r="AW140" s="1783"/>
      <c r="AX140" s="1783"/>
      <c r="AY140" s="1783"/>
      <c r="AZ140" s="1783"/>
      <c r="BA140" s="1783"/>
      <c r="BB140" s="1783"/>
      <c r="BC140" s="1783"/>
      <c r="BD140" s="1783"/>
      <c r="BE140" s="1783"/>
      <c r="BF140" s="1783"/>
      <c r="BG140" s="1783"/>
      <c r="BH140" s="1783"/>
      <c r="BI140" s="1783"/>
    </row>
    <row r="141" spans="1:61">
      <c r="A141" s="1819"/>
      <c r="B141" s="1818"/>
      <c r="C141" s="1818"/>
      <c r="D141" s="1818"/>
      <c r="E141" s="1818"/>
      <c r="F141" s="1818"/>
      <c r="G141" s="1818"/>
      <c r="H141" s="1783"/>
      <c r="I141" s="1783"/>
      <c r="J141" s="1783"/>
      <c r="K141" s="1783"/>
      <c r="L141" s="1783"/>
      <c r="M141" s="1783"/>
      <c r="N141" s="1783"/>
      <c r="O141" s="1783"/>
      <c r="P141" s="1783"/>
      <c r="Q141" s="1783"/>
      <c r="R141" s="1783"/>
      <c r="S141" s="1783"/>
      <c r="T141" s="1783"/>
      <c r="U141" s="1783"/>
      <c r="V141" s="1783"/>
      <c r="W141" s="1783"/>
      <c r="X141" s="1783"/>
      <c r="Y141" s="1783"/>
      <c r="Z141" s="1783"/>
      <c r="AA141" s="1783"/>
      <c r="AB141" s="1783"/>
      <c r="AC141" s="1783"/>
      <c r="AD141" s="1783"/>
      <c r="AE141" s="1783"/>
      <c r="AF141" s="1783"/>
      <c r="AG141" s="1783"/>
      <c r="AH141" s="1783"/>
      <c r="AI141" s="1783"/>
      <c r="AJ141" s="1783"/>
      <c r="AK141" s="1783"/>
      <c r="AL141" s="1783"/>
      <c r="AM141" s="1783"/>
      <c r="AN141" s="1783"/>
      <c r="AO141" s="1783"/>
      <c r="AP141" s="1783"/>
      <c r="AQ141" s="1783"/>
      <c r="AR141" s="1783"/>
      <c r="AS141" s="1783"/>
      <c r="AT141" s="1783"/>
      <c r="AU141" s="1783"/>
      <c r="AV141" s="1783"/>
      <c r="AW141" s="1783"/>
      <c r="AX141" s="1783"/>
      <c r="AY141" s="1783"/>
      <c r="AZ141" s="1783"/>
      <c r="BA141" s="1783"/>
      <c r="BB141" s="1783"/>
      <c r="BC141" s="1783"/>
      <c r="BD141" s="1783"/>
      <c r="BE141" s="1783"/>
      <c r="BF141" s="1783"/>
      <c r="BG141" s="1783"/>
      <c r="BH141" s="1783"/>
      <c r="BI141" s="1783"/>
    </row>
    <row r="142" spans="1:61">
      <c r="A142" s="1819"/>
      <c r="B142" s="1818"/>
      <c r="C142" s="1818"/>
      <c r="D142" s="1818"/>
      <c r="E142" s="1818"/>
      <c r="F142" s="1818"/>
      <c r="G142" s="1818"/>
      <c r="H142" s="1783"/>
      <c r="I142" s="1783"/>
      <c r="J142" s="1783"/>
      <c r="K142" s="1783"/>
      <c r="L142" s="1783"/>
      <c r="M142" s="1783"/>
      <c r="N142" s="1783"/>
      <c r="O142" s="1783"/>
      <c r="P142" s="1783"/>
      <c r="Q142" s="1783"/>
      <c r="R142" s="1783"/>
      <c r="S142" s="1783"/>
      <c r="T142" s="1783"/>
      <c r="U142" s="1783"/>
      <c r="V142" s="1783"/>
      <c r="W142" s="1783"/>
      <c r="X142" s="1783"/>
      <c r="Y142" s="1783"/>
      <c r="Z142" s="1783"/>
      <c r="AA142" s="1783"/>
      <c r="AB142" s="1783"/>
      <c r="AC142" s="1783"/>
      <c r="AD142" s="1783"/>
      <c r="AE142" s="1783"/>
      <c r="AF142" s="1783"/>
      <c r="AG142" s="1783"/>
      <c r="AH142" s="1783"/>
      <c r="AI142" s="1783"/>
      <c r="AJ142" s="1783"/>
      <c r="AK142" s="1783"/>
      <c r="AL142" s="1783"/>
      <c r="AM142" s="1783"/>
      <c r="AN142" s="1783"/>
      <c r="AO142" s="1783"/>
      <c r="AP142" s="1783"/>
      <c r="AQ142" s="1783"/>
      <c r="AR142" s="1783"/>
      <c r="AS142" s="1783"/>
      <c r="AT142" s="1783"/>
      <c r="AU142" s="1783"/>
      <c r="AV142" s="1783"/>
      <c r="AW142" s="1783"/>
      <c r="AX142" s="1783"/>
      <c r="AY142" s="1783"/>
      <c r="AZ142" s="1783"/>
      <c r="BA142" s="1783"/>
      <c r="BB142" s="1783"/>
      <c r="BC142" s="1783"/>
      <c r="BD142" s="1783"/>
      <c r="BE142" s="1783"/>
      <c r="BF142" s="1783"/>
      <c r="BG142" s="1783"/>
      <c r="BH142" s="1783"/>
      <c r="BI142" s="1783"/>
    </row>
    <row r="143" spans="1:61">
      <c r="A143" s="1819"/>
      <c r="B143" s="1818"/>
      <c r="C143" s="1818"/>
      <c r="D143" s="1818"/>
      <c r="E143" s="1818"/>
      <c r="F143" s="1818"/>
      <c r="G143" s="1818"/>
      <c r="H143" s="1783"/>
      <c r="I143" s="1783"/>
      <c r="J143" s="1783"/>
      <c r="K143" s="1783"/>
      <c r="L143" s="1783"/>
      <c r="M143" s="1783"/>
      <c r="N143" s="1783"/>
      <c r="O143" s="1783"/>
      <c r="P143" s="1783"/>
      <c r="Q143" s="1783"/>
      <c r="R143" s="1783"/>
      <c r="S143" s="1783"/>
      <c r="T143" s="1783"/>
      <c r="U143" s="1783"/>
      <c r="V143" s="1783"/>
      <c r="W143" s="1783"/>
      <c r="X143" s="1783"/>
      <c r="Y143" s="1783"/>
      <c r="Z143" s="1783"/>
      <c r="AA143" s="1783"/>
      <c r="AB143" s="1783"/>
      <c r="AC143" s="1783"/>
      <c r="AD143" s="1783"/>
      <c r="AE143" s="1783"/>
      <c r="AF143" s="1783"/>
      <c r="AG143" s="1783"/>
      <c r="AH143" s="1783"/>
      <c r="AI143" s="1783"/>
      <c r="AJ143" s="1783"/>
      <c r="AK143" s="1783"/>
      <c r="AL143" s="1783"/>
      <c r="AM143" s="1783"/>
      <c r="AN143" s="1783"/>
      <c r="AO143" s="1783"/>
      <c r="AP143" s="1783"/>
      <c r="AQ143" s="1783"/>
      <c r="AR143" s="1783"/>
      <c r="AS143" s="1783"/>
      <c r="AT143" s="1783"/>
      <c r="AU143" s="1783"/>
      <c r="AV143" s="1783"/>
      <c r="AW143" s="1783"/>
      <c r="AX143" s="1783"/>
      <c r="AY143" s="1783"/>
      <c r="AZ143" s="1783"/>
      <c r="BA143" s="1783"/>
      <c r="BB143" s="1783"/>
      <c r="BC143" s="1783"/>
      <c r="BD143" s="1783"/>
      <c r="BE143" s="1783"/>
      <c r="BF143" s="1783"/>
      <c r="BG143" s="1783"/>
      <c r="BH143" s="1783"/>
      <c r="BI143" s="1783"/>
    </row>
    <row r="144" spans="1:61">
      <c r="A144" s="1819"/>
      <c r="B144" s="1818"/>
      <c r="C144" s="1818"/>
      <c r="D144" s="1818"/>
      <c r="E144" s="1818"/>
      <c r="F144" s="1818"/>
      <c r="G144" s="1818"/>
      <c r="H144" s="1783"/>
      <c r="I144" s="1783"/>
      <c r="J144" s="1783"/>
      <c r="K144" s="1783"/>
      <c r="L144" s="1783"/>
      <c r="M144" s="1783"/>
      <c r="N144" s="1783"/>
      <c r="O144" s="1783"/>
      <c r="P144" s="1783"/>
      <c r="Q144" s="1783"/>
      <c r="R144" s="1783"/>
      <c r="S144" s="1783"/>
      <c r="T144" s="1783"/>
      <c r="U144" s="1783"/>
      <c r="V144" s="1783"/>
      <c r="W144" s="1783"/>
      <c r="X144" s="1783"/>
      <c r="Y144" s="1783"/>
      <c r="Z144" s="1783"/>
      <c r="AA144" s="1783"/>
      <c r="AB144" s="1783"/>
      <c r="AC144" s="1783"/>
      <c r="AD144" s="1783"/>
      <c r="AE144" s="1783"/>
      <c r="AF144" s="1783"/>
      <c r="AG144" s="1783"/>
      <c r="AH144" s="1783"/>
      <c r="AI144" s="1783"/>
      <c r="AJ144" s="1783"/>
      <c r="AK144" s="1783"/>
      <c r="AL144" s="1783"/>
      <c r="AM144" s="1783"/>
      <c r="AN144" s="1783"/>
      <c r="AO144" s="1783"/>
      <c r="AP144" s="1783"/>
      <c r="AQ144" s="1783"/>
      <c r="AR144" s="1783"/>
      <c r="AS144" s="1783"/>
      <c r="AT144" s="1783"/>
      <c r="AU144" s="1783"/>
      <c r="AV144" s="1783"/>
      <c r="AW144" s="1783"/>
      <c r="AX144" s="1783"/>
      <c r="AY144" s="1783"/>
      <c r="AZ144" s="1783"/>
      <c r="BA144" s="1783"/>
      <c r="BB144" s="1783"/>
      <c r="BC144" s="1783"/>
      <c r="BD144" s="1783"/>
      <c r="BE144" s="1783"/>
      <c r="BF144" s="1783"/>
      <c r="BG144" s="1783"/>
      <c r="BH144" s="1783"/>
      <c r="BI144" s="1783"/>
    </row>
    <row r="145" spans="1:61">
      <c r="A145" s="1819"/>
      <c r="B145" s="1818"/>
      <c r="C145" s="1818"/>
      <c r="D145" s="1818"/>
      <c r="E145" s="1818"/>
      <c r="F145" s="1818"/>
      <c r="G145" s="1818"/>
      <c r="H145" s="1783"/>
      <c r="I145" s="1783"/>
      <c r="J145" s="1783"/>
      <c r="K145" s="1783"/>
      <c r="L145" s="1783"/>
      <c r="M145" s="1783"/>
      <c r="N145" s="1783"/>
      <c r="O145" s="1783"/>
      <c r="P145" s="1783"/>
      <c r="Q145" s="1783"/>
      <c r="R145" s="1783"/>
      <c r="S145" s="1783"/>
      <c r="T145" s="1783"/>
      <c r="U145" s="1783"/>
      <c r="V145" s="1783"/>
      <c r="W145" s="1783"/>
      <c r="X145" s="1783"/>
      <c r="Y145" s="1783"/>
      <c r="Z145" s="1783"/>
      <c r="AA145" s="1783"/>
      <c r="AB145" s="1783"/>
      <c r="AC145" s="1783"/>
      <c r="AD145" s="1783"/>
      <c r="AE145" s="1783"/>
      <c r="AF145" s="1783"/>
      <c r="AG145" s="1783"/>
      <c r="AH145" s="1783"/>
      <c r="AI145" s="1783"/>
      <c r="AJ145" s="1783"/>
      <c r="AK145" s="1783"/>
      <c r="AL145" s="1783"/>
      <c r="AM145" s="1783"/>
      <c r="AN145" s="1783"/>
      <c r="AO145" s="1783"/>
      <c r="AP145" s="1783"/>
      <c r="AQ145" s="1783"/>
      <c r="AR145" s="1783"/>
      <c r="AS145" s="1783"/>
      <c r="AT145" s="1783"/>
      <c r="AU145" s="1783"/>
      <c r="AV145" s="1783"/>
      <c r="AW145" s="1783"/>
      <c r="AX145" s="1783"/>
      <c r="AY145" s="1783"/>
      <c r="AZ145" s="1783"/>
      <c r="BA145" s="1783"/>
      <c r="BB145" s="1783"/>
      <c r="BC145" s="1783"/>
      <c r="BD145" s="1783"/>
      <c r="BE145" s="1783"/>
      <c r="BF145" s="1783"/>
      <c r="BG145" s="1783"/>
      <c r="BH145" s="1783"/>
      <c r="BI145" s="1783"/>
    </row>
    <row r="146" spans="1:61">
      <c r="A146" s="1819"/>
      <c r="B146" s="1818"/>
      <c r="C146" s="1818"/>
      <c r="D146" s="1818"/>
      <c r="E146" s="1818"/>
      <c r="F146" s="1818"/>
      <c r="G146" s="1818"/>
      <c r="H146" s="1783"/>
      <c r="I146" s="1783"/>
      <c r="J146" s="1783"/>
      <c r="K146" s="1783"/>
      <c r="L146" s="1783"/>
      <c r="M146" s="1783"/>
      <c r="N146" s="1783"/>
      <c r="O146" s="1783"/>
      <c r="P146" s="1783"/>
      <c r="Q146" s="1783"/>
      <c r="R146" s="1783"/>
      <c r="S146" s="1783"/>
      <c r="T146" s="1783"/>
      <c r="U146" s="1783"/>
      <c r="V146" s="1783"/>
      <c r="W146" s="1783"/>
      <c r="X146" s="1783"/>
      <c r="Y146" s="1783"/>
      <c r="Z146" s="1783"/>
      <c r="AA146" s="1783"/>
      <c r="AB146" s="1783"/>
      <c r="AC146" s="1783"/>
      <c r="AD146" s="1783"/>
      <c r="AE146" s="1783"/>
      <c r="AF146" s="1783"/>
      <c r="AG146" s="1783"/>
      <c r="AH146" s="1783"/>
      <c r="AI146" s="1783"/>
      <c r="AJ146" s="1783"/>
      <c r="AK146" s="1783"/>
      <c r="AL146" s="1783"/>
      <c r="AM146" s="1783"/>
      <c r="AN146" s="1783"/>
      <c r="AO146" s="1783"/>
      <c r="AP146" s="1783"/>
      <c r="AQ146" s="1783"/>
      <c r="AR146" s="1783"/>
      <c r="AS146" s="1783"/>
      <c r="AT146" s="1783"/>
      <c r="AU146" s="1783"/>
      <c r="AV146" s="1783"/>
      <c r="AW146" s="1783"/>
      <c r="AX146" s="1783"/>
      <c r="AY146" s="1783"/>
      <c r="AZ146" s="1783"/>
      <c r="BA146" s="1783"/>
      <c r="BB146" s="1783"/>
      <c r="BC146" s="1783"/>
      <c r="BD146" s="1783"/>
      <c r="BE146" s="1783"/>
      <c r="BF146" s="1783"/>
      <c r="BG146" s="1783"/>
      <c r="BH146" s="1783"/>
      <c r="BI146" s="1783"/>
    </row>
    <row r="147" spans="1:61">
      <c r="A147" s="1819"/>
      <c r="B147" s="1818"/>
      <c r="C147" s="1818"/>
      <c r="D147" s="1818"/>
      <c r="E147" s="1818"/>
      <c r="F147" s="1818"/>
      <c r="G147" s="1818"/>
      <c r="H147" s="1783"/>
      <c r="I147" s="1783"/>
      <c r="J147" s="1783"/>
      <c r="K147" s="1783"/>
      <c r="L147" s="1783"/>
      <c r="M147" s="1783"/>
      <c r="N147" s="1783"/>
      <c r="O147" s="1783"/>
      <c r="P147" s="1783"/>
      <c r="Q147" s="1783"/>
      <c r="R147" s="1783"/>
      <c r="S147" s="1783"/>
      <c r="T147" s="1783"/>
      <c r="U147" s="1783"/>
      <c r="V147" s="1783"/>
      <c r="W147" s="1783"/>
      <c r="X147" s="1783"/>
      <c r="Y147" s="1783"/>
      <c r="Z147" s="1783"/>
      <c r="AA147" s="1783"/>
      <c r="AB147" s="1783"/>
      <c r="AC147" s="1783"/>
      <c r="AD147" s="1783"/>
      <c r="AE147" s="1783"/>
      <c r="AF147" s="1783"/>
      <c r="AG147" s="1783"/>
      <c r="AH147" s="1783"/>
      <c r="AI147" s="1783"/>
      <c r="AJ147" s="1783"/>
      <c r="AK147" s="1783"/>
      <c r="AL147" s="1783"/>
      <c r="AM147" s="1783"/>
      <c r="AN147" s="1783"/>
      <c r="AO147" s="1783"/>
      <c r="AP147" s="1783"/>
      <c r="AQ147" s="1783"/>
      <c r="AR147" s="1783"/>
      <c r="AS147" s="1783"/>
      <c r="AT147" s="1783"/>
      <c r="AU147" s="1783"/>
      <c r="AV147" s="1783"/>
      <c r="AW147" s="1783"/>
      <c r="AX147" s="1783"/>
      <c r="AY147" s="1783"/>
      <c r="AZ147" s="1783"/>
      <c r="BA147" s="1783"/>
      <c r="BB147" s="1783"/>
      <c r="BC147" s="1783"/>
      <c r="BD147" s="1783"/>
      <c r="BE147" s="1783"/>
      <c r="BF147" s="1783"/>
      <c r="BG147" s="1783"/>
      <c r="BH147" s="1783"/>
      <c r="BI147" s="1783"/>
    </row>
    <row r="148" spans="1:61">
      <c r="A148" s="1819"/>
      <c r="B148" s="1818"/>
      <c r="C148" s="1818"/>
      <c r="D148" s="1818"/>
      <c r="E148" s="1818"/>
      <c r="F148" s="1818"/>
      <c r="G148" s="1818"/>
      <c r="H148" s="1783"/>
      <c r="I148" s="1783"/>
      <c r="J148" s="1783"/>
      <c r="K148" s="1783"/>
      <c r="L148" s="1783"/>
      <c r="M148" s="1783"/>
      <c r="N148" s="1783"/>
      <c r="O148" s="1783"/>
      <c r="P148" s="1783"/>
      <c r="Q148" s="1783"/>
      <c r="R148" s="1783"/>
      <c r="S148" s="1783"/>
      <c r="T148" s="1783"/>
      <c r="U148" s="1783"/>
      <c r="V148" s="1783"/>
      <c r="W148" s="1783"/>
      <c r="X148" s="1783"/>
      <c r="Y148" s="1783"/>
      <c r="Z148" s="1783"/>
      <c r="AA148" s="1783"/>
      <c r="AB148" s="1783"/>
      <c r="AC148" s="1783"/>
      <c r="AD148" s="1783"/>
      <c r="AE148" s="1783"/>
      <c r="AF148" s="1783"/>
      <c r="AG148" s="1783"/>
      <c r="AH148" s="1783"/>
      <c r="AI148" s="1783"/>
      <c r="AJ148" s="1783"/>
      <c r="AK148" s="1783"/>
      <c r="AL148" s="1783"/>
      <c r="AM148" s="1783"/>
      <c r="AN148" s="1783"/>
      <c r="AO148" s="1783"/>
      <c r="AP148" s="1783"/>
      <c r="AQ148" s="1783"/>
      <c r="AR148" s="1783"/>
      <c r="AS148" s="1783"/>
      <c r="AT148" s="1783"/>
      <c r="AU148" s="1783"/>
      <c r="AV148" s="1783"/>
      <c r="AW148" s="1783"/>
      <c r="AX148" s="1783"/>
      <c r="AY148" s="1783"/>
      <c r="AZ148" s="1783"/>
      <c r="BA148" s="1783"/>
      <c r="BB148" s="1783"/>
      <c r="BC148" s="1783"/>
      <c r="BD148" s="1783"/>
      <c r="BE148" s="1783"/>
      <c r="BF148" s="1783"/>
      <c r="BG148" s="1783"/>
      <c r="BH148" s="1783"/>
      <c r="BI148" s="1783"/>
    </row>
    <row r="149" spans="1:61">
      <c r="A149" s="1819"/>
      <c r="B149" s="1818"/>
      <c r="C149" s="1818"/>
      <c r="D149" s="1818"/>
      <c r="E149" s="1818"/>
      <c r="F149" s="1818"/>
      <c r="G149" s="1818"/>
      <c r="H149" s="1783"/>
      <c r="I149" s="1783"/>
      <c r="J149" s="1783"/>
      <c r="K149" s="1783"/>
      <c r="L149" s="1783"/>
      <c r="M149" s="1783"/>
      <c r="N149" s="1783"/>
      <c r="O149" s="1783"/>
      <c r="P149" s="1783"/>
      <c r="Q149" s="1783"/>
      <c r="R149" s="1783"/>
      <c r="S149" s="1783"/>
      <c r="T149" s="1783"/>
      <c r="U149" s="1783"/>
      <c r="V149" s="1783"/>
      <c r="W149" s="1783"/>
      <c r="X149" s="1783"/>
      <c r="Y149" s="1783"/>
      <c r="Z149" s="1783"/>
      <c r="AA149" s="1783"/>
      <c r="AB149" s="1783"/>
      <c r="AC149" s="1783"/>
      <c r="AD149" s="1783"/>
      <c r="AE149" s="1783"/>
      <c r="AF149" s="1783"/>
      <c r="AG149" s="1783"/>
      <c r="AH149" s="1783"/>
      <c r="AI149" s="1783"/>
      <c r="AJ149" s="1783"/>
      <c r="AK149" s="1783"/>
      <c r="AL149" s="1783"/>
      <c r="AM149" s="1783"/>
      <c r="AN149" s="1783"/>
      <c r="AO149" s="1783"/>
      <c r="AP149" s="1783"/>
      <c r="AQ149" s="1783"/>
      <c r="AR149" s="1783"/>
      <c r="AS149" s="1783"/>
      <c r="AT149" s="1783"/>
      <c r="AU149" s="1783"/>
      <c r="AV149" s="1783"/>
      <c r="AW149" s="1783"/>
      <c r="AX149" s="1783"/>
      <c r="AY149" s="1783"/>
      <c r="AZ149" s="1783"/>
      <c r="BA149" s="1783"/>
      <c r="BB149" s="1783"/>
      <c r="BC149" s="1783"/>
      <c r="BD149" s="1783"/>
      <c r="BE149" s="1783"/>
      <c r="BF149" s="1783"/>
      <c r="BG149" s="1783"/>
      <c r="BH149" s="1783"/>
      <c r="BI149" s="1783"/>
    </row>
    <row r="150" spans="1:61">
      <c r="A150" s="1819"/>
      <c r="B150" s="1818"/>
      <c r="C150" s="1818"/>
      <c r="D150" s="1818"/>
      <c r="E150" s="1818"/>
      <c r="F150" s="1818"/>
      <c r="G150" s="1818"/>
      <c r="H150" s="1783"/>
      <c r="I150" s="1783"/>
      <c r="J150" s="1783"/>
      <c r="K150" s="1783"/>
      <c r="L150" s="1783"/>
      <c r="M150" s="1783"/>
      <c r="N150" s="1783"/>
      <c r="O150" s="1783"/>
      <c r="P150" s="1783"/>
      <c r="Q150" s="1783"/>
      <c r="R150" s="1783"/>
      <c r="S150" s="1783"/>
      <c r="T150" s="1783"/>
      <c r="U150" s="1783"/>
      <c r="V150" s="1783"/>
      <c r="W150" s="1783"/>
      <c r="X150" s="1783"/>
      <c r="Y150" s="1783"/>
      <c r="Z150" s="1783"/>
      <c r="AA150" s="1783"/>
      <c r="AB150" s="1783"/>
      <c r="AC150" s="1783"/>
      <c r="AD150" s="1783"/>
      <c r="AE150" s="1783"/>
      <c r="AF150" s="1783"/>
      <c r="AG150" s="1783"/>
      <c r="AH150" s="1783"/>
      <c r="AI150" s="1783"/>
      <c r="AJ150" s="1783"/>
      <c r="AK150" s="1783"/>
      <c r="AL150" s="1783"/>
      <c r="AM150" s="1783"/>
      <c r="AN150" s="1783"/>
      <c r="AO150" s="1783"/>
      <c r="AP150" s="1783"/>
      <c r="AQ150" s="1783"/>
      <c r="AR150" s="1783"/>
      <c r="AS150" s="1783"/>
      <c r="AT150" s="1783"/>
      <c r="AU150" s="1783"/>
      <c r="AV150" s="1783"/>
      <c r="AW150" s="1783"/>
      <c r="AX150" s="1783"/>
      <c r="AY150" s="1783"/>
      <c r="AZ150" s="1783"/>
      <c r="BA150" s="1783"/>
      <c r="BB150" s="1783"/>
      <c r="BC150" s="1783"/>
      <c r="BD150" s="1783"/>
      <c r="BE150" s="1783"/>
      <c r="BF150" s="1783"/>
      <c r="BG150" s="1783"/>
      <c r="BH150" s="1783"/>
      <c r="BI150" s="1783"/>
    </row>
    <row r="151" spans="1:61">
      <c r="A151" s="1819"/>
      <c r="B151" s="1818"/>
      <c r="C151" s="1818"/>
      <c r="D151" s="1818"/>
      <c r="E151" s="1818"/>
      <c r="F151" s="1818"/>
      <c r="G151" s="1818"/>
      <c r="H151" s="1783"/>
      <c r="I151" s="1783"/>
      <c r="J151" s="1783"/>
      <c r="K151" s="1783"/>
      <c r="L151" s="1783"/>
      <c r="M151" s="1783"/>
      <c r="N151" s="1783"/>
      <c r="O151" s="1783"/>
      <c r="P151" s="1783"/>
      <c r="Q151" s="1783"/>
      <c r="R151" s="1783"/>
      <c r="S151" s="1783"/>
      <c r="T151" s="1783"/>
      <c r="U151" s="1783"/>
      <c r="V151" s="1783"/>
      <c r="W151" s="1783"/>
      <c r="X151" s="1783"/>
      <c r="Y151" s="1783"/>
      <c r="Z151" s="1783"/>
      <c r="AA151" s="1783"/>
      <c r="AB151" s="1783"/>
      <c r="AC151" s="1783"/>
      <c r="AD151" s="1783"/>
      <c r="AE151" s="1783"/>
      <c r="AF151" s="1783"/>
      <c r="AG151" s="1783"/>
      <c r="AH151" s="1783"/>
      <c r="AI151" s="1783"/>
      <c r="AJ151" s="1783"/>
      <c r="AK151" s="1783"/>
      <c r="AL151" s="1783"/>
      <c r="AM151" s="1783"/>
      <c r="AN151" s="1783"/>
      <c r="AO151" s="1783"/>
      <c r="AP151" s="1783"/>
      <c r="AQ151" s="1783"/>
      <c r="AR151" s="1783"/>
      <c r="AS151" s="1783"/>
      <c r="AT151" s="1783"/>
      <c r="AU151" s="1783"/>
      <c r="AV151" s="1783"/>
      <c r="AW151" s="1783"/>
      <c r="AX151" s="1783"/>
      <c r="AY151" s="1783"/>
      <c r="AZ151" s="1783"/>
      <c r="BA151" s="1783"/>
      <c r="BB151" s="1783"/>
      <c r="BC151" s="1783"/>
      <c r="BD151" s="1783"/>
      <c r="BE151" s="1783"/>
      <c r="BF151" s="1783"/>
      <c r="BG151" s="1783"/>
      <c r="BH151" s="1783"/>
      <c r="BI151" s="1783"/>
    </row>
    <row r="152" spans="1:61">
      <c r="A152" s="1819"/>
      <c r="B152" s="1818"/>
      <c r="C152" s="1818"/>
      <c r="D152" s="1818"/>
      <c r="E152" s="1818"/>
      <c r="F152" s="1818"/>
      <c r="G152" s="1818"/>
      <c r="H152" s="1783"/>
      <c r="I152" s="1783"/>
      <c r="J152" s="1783"/>
      <c r="K152" s="1783"/>
      <c r="L152" s="1783"/>
      <c r="M152" s="1783"/>
      <c r="N152" s="1783"/>
      <c r="O152" s="1783"/>
      <c r="P152" s="1783"/>
      <c r="Q152" s="1783"/>
      <c r="R152" s="1783"/>
      <c r="S152" s="1783"/>
      <c r="T152" s="1783"/>
      <c r="U152" s="1783"/>
      <c r="V152" s="1783"/>
      <c r="W152" s="1783"/>
      <c r="X152" s="1783"/>
      <c r="Y152" s="1783"/>
      <c r="Z152" s="1783"/>
      <c r="AA152" s="1783"/>
      <c r="AB152" s="1783"/>
      <c r="AC152" s="1783"/>
      <c r="AD152" s="1783"/>
      <c r="AE152" s="1783"/>
      <c r="AF152" s="1783"/>
      <c r="AG152" s="1783"/>
      <c r="AH152" s="1783"/>
      <c r="AI152" s="1783"/>
      <c r="AJ152" s="1783"/>
      <c r="AK152" s="1783"/>
      <c r="AL152" s="1783"/>
      <c r="AM152" s="1783"/>
      <c r="AN152" s="1783"/>
      <c r="AO152" s="1783"/>
      <c r="AP152" s="1783"/>
      <c r="AQ152" s="1783"/>
      <c r="AR152" s="1783"/>
      <c r="AS152" s="1783"/>
      <c r="AT152" s="1783"/>
      <c r="AU152" s="1783"/>
      <c r="AV152" s="1783"/>
      <c r="AW152" s="1783"/>
      <c r="AX152" s="1783"/>
      <c r="AY152" s="1783"/>
      <c r="AZ152" s="1783"/>
      <c r="BA152" s="1783"/>
      <c r="BB152" s="1783"/>
      <c r="BC152" s="1783"/>
      <c r="BD152" s="1783"/>
      <c r="BE152" s="1783"/>
      <c r="BF152" s="1783"/>
      <c r="BG152" s="1783"/>
      <c r="BH152" s="1783"/>
      <c r="BI152" s="1783"/>
    </row>
    <row r="153" spans="1:61">
      <c r="A153" s="1819"/>
      <c r="B153" s="1818"/>
      <c r="C153" s="1818"/>
      <c r="D153" s="1818"/>
      <c r="E153" s="1818"/>
      <c r="F153" s="1818"/>
      <c r="G153" s="1818"/>
      <c r="H153" s="1783"/>
      <c r="I153" s="1783"/>
      <c r="J153" s="1783"/>
      <c r="K153" s="1783"/>
      <c r="L153" s="1783"/>
      <c r="M153" s="1783"/>
      <c r="N153" s="1783"/>
      <c r="O153" s="1783"/>
      <c r="P153" s="1783"/>
      <c r="Q153" s="1783"/>
      <c r="R153" s="1783"/>
      <c r="S153" s="1783"/>
      <c r="T153" s="1783"/>
      <c r="U153" s="1783"/>
      <c r="V153" s="1783"/>
      <c r="W153" s="1783"/>
      <c r="X153" s="1783"/>
      <c r="Y153" s="1783"/>
      <c r="Z153" s="1783"/>
      <c r="AA153" s="1783"/>
      <c r="AB153" s="1783"/>
      <c r="AC153" s="1783"/>
      <c r="AD153" s="1783"/>
      <c r="AE153" s="1783"/>
      <c r="AF153" s="1783"/>
      <c r="AG153" s="1783"/>
      <c r="AH153" s="1783"/>
      <c r="AI153" s="1783"/>
      <c r="AJ153" s="1783"/>
      <c r="AK153" s="1783"/>
      <c r="AL153" s="1783"/>
      <c r="AM153" s="1783"/>
      <c r="AN153" s="1783"/>
      <c r="AO153" s="1783"/>
      <c r="AP153" s="1783"/>
      <c r="AQ153" s="1783"/>
      <c r="AR153" s="1783"/>
      <c r="AS153" s="1783"/>
      <c r="AT153" s="1783"/>
      <c r="AU153" s="1783"/>
      <c r="AV153" s="1783"/>
      <c r="AW153" s="1783"/>
      <c r="AX153" s="1783"/>
      <c r="AY153" s="1783"/>
      <c r="AZ153" s="1783"/>
      <c r="BA153" s="1783"/>
      <c r="BB153" s="1783"/>
      <c r="BC153" s="1783"/>
      <c r="BD153" s="1783"/>
      <c r="BE153" s="1783"/>
      <c r="BF153" s="1783"/>
      <c r="BG153" s="1783"/>
      <c r="BH153" s="1783"/>
      <c r="BI153" s="1783"/>
    </row>
    <row r="154" spans="1:61">
      <c r="A154" s="1819"/>
      <c r="B154" s="1818"/>
      <c r="C154" s="1818"/>
      <c r="D154" s="1818"/>
      <c r="E154" s="1818"/>
      <c r="F154" s="1818"/>
      <c r="G154" s="1818"/>
      <c r="H154" s="1783"/>
      <c r="I154" s="1783"/>
      <c r="J154" s="1783"/>
      <c r="K154" s="1783"/>
      <c r="L154" s="1783"/>
      <c r="M154" s="1783"/>
      <c r="N154" s="1783"/>
      <c r="O154" s="1783"/>
      <c r="P154" s="1783"/>
      <c r="Q154" s="1783"/>
      <c r="R154" s="1783"/>
      <c r="S154" s="1783"/>
      <c r="T154" s="1783"/>
      <c r="U154" s="1783"/>
      <c r="V154" s="1783"/>
      <c r="W154" s="1783"/>
      <c r="X154" s="1783"/>
      <c r="Y154" s="1783"/>
      <c r="Z154" s="1783"/>
      <c r="AA154" s="1783"/>
      <c r="AB154" s="1783"/>
      <c r="AC154" s="1783"/>
      <c r="AD154" s="1783"/>
      <c r="AE154" s="1783"/>
      <c r="AF154" s="1783"/>
      <c r="AG154" s="1783"/>
      <c r="AH154" s="1783"/>
      <c r="AI154" s="1783"/>
      <c r="AJ154" s="1783"/>
      <c r="AK154" s="1783"/>
      <c r="AL154" s="1783"/>
      <c r="AM154" s="1783"/>
      <c r="AN154" s="1783"/>
      <c r="AO154" s="1783"/>
      <c r="AP154" s="1783"/>
      <c r="AQ154" s="1783"/>
      <c r="AR154" s="1783"/>
      <c r="AS154" s="1783"/>
      <c r="AT154" s="1783"/>
      <c r="AU154" s="1783"/>
      <c r="AV154" s="1783"/>
      <c r="AW154" s="1783"/>
      <c r="AX154" s="1783"/>
      <c r="AY154" s="1783"/>
      <c r="AZ154" s="1783"/>
      <c r="BA154" s="1783"/>
      <c r="BB154" s="1783"/>
      <c r="BC154" s="1783"/>
      <c r="BD154" s="1783"/>
      <c r="BE154" s="1783"/>
      <c r="BF154" s="1783"/>
      <c r="BG154" s="1783"/>
      <c r="BH154" s="1783"/>
      <c r="BI154" s="1783"/>
    </row>
    <row r="155" spans="1:61">
      <c r="A155" s="1819"/>
      <c r="B155" s="1818"/>
      <c r="C155" s="1818"/>
      <c r="D155" s="1818"/>
      <c r="E155" s="1818"/>
      <c r="F155" s="1818"/>
      <c r="G155" s="1818"/>
      <c r="H155" s="1783"/>
      <c r="I155" s="1783"/>
      <c r="J155" s="1783"/>
      <c r="K155" s="1783"/>
      <c r="L155" s="1783"/>
      <c r="M155" s="1783"/>
      <c r="N155" s="1783"/>
      <c r="O155" s="1783"/>
      <c r="P155" s="1783"/>
      <c r="Q155" s="1783"/>
      <c r="R155" s="1783"/>
      <c r="S155" s="1783"/>
      <c r="T155" s="1783"/>
      <c r="U155" s="1783"/>
      <c r="V155" s="1783"/>
      <c r="W155" s="1783"/>
      <c r="X155" s="1783"/>
      <c r="Y155" s="1783"/>
      <c r="Z155" s="1783"/>
      <c r="AA155" s="1783"/>
      <c r="AB155" s="1783"/>
      <c r="AC155" s="1783"/>
      <c r="AD155" s="1783"/>
      <c r="AE155" s="1783"/>
      <c r="AF155" s="1783"/>
      <c r="AG155" s="1783"/>
      <c r="AH155" s="1783"/>
      <c r="AI155" s="1783"/>
      <c r="AJ155" s="1783"/>
      <c r="AK155" s="1783"/>
      <c r="AL155" s="1783"/>
      <c r="AM155" s="1783"/>
      <c r="AN155" s="1783"/>
      <c r="AO155" s="1783"/>
      <c r="AP155" s="1783"/>
      <c r="AQ155" s="1783"/>
      <c r="AR155" s="1783"/>
      <c r="AS155" s="1783"/>
      <c r="AT155" s="1783"/>
      <c r="AU155" s="1783"/>
      <c r="AV155" s="1783"/>
      <c r="AW155" s="1783"/>
      <c r="AX155" s="1783"/>
      <c r="AY155" s="1783"/>
      <c r="AZ155" s="1783"/>
      <c r="BA155" s="1783"/>
      <c r="BB155" s="1783"/>
      <c r="BC155" s="1783"/>
      <c r="BD155" s="1783"/>
      <c r="BE155" s="1783"/>
      <c r="BF155" s="1783"/>
      <c r="BG155" s="1783"/>
      <c r="BH155" s="1783"/>
      <c r="BI155" s="1783"/>
    </row>
    <row r="156" spans="1:61">
      <c r="A156" s="1819"/>
      <c r="B156" s="1818"/>
      <c r="C156" s="1818"/>
      <c r="D156" s="1818"/>
      <c r="E156" s="1818"/>
      <c r="F156" s="1818"/>
      <c r="G156" s="1818"/>
      <c r="H156" s="1783"/>
      <c r="I156" s="1783"/>
      <c r="J156" s="1783"/>
      <c r="K156" s="1783"/>
      <c r="L156" s="1783"/>
      <c r="M156" s="1783"/>
      <c r="N156" s="1783"/>
      <c r="O156" s="1783"/>
      <c r="P156" s="1783"/>
      <c r="Q156" s="1783"/>
      <c r="R156" s="1783"/>
      <c r="S156" s="1783"/>
      <c r="T156" s="1783"/>
      <c r="U156" s="1783"/>
      <c r="V156" s="1783"/>
      <c r="W156" s="1783"/>
      <c r="X156" s="1783"/>
      <c r="Y156" s="1783"/>
      <c r="Z156" s="1783"/>
      <c r="AA156" s="1783"/>
      <c r="AB156" s="1783"/>
      <c r="AC156" s="1783"/>
      <c r="AD156" s="1783"/>
      <c r="AE156" s="1783"/>
      <c r="AF156" s="1783"/>
      <c r="AG156" s="1783"/>
      <c r="AH156" s="1783"/>
      <c r="AI156" s="1783"/>
      <c r="AJ156" s="1783"/>
      <c r="AK156" s="1783"/>
      <c r="AL156" s="1783"/>
      <c r="AM156" s="1783"/>
      <c r="AN156" s="1783"/>
      <c r="AO156" s="1783"/>
      <c r="AP156" s="1783"/>
      <c r="AQ156" s="1783"/>
      <c r="AR156" s="1783"/>
      <c r="AS156" s="1783"/>
      <c r="AT156" s="1783"/>
      <c r="AU156" s="1783"/>
      <c r="AV156" s="1783"/>
      <c r="AW156" s="1783"/>
      <c r="AX156" s="1783"/>
      <c r="AY156" s="1783"/>
      <c r="AZ156" s="1783"/>
      <c r="BA156" s="1783"/>
      <c r="BB156" s="1783"/>
      <c r="BC156" s="1783"/>
      <c r="BD156" s="1783"/>
      <c r="BE156" s="1783"/>
      <c r="BF156" s="1783"/>
      <c r="BG156" s="1783"/>
      <c r="BH156" s="1783"/>
      <c r="BI156" s="1783"/>
    </row>
    <row r="157" spans="1:61">
      <c r="A157" s="1819"/>
      <c r="B157" s="1818"/>
      <c r="C157" s="1818"/>
      <c r="D157" s="1818"/>
      <c r="E157" s="1818"/>
      <c r="F157" s="1818"/>
      <c r="G157" s="1818"/>
      <c r="H157" s="1783"/>
      <c r="I157" s="1783"/>
      <c r="J157" s="1783"/>
      <c r="K157" s="1783"/>
      <c r="L157" s="1783"/>
      <c r="M157" s="1783"/>
      <c r="N157" s="1783"/>
      <c r="O157" s="1783"/>
      <c r="P157" s="1783"/>
      <c r="Q157" s="1783"/>
      <c r="R157" s="1783"/>
      <c r="S157" s="1783"/>
      <c r="T157" s="1783"/>
      <c r="U157" s="1783"/>
      <c r="V157" s="1783"/>
      <c r="W157" s="1783"/>
      <c r="X157" s="1783"/>
      <c r="Y157" s="1783"/>
      <c r="Z157" s="1783"/>
      <c r="AA157" s="1783"/>
      <c r="AB157" s="1783"/>
      <c r="AC157" s="1783"/>
      <c r="AD157" s="1783"/>
      <c r="AE157" s="1783"/>
      <c r="AF157" s="1783"/>
      <c r="AG157" s="1783"/>
      <c r="AH157" s="1783"/>
      <c r="AI157" s="1783"/>
      <c r="AJ157" s="1783"/>
      <c r="AK157" s="1783"/>
      <c r="AL157" s="1783"/>
      <c r="AM157" s="1783"/>
      <c r="AN157" s="1783"/>
      <c r="AO157" s="1783"/>
      <c r="AP157" s="1783"/>
      <c r="AQ157" s="1783"/>
      <c r="AR157" s="1783"/>
      <c r="AS157" s="1783"/>
      <c r="AT157" s="1783"/>
      <c r="AU157" s="1783"/>
      <c r="AV157" s="1783"/>
      <c r="AW157" s="1783"/>
      <c r="AX157" s="1783"/>
      <c r="AY157" s="1783"/>
      <c r="AZ157" s="1783"/>
      <c r="BA157" s="1783"/>
      <c r="BB157" s="1783"/>
      <c r="BC157" s="1783"/>
      <c r="BD157" s="1783"/>
      <c r="BE157" s="1783"/>
      <c r="BF157" s="1783"/>
      <c r="BG157" s="1783"/>
      <c r="BH157" s="1783"/>
      <c r="BI157" s="1783"/>
    </row>
    <row r="158" spans="1:61">
      <c r="A158" s="1819"/>
      <c r="B158" s="1818"/>
      <c r="C158" s="1818"/>
      <c r="D158" s="1818"/>
      <c r="E158" s="1818"/>
      <c r="F158" s="1818"/>
      <c r="G158" s="1818"/>
      <c r="H158" s="1783"/>
      <c r="I158" s="1783"/>
      <c r="J158" s="1783"/>
      <c r="K158" s="1783"/>
      <c r="L158" s="1783"/>
      <c r="M158" s="1783"/>
      <c r="N158" s="1783"/>
      <c r="O158" s="1783"/>
      <c r="P158" s="1783"/>
      <c r="Q158" s="1783"/>
      <c r="R158" s="1783"/>
      <c r="S158" s="1783"/>
      <c r="T158" s="1783"/>
      <c r="U158" s="1783"/>
      <c r="V158" s="1783"/>
      <c r="W158" s="1783"/>
      <c r="X158" s="1783"/>
      <c r="Y158" s="1783"/>
      <c r="Z158" s="1783"/>
      <c r="AA158" s="1783"/>
      <c r="AB158" s="1783"/>
      <c r="AC158" s="1783"/>
      <c r="AD158" s="1783"/>
      <c r="AE158" s="1783"/>
      <c r="AF158" s="1783"/>
      <c r="AG158" s="1783"/>
      <c r="AH158" s="1783"/>
      <c r="AI158" s="1783"/>
      <c r="AJ158" s="1783"/>
      <c r="AK158" s="1783"/>
      <c r="AL158" s="1783"/>
      <c r="AM158" s="1783"/>
      <c r="AN158" s="1783"/>
      <c r="AO158" s="1783"/>
      <c r="AP158" s="1783"/>
      <c r="AQ158" s="1783"/>
      <c r="AR158" s="1783"/>
      <c r="AS158" s="1783"/>
      <c r="AT158" s="1783"/>
      <c r="AU158" s="1783"/>
      <c r="AV158" s="1783"/>
      <c r="AW158" s="1783"/>
      <c r="AX158" s="1783"/>
      <c r="AY158" s="1783"/>
      <c r="AZ158" s="1783"/>
      <c r="BA158" s="1783"/>
      <c r="BB158" s="1783"/>
      <c r="BC158" s="1783"/>
      <c r="BD158" s="1783"/>
      <c r="BE158" s="1783"/>
      <c r="BF158" s="1783"/>
      <c r="BG158" s="1783"/>
      <c r="BH158" s="1783"/>
      <c r="BI158" s="1783"/>
    </row>
    <row r="159" spans="1:61">
      <c r="A159" s="1819"/>
      <c r="B159" s="1818"/>
      <c r="C159" s="1818"/>
      <c r="D159" s="1818"/>
      <c r="E159" s="1818"/>
      <c r="F159" s="1818"/>
      <c r="G159" s="1818"/>
      <c r="H159" s="1783"/>
      <c r="I159" s="1783"/>
      <c r="J159" s="1783"/>
      <c r="K159" s="1783"/>
      <c r="L159" s="1783"/>
      <c r="M159" s="1783"/>
      <c r="N159" s="1783"/>
      <c r="O159" s="1783"/>
      <c r="P159" s="1783"/>
      <c r="Q159" s="1783"/>
      <c r="R159" s="1783"/>
      <c r="S159" s="1783"/>
      <c r="T159" s="1783"/>
      <c r="U159" s="1783"/>
      <c r="V159" s="1783"/>
      <c r="W159" s="1783"/>
      <c r="X159" s="1783"/>
      <c r="Y159" s="1783"/>
      <c r="Z159" s="1783"/>
      <c r="AA159" s="1783"/>
      <c r="AB159" s="1783"/>
      <c r="AC159" s="1783"/>
      <c r="AD159" s="1783"/>
      <c r="AE159" s="1783"/>
      <c r="AF159" s="1783"/>
      <c r="AG159" s="1783"/>
      <c r="AH159" s="1783"/>
      <c r="AI159" s="1783"/>
      <c r="AJ159" s="1783"/>
      <c r="AK159" s="1783"/>
      <c r="AL159" s="1783"/>
      <c r="AM159" s="1783"/>
      <c r="AN159" s="1783"/>
      <c r="AO159" s="1783"/>
      <c r="AP159" s="1783"/>
      <c r="AQ159" s="1783"/>
      <c r="AR159" s="1783"/>
      <c r="AS159" s="1783"/>
      <c r="AT159" s="1783"/>
      <c r="AU159" s="1783"/>
      <c r="AV159" s="1783"/>
      <c r="AW159" s="1783"/>
      <c r="AX159" s="1783"/>
      <c r="AY159" s="1783"/>
      <c r="AZ159" s="1783"/>
      <c r="BA159" s="1783"/>
      <c r="BB159" s="1783"/>
      <c r="BC159" s="1783"/>
      <c r="BD159" s="1783"/>
      <c r="BE159" s="1783"/>
      <c r="BF159" s="1783"/>
      <c r="BG159" s="1783"/>
      <c r="BH159" s="1783"/>
      <c r="BI159" s="1783"/>
    </row>
    <row r="160" spans="1:61">
      <c r="A160" s="1819"/>
      <c r="B160" s="1818"/>
      <c r="C160" s="1818"/>
      <c r="D160" s="1818"/>
      <c r="E160" s="1818"/>
      <c r="F160" s="1818"/>
      <c r="G160" s="1818"/>
      <c r="H160" s="1783"/>
      <c r="I160" s="1783"/>
      <c r="J160" s="1783"/>
      <c r="K160" s="1783"/>
      <c r="L160" s="1783"/>
      <c r="M160" s="1783"/>
      <c r="N160" s="1783"/>
      <c r="O160" s="1783"/>
      <c r="P160" s="1783"/>
      <c r="Q160" s="1783"/>
      <c r="R160" s="1783"/>
      <c r="S160" s="1783"/>
      <c r="T160" s="1783"/>
      <c r="U160" s="1783"/>
      <c r="V160" s="1783"/>
      <c r="W160" s="1783"/>
      <c r="X160" s="1783"/>
      <c r="Y160" s="1783"/>
      <c r="Z160" s="1783"/>
      <c r="AA160" s="1783"/>
      <c r="AB160" s="1783"/>
      <c r="AC160" s="1783"/>
      <c r="AD160" s="1783"/>
      <c r="AE160" s="1783"/>
      <c r="AF160" s="1783"/>
      <c r="AG160" s="1783"/>
      <c r="AH160" s="1783"/>
      <c r="AI160" s="1783"/>
      <c r="AJ160" s="1783"/>
      <c r="AK160" s="1783"/>
      <c r="AL160" s="1783"/>
      <c r="AM160" s="1783"/>
      <c r="AN160" s="1783"/>
      <c r="AO160" s="1783"/>
      <c r="AP160" s="1783"/>
      <c r="AQ160" s="1783"/>
      <c r="AR160" s="1783"/>
      <c r="AS160" s="1783"/>
      <c r="AT160" s="1783"/>
      <c r="AU160" s="1783"/>
      <c r="AV160" s="1783"/>
      <c r="AW160" s="1783"/>
      <c r="AX160" s="1783"/>
      <c r="AY160" s="1783"/>
      <c r="AZ160" s="1783"/>
      <c r="BA160" s="1783"/>
      <c r="BB160" s="1783"/>
      <c r="BC160" s="1783"/>
      <c r="BD160" s="1783"/>
      <c r="BE160" s="1783"/>
      <c r="BF160" s="1783"/>
      <c r="BG160" s="1783"/>
      <c r="BH160" s="1783"/>
      <c r="BI160" s="1783"/>
    </row>
    <row r="161" spans="1:61">
      <c r="A161" s="1819"/>
      <c r="B161" s="1818"/>
      <c r="C161" s="1818"/>
      <c r="D161" s="1818"/>
      <c r="E161" s="1818"/>
      <c r="F161" s="1818"/>
      <c r="G161" s="1818"/>
      <c r="H161" s="1783"/>
      <c r="I161" s="1783"/>
      <c r="J161" s="1783"/>
      <c r="K161" s="1783"/>
      <c r="L161" s="1783"/>
      <c r="M161" s="1783"/>
      <c r="N161" s="1783"/>
      <c r="O161" s="1783"/>
      <c r="P161" s="1783"/>
      <c r="Q161" s="1783"/>
      <c r="R161" s="1783"/>
      <c r="S161" s="1783"/>
      <c r="T161" s="1783"/>
      <c r="U161" s="1783"/>
      <c r="V161" s="1783"/>
      <c r="W161" s="1783"/>
      <c r="X161" s="1783"/>
      <c r="Y161" s="1783"/>
      <c r="Z161" s="1783"/>
      <c r="AA161" s="1783"/>
      <c r="AB161" s="1783"/>
      <c r="AC161" s="1783"/>
      <c r="AD161" s="1783"/>
      <c r="AE161" s="1783"/>
      <c r="AF161" s="1783"/>
      <c r="AG161" s="1783"/>
      <c r="AH161" s="1783"/>
      <c r="AI161" s="1783"/>
      <c r="AJ161" s="1783"/>
      <c r="AK161" s="1783"/>
      <c r="AL161" s="1783"/>
      <c r="AM161" s="1783"/>
      <c r="AN161" s="1783"/>
      <c r="AO161" s="1783"/>
      <c r="AP161" s="1783"/>
      <c r="AQ161" s="1783"/>
      <c r="AR161" s="1783"/>
      <c r="AS161" s="1783"/>
      <c r="AT161" s="1783"/>
      <c r="AU161" s="1783"/>
      <c r="AV161" s="1783"/>
      <c r="AW161" s="1783"/>
      <c r="AX161" s="1783"/>
      <c r="AY161" s="1783"/>
      <c r="AZ161" s="1783"/>
      <c r="BA161" s="1783"/>
      <c r="BB161" s="1783"/>
      <c r="BC161" s="1783"/>
      <c r="BD161" s="1783"/>
      <c r="BE161" s="1783"/>
      <c r="BF161" s="1783"/>
      <c r="BG161" s="1783"/>
      <c r="BH161" s="1783"/>
      <c r="BI161" s="1783"/>
    </row>
    <row r="162" spans="1:61">
      <c r="A162" s="1819"/>
      <c r="B162" s="1818"/>
      <c r="C162" s="1818"/>
      <c r="D162" s="1818"/>
      <c r="E162" s="1818"/>
      <c r="F162" s="1818"/>
      <c r="G162" s="1818"/>
      <c r="H162" s="1783"/>
      <c r="I162" s="1783"/>
      <c r="J162" s="1783"/>
      <c r="K162" s="1783"/>
      <c r="L162" s="1783"/>
      <c r="M162" s="1783"/>
      <c r="N162" s="1783"/>
      <c r="O162" s="1783"/>
      <c r="P162" s="1783"/>
      <c r="Q162" s="1783"/>
      <c r="R162" s="1783"/>
      <c r="S162" s="1783"/>
      <c r="T162" s="1783"/>
      <c r="U162" s="1783"/>
      <c r="V162" s="1783"/>
      <c r="W162" s="1783"/>
      <c r="X162" s="1783"/>
      <c r="Y162" s="1783"/>
      <c r="Z162" s="1783"/>
      <c r="AA162" s="1783"/>
      <c r="AB162" s="1783"/>
      <c r="AC162" s="1783"/>
      <c r="AD162" s="1783"/>
      <c r="AE162" s="1783"/>
      <c r="AF162" s="1783"/>
      <c r="AG162" s="1783"/>
      <c r="AH162" s="1783"/>
      <c r="AI162" s="1783"/>
      <c r="AJ162" s="1783"/>
      <c r="AK162" s="1783"/>
      <c r="AL162" s="1783"/>
      <c r="AM162" s="1783"/>
      <c r="AN162" s="1783"/>
      <c r="AO162" s="1783"/>
      <c r="AP162" s="1783"/>
      <c r="AQ162" s="1783"/>
      <c r="AR162" s="1783"/>
      <c r="AS162" s="1783"/>
      <c r="AT162" s="1783"/>
      <c r="AU162" s="1783"/>
      <c r="AV162" s="1783"/>
      <c r="AW162" s="1783"/>
      <c r="AX162" s="1783"/>
      <c r="AY162" s="1783"/>
      <c r="AZ162" s="1783"/>
      <c r="BA162" s="1783"/>
      <c r="BB162" s="1783"/>
      <c r="BC162" s="1783"/>
      <c r="BD162" s="1783"/>
      <c r="BE162" s="1783"/>
      <c r="BF162" s="1783"/>
      <c r="BG162" s="1783"/>
      <c r="BH162" s="1783"/>
      <c r="BI162" s="1783"/>
    </row>
    <row r="163" spans="1:61">
      <c r="A163" s="1819"/>
      <c r="B163" s="1818"/>
      <c r="C163" s="1818"/>
      <c r="D163" s="1818"/>
      <c r="E163" s="1818"/>
      <c r="F163" s="1818"/>
      <c r="G163" s="1818"/>
      <c r="H163" s="1783"/>
      <c r="I163" s="1783"/>
      <c r="J163" s="1783"/>
      <c r="K163" s="1783"/>
      <c r="L163" s="1783"/>
      <c r="M163" s="1783"/>
      <c r="N163" s="1783"/>
      <c r="O163" s="1783"/>
      <c r="P163" s="1783"/>
      <c r="Q163" s="1783"/>
      <c r="R163" s="1783"/>
      <c r="S163" s="1783"/>
      <c r="T163" s="1783"/>
      <c r="U163" s="1783"/>
      <c r="V163" s="1783"/>
      <c r="W163" s="1783"/>
      <c r="X163" s="1783"/>
      <c r="Y163" s="1783"/>
      <c r="Z163" s="1783"/>
      <c r="AA163" s="1783"/>
      <c r="AB163" s="1783"/>
      <c r="AC163" s="1783"/>
      <c r="AD163" s="1783"/>
      <c r="AE163" s="1783"/>
      <c r="AF163" s="1783"/>
      <c r="AG163" s="1783"/>
      <c r="AH163" s="1783"/>
      <c r="AI163" s="1783"/>
      <c r="AJ163" s="1783"/>
      <c r="AK163" s="1783"/>
      <c r="AL163" s="1783"/>
      <c r="AM163" s="1783"/>
      <c r="AN163" s="1783"/>
      <c r="AO163" s="1783"/>
      <c r="AP163" s="1783"/>
      <c r="AQ163" s="1783"/>
      <c r="AR163" s="1783"/>
      <c r="AS163" s="1783"/>
      <c r="AT163" s="1783"/>
      <c r="AU163" s="1783"/>
      <c r="AV163" s="1783"/>
      <c r="AW163" s="1783"/>
      <c r="AX163" s="1783"/>
      <c r="AY163" s="1783"/>
      <c r="AZ163" s="1783"/>
      <c r="BA163" s="1783"/>
      <c r="BB163" s="1783"/>
      <c r="BC163" s="1783"/>
      <c r="BD163" s="1783"/>
      <c r="BE163" s="1783"/>
      <c r="BF163" s="1783"/>
      <c r="BG163" s="1783"/>
      <c r="BH163" s="1783"/>
      <c r="BI163" s="1783"/>
    </row>
    <row r="164" spans="1:61">
      <c r="A164" s="1819"/>
      <c r="B164" s="1818"/>
      <c r="C164" s="1818"/>
      <c r="D164" s="1818"/>
      <c r="E164" s="1818"/>
      <c r="F164" s="1818"/>
      <c r="G164" s="1818"/>
      <c r="H164" s="1783"/>
      <c r="I164" s="1783"/>
      <c r="J164" s="1783"/>
      <c r="K164" s="1783"/>
      <c r="L164" s="1783"/>
      <c r="M164" s="1783"/>
      <c r="N164" s="1783"/>
      <c r="O164" s="1783"/>
      <c r="P164" s="1783"/>
      <c r="Q164" s="1783"/>
      <c r="R164" s="1783"/>
      <c r="S164" s="1783"/>
      <c r="T164" s="1783"/>
      <c r="U164" s="1783"/>
      <c r="V164" s="1783"/>
      <c r="W164" s="1783"/>
      <c r="X164" s="1783"/>
      <c r="Y164" s="1783"/>
      <c r="Z164" s="1783"/>
      <c r="AA164" s="1783"/>
      <c r="AB164" s="1783"/>
      <c r="AC164" s="1783"/>
      <c r="AD164" s="1783"/>
      <c r="AE164" s="1783"/>
      <c r="AF164" s="1783"/>
      <c r="AG164" s="1783"/>
      <c r="AH164" s="1783"/>
      <c r="AI164" s="1783"/>
      <c r="AJ164" s="1783"/>
      <c r="AK164" s="1783"/>
      <c r="AL164" s="1783"/>
      <c r="AM164" s="1783"/>
      <c r="AN164" s="1783"/>
      <c r="AO164" s="1783"/>
      <c r="AP164" s="1783"/>
      <c r="AQ164" s="1783"/>
      <c r="AR164" s="1783"/>
      <c r="AS164" s="1783"/>
      <c r="AT164" s="1783"/>
      <c r="AU164" s="1783"/>
      <c r="AV164" s="1783"/>
      <c r="AW164" s="1783"/>
      <c r="AX164" s="1783"/>
      <c r="AY164" s="1783"/>
      <c r="AZ164" s="1783"/>
      <c r="BA164" s="1783"/>
      <c r="BB164" s="1783"/>
      <c r="BC164" s="1783"/>
      <c r="BD164" s="1783"/>
      <c r="BE164" s="1783"/>
      <c r="BF164" s="1783"/>
      <c r="BG164" s="1783"/>
      <c r="BH164" s="1783"/>
      <c r="BI164" s="1783"/>
    </row>
    <row r="165" spans="1:61">
      <c r="A165" s="1819"/>
      <c r="B165" s="1818"/>
      <c r="C165" s="1818"/>
      <c r="D165" s="1818"/>
      <c r="E165" s="1818"/>
      <c r="F165" s="1818"/>
      <c r="G165" s="1818"/>
      <c r="H165" s="1783"/>
      <c r="I165" s="1783"/>
      <c r="J165" s="1783"/>
      <c r="K165" s="1783"/>
      <c r="L165" s="1783"/>
      <c r="M165" s="1783"/>
      <c r="N165" s="1783"/>
      <c r="O165" s="1783"/>
      <c r="P165" s="1783"/>
      <c r="Q165" s="1783"/>
      <c r="R165" s="1783"/>
      <c r="S165" s="1783"/>
      <c r="T165" s="1783"/>
      <c r="U165" s="1783"/>
      <c r="V165" s="1783"/>
      <c r="W165" s="1783"/>
      <c r="X165" s="1783"/>
      <c r="Y165" s="1783"/>
      <c r="Z165" s="1783"/>
      <c r="AA165" s="1783"/>
      <c r="AB165" s="1783"/>
      <c r="AC165" s="1783"/>
      <c r="AD165" s="1783"/>
      <c r="AE165" s="1783"/>
      <c r="AF165" s="1783"/>
      <c r="AG165" s="1783"/>
      <c r="AH165" s="1783"/>
      <c r="AI165" s="1783"/>
      <c r="AJ165" s="1783"/>
      <c r="AK165" s="1783"/>
      <c r="AL165" s="1783"/>
      <c r="AM165" s="1783"/>
      <c r="AN165" s="1783"/>
      <c r="AO165" s="1783"/>
      <c r="AP165" s="1783"/>
      <c r="AQ165" s="1783"/>
      <c r="AR165" s="1783"/>
      <c r="AS165" s="1783"/>
      <c r="AT165" s="1783"/>
      <c r="AU165" s="1783"/>
      <c r="AV165" s="1783"/>
      <c r="AW165" s="1783"/>
      <c r="AX165" s="1783"/>
      <c r="AY165" s="1783"/>
      <c r="AZ165" s="1783"/>
      <c r="BA165" s="1783"/>
      <c r="BB165" s="1783"/>
      <c r="BC165" s="1783"/>
      <c r="BD165" s="1783"/>
      <c r="BE165" s="1783"/>
      <c r="BF165" s="1783"/>
      <c r="BG165" s="1783"/>
      <c r="BH165" s="1783"/>
      <c r="BI165" s="1783"/>
    </row>
    <row r="166" spans="1:61">
      <c r="A166" s="1819"/>
      <c r="B166" s="1818"/>
      <c r="C166" s="1818"/>
      <c r="D166" s="1818"/>
      <c r="E166" s="1818"/>
      <c r="F166" s="1818"/>
      <c r="G166" s="1818"/>
      <c r="H166" s="1783"/>
      <c r="I166" s="1783"/>
      <c r="J166" s="1783"/>
      <c r="K166" s="1783"/>
      <c r="L166" s="1783"/>
      <c r="M166" s="1783"/>
      <c r="N166" s="1783"/>
      <c r="O166" s="1783"/>
      <c r="P166" s="1783"/>
      <c r="Q166" s="1783"/>
      <c r="R166" s="1783"/>
      <c r="S166" s="1783"/>
      <c r="T166" s="1783"/>
      <c r="U166" s="1783"/>
      <c r="V166" s="1783"/>
      <c r="W166" s="1783"/>
      <c r="X166" s="1783"/>
      <c r="Y166" s="1783"/>
      <c r="Z166" s="1783"/>
      <c r="AA166" s="1783"/>
      <c r="AB166" s="1783"/>
      <c r="AC166" s="1783"/>
      <c r="AD166" s="1783"/>
      <c r="AE166" s="1783"/>
      <c r="AF166" s="1783"/>
      <c r="AG166" s="1783"/>
      <c r="AH166" s="1783"/>
      <c r="AI166" s="1783"/>
      <c r="AJ166" s="1783"/>
      <c r="AK166" s="1783"/>
      <c r="AL166" s="1783"/>
      <c r="AM166" s="1783"/>
      <c r="AN166" s="1783"/>
      <c r="AO166" s="1783"/>
      <c r="AP166" s="1783"/>
      <c r="AQ166" s="1783"/>
      <c r="AR166" s="1783"/>
      <c r="AS166" s="1783"/>
      <c r="AT166" s="1783"/>
      <c r="AU166" s="1783"/>
      <c r="AV166" s="1783"/>
      <c r="AW166" s="1783"/>
      <c r="AX166" s="1783"/>
      <c r="AY166" s="1783"/>
      <c r="AZ166" s="1783"/>
      <c r="BA166" s="1783"/>
      <c r="BB166" s="1783"/>
      <c r="BC166" s="1783"/>
      <c r="BD166" s="1783"/>
      <c r="BE166" s="1783"/>
      <c r="BF166" s="1783"/>
      <c r="BG166" s="1783"/>
      <c r="BH166" s="1783"/>
      <c r="BI166" s="1783"/>
    </row>
    <row r="167" spans="1:61">
      <c r="A167" s="1819"/>
      <c r="B167" s="1818"/>
      <c r="C167" s="1818"/>
      <c r="D167" s="1818"/>
      <c r="E167" s="1818"/>
      <c r="F167" s="1818"/>
      <c r="G167" s="1818"/>
      <c r="H167" s="1783"/>
      <c r="I167" s="1783"/>
      <c r="J167" s="1783"/>
      <c r="K167" s="1783"/>
      <c r="L167" s="1783"/>
      <c r="M167" s="1783"/>
      <c r="N167" s="1783"/>
      <c r="O167" s="1783"/>
      <c r="P167" s="1783"/>
      <c r="Q167" s="1783"/>
      <c r="R167" s="1783"/>
      <c r="S167" s="1783"/>
      <c r="T167" s="1783"/>
      <c r="U167" s="1783"/>
      <c r="V167" s="1783"/>
      <c r="W167" s="1783"/>
      <c r="X167" s="1783"/>
      <c r="Y167" s="1783"/>
      <c r="Z167" s="1783"/>
      <c r="AA167" s="1783"/>
      <c r="AB167" s="1783"/>
      <c r="AC167" s="1783"/>
      <c r="AD167" s="1783"/>
      <c r="AE167" s="1783"/>
      <c r="AF167" s="1783"/>
      <c r="AG167" s="1783"/>
      <c r="AH167" s="1783"/>
      <c r="AI167" s="1783"/>
      <c r="AJ167" s="1783"/>
      <c r="AK167" s="1783"/>
      <c r="AL167" s="1783"/>
      <c r="AM167" s="1783"/>
      <c r="AN167" s="1783"/>
      <c r="AO167" s="1783"/>
      <c r="AP167" s="1783"/>
      <c r="AQ167" s="1783"/>
      <c r="AR167" s="1783"/>
      <c r="AS167" s="1783"/>
      <c r="AT167" s="1783"/>
      <c r="AU167" s="1783"/>
      <c r="AV167" s="1783"/>
      <c r="AW167" s="1783"/>
      <c r="AX167" s="1783"/>
      <c r="AY167" s="1783"/>
      <c r="AZ167" s="1783"/>
      <c r="BA167" s="1783"/>
      <c r="BB167" s="1783"/>
      <c r="BC167" s="1783"/>
      <c r="BD167" s="1783"/>
      <c r="BE167" s="1783"/>
      <c r="BF167" s="1783"/>
      <c r="BG167" s="1783"/>
      <c r="BH167" s="1783"/>
      <c r="BI167" s="1783"/>
    </row>
    <row r="168" spans="1:61">
      <c r="A168" s="1819"/>
      <c r="B168" s="1818"/>
      <c r="C168" s="1818"/>
      <c r="D168" s="1818"/>
      <c r="E168" s="1818"/>
      <c r="F168" s="1818"/>
      <c r="G168" s="1818"/>
      <c r="H168" s="1783"/>
      <c r="I168" s="1783"/>
      <c r="J168" s="1783"/>
      <c r="K168" s="1783"/>
      <c r="L168" s="1783"/>
      <c r="M168" s="1783"/>
      <c r="N168" s="1783"/>
      <c r="O168" s="1783"/>
      <c r="P168" s="1783"/>
      <c r="Q168" s="1783"/>
      <c r="R168" s="1783"/>
      <c r="S168" s="1783"/>
      <c r="T168" s="1783"/>
      <c r="U168" s="1783"/>
      <c r="V168" s="1783"/>
      <c r="W168" s="1783"/>
      <c r="X168" s="1783"/>
      <c r="Y168" s="1783"/>
      <c r="Z168" s="1783"/>
      <c r="AA168" s="1783"/>
      <c r="AB168" s="1783"/>
      <c r="AC168" s="1783"/>
      <c r="AD168" s="1783"/>
      <c r="AE168" s="1783"/>
      <c r="AF168" s="1783"/>
      <c r="AG168" s="1783"/>
      <c r="AH168" s="1783"/>
      <c r="AI168" s="1783"/>
      <c r="AJ168" s="1783"/>
      <c r="AK168" s="1783"/>
      <c r="AL168" s="1783"/>
      <c r="AM168" s="1783"/>
      <c r="AN168" s="1783"/>
      <c r="AO168" s="1783"/>
      <c r="AP168" s="1783"/>
      <c r="AQ168" s="1783"/>
      <c r="AR168" s="1783"/>
      <c r="AS168" s="1783"/>
      <c r="AT168" s="1783"/>
      <c r="AU168" s="1783"/>
      <c r="AV168" s="1783"/>
      <c r="AW168" s="1783"/>
      <c r="AX168" s="1783"/>
      <c r="AY168" s="1783"/>
      <c r="AZ168" s="1783"/>
      <c r="BA168" s="1783"/>
      <c r="BB168" s="1783"/>
      <c r="BC168" s="1783"/>
      <c r="BD168" s="1783"/>
      <c r="BE168" s="1783"/>
      <c r="BF168" s="1783"/>
      <c r="BG168" s="1783"/>
      <c r="BH168" s="1783"/>
      <c r="BI168" s="1783"/>
    </row>
    <row r="169" spans="1:61">
      <c r="A169" s="1819"/>
      <c r="B169" s="1818"/>
      <c r="C169" s="1818"/>
      <c r="D169" s="1818"/>
      <c r="E169" s="1818"/>
      <c r="F169" s="1818"/>
      <c r="G169" s="1818"/>
      <c r="H169" s="1783"/>
      <c r="I169" s="1783"/>
      <c r="J169" s="1783"/>
      <c r="K169" s="1783"/>
      <c r="L169" s="1783"/>
      <c r="M169" s="1783"/>
      <c r="N169" s="1783"/>
      <c r="O169" s="1783"/>
      <c r="P169" s="1783"/>
      <c r="Q169" s="1783"/>
      <c r="R169" s="1783"/>
      <c r="S169" s="1783"/>
      <c r="T169" s="1783"/>
      <c r="U169" s="1783"/>
      <c r="V169" s="1783"/>
      <c r="W169" s="1783"/>
      <c r="X169" s="1783"/>
      <c r="Y169" s="1783"/>
      <c r="Z169" s="1783"/>
      <c r="AA169" s="1783"/>
      <c r="AB169" s="1783"/>
      <c r="AC169" s="1783"/>
      <c r="AD169" s="1783"/>
      <c r="AE169" s="1783"/>
      <c r="AF169" s="1783"/>
      <c r="AG169" s="1783"/>
      <c r="AH169" s="1783"/>
      <c r="AI169" s="1783"/>
      <c r="AJ169" s="1783"/>
      <c r="AK169" s="1783"/>
      <c r="AL169" s="1783"/>
      <c r="AM169" s="1783"/>
      <c r="AN169" s="1783"/>
      <c r="AO169" s="1783"/>
      <c r="AP169" s="1783"/>
      <c r="AQ169" s="1783"/>
      <c r="AR169" s="1783"/>
      <c r="AS169" s="1783"/>
      <c r="AT169" s="1783"/>
      <c r="AU169" s="1783"/>
      <c r="AV169" s="1783"/>
      <c r="AW169" s="1783"/>
      <c r="AX169" s="1783"/>
      <c r="AY169" s="1783"/>
      <c r="AZ169" s="1783"/>
      <c r="BA169" s="1783"/>
      <c r="BB169" s="1783"/>
      <c r="BC169" s="1783"/>
      <c r="BD169" s="1783"/>
      <c r="BE169" s="1783"/>
      <c r="BF169" s="1783"/>
      <c r="BG169" s="1783"/>
      <c r="BH169" s="1783"/>
      <c r="BI169" s="1783"/>
    </row>
    <row r="170" spans="1:61">
      <c r="A170" s="1819"/>
      <c r="B170" s="1818"/>
      <c r="C170" s="1818"/>
      <c r="D170" s="1818"/>
      <c r="E170" s="1818"/>
      <c r="F170" s="1818"/>
      <c r="G170" s="1818"/>
      <c r="H170" s="1783"/>
      <c r="I170" s="1783"/>
      <c r="J170" s="1783"/>
      <c r="K170" s="1783"/>
      <c r="L170" s="1783"/>
      <c r="M170" s="1783"/>
      <c r="N170" s="1783"/>
      <c r="O170" s="1783"/>
      <c r="P170" s="1783"/>
      <c r="Q170" s="1783"/>
      <c r="R170" s="1783"/>
      <c r="S170" s="1783"/>
      <c r="T170" s="1783"/>
      <c r="U170" s="1783"/>
      <c r="V170" s="1783"/>
      <c r="W170" s="1783"/>
      <c r="X170" s="1783"/>
      <c r="Y170" s="1783"/>
      <c r="Z170" s="1783"/>
      <c r="AA170" s="1783"/>
      <c r="AB170" s="1783"/>
      <c r="AC170" s="1783"/>
      <c r="AD170" s="1783"/>
      <c r="AE170" s="1783"/>
      <c r="AF170" s="1783"/>
      <c r="AG170" s="1783"/>
      <c r="AH170" s="1783"/>
      <c r="AI170" s="1783"/>
      <c r="AJ170" s="1783"/>
      <c r="AK170" s="1783"/>
      <c r="AL170" s="1783"/>
      <c r="AM170" s="1783"/>
      <c r="AN170" s="1783"/>
      <c r="AO170" s="1783"/>
      <c r="AP170" s="1783"/>
      <c r="AQ170" s="1783"/>
      <c r="AR170" s="1783"/>
      <c r="AS170" s="1783"/>
      <c r="AT170" s="1783"/>
      <c r="AU170" s="1783"/>
      <c r="AV170" s="1783"/>
      <c r="AW170" s="1783"/>
      <c r="AX170" s="1783"/>
      <c r="AY170" s="1783"/>
      <c r="AZ170" s="1783"/>
      <c r="BA170" s="1783"/>
      <c r="BB170" s="1783"/>
      <c r="BC170" s="1783"/>
      <c r="BD170" s="1783"/>
      <c r="BE170" s="1783"/>
      <c r="BF170" s="1783"/>
      <c r="BG170" s="1783"/>
      <c r="BH170" s="1783"/>
      <c r="BI170" s="1783"/>
    </row>
    <row r="171" spans="1:61">
      <c r="A171" s="1819"/>
      <c r="B171" s="1818"/>
      <c r="C171" s="1818"/>
      <c r="D171" s="1818"/>
      <c r="E171" s="1818"/>
      <c r="F171" s="1818"/>
      <c r="G171" s="1818"/>
      <c r="H171" s="1783"/>
      <c r="I171" s="1783"/>
      <c r="J171" s="1783"/>
      <c r="K171" s="1783"/>
      <c r="L171" s="1783"/>
      <c r="M171" s="1783"/>
      <c r="N171" s="1783"/>
      <c r="O171" s="1783"/>
      <c r="P171" s="1783"/>
      <c r="Q171" s="1783"/>
      <c r="R171" s="1783"/>
      <c r="S171" s="1783"/>
      <c r="T171" s="1783"/>
      <c r="U171" s="1783"/>
      <c r="V171" s="1783"/>
      <c r="W171" s="1783"/>
      <c r="X171" s="1783"/>
      <c r="Y171" s="1783"/>
      <c r="Z171" s="1783"/>
      <c r="AA171" s="1783"/>
      <c r="AB171" s="1783"/>
      <c r="AC171" s="1783"/>
      <c r="AD171" s="1783"/>
      <c r="AE171" s="1783"/>
      <c r="AF171" s="1783"/>
      <c r="AG171" s="1783"/>
      <c r="AH171" s="1783"/>
      <c r="AI171" s="1783"/>
      <c r="AJ171" s="1783"/>
      <c r="AK171" s="1783"/>
      <c r="AL171" s="1783"/>
      <c r="AM171" s="1783"/>
      <c r="AN171" s="1783"/>
      <c r="AO171" s="1783"/>
      <c r="AP171" s="1783"/>
      <c r="AQ171" s="1783"/>
      <c r="AR171" s="1783"/>
      <c r="AS171" s="1783"/>
      <c r="AT171" s="1783"/>
      <c r="AU171" s="1783"/>
      <c r="AV171" s="1783"/>
      <c r="AW171" s="1783"/>
      <c r="AX171" s="1783"/>
      <c r="AY171" s="1783"/>
      <c r="AZ171" s="1783"/>
      <c r="BA171" s="1783"/>
      <c r="BB171" s="1783"/>
      <c r="BC171" s="1783"/>
      <c r="BD171" s="1783"/>
      <c r="BE171" s="1783"/>
      <c r="BF171" s="1783"/>
      <c r="BG171" s="1783"/>
      <c r="BH171" s="1783"/>
      <c r="BI171" s="1783"/>
    </row>
    <row r="172" spans="1:61">
      <c r="A172" s="1819"/>
      <c r="B172" s="1818"/>
      <c r="C172" s="1818"/>
      <c r="D172" s="1818"/>
      <c r="E172" s="1818"/>
      <c r="F172" s="1818"/>
      <c r="G172" s="1818"/>
      <c r="H172" s="1783"/>
      <c r="I172" s="1783"/>
      <c r="J172" s="1783"/>
      <c r="K172" s="1783"/>
      <c r="L172" s="1783"/>
      <c r="M172" s="1783"/>
      <c r="N172" s="1783"/>
      <c r="O172" s="1783"/>
      <c r="P172" s="1783"/>
      <c r="Q172" s="1783"/>
      <c r="R172" s="1783"/>
      <c r="S172" s="1783"/>
      <c r="T172" s="1783"/>
      <c r="U172" s="1783"/>
      <c r="V172" s="1783"/>
      <c r="W172" s="1783"/>
      <c r="X172" s="1783"/>
      <c r="Y172" s="1783"/>
      <c r="Z172" s="1783"/>
      <c r="AA172" s="1783"/>
      <c r="AB172" s="1783"/>
      <c r="AC172" s="1783"/>
      <c r="AD172" s="1783"/>
      <c r="AE172" s="1783"/>
      <c r="AF172" s="1783"/>
      <c r="AG172" s="1783"/>
      <c r="AH172" s="1783"/>
      <c r="AI172" s="1783"/>
      <c r="AJ172" s="1783"/>
      <c r="AK172" s="1783"/>
      <c r="AL172" s="1783"/>
      <c r="AM172" s="1783"/>
      <c r="AN172" s="1783"/>
      <c r="AO172" s="1783"/>
      <c r="AP172" s="1783"/>
      <c r="AQ172" s="1783"/>
      <c r="AR172" s="1783"/>
      <c r="AS172" s="1783"/>
      <c r="AT172" s="1783"/>
      <c r="AU172" s="1783"/>
      <c r="AV172" s="1783"/>
      <c r="AW172" s="1783"/>
      <c r="AX172" s="1783"/>
      <c r="AY172" s="1783"/>
      <c r="AZ172" s="1783"/>
      <c r="BA172" s="1783"/>
      <c r="BB172" s="1783"/>
      <c r="BC172" s="1783"/>
      <c r="BD172" s="1783"/>
      <c r="BE172" s="1783"/>
      <c r="BF172" s="1783"/>
      <c r="BG172" s="1783"/>
      <c r="BH172" s="1783"/>
      <c r="BI172" s="1783"/>
    </row>
    <row r="173" spans="1:61">
      <c r="A173" s="1819"/>
      <c r="B173" s="1818"/>
      <c r="C173" s="1818"/>
      <c r="D173" s="1818"/>
      <c r="E173" s="1818"/>
      <c r="F173" s="1818"/>
      <c r="G173" s="1818"/>
      <c r="H173" s="1783"/>
      <c r="I173" s="1783"/>
      <c r="J173" s="1783"/>
      <c r="K173" s="1783"/>
      <c r="L173" s="1783"/>
      <c r="M173" s="1783"/>
      <c r="N173" s="1783"/>
      <c r="O173" s="1783"/>
      <c r="P173" s="1783"/>
      <c r="Q173" s="1783"/>
      <c r="R173" s="1783"/>
      <c r="S173" s="1783"/>
      <c r="T173" s="1783"/>
      <c r="U173" s="1783"/>
      <c r="V173" s="1783"/>
      <c r="W173" s="1783"/>
      <c r="X173" s="1783"/>
      <c r="Y173" s="1783"/>
      <c r="Z173" s="1783"/>
      <c r="AA173" s="1783"/>
      <c r="AB173" s="1783"/>
      <c r="AC173" s="1783"/>
      <c r="AD173" s="1783"/>
      <c r="AE173" s="1783"/>
      <c r="AF173" s="1783"/>
      <c r="AG173" s="1783"/>
      <c r="AH173" s="1783"/>
      <c r="AI173" s="1783"/>
      <c r="AJ173" s="1783"/>
      <c r="AK173" s="1783"/>
      <c r="AL173" s="1783"/>
      <c r="AM173" s="1783"/>
      <c r="AN173" s="1783"/>
      <c r="AO173" s="1783"/>
      <c r="AP173" s="1783"/>
      <c r="AQ173" s="1783"/>
      <c r="AR173" s="1783"/>
      <c r="AS173" s="1783"/>
      <c r="AT173" s="1783"/>
      <c r="AU173" s="1783"/>
      <c r="AV173" s="1783"/>
      <c r="AW173" s="1783"/>
      <c r="AX173" s="1783"/>
      <c r="AY173" s="1783"/>
      <c r="AZ173" s="1783"/>
      <c r="BA173" s="1783"/>
      <c r="BB173" s="1783"/>
      <c r="BC173" s="1783"/>
      <c r="BD173" s="1783"/>
      <c r="BE173" s="1783"/>
      <c r="BF173" s="1783"/>
      <c r="BG173" s="1783"/>
      <c r="BH173" s="1783"/>
      <c r="BI173" s="1783"/>
    </row>
    <row r="174" spans="1:61">
      <c r="A174" s="1819"/>
      <c r="B174" s="1818"/>
      <c r="C174" s="1818"/>
      <c r="D174" s="1818"/>
      <c r="E174" s="1818"/>
      <c r="F174" s="1818"/>
      <c r="G174" s="1818"/>
      <c r="H174" s="1783"/>
      <c r="I174" s="1783"/>
      <c r="J174" s="1783"/>
      <c r="K174" s="1783"/>
      <c r="L174" s="1783"/>
      <c r="M174" s="1783"/>
      <c r="N174" s="1783"/>
      <c r="O174" s="1783"/>
      <c r="P174" s="1783"/>
      <c r="Q174" s="1783"/>
      <c r="R174" s="1783"/>
      <c r="S174" s="1783"/>
      <c r="T174" s="1783"/>
      <c r="U174" s="1783"/>
      <c r="V174" s="1783"/>
      <c r="W174" s="1783"/>
      <c r="X174" s="1783"/>
      <c r="Y174" s="1783"/>
      <c r="Z174" s="1783"/>
      <c r="AA174" s="1783"/>
      <c r="AB174" s="1783"/>
      <c r="AC174" s="1783"/>
      <c r="AD174" s="1783"/>
      <c r="AE174" s="1783"/>
      <c r="AF174" s="1783"/>
      <c r="AG174" s="1783"/>
      <c r="AH174" s="1783"/>
      <c r="AI174" s="1783"/>
      <c r="AJ174" s="1783"/>
      <c r="AK174" s="1783"/>
      <c r="AL174" s="1783"/>
      <c r="AM174" s="1783"/>
      <c r="AN174" s="1783"/>
      <c r="AO174" s="1783"/>
      <c r="AP174" s="1783"/>
      <c r="AQ174" s="1783"/>
      <c r="AR174" s="1783"/>
      <c r="AS174" s="1783"/>
      <c r="AT174" s="1783"/>
      <c r="AU174" s="1783"/>
      <c r="AV174" s="1783"/>
      <c r="AW174" s="1783"/>
      <c r="AX174" s="1783"/>
      <c r="AY174" s="1783"/>
      <c r="AZ174" s="1783"/>
      <c r="BA174" s="1783"/>
      <c r="BB174" s="1783"/>
      <c r="BC174" s="1783"/>
      <c r="BD174" s="1783"/>
      <c r="BE174" s="1783"/>
      <c r="BF174" s="1783"/>
      <c r="BG174" s="1783"/>
      <c r="BH174" s="1783"/>
      <c r="BI174" s="1783"/>
    </row>
    <row r="175" spans="1:61">
      <c r="A175" s="1819"/>
      <c r="B175" s="1818"/>
      <c r="C175" s="1818"/>
      <c r="D175" s="1818"/>
      <c r="E175" s="1818"/>
      <c r="F175" s="1818"/>
      <c r="G175" s="1818"/>
      <c r="H175" s="1783"/>
      <c r="I175" s="1783"/>
      <c r="J175" s="1783"/>
      <c r="K175" s="1783"/>
      <c r="L175" s="1783"/>
      <c r="M175" s="1783"/>
      <c r="N175" s="1783"/>
      <c r="O175" s="1783"/>
      <c r="P175" s="1783"/>
      <c r="Q175" s="1783"/>
      <c r="R175" s="1783"/>
      <c r="S175" s="1783"/>
      <c r="T175" s="1783"/>
      <c r="U175" s="1783"/>
      <c r="V175" s="1783"/>
      <c r="W175" s="1783"/>
      <c r="X175" s="1783"/>
      <c r="Y175" s="1783"/>
      <c r="Z175" s="1783"/>
      <c r="AA175" s="1783"/>
      <c r="AB175" s="1783"/>
      <c r="AC175" s="1783"/>
      <c r="AD175" s="1783"/>
      <c r="AE175" s="1783"/>
      <c r="AF175" s="1783"/>
      <c r="AG175" s="1783"/>
      <c r="AH175" s="1783"/>
      <c r="AI175" s="1783"/>
      <c r="AJ175" s="1783"/>
      <c r="AK175" s="1783"/>
      <c r="AL175" s="1783"/>
      <c r="AM175" s="1783"/>
      <c r="AN175" s="1783"/>
      <c r="AO175" s="1783"/>
      <c r="AP175" s="1783"/>
      <c r="AQ175" s="1783"/>
      <c r="AR175" s="1783"/>
      <c r="AS175" s="1783"/>
      <c r="AT175" s="1783"/>
      <c r="AU175" s="1783"/>
      <c r="AV175" s="1783"/>
      <c r="AW175" s="1783"/>
      <c r="AX175" s="1783"/>
      <c r="AY175" s="1783"/>
      <c r="AZ175" s="1783"/>
      <c r="BA175" s="1783"/>
      <c r="BB175" s="1783"/>
      <c r="BC175" s="1783"/>
      <c r="BD175" s="1783"/>
      <c r="BE175" s="1783"/>
      <c r="BF175" s="1783"/>
      <c r="BG175" s="1783"/>
      <c r="BH175" s="1783"/>
      <c r="BI175" s="1783"/>
    </row>
    <row r="176" spans="1:61">
      <c r="A176" s="1819"/>
      <c r="B176" s="1818"/>
      <c r="C176" s="1818"/>
      <c r="D176" s="1818"/>
      <c r="E176" s="1818"/>
      <c r="F176" s="1818"/>
      <c r="G176" s="1818"/>
      <c r="H176" s="1783"/>
      <c r="I176" s="1783"/>
      <c r="J176" s="1783"/>
      <c r="K176" s="1783"/>
      <c r="L176" s="1783"/>
      <c r="M176" s="1783"/>
      <c r="N176" s="1783"/>
      <c r="O176" s="1783"/>
      <c r="P176" s="1783"/>
      <c r="Q176" s="1783"/>
      <c r="R176" s="1783"/>
      <c r="S176" s="1783"/>
      <c r="T176" s="1783"/>
      <c r="U176" s="1783"/>
      <c r="V176" s="1783"/>
      <c r="W176" s="1783"/>
      <c r="X176" s="1783"/>
      <c r="Y176" s="1783"/>
      <c r="Z176" s="1783"/>
      <c r="AA176" s="1783"/>
      <c r="AB176" s="1783"/>
      <c r="AC176" s="1783"/>
      <c r="AD176" s="1783"/>
      <c r="AE176" s="1783"/>
      <c r="AF176" s="1783"/>
      <c r="AG176" s="1783"/>
      <c r="AH176" s="1783"/>
      <c r="AI176" s="1783"/>
      <c r="AJ176" s="1783"/>
      <c r="AK176" s="1783"/>
      <c r="AL176" s="1783"/>
      <c r="AM176" s="1783"/>
      <c r="AN176" s="1783"/>
      <c r="AO176" s="1783"/>
      <c r="AP176" s="1783"/>
      <c r="AQ176" s="1783"/>
      <c r="AR176" s="1783"/>
      <c r="AS176" s="1783"/>
      <c r="AT176" s="1783"/>
      <c r="AU176" s="1783"/>
      <c r="AV176" s="1783"/>
      <c r="AW176" s="1783"/>
      <c r="AX176" s="1783"/>
      <c r="AY176" s="1783"/>
      <c r="AZ176" s="1783"/>
      <c r="BA176" s="1783"/>
      <c r="BB176" s="1783"/>
      <c r="BC176" s="1783"/>
      <c r="BD176" s="1783"/>
      <c r="BE176" s="1783"/>
      <c r="BF176" s="1783"/>
      <c r="BG176" s="1783"/>
      <c r="BH176" s="1783"/>
      <c r="BI176" s="1783"/>
    </row>
    <row r="177" spans="1:61">
      <c r="A177" s="1819"/>
      <c r="B177" s="1818"/>
      <c r="C177" s="1818"/>
      <c r="D177" s="1818"/>
      <c r="E177" s="1818"/>
      <c r="F177" s="1818"/>
      <c r="G177" s="1818"/>
      <c r="H177" s="1783"/>
      <c r="I177" s="1783"/>
      <c r="J177" s="1783"/>
      <c r="K177" s="1783"/>
      <c r="L177" s="1783"/>
      <c r="M177" s="1783"/>
      <c r="N177" s="1783"/>
      <c r="O177" s="1783"/>
      <c r="P177" s="1783"/>
      <c r="Q177" s="1783"/>
      <c r="R177" s="1783"/>
      <c r="S177" s="1783"/>
      <c r="T177" s="1783"/>
      <c r="U177" s="1783"/>
      <c r="V177" s="1783"/>
      <c r="W177" s="1783"/>
      <c r="X177" s="1783"/>
      <c r="Y177" s="1783"/>
      <c r="Z177" s="1783"/>
      <c r="AA177" s="1783"/>
      <c r="AB177" s="1783"/>
      <c r="AC177" s="1783"/>
      <c r="AD177" s="1783"/>
      <c r="AE177" s="1783"/>
      <c r="AF177" s="1783"/>
      <c r="AG177" s="1783"/>
      <c r="AH177" s="1783"/>
      <c r="AI177" s="1783"/>
      <c r="AJ177" s="1783"/>
      <c r="AK177" s="1783"/>
      <c r="AL177" s="1783"/>
      <c r="AM177" s="1783"/>
      <c r="AN177" s="1783"/>
      <c r="AO177" s="1783"/>
      <c r="AP177" s="1783"/>
      <c r="AQ177" s="1783"/>
      <c r="AR177" s="1783"/>
      <c r="AS177" s="1783"/>
      <c r="AT177" s="1783"/>
      <c r="AU177" s="1783"/>
      <c r="AV177" s="1783"/>
      <c r="AW177" s="1783"/>
      <c r="AX177" s="1783"/>
      <c r="AY177" s="1783"/>
      <c r="AZ177" s="1783"/>
      <c r="BA177" s="1783"/>
      <c r="BB177" s="1783"/>
      <c r="BC177" s="1783"/>
      <c r="BD177" s="1783"/>
      <c r="BE177" s="1783"/>
      <c r="BF177" s="1783"/>
      <c r="BG177" s="1783"/>
      <c r="BH177" s="1783"/>
      <c r="BI177" s="1783"/>
    </row>
    <row r="178" spans="1:61">
      <c r="A178" s="1819"/>
      <c r="B178" s="1818"/>
      <c r="C178" s="1818"/>
      <c r="D178" s="1818"/>
      <c r="E178" s="1818"/>
      <c r="F178" s="1818"/>
      <c r="G178" s="1818"/>
      <c r="H178" s="1783"/>
      <c r="I178" s="1783"/>
      <c r="J178" s="1783"/>
      <c r="K178" s="1783"/>
      <c r="L178" s="1783"/>
      <c r="M178" s="1783"/>
      <c r="N178" s="1783"/>
      <c r="O178" s="1783"/>
      <c r="P178" s="1783"/>
      <c r="Q178" s="1783"/>
      <c r="R178" s="1783"/>
      <c r="S178" s="1783"/>
      <c r="T178" s="1783"/>
      <c r="U178" s="1783"/>
      <c r="V178" s="1783"/>
      <c r="W178" s="1783"/>
      <c r="X178" s="1783"/>
      <c r="Y178" s="1783"/>
      <c r="Z178" s="1783"/>
      <c r="AA178" s="1783"/>
      <c r="AB178" s="1783"/>
      <c r="AC178" s="1783"/>
      <c r="AD178" s="1783"/>
      <c r="AE178" s="1783"/>
      <c r="AF178" s="1783"/>
      <c r="AG178" s="1783"/>
      <c r="AH178" s="1783"/>
      <c r="AI178" s="1783"/>
      <c r="AJ178" s="1783"/>
      <c r="AK178" s="1783"/>
      <c r="AL178" s="1783"/>
      <c r="AM178" s="1783"/>
      <c r="AN178" s="1783"/>
      <c r="AO178" s="1783"/>
      <c r="AP178" s="1783"/>
      <c r="AQ178" s="1783"/>
      <c r="AR178" s="1783"/>
      <c r="AS178" s="1783"/>
      <c r="AT178" s="1783"/>
      <c r="AU178" s="1783"/>
      <c r="AV178" s="1783"/>
      <c r="AW178" s="1783"/>
      <c r="AX178" s="1783"/>
      <c r="AY178" s="1783"/>
      <c r="AZ178" s="1783"/>
      <c r="BA178" s="1783"/>
      <c r="BB178" s="1783"/>
      <c r="BC178" s="1783"/>
      <c r="BD178" s="1783"/>
      <c r="BE178" s="1783"/>
      <c r="BF178" s="1783"/>
      <c r="BG178" s="1783"/>
      <c r="BH178" s="1783"/>
      <c r="BI178" s="1783"/>
    </row>
    <row r="179" spans="1:61">
      <c r="A179" s="1819"/>
      <c r="B179" s="1818"/>
      <c r="C179" s="1818"/>
      <c r="D179" s="1818"/>
      <c r="E179" s="1818"/>
      <c r="F179" s="1818"/>
      <c r="G179" s="1818"/>
      <c r="H179" s="1783"/>
      <c r="I179" s="1783"/>
      <c r="J179" s="1783"/>
      <c r="K179" s="1783"/>
      <c r="L179" s="1783"/>
      <c r="M179" s="1783"/>
      <c r="N179" s="1783"/>
      <c r="O179" s="1783"/>
      <c r="P179" s="1783"/>
      <c r="Q179" s="1783"/>
      <c r="R179" s="1783"/>
      <c r="S179" s="1783"/>
      <c r="T179" s="1783"/>
      <c r="U179" s="1783"/>
      <c r="V179" s="1783"/>
      <c r="W179" s="1783"/>
      <c r="X179" s="1783"/>
      <c r="Y179" s="1783"/>
      <c r="Z179" s="1783"/>
      <c r="AA179" s="1783"/>
      <c r="AB179" s="1783"/>
      <c r="AC179" s="1783"/>
      <c r="AD179" s="1783"/>
      <c r="AE179" s="1783"/>
      <c r="AF179" s="1783"/>
      <c r="AG179" s="1783"/>
      <c r="AH179" s="1783"/>
      <c r="AI179" s="1783"/>
      <c r="AJ179" s="1783"/>
      <c r="AK179" s="1783"/>
      <c r="AL179" s="1783"/>
      <c r="AM179" s="1783"/>
      <c r="AN179" s="1783"/>
      <c r="AO179" s="1783"/>
      <c r="AP179" s="1783"/>
      <c r="AQ179" s="1783"/>
      <c r="AR179" s="1783"/>
      <c r="AS179" s="1783"/>
      <c r="AT179" s="1783"/>
      <c r="AU179" s="1783"/>
      <c r="AV179" s="1783"/>
      <c r="AW179" s="1783"/>
      <c r="AX179" s="1783"/>
      <c r="AY179" s="1783"/>
      <c r="AZ179" s="1783"/>
      <c r="BA179" s="1783"/>
      <c r="BB179" s="1783"/>
      <c r="BC179" s="1783"/>
      <c r="BD179" s="1783"/>
      <c r="BE179" s="1783"/>
      <c r="BF179" s="1783"/>
      <c r="BG179" s="1783"/>
      <c r="BH179" s="1783"/>
      <c r="BI179" s="1783"/>
    </row>
    <row r="180" spans="1:61">
      <c r="A180" s="1819"/>
      <c r="B180" s="1818"/>
      <c r="C180" s="1818"/>
      <c r="D180" s="1818"/>
      <c r="E180" s="1818"/>
      <c r="F180" s="1818"/>
      <c r="G180" s="1818"/>
      <c r="H180" s="1783"/>
      <c r="I180" s="1783"/>
      <c r="J180" s="1783"/>
      <c r="K180" s="1783"/>
      <c r="L180" s="1783"/>
      <c r="M180" s="1783"/>
      <c r="N180" s="1783"/>
      <c r="O180" s="1783"/>
      <c r="P180" s="1783"/>
      <c r="Q180" s="1783"/>
      <c r="R180" s="1783"/>
      <c r="S180" s="1783"/>
      <c r="T180" s="1783"/>
      <c r="U180" s="1783"/>
      <c r="V180" s="1783"/>
      <c r="W180" s="1783"/>
      <c r="X180" s="1783"/>
      <c r="Y180" s="1783"/>
      <c r="Z180" s="1783"/>
      <c r="AA180" s="1783"/>
      <c r="AB180" s="1783"/>
      <c r="AC180" s="1783"/>
      <c r="AD180" s="1783"/>
      <c r="AE180" s="1783"/>
      <c r="AF180" s="1783"/>
      <c r="AG180" s="1783"/>
      <c r="AH180" s="1783"/>
      <c r="AI180" s="1783"/>
      <c r="AJ180" s="1783"/>
      <c r="AK180" s="1783"/>
      <c r="AL180" s="1783"/>
      <c r="AM180" s="1783"/>
      <c r="AN180" s="1783"/>
      <c r="AO180" s="1783"/>
      <c r="AP180" s="1783"/>
      <c r="AQ180" s="1783"/>
      <c r="AR180" s="1783"/>
      <c r="AS180" s="1783"/>
      <c r="AT180" s="1783"/>
      <c r="AU180" s="1783"/>
      <c r="AV180" s="1783"/>
      <c r="AW180" s="1783"/>
      <c r="AX180" s="1783"/>
      <c r="AY180" s="1783"/>
      <c r="AZ180" s="1783"/>
      <c r="BA180" s="1783"/>
      <c r="BB180" s="1783"/>
      <c r="BC180" s="1783"/>
      <c r="BD180" s="1783"/>
      <c r="BE180" s="1783"/>
      <c r="BF180" s="1783"/>
      <c r="BG180" s="1783"/>
      <c r="BH180" s="1783"/>
      <c r="BI180" s="1783"/>
    </row>
    <row r="181" spans="1:61">
      <c r="A181" s="1819"/>
      <c r="B181" s="1818"/>
      <c r="C181" s="1818"/>
      <c r="D181" s="1818"/>
      <c r="E181" s="1818"/>
      <c r="F181" s="1818"/>
      <c r="G181" s="1818"/>
      <c r="H181" s="1783"/>
      <c r="I181" s="1783"/>
      <c r="J181" s="1783"/>
      <c r="K181" s="1783"/>
      <c r="L181" s="1783"/>
      <c r="M181" s="1783"/>
      <c r="N181" s="1783"/>
      <c r="O181" s="1783"/>
      <c r="P181" s="1783"/>
      <c r="Q181" s="1783"/>
      <c r="R181" s="1783"/>
      <c r="S181" s="1783"/>
      <c r="T181" s="1783"/>
      <c r="U181" s="1783"/>
      <c r="V181" s="1783"/>
      <c r="W181" s="1783"/>
      <c r="X181" s="1783"/>
      <c r="Y181" s="1783"/>
      <c r="Z181" s="1783"/>
      <c r="AA181" s="1783"/>
      <c r="AB181" s="1783"/>
      <c r="AC181" s="1783"/>
      <c r="AD181" s="1783"/>
      <c r="AE181" s="1783"/>
      <c r="AF181" s="1783"/>
      <c r="AG181" s="1783"/>
      <c r="AH181" s="1783"/>
      <c r="AI181" s="1783"/>
      <c r="AJ181" s="1783"/>
      <c r="AK181" s="1783"/>
      <c r="AL181" s="1783"/>
      <c r="AM181" s="1783"/>
      <c r="AN181" s="1783"/>
      <c r="AO181" s="1783"/>
      <c r="AP181" s="1783"/>
      <c r="AQ181" s="1783"/>
      <c r="AR181" s="1783"/>
      <c r="AS181" s="1783"/>
      <c r="AT181" s="1783"/>
      <c r="AU181" s="1783"/>
      <c r="AV181" s="1783"/>
      <c r="AW181" s="1783"/>
      <c r="AX181" s="1783"/>
      <c r="AY181" s="1783"/>
      <c r="AZ181" s="1783"/>
      <c r="BA181" s="1783"/>
      <c r="BB181" s="1783"/>
      <c r="BC181" s="1783"/>
      <c r="BD181" s="1783"/>
      <c r="BE181" s="1783"/>
      <c r="BF181" s="1783"/>
      <c r="BG181" s="1783"/>
      <c r="BH181" s="1783"/>
      <c r="BI181" s="1783"/>
    </row>
    <row r="182" spans="1:61">
      <c r="A182" s="1819"/>
      <c r="B182" s="1818"/>
      <c r="C182" s="1818"/>
      <c r="D182" s="1818"/>
      <c r="E182" s="1818"/>
      <c r="F182" s="1818"/>
      <c r="G182" s="1818"/>
      <c r="H182" s="1783"/>
      <c r="I182" s="1783"/>
      <c r="J182" s="1783"/>
      <c r="K182" s="1783"/>
      <c r="L182" s="1783"/>
      <c r="M182" s="1783"/>
      <c r="N182" s="1783"/>
      <c r="O182" s="1783"/>
      <c r="P182" s="1783"/>
      <c r="Q182" s="1783"/>
      <c r="R182" s="1783"/>
      <c r="S182" s="1783"/>
      <c r="T182" s="1783"/>
      <c r="U182" s="1783"/>
      <c r="V182" s="1783"/>
      <c r="W182" s="1783"/>
      <c r="X182" s="1783"/>
      <c r="Y182" s="1783"/>
      <c r="Z182" s="1783"/>
      <c r="AA182" s="1783"/>
      <c r="AB182" s="1783"/>
      <c r="AC182" s="1783"/>
      <c r="AD182" s="1783"/>
      <c r="AE182" s="1783"/>
      <c r="AF182" s="1783"/>
      <c r="AG182" s="1783"/>
      <c r="AH182" s="1783"/>
      <c r="AI182" s="1783"/>
      <c r="AJ182" s="1783"/>
      <c r="AK182" s="1783"/>
      <c r="AL182" s="1783"/>
      <c r="AM182" s="1783"/>
      <c r="AN182" s="1783"/>
      <c r="AO182" s="1783"/>
      <c r="AP182" s="1783"/>
      <c r="AQ182" s="1783"/>
      <c r="AR182" s="1783"/>
      <c r="AS182" s="1783"/>
      <c r="AT182" s="1783"/>
      <c r="AU182" s="1783"/>
      <c r="AV182" s="1783"/>
      <c r="AW182" s="1783"/>
      <c r="AX182" s="1783"/>
      <c r="AY182" s="1783"/>
      <c r="AZ182" s="1783"/>
      <c r="BA182" s="1783"/>
      <c r="BB182" s="1783"/>
      <c r="BC182" s="1783"/>
      <c r="BD182" s="1783"/>
      <c r="BE182" s="1783"/>
      <c r="BF182" s="1783"/>
      <c r="BG182" s="1783"/>
      <c r="BH182" s="1783"/>
      <c r="BI182" s="1783"/>
    </row>
    <row r="183" spans="1:61">
      <c r="A183" s="1819"/>
      <c r="B183" s="1818"/>
      <c r="C183" s="1818"/>
      <c r="D183" s="1818"/>
      <c r="E183" s="1818"/>
      <c r="F183" s="1818"/>
      <c r="G183" s="1818"/>
      <c r="H183" s="1783"/>
      <c r="I183" s="1783"/>
      <c r="J183" s="1783"/>
      <c r="K183" s="1783"/>
      <c r="L183" s="1783"/>
      <c r="M183" s="1783"/>
      <c r="N183" s="1783"/>
      <c r="O183" s="1783"/>
      <c r="P183" s="1783"/>
      <c r="Q183" s="1783"/>
      <c r="R183" s="1783"/>
      <c r="S183" s="1783"/>
      <c r="T183" s="1783"/>
      <c r="U183" s="1783"/>
      <c r="V183" s="1783"/>
      <c r="W183" s="1783"/>
      <c r="X183" s="1783"/>
      <c r="Y183" s="1783"/>
      <c r="Z183" s="1783"/>
      <c r="AA183" s="1783"/>
      <c r="AB183" s="1783"/>
      <c r="AC183" s="1783"/>
      <c r="AD183" s="1783"/>
      <c r="AE183" s="1783"/>
      <c r="AF183" s="1783"/>
      <c r="AG183" s="1783"/>
      <c r="AH183" s="1783"/>
      <c r="AI183" s="1783"/>
      <c r="AJ183" s="1783"/>
      <c r="AK183" s="1783"/>
      <c r="AL183" s="1783"/>
      <c r="AM183" s="1783"/>
      <c r="AN183" s="1783"/>
      <c r="AO183" s="1783"/>
      <c r="AP183" s="1783"/>
      <c r="AQ183" s="1783"/>
      <c r="AR183" s="1783"/>
      <c r="AS183" s="1783"/>
      <c r="AT183" s="1783"/>
      <c r="AU183" s="1783"/>
      <c r="AV183" s="1783"/>
      <c r="AW183" s="1783"/>
      <c r="AX183" s="1783"/>
      <c r="AY183" s="1783"/>
      <c r="AZ183" s="1783"/>
      <c r="BA183" s="1783"/>
      <c r="BB183" s="1783"/>
      <c r="BC183" s="1783"/>
      <c r="BD183" s="1783"/>
      <c r="BE183" s="1783"/>
      <c r="BF183" s="1783"/>
      <c r="BG183" s="1783"/>
      <c r="BH183" s="1783"/>
      <c r="BI183" s="1783"/>
    </row>
    <row r="184" spans="1:61">
      <c r="A184" s="1819"/>
      <c r="B184" s="1818"/>
      <c r="C184" s="1818"/>
      <c r="D184" s="1818"/>
      <c r="E184" s="1818"/>
      <c r="F184" s="1818"/>
      <c r="G184" s="1818"/>
      <c r="H184" s="1783"/>
      <c r="I184" s="1783"/>
      <c r="J184" s="1783"/>
      <c r="K184" s="1783"/>
      <c r="L184" s="1783"/>
      <c r="M184" s="1783"/>
      <c r="N184" s="1783"/>
      <c r="O184" s="1783"/>
      <c r="P184" s="1783"/>
      <c r="Q184" s="1783"/>
      <c r="R184" s="1783"/>
      <c r="S184" s="1783"/>
      <c r="T184" s="1783"/>
      <c r="U184" s="1783"/>
      <c r="V184" s="1783"/>
      <c r="W184" s="1783"/>
      <c r="X184" s="1783"/>
      <c r="Y184" s="1783"/>
      <c r="Z184" s="1783"/>
      <c r="AA184" s="1783"/>
      <c r="AB184" s="1783"/>
      <c r="AC184" s="1783"/>
      <c r="AD184" s="1783"/>
      <c r="AE184" s="1783"/>
      <c r="AF184" s="1783"/>
      <c r="AG184" s="1783"/>
      <c r="AH184" s="1783"/>
      <c r="AI184" s="1783"/>
      <c r="AJ184" s="1783"/>
      <c r="AK184" s="1783"/>
      <c r="AL184" s="1783"/>
      <c r="AM184" s="1783"/>
      <c r="AN184" s="1783"/>
      <c r="AO184" s="1783"/>
      <c r="AP184" s="1783"/>
      <c r="AQ184" s="1783"/>
      <c r="AR184" s="1783"/>
      <c r="AS184" s="1783"/>
      <c r="AT184" s="1783"/>
      <c r="AU184" s="1783"/>
      <c r="AV184" s="1783"/>
      <c r="AW184" s="1783"/>
      <c r="AX184" s="1783"/>
      <c r="AY184" s="1783"/>
      <c r="AZ184" s="1783"/>
      <c r="BA184" s="1783"/>
      <c r="BB184" s="1783"/>
      <c r="BC184" s="1783"/>
      <c r="BD184" s="1783"/>
      <c r="BE184" s="1783"/>
      <c r="BF184" s="1783"/>
      <c r="BG184" s="1783"/>
      <c r="BH184" s="1783"/>
      <c r="BI184" s="1783"/>
    </row>
    <row r="185" spans="1:61">
      <c r="A185" s="1819"/>
      <c r="B185" s="1818"/>
      <c r="C185" s="1818"/>
      <c r="D185" s="1818"/>
      <c r="E185" s="1818"/>
      <c r="F185" s="1818"/>
      <c r="G185" s="1818"/>
      <c r="H185" s="1783"/>
      <c r="I185" s="1783"/>
      <c r="J185" s="1783"/>
      <c r="K185" s="1783"/>
      <c r="L185" s="1783"/>
      <c r="M185" s="1783"/>
      <c r="N185" s="1783"/>
      <c r="O185" s="1783"/>
      <c r="P185" s="1783"/>
      <c r="Q185" s="1783"/>
      <c r="R185" s="1783"/>
      <c r="S185" s="1783"/>
      <c r="T185" s="1783"/>
      <c r="U185" s="1783"/>
      <c r="V185" s="1783"/>
      <c r="W185" s="1783"/>
      <c r="X185" s="1783"/>
      <c r="Y185" s="1783"/>
      <c r="Z185" s="1783"/>
      <c r="AA185" s="1783"/>
      <c r="AB185" s="1783"/>
      <c r="AC185" s="1783"/>
      <c r="AD185" s="1783"/>
      <c r="AE185" s="1783"/>
      <c r="AF185" s="1783"/>
      <c r="AG185" s="1783"/>
      <c r="AH185" s="1783"/>
      <c r="AI185" s="1783"/>
      <c r="AJ185" s="1783"/>
      <c r="AK185" s="1783"/>
      <c r="AL185" s="1783"/>
      <c r="AM185" s="1783"/>
      <c r="AN185" s="1783"/>
      <c r="AO185" s="1783"/>
      <c r="AP185" s="1783"/>
      <c r="AQ185" s="1783"/>
      <c r="AR185" s="1783"/>
      <c r="AS185" s="1783"/>
      <c r="AT185" s="1783"/>
      <c r="AU185" s="1783"/>
      <c r="AV185" s="1783"/>
      <c r="AW185" s="1783"/>
      <c r="AX185" s="1783"/>
      <c r="AY185" s="1783"/>
      <c r="AZ185" s="1783"/>
      <c r="BA185" s="1783"/>
      <c r="BB185" s="1783"/>
      <c r="BC185" s="1783"/>
      <c r="BD185" s="1783"/>
      <c r="BE185" s="1783"/>
      <c r="BF185" s="1783"/>
      <c r="BG185" s="1783"/>
      <c r="BH185" s="1783"/>
      <c r="BI185" s="1783"/>
    </row>
    <row r="186" spans="1:61">
      <c r="A186" s="1819"/>
      <c r="B186" s="1818"/>
      <c r="C186" s="1818"/>
      <c r="D186" s="1818"/>
      <c r="E186" s="1818"/>
      <c r="F186" s="1818"/>
      <c r="G186" s="1818"/>
      <c r="H186" s="1783"/>
      <c r="I186" s="1783"/>
      <c r="J186" s="1783"/>
      <c r="K186" s="1783"/>
      <c r="L186" s="1783"/>
      <c r="M186" s="1783"/>
      <c r="N186" s="1783"/>
      <c r="O186" s="1783"/>
      <c r="P186" s="1783"/>
      <c r="Q186" s="1783"/>
      <c r="R186" s="1783"/>
      <c r="S186" s="1783"/>
      <c r="T186" s="1783"/>
      <c r="U186" s="1783"/>
      <c r="V186" s="1783"/>
      <c r="W186" s="1783"/>
      <c r="X186" s="1783"/>
      <c r="Y186" s="1783"/>
      <c r="Z186" s="1783"/>
      <c r="AA186" s="1783"/>
      <c r="AB186" s="1783"/>
      <c r="AC186" s="1783"/>
      <c r="AD186" s="1783"/>
      <c r="AE186" s="1783"/>
      <c r="AF186" s="1783"/>
      <c r="AG186" s="1783"/>
      <c r="AH186" s="1783"/>
      <c r="AI186" s="1783"/>
      <c r="AJ186" s="1783"/>
      <c r="AK186" s="1783"/>
      <c r="AL186" s="1783"/>
      <c r="AM186" s="1783"/>
      <c r="AN186" s="1783"/>
      <c r="AO186" s="1783"/>
      <c r="AP186" s="1783"/>
      <c r="AQ186" s="1783"/>
      <c r="AR186" s="1783"/>
      <c r="AS186" s="1783"/>
      <c r="AT186" s="1783"/>
      <c r="AU186" s="1783"/>
      <c r="AV186" s="1783"/>
      <c r="AW186" s="1783"/>
      <c r="AX186" s="1783"/>
      <c r="AY186" s="1783"/>
      <c r="AZ186" s="1783"/>
      <c r="BA186" s="1783"/>
      <c r="BB186" s="1783"/>
      <c r="BC186" s="1783"/>
      <c r="BD186" s="1783"/>
      <c r="BE186" s="1783"/>
      <c r="BF186" s="1783"/>
      <c r="BG186" s="1783"/>
      <c r="BH186" s="1783"/>
      <c r="BI186" s="1783"/>
    </row>
    <row r="187" spans="1:61">
      <c r="A187" s="1819"/>
      <c r="B187" s="1818"/>
      <c r="C187" s="1818"/>
      <c r="D187" s="1818"/>
      <c r="E187" s="1818"/>
      <c r="F187" s="1818"/>
      <c r="G187" s="1818"/>
      <c r="H187" s="1783"/>
      <c r="I187" s="1783"/>
      <c r="J187" s="1783"/>
      <c r="K187" s="1783"/>
      <c r="L187" s="1783"/>
      <c r="M187" s="1783"/>
      <c r="N187" s="1783"/>
      <c r="O187" s="1783"/>
      <c r="P187" s="1783"/>
      <c r="Q187" s="1783"/>
      <c r="R187" s="1783"/>
      <c r="S187" s="1783"/>
      <c r="T187" s="1783"/>
      <c r="U187" s="1783"/>
      <c r="V187" s="1783"/>
      <c r="W187" s="1783"/>
      <c r="X187" s="1783"/>
      <c r="Y187" s="1783"/>
      <c r="Z187" s="1783"/>
      <c r="AA187" s="1783"/>
      <c r="AB187" s="1783"/>
      <c r="AC187" s="1783"/>
      <c r="AD187" s="1783"/>
      <c r="AE187" s="1783"/>
      <c r="AF187" s="1783"/>
      <c r="AG187" s="1783"/>
      <c r="AH187" s="1783"/>
      <c r="AI187" s="1783"/>
      <c r="AJ187" s="1783"/>
      <c r="AK187" s="1783"/>
      <c r="AL187" s="1783"/>
      <c r="AM187" s="1783"/>
      <c r="AN187" s="1783"/>
      <c r="AO187" s="1783"/>
      <c r="AP187" s="1783"/>
      <c r="AQ187" s="1783"/>
      <c r="AR187" s="1783"/>
      <c r="AS187" s="1783"/>
      <c r="AT187" s="1783"/>
      <c r="AU187" s="1783"/>
      <c r="AV187" s="1783"/>
      <c r="AW187" s="1783"/>
      <c r="AX187" s="1783"/>
      <c r="AY187" s="1783"/>
      <c r="AZ187" s="1783"/>
      <c r="BA187" s="1783"/>
      <c r="BB187" s="1783"/>
      <c r="BC187" s="1783"/>
      <c r="BD187" s="1783"/>
      <c r="BE187" s="1783"/>
      <c r="BF187" s="1783"/>
      <c r="BG187" s="1783"/>
      <c r="BH187" s="1783"/>
      <c r="BI187" s="1783"/>
    </row>
    <row r="188" spans="1:61">
      <c r="A188" s="1819"/>
      <c r="B188" s="1818"/>
      <c r="C188" s="1818"/>
      <c r="D188" s="1818"/>
      <c r="E188" s="1818"/>
      <c r="F188" s="1818"/>
      <c r="G188" s="1818"/>
      <c r="H188" s="1783"/>
      <c r="I188" s="1783"/>
      <c r="J188" s="1783"/>
      <c r="K188" s="1783"/>
      <c r="L188" s="1783"/>
      <c r="M188" s="1783"/>
      <c r="N188" s="1783"/>
      <c r="O188" s="1783"/>
      <c r="P188" s="1783"/>
      <c r="Q188" s="1783"/>
      <c r="R188" s="1783"/>
      <c r="S188" s="1783"/>
      <c r="T188" s="1783"/>
      <c r="U188" s="1783"/>
      <c r="V188" s="1783"/>
      <c r="W188" s="1783"/>
      <c r="X188" s="1783"/>
      <c r="Y188" s="1783"/>
      <c r="Z188" s="1783"/>
      <c r="AA188" s="1783"/>
      <c r="AB188" s="1783"/>
      <c r="AC188" s="1783"/>
      <c r="AD188" s="1783"/>
      <c r="AE188" s="1783"/>
      <c r="AF188" s="1783"/>
      <c r="AG188" s="1783"/>
      <c r="AH188" s="1783"/>
      <c r="AI188" s="1783"/>
      <c r="AJ188" s="1783"/>
      <c r="AK188" s="1783"/>
      <c r="AL188" s="1783"/>
      <c r="AM188" s="1783"/>
      <c r="AN188" s="1783"/>
      <c r="AO188" s="1783"/>
      <c r="AP188" s="1783"/>
      <c r="AQ188" s="1783"/>
      <c r="AR188" s="1783"/>
      <c r="AS188" s="1783"/>
      <c r="AT188" s="1783"/>
      <c r="AU188" s="1783"/>
      <c r="AV188" s="1783"/>
      <c r="AW188" s="1783"/>
      <c r="AX188" s="1783"/>
      <c r="AY188" s="1783"/>
      <c r="AZ188" s="1783"/>
      <c r="BA188" s="1783"/>
      <c r="BB188" s="1783"/>
      <c r="BC188" s="1783"/>
      <c r="BD188" s="1783"/>
      <c r="BE188" s="1783"/>
      <c r="BF188" s="1783"/>
      <c r="BG188" s="1783"/>
      <c r="BH188" s="1783"/>
      <c r="BI188" s="1783"/>
    </row>
    <row r="189" spans="1:61">
      <c r="A189" s="1819"/>
      <c r="B189" s="1818"/>
      <c r="C189" s="1818"/>
      <c r="D189" s="1818"/>
      <c r="E189" s="1818"/>
      <c r="F189" s="1818"/>
      <c r="G189" s="1818"/>
      <c r="H189" s="1783"/>
      <c r="I189" s="1783"/>
      <c r="J189" s="1783"/>
      <c r="K189" s="1783"/>
      <c r="L189" s="1783"/>
      <c r="M189" s="1783"/>
      <c r="N189" s="1783"/>
      <c r="O189" s="1783"/>
      <c r="P189" s="1783"/>
      <c r="Q189" s="1783"/>
      <c r="R189" s="1783"/>
      <c r="S189" s="1783"/>
      <c r="T189" s="1783"/>
      <c r="U189" s="1783"/>
      <c r="V189" s="1783"/>
      <c r="W189" s="1783"/>
      <c r="X189" s="1783"/>
      <c r="Y189" s="1783"/>
      <c r="Z189" s="1783"/>
      <c r="AA189" s="1783"/>
      <c r="AB189" s="1783"/>
      <c r="AC189" s="1783"/>
      <c r="AD189" s="1783"/>
      <c r="AE189" s="1783"/>
      <c r="AF189" s="1783"/>
      <c r="AG189" s="1783"/>
      <c r="AH189" s="1783"/>
      <c r="AI189" s="1783"/>
      <c r="AJ189" s="1783"/>
      <c r="AK189" s="1783"/>
      <c r="AL189" s="1783"/>
      <c r="AM189" s="1783"/>
      <c r="AN189" s="1783"/>
      <c r="AO189" s="1783"/>
      <c r="AP189" s="1783"/>
      <c r="AQ189" s="1783"/>
      <c r="AR189" s="1783"/>
      <c r="AS189" s="1783"/>
      <c r="AT189" s="1783"/>
      <c r="AU189" s="1783"/>
      <c r="AV189" s="1783"/>
      <c r="AW189" s="1783"/>
      <c r="AX189" s="1783"/>
      <c r="AY189" s="1783"/>
      <c r="AZ189" s="1783"/>
      <c r="BA189" s="1783"/>
      <c r="BB189" s="1783"/>
      <c r="BC189" s="1783"/>
      <c r="BD189" s="1783"/>
      <c r="BE189" s="1783"/>
      <c r="BF189" s="1783"/>
      <c r="BG189" s="1783"/>
      <c r="BH189" s="1783"/>
      <c r="BI189" s="1783"/>
    </row>
    <row r="190" spans="1:61">
      <c r="A190" s="1819"/>
      <c r="B190" s="1818"/>
      <c r="C190" s="1818"/>
      <c r="D190" s="1818"/>
      <c r="E190" s="1818"/>
      <c r="F190" s="1818"/>
      <c r="G190" s="1818"/>
      <c r="H190" s="1783"/>
      <c r="I190" s="1783"/>
      <c r="J190" s="1783"/>
      <c r="K190" s="1783"/>
      <c r="L190" s="1783"/>
      <c r="M190" s="1783"/>
      <c r="N190" s="1783"/>
      <c r="O190" s="1783"/>
      <c r="P190" s="1783"/>
      <c r="Q190" s="1783"/>
      <c r="R190" s="1783"/>
      <c r="S190" s="1783"/>
      <c r="T190" s="1783"/>
      <c r="U190" s="1783"/>
      <c r="V190" s="1783"/>
      <c r="W190" s="1783"/>
      <c r="X190" s="1783"/>
      <c r="Y190" s="1783"/>
      <c r="Z190" s="1783"/>
      <c r="AA190" s="1783"/>
      <c r="AB190" s="1783"/>
      <c r="AC190" s="1783"/>
      <c r="AD190" s="1783"/>
      <c r="AE190" s="1783"/>
      <c r="AF190" s="1783"/>
      <c r="AG190" s="1783"/>
      <c r="AH190" s="1783"/>
      <c r="AI190" s="1783"/>
      <c r="AJ190" s="1783"/>
      <c r="AK190" s="1783"/>
      <c r="AL190" s="1783"/>
      <c r="AM190" s="1783"/>
      <c r="AN190" s="1783"/>
      <c r="AO190" s="1783"/>
      <c r="AP190" s="1783"/>
      <c r="AQ190" s="1783"/>
      <c r="AR190" s="1783"/>
      <c r="AS190" s="1783"/>
      <c r="AT190" s="1783"/>
      <c r="AU190" s="1783"/>
      <c r="AV190" s="1783"/>
      <c r="AW190" s="1783"/>
      <c r="AX190" s="1783"/>
      <c r="AY190" s="1783"/>
      <c r="AZ190" s="1783"/>
      <c r="BA190" s="1783"/>
      <c r="BB190" s="1783"/>
      <c r="BC190" s="1783"/>
      <c r="BD190" s="1783"/>
      <c r="BE190" s="1783"/>
      <c r="BF190" s="1783"/>
      <c r="BG190" s="1783"/>
      <c r="BH190" s="1783"/>
      <c r="BI190" s="1783"/>
    </row>
    <row r="191" spans="1:61">
      <c r="A191" s="1819"/>
      <c r="B191" s="1818"/>
      <c r="C191" s="1818"/>
      <c r="D191" s="1818"/>
      <c r="E191" s="1818"/>
      <c r="F191" s="1818"/>
      <c r="G191" s="1818"/>
      <c r="H191" s="1783"/>
      <c r="I191" s="1783"/>
      <c r="J191" s="1783"/>
      <c r="K191" s="1783"/>
      <c r="L191" s="1783"/>
      <c r="M191" s="1783"/>
      <c r="N191" s="1783"/>
      <c r="O191" s="1783"/>
      <c r="P191" s="1783"/>
      <c r="Q191" s="1783"/>
      <c r="R191" s="1783"/>
      <c r="S191" s="1783"/>
      <c r="T191" s="1783"/>
      <c r="U191" s="1783"/>
      <c r="V191" s="1783"/>
      <c r="W191" s="1783"/>
      <c r="X191" s="1783"/>
      <c r="Y191" s="1783"/>
      <c r="Z191" s="1783"/>
      <c r="AA191" s="1783"/>
      <c r="AB191" s="1783"/>
      <c r="AC191" s="1783"/>
      <c r="AD191" s="1783"/>
      <c r="AE191" s="1783"/>
      <c r="AF191" s="1783"/>
      <c r="AG191" s="1783"/>
      <c r="AH191" s="1783"/>
      <c r="AI191" s="1783"/>
      <c r="AJ191" s="1783"/>
      <c r="AK191" s="1783"/>
      <c r="AL191" s="1783"/>
      <c r="AM191" s="1783"/>
      <c r="AN191" s="1783"/>
      <c r="AO191" s="1783"/>
      <c r="AP191" s="1783"/>
      <c r="AQ191" s="1783"/>
      <c r="AR191" s="1783"/>
      <c r="AS191" s="1783"/>
      <c r="AT191" s="1783"/>
      <c r="AU191" s="1783"/>
      <c r="AV191" s="1783"/>
      <c r="AW191" s="1783"/>
      <c r="AX191" s="1783"/>
      <c r="AY191" s="1783"/>
      <c r="AZ191" s="1783"/>
      <c r="BA191" s="1783"/>
      <c r="BB191" s="1783"/>
      <c r="BC191" s="1783"/>
      <c r="BD191" s="1783"/>
      <c r="BE191" s="1783"/>
      <c r="BF191" s="1783"/>
      <c r="BG191" s="1783"/>
      <c r="BH191" s="1783"/>
      <c r="BI191" s="1783"/>
    </row>
    <row r="192" spans="1:61">
      <c r="A192" s="1819"/>
      <c r="B192" s="1818"/>
      <c r="C192" s="1818"/>
      <c r="D192" s="1818"/>
      <c r="E192" s="1818"/>
      <c r="F192" s="1818"/>
      <c r="G192" s="1818"/>
      <c r="H192" s="1783"/>
      <c r="I192" s="1783"/>
      <c r="J192" s="1783"/>
      <c r="K192" s="1783"/>
      <c r="L192" s="1783"/>
      <c r="M192" s="1783"/>
      <c r="N192" s="1783"/>
      <c r="O192" s="1783"/>
      <c r="P192" s="1783"/>
      <c r="Q192" s="1783"/>
      <c r="R192" s="1783"/>
      <c r="S192" s="1783"/>
      <c r="T192" s="1783"/>
      <c r="U192" s="1783"/>
      <c r="V192" s="1783"/>
      <c r="W192" s="1783"/>
      <c r="X192" s="1783"/>
      <c r="Y192" s="1783"/>
      <c r="Z192" s="1783"/>
      <c r="AA192" s="1783"/>
      <c r="AB192" s="1783"/>
      <c r="AC192" s="1783"/>
      <c r="AD192" s="1783"/>
      <c r="AE192" s="1783"/>
      <c r="AF192" s="1783"/>
      <c r="AG192" s="1783"/>
      <c r="AH192" s="1783"/>
      <c r="AI192" s="1783"/>
      <c r="AJ192" s="1783"/>
      <c r="AK192" s="1783"/>
      <c r="AL192" s="1783"/>
      <c r="AM192" s="1783"/>
      <c r="AN192" s="1783"/>
      <c r="AO192" s="1783"/>
      <c r="AP192" s="1783"/>
      <c r="AQ192" s="1783"/>
      <c r="AR192" s="1783"/>
      <c r="AS192" s="1783"/>
      <c r="AT192" s="1783"/>
      <c r="AU192" s="1783"/>
      <c r="AV192" s="1783"/>
      <c r="AW192" s="1783"/>
      <c r="AX192" s="1783"/>
      <c r="AY192" s="1783"/>
      <c r="AZ192" s="1783"/>
      <c r="BA192" s="1783"/>
      <c r="BB192" s="1783"/>
      <c r="BC192" s="1783"/>
      <c r="BD192" s="1783"/>
      <c r="BE192" s="1783"/>
      <c r="BF192" s="1783"/>
      <c r="BG192" s="1783"/>
      <c r="BH192" s="1783"/>
      <c r="BI192" s="1783"/>
    </row>
    <row r="193" spans="1:61">
      <c r="A193" s="1819"/>
      <c r="B193" s="1818"/>
      <c r="C193" s="1818"/>
      <c r="D193" s="1818"/>
      <c r="E193" s="1818"/>
      <c r="F193" s="1818"/>
      <c r="G193" s="1818"/>
      <c r="H193" s="1783"/>
      <c r="I193" s="1783"/>
      <c r="J193" s="1783"/>
      <c r="K193" s="1783"/>
      <c r="L193" s="1783"/>
      <c r="M193" s="1783"/>
      <c r="N193" s="1783"/>
      <c r="O193" s="1783"/>
      <c r="P193" s="1783"/>
      <c r="Q193" s="1783"/>
      <c r="R193" s="1783"/>
      <c r="S193" s="1783"/>
      <c r="T193" s="1783"/>
      <c r="U193" s="1783"/>
      <c r="V193" s="1783"/>
      <c r="W193" s="1783"/>
      <c r="X193" s="1783"/>
      <c r="Y193" s="1783"/>
      <c r="Z193" s="1783"/>
      <c r="AA193" s="1783"/>
      <c r="AB193" s="1783"/>
      <c r="AC193" s="1783"/>
      <c r="AD193" s="1783"/>
      <c r="AE193" s="1783"/>
      <c r="AF193" s="1783"/>
      <c r="AG193" s="1783"/>
      <c r="AH193" s="1783"/>
      <c r="AI193" s="1783"/>
      <c r="AJ193" s="1783"/>
      <c r="AK193" s="1783"/>
      <c r="AL193" s="1783"/>
      <c r="AM193" s="1783"/>
      <c r="AN193" s="1783"/>
      <c r="AO193" s="1783"/>
      <c r="AP193" s="1783"/>
      <c r="AQ193" s="1783"/>
      <c r="AR193" s="1783"/>
      <c r="AS193" s="1783"/>
      <c r="AT193" s="1783"/>
      <c r="AU193" s="1783"/>
      <c r="AV193" s="1783"/>
      <c r="AW193" s="1783"/>
      <c r="AX193" s="1783"/>
      <c r="AY193" s="1783"/>
      <c r="AZ193" s="1783"/>
      <c r="BA193" s="1783"/>
      <c r="BB193" s="1783"/>
      <c r="BC193" s="1783"/>
      <c r="BD193" s="1783"/>
      <c r="BE193" s="1783"/>
      <c r="BF193" s="1783"/>
      <c r="BG193" s="1783"/>
      <c r="BH193" s="1783"/>
      <c r="BI193" s="1783"/>
    </row>
    <row r="194" spans="1:61">
      <c r="A194" s="1819"/>
      <c r="B194" s="1818"/>
      <c r="C194" s="1818"/>
      <c r="D194" s="1818"/>
      <c r="E194" s="1818"/>
      <c r="F194" s="1818"/>
      <c r="G194" s="1818"/>
      <c r="H194" s="1783"/>
      <c r="I194" s="1783"/>
      <c r="J194" s="1783"/>
      <c r="K194" s="1783"/>
      <c r="L194" s="1783"/>
      <c r="M194" s="1783"/>
      <c r="N194" s="1783"/>
      <c r="O194" s="1783"/>
      <c r="P194" s="1783"/>
      <c r="Q194" s="1783"/>
      <c r="R194" s="1783"/>
      <c r="S194" s="1783"/>
      <c r="T194" s="1783"/>
      <c r="U194" s="1783"/>
      <c r="V194" s="1783"/>
      <c r="W194" s="1783"/>
      <c r="X194" s="1783"/>
      <c r="Y194" s="1783"/>
      <c r="Z194" s="1783"/>
      <c r="AA194" s="1783"/>
      <c r="AB194" s="1783"/>
      <c r="AC194" s="1783"/>
      <c r="AD194" s="1783"/>
      <c r="AE194" s="1783"/>
      <c r="AF194" s="1783"/>
      <c r="AG194" s="1783"/>
      <c r="AH194" s="1783"/>
      <c r="AI194" s="1783"/>
      <c r="AJ194" s="1783"/>
      <c r="AK194" s="1783"/>
      <c r="AL194" s="1783"/>
      <c r="AM194" s="1783"/>
      <c r="AN194" s="1783"/>
      <c r="AO194" s="1783"/>
      <c r="AP194" s="1783"/>
      <c r="AQ194" s="1783"/>
      <c r="AR194" s="1783"/>
      <c r="AS194" s="1783"/>
      <c r="AT194" s="1783"/>
      <c r="AU194" s="1783"/>
      <c r="AV194" s="1783"/>
      <c r="AW194" s="1783"/>
      <c r="AX194" s="1783"/>
      <c r="AY194" s="1783"/>
      <c r="AZ194" s="1783"/>
      <c r="BA194" s="1783"/>
      <c r="BB194" s="1783"/>
      <c r="BC194" s="1783"/>
      <c r="BD194" s="1783"/>
      <c r="BE194" s="1783"/>
      <c r="BF194" s="1783"/>
      <c r="BG194" s="1783"/>
      <c r="BH194" s="1783"/>
      <c r="BI194" s="1783"/>
    </row>
    <row r="195" spans="1:61">
      <c r="A195" s="1819"/>
      <c r="B195" s="1818"/>
      <c r="C195" s="1818"/>
      <c r="D195" s="1818"/>
      <c r="E195" s="1818"/>
      <c r="F195" s="1818"/>
      <c r="G195" s="1818"/>
      <c r="H195" s="1783"/>
      <c r="I195" s="1783"/>
      <c r="J195" s="1783"/>
      <c r="K195" s="1783"/>
      <c r="L195" s="1783"/>
      <c r="M195" s="1783"/>
      <c r="N195" s="1783"/>
      <c r="O195" s="1783"/>
      <c r="P195" s="1783"/>
      <c r="Q195" s="1783"/>
      <c r="R195" s="1783"/>
      <c r="S195" s="1783"/>
      <c r="T195" s="1783"/>
      <c r="U195" s="1783"/>
      <c r="V195" s="1783"/>
      <c r="W195" s="1783"/>
      <c r="X195" s="1783"/>
      <c r="Y195" s="1783"/>
      <c r="Z195" s="1783"/>
      <c r="AA195" s="1783"/>
      <c r="AB195" s="1783"/>
      <c r="AC195" s="1783"/>
      <c r="AD195" s="1783"/>
      <c r="AE195" s="1783"/>
      <c r="AF195" s="1783"/>
      <c r="AG195" s="1783"/>
      <c r="AH195" s="1783"/>
      <c r="AI195" s="1783"/>
      <c r="AJ195" s="1783"/>
      <c r="AK195" s="1783"/>
      <c r="AL195" s="1783"/>
      <c r="AM195" s="1783"/>
      <c r="AN195" s="1783"/>
      <c r="AO195" s="1783"/>
      <c r="AP195" s="1783"/>
      <c r="AQ195" s="1783"/>
      <c r="AR195" s="1783"/>
      <c r="AS195" s="1783"/>
      <c r="AT195" s="1783"/>
      <c r="AU195" s="1783"/>
      <c r="AV195" s="1783"/>
      <c r="AW195" s="1783"/>
      <c r="AX195" s="1783"/>
      <c r="AY195" s="1783"/>
      <c r="AZ195" s="1783"/>
      <c r="BA195" s="1783"/>
      <c r="BB195" s="1783"/>
      <c r="BC195" s="1783"/>
      <c r="BD195" s="1783"/>
      <c r="BE195" s="1783"/>
      <c r="BF195" s="1783"/>
      <c r="BG195" s="1783"/>
      <c r="BH195" s="1783"/>
      <c r="BI195" s="1783"/>
    </row>
    <row r="196" spans="1:61">
      <c r="A196" s="1819"/>
      <c r="B196" s="1818"/>
      <c r="C196" s="1818"/>
      <c r="D196" s="1818"/>
      <c r="E196" s="1818"/>
      <c r="F196" s="1818"/>
      <c r="G196" s="1818"/>
      <c r="H196" s="1783"/>
      <c r="I196" s="1783"/>
      <c r="J196" s="1783"/>
      <c r="K196" s="1783"/>
      <c r="L196" s="1783"/>
      <c r="M196" s="1783"/>
      <c r="N196" s="1783"/>
      <c r="O196" s="1783"/>
      <c r="P196" s="1783"/>
      <c r="Q196" s="1783"/>
      <c r="R196" s="1783"/>
      <c r="S196" s="1783"/>
      <c r="T196" s="1783"/>
      <c r="U196" s="1783"/>
      <c r="V196" s="1783"/>
      <c r="W196" s="1783"/>
      <c r="X196" s="1783"/>
      <c r="Y196" s="1783"/>
      <c r="Z196" s="1783"/>
      <c r="AA196" s="1783"/>
      <c r="AB196" s="1783"/>
      <c r="AC196" s="1783"/>
      <c r="AD196" s="1783"/>
      <c r="AE196" s="1783"/>
      <c r="AF196" s="1783"/>
      <c r="AG196" s="1783"/>
      <c r="AH196" s="1783"/>
      <c r="AI196" s="1783"/>
      <c r="AJ196" s="1783"/>
      <c r="AK196" s="1783"/>
      <c r="AL196" s="1783"/>
      <c r="AM196" s="1783"/>
      <c r="AN196" s="1783"/>
      <c r="AO196" s="1783"/>
      <c r="AP196" s="1783"/>
      <c r="AQ196" s="1783"/>
      <c r="AR196" s="1783"/>
      <c r="AS196" s="1783"/>
      <c r="AT196" s="1783"/>
      <c r="AU196" s="1783"/>
      <c r="AV196" s="1783"/>
      <c r="AW196" s="1783"/>
      <c r="AX196" s="1783"/>
      <c r="AY196" s="1783"/>
      <c r="AZ196" s="1783"/>
      <c r="BA196" s="1783"/>
      <c r="BB196" s="1783"/>
      <c r="BC196" s="1783"/>
      <c r="BD196" s="1783"/>
      <c r="BE196" s="1783"/>
      <c r="BF196" s="1783"/>
      <c r="BG196" s="1783"/>
      <c r="BH196" s="1783"/>
      <c r="BI196" s="1783"/>
    </row>
    <row r="197" spans="1:61">
      <c r="A197" s="1819"/>
      <c r="B197" s="1818"/>
      <c r="C197" s="1818"/>
      <c r="D197" s="1818"/>
      <c r="E197" s="1818"/>
      <c r="F197" s="1818"/>
      <c r="G197" s="1818"/>
      <c r="H197" s="1783"/>
      <c r="I197" s="1783"/>
      <c r="J197" s="1783"/>
      <c r="K197" s="1783"/>
      <c r="L197" s="1783"/>
      <c r="M197" s="1783"/>
      <c r="N197" s="1783"/>
      <c r="O197" s="1783"/>
      <c r="P197" s="1783"/>
      <c r="Q197" s="1783"/>
      <c r="R197" s="1783"/>
      <c r="S197" s="1783"/>
      <c r="T197" s="1783"/>
      <c r="U197" s="1783"/>
      <c r="V197" s="1783"/>
      <c r="W197" s="1783"/>
      <c r="X197" s="1783"/>
      <c r="Y197" s="1783"/>
      <c r="Z197" s="1783"/>
      <c r="AA197" s="1783"/>
      <c r="AB197" s="1783"/>
      <c r="AC197" s="1783"/>
      <c r="AD197" s="1783"/>
      <c r="AE197" s="1783"/>
      <c r="AF197" s="1783"/>
      <c r="AG197" s="1783"/>
      <c r="AH197" s="1783"/>
      <c r="AI197" s="1783"/>
      <c r="AJ197" s="1783"/>
      <c r="AK197" s="1783"/>
      <c r="AL197" s="1783"/>
      <c r="AM197" s="1783"/>
      <c r="AN197" s="1783"/>
      <c r="AO197" s="1783"/>
      <c r="AP197" s="1783"/>
      <c r="AQ197" s="1783"/>
      <c r="AR197" s="1783"/>
      <c r="AS197" s="1783"/>
      <c r="AT197" s="1783"/>
      <c r="AU197" s="1783"/>
      <c r="AV197" s="1783"/>
      <c r="AW197" s="1783"/>
      <c r="AX197" s="1783"/>
      <c r="AY197" s="1783"/>
      <c r="AZ197" s="1783"/>
      <c r="BA197" s="1783"/>
      <c r="BB197" s="1783"/>
      <c r="BC197" s="1783"/>
      <c r="BD197" s="1783"/>
      <c r="BE197" s="1783"/>
      <c r="BF197" s="1783"/>
      <c r="BG197" s="1783"/>
      <c r="BH197" s="1783"/>
      <c r="BI197" s="1783"/>
    </row>
    <row r="198" spans="1:61">
      <c r="A198" s="1819"/>
      <c r="B198" s="1818"/>
      <c r="C198" s="1818"/>
      <c r="D198" s="1818"/>
      <c r="E198" s="1818"/>
      <c r="F198" s="1818"/>
      <c r="G198" s="1818"/>
      <c r="H198" s="1783"/>
      <c r="I198" s="1783"/>
      <c r="J198" s="1783"/>
      <c r="K198" s="1783"/>
      <c r="L198" s="1783"/>
      <c r="M198" s="1783"/>
      <c r="N198" s="1783"/>
      <c r="O198" s="1783"/>
      <c r="P198" s="1783"/>
      <c r="Q198" s="1783"/>
      <c r="R198" s="1783"/>
      <c r="S198" s="1783"/>
      <c r="T198" s="1783"/>
      <c r="U198" s="1783"/>
      <c r="V198" s="1783"/>
      <c r="W198" s="1783"/>
      <c r="X198" s="1783"/>
      <c r="Y198" s="1783"/>
      <c r="Z198" s="1783"/>
      <c r="AA198" s="1783"/>
      <c r="AB198" s="1783"/>
      <c r="AC198" s="1783"/>
      <c r="AD198" s="1783"/>
      <c r="AE198" s="1783"/>
      <c r="AF198" s="1783"/>
      <c r="AG198" s="1783"/>
      <c r="AH198" s="1783"/>
      <c r="AI198" s="1783"/>
      <c r="AJ198" s="1783"/>
      <c r="AK198" s="1783"/>
      <c r="AL198" s="1783"/>
      <c r="AM198" s="1783"/>
      <c r="AN198" s="1783"/>
      <c r="AO198" s="1783"/>
      <c r="AP198" s="1783"/>
      <c r="AQ198" s="1783"/>
      <c r="AR198" s="1783"/>
      <c r="AS198" s="1783"/>
      <c r="AT198" s="1783"/>
      <c r="AU198" s="1783"/>
      <c r="AV198" s="1783"/>
      <c r="AW198" s="1783"/>
      <c r="AX198" s="1783"/>
      <c r="AY198" s="1783"/>
      <c r="AZ198" s="1783"/>
      <c r="BA198" s="1783"/>
      <c r="BB198" s="1783"/>
      <c r="BC198" s="1783"/>
      <c r="BD198" s="1783"/>
      <c r="BE198" s="1783"/>
      <c r="BF198" s="1783"/>
      <c r="BG198" s="1783"/>
      <c r="BH198" s="1783"/>
      <c r="BI198" s="1783"/>
    </row>
    <row r="199" spans="1:61">
      <c r="A199" s="1819"/>
      <c r="B199" s="1818"/>
      <c r="C199" s="1818"/>
      <c r="D199" s="1818"/>
      <c r="E199" s="1818"/>
      <c r="F199" s="1818"/>
      <c r="G199" s="1818"/>
      <c r="H199" s="1783"/>
      <c r="I199" s="1783"/>
      <c r="J199" s="1783"/>
      <c r="K199" s="1783"/>
      <c r="L199" s="1783"/>
      <c r="M199" s="1783"/>
      <c r="N199" s="1783"/>
      <c r="O199" s="1783"/>
      <c r="P199" s="1783"/>
      <c r="Q199" s="1783"/>
      <c r="R199" s="1783"/>
      <c r="S199" s="1783"/>
      <c r="T199" s="1783"/>
      <c r="U199" s="1783"/>
      <c r="V199" s="1783"/>
      <c r="W199" s="1783"/>
      <c r="X199" s="1783"/>
      <c r="Y199" s="1783"/>
      <c r="Z199" s="1783"/>
      <c r="AA199" s="1783"/>
      <c r="AB199" s="1783"/>
      <c r="AC199" s="1783"/>
      <c r="AD199" s="1783"/>
      <c r="AE199" s="1783"/>
      <c r="AF199" s="1783"/>
      <c r="AG199" s="1783"/>
      <c r="AH199" s="1783"/>
      <c r="AI199" s="1783"/>
      <c r="AJ199" s="1783"/>
      <c r="AK199" s="1783"/>
      <c r="AL199" s="1783"/>
      <c r="AM199" s="1783"/>
      <c r="AN199" s="1783"/>
      <c r="AO199" s="1783"/>
      <c r="AP199" s="1783"/>
      <c r="AQ199" s="1783"/>
      <c r="AR199" s="1783"/>
      <c r="AS199" s="1783"/>
      <c r="AT199" s="1783"/>
      <c r="AU199" s="1783"/>
      <c r="AV199" s="1783"/>
      <c r="AW199" s="1783"/>
      <c r="AX199" s="1783"/>
      <c r="AY199" s="1783"/>
      <c r="AZ199" s="1783"/>
      <c r="BA199" s="1783"/>
      <c r="BB199" s="1783"/>
      <c r="BC199" s="1783"/>
      <c r="BD199" s="1783"/>
      <c r="BE199" s="1783"/>
      <c r="BF199" s="1783"/>
      <c r="BG199" s="1783"/>
      <c r="BH199" s="1783"/>
      <c r="BI199" s="1783"/>
    </row>
    <row r="200" spans="1:61">
      <c r="A200" s="1819"/>
      <c r="B200" s="1818"/>
      <c r="C200" s="1818"/>
      <c r="D200" s="1818"/>
      <c r="E200" s="1818"/>
      <c r="F200" s="1818"/>
      <c r="G200" s="1818"/>
      <c r="H200" s="1783"/>
      <c r="I200" s="1783"/>
      <c r="J200" s="1783"/>
      <c r="K200" s="1783"/>
      <c r="L200" s="1783"/>
      <c r="M200" s="1783"/>
      <c r="N200" s="1783"/>
      <c r="O200" s="1783"/>
      <c r="P200" s="1783"/>
      <c r="Q200" s="1783"/>
      <c r="R200" s="1783"/>
      <c r="S200" s="1783"/>
      <c r="T200" s="1783"/>
      <c r="U200" s="1783"/>
      <c r="V200" s="1783"/>
      <c r="W200" s="1783"/>
      <c r="X200" s="1783"/>
      <c r="Y200" s="1783"/>
      <c r="Z200" s="1783"/>
      <c r="AA200" s="1783"/>
      <c r="AB200" s="1783"/>
      <c r="AC200" s="1783"/>
      <c r="AD200" s="1783"/>
      <c r="AE200" s="1783"/>
      <c r="AF200" s="1783"/>
      <c r="AG200" s="1783"/>
      <c r="AH200" s="1783"/>
      <c r="AI200" s="1783"/>
      <c r="AJ200" s="1783"/>
      <c r="AK200" s="1783"/>
      <c r="AL200" s="1783"/>
      <c r="AM200" s="1783"/>
      <c r="AN200" s="1783"/>
      <c r="AO200" s="1783"/>
      <c r="AP200" s="1783"/>
      <c r="AQ200" s="1783"/>
      <c r="AR200" s="1783"/>
      <c r="AS200" s="1783"/>
      <c r="AT200" s="1783"/>
      <c r="AU200" s="1783"/>
      <c r="AV200" s="1783"/>
      <c r="AW200" s="1783"/>
      <c r="AX200" s="1783"/>
      <c r="AY200" s="1783"/>
      <c r="AZ200" s="1783"/>
      <c r="BA200" s="1783"/>
      <c r="BB200" s="1783"/>
      <c r="BC200" s="1783"/>
      <c r="BD200" s="1783"/>
      <c r="BE200" s="1783"/>
      <c r="BF200" s="1783"/>
      <c r="BG200" s="1783"/>
      <c r="BH200" s="1783"/>
      <c r="BI200" s="1783"/>
    </row>
    <row r="201" spans="1:61">
      <c r="A201" s="1819"/>
      <c r="B201" s="1818"/>
      <c r="C201" s="1818"/>
      <c r="D201" s="1818"/>
      <c r="E201" s="1818"/>
      <c r="F201" s="1818"/>
      <c r="G201" s="1818"/>
      <c r="H201" s="1783"/>
      <c r="I201" s="1783"/>
      <c r="J201" s="1783"/>
      <c r="K201" s="1783"/>
      <c r="L201" s="1783"/>
      <c r="M201" s="1783"/>
      <c r="N201" s="1783"/>
      <c r="O201" s="1783"/>
      <c r="P201" s="1783"/>
      <c r="Q201" s="1783"/>
      <c r="R201" s="1783"/>
      <c r="S201" s="1783"/>
      <c r="T201" s="1783"/>
      <c r="U201" s="1783"/>
      <c r="V201" s="1783"/>
      <c r="W201" s="1783"/>
      <c r="X201" s="1783"/>
      <c r="Y201" s="1783"/>
      <c r="Z201" s="1783"/>
      <c r="AA201" s="1783"/>
      <c r="AB201" s="1783"/>
      <c r="AC201" s="1783"/>
      <c r="AD201" s="1783"/>
      <c r="AE201" s="1783"/>
      <c r="AF201" s="1783"/>
      <c r="AG201" s="1783"/>
      <c r="AH201" s="1783"/>
      <c r="AI201" s="1783"/>
      <c r="AJ201" s="1783"/>
      <c r="AK201" s="1783"/>
      <c r="AL201" s="1783"/>
      <c r="AM201" s="1783"/>
      <c r="AN201" s="1783"/>
      <c r="AO201" s="1783"/>
      <c r="AP201" s="1783"/>
      <c r="AQ201" s="1783"/>
      <c r="AR201" s="1783"/>
      <c r="AS201" s="1783"/>
      <c r="AT201" s="1783"/>
      <c r="AU201" s="1783"/>
      <c r="AV201" s="1783"/>
      <c r="AW201" s="1783"/>
      <c r="AX201" s="1783"/>
      <c r="AY201" s="1783"/>
      <c r="AZ201" s="1783"/>
      <c r="BA201" s="1783"/>
      <c r="BB201" s="1783"/>
      <c r="BC201" s="1783"/>
      <c r="BD201" s="1783"/>
      <c r="BE201" s="1783"/>
      <c r="BF201" s="1783"/>
      <c r="BG201" s="1783"/>
      <c r="BH201" s="1783"/>
      <c r="BI201" s="1783"/>
    </row>
    <row r="202" spans="1:61">
      <c r="A202" s="1819"/>
      <c r="B202" s="1818"/>
      <c r="C202" s="1818"/>
      <c r="D202" s="1818"/>
      <c r="E202" s="1818"/>
      <c r="F202" s="1818"/>
      <c r="G202" s="1818"/>
      <c r="H202" s="1783"/>
      <c r="I202" s="1783"/>
      <c r="J202" s="1783"/>
      <c r="K202" s="1783"/>
      <c r="L202" s="1783"/>
      <c r="M202" s="1783"/>
      <c r="N202" s="1783"/>
      <c r="O202" s="1783"/>
      <c r="P202" s="1783"/>
      <c r="Q202" s="1783"/>
      <c r="R202" s="1783"/>
      <c r="S202" s="1783"/>
      <c r="T202" s="1783"/>
      <c r="U202" s="1783"/>
      <c r="V202" s="1783"/>
      <c r="W202" s="1783"/>
      <c r="X202" s="1783"/>
      <c r="Y202" s="1783"/>
      <c r="Z202" s="1783"/>
      <c r="AA202" s="1783"/>
      <c r="AB202" s="1783"/>
      <c r="AC202" s="1783"/>
      <c r="AD202" s="1783"/>
      <c r="AE202" s="1783"/>
      <c r="AF202" s="1783"/>
      <c r="AG202" s="1783"/>
      <c r="AH202" s="1783"/>
      <c r="AI202" s="1783"/>
      <c r="AJ202" s="1783"/>
      <c r="AK202" s="1783"/>
      <c r="AL202" s="1783"/>
      <c r="AM202" s="1783"/>
      <c r="AN202" s="1783"/>
      <c r="AO202" s="1783"/>
      <c r="AP202" s="1783"/>
      <c r="AQ202" s="1783"/>
      <c r="AR202" s="1783"/>
      <c r="AS202" s="1783"/>
      <c r="AT202" s="1783"/>
      <c r="AU202" s="1783"/>
      <c r="AV202" s="1783"/>
      <c r="AW202" s="1783"/>
      <c r="AX202" s="1783"/>
      <c r="AY202" s="1783"/>
      <c r="AZ202" s="1783"/>
      <c r="BA202" s="1783"/>
      <c r="BB202" s="1783"/>
      <c r="BC202" s="1783"/>
      <c r="BD202" s="1783"/>
      <c r="BE202" s="1783"/>
      <c r="BF202" s="1783"/>
      <c r="BG202" s="1783"/>
      <c r="BH202" s="1783"/>
      <c r="BI202" s="1783"/>
    </row>
    <row r="203" spans="1:61">
      <c r="A203" s="1819"/>
      <c r="B203" s="1818"/>
      <c r="C203" s="1818"/>
      <c r="D203" s="1818"/>
      <c r="E203" s="1818"/>
      <c r="F203" s="1818"/>
      <c r="G203" s="1818"/>
      <c r="H203" s="1783"/>
      <c r="I203" s="1783"/>
      <c r="J203" s="1783"/>
      <c r="K203" s="1783"/>
      <c r="L203" s="1783"/>
      <c r="M203" s="1783"/>
      <c r="N203" s="1783"/>
      <c r="O203" s="1783"/>
      <c r="P203" s="1783"/>
      <c r="Q203" s="1783"/>
      <c r="R203" s="1783"/>
      <c r="S203" s="1783"/>
      <c r="T203" s="1783"/>
      <c r="U203" s="1783"/>
      <c r="V203" s="1783"/>
      <c r="W203" s="1783"/>
      <c r="X203" s="1783"/>
      <c r="Y203" s="1783"/>
      <c r="Z203" s="1783"/>
      <c r="AA203" s="1783"/>
      <c r="AB203" s="1783"/>
      <c r="AC203" s="1783"/>
      <c r="AD203" s="1783"/>
      <c r="AE203" s="1783"/>
      <c r="AF203" s="1783"/>
      <c r="AG203" s="1783"/>
      <c r="AH203" s="1783"/>
      <c r="AI203" s="1783"/>
      <c r="AJ203" s="1783"/>
      <c r="AK203" s="1783"/>
      <c r="AL203" s="1783"/>
      <c r="AM203" s="1783"/>
      <c r="AN203" s="1783"/>
      <c r="AO203" s="1783"/>
      <c r="AP203" s="1783"/>
      <c r="AQ203" s="1783"/>
      <c r="AR203" s="1783"/>
      <c r="AS203" s="1783"/>
      <c r="AT203" s="1783"/>
      <c r="AU203" s="1783"/>
      <c r="AV203" s="1783"/>
      <c r="AW203" s="1783"/>
      <c r="AX203" s="1783"/>
      <c r="AY203" s="1783"/>
      <c r="AZ203" s="1783"/>
      <c r="BA203" s="1783"/>
      <c r="BB203" s="1783"/>
      <c r="BC203" s="1783"/>
      <c r="BD203" s="1783"/>
      <c r="BE203" s="1783"/>
      <c r="BF203" s="1783"/>
      <c r="BG203" s="1783"/>
      <c r="BH203" s="1783"/>
      <c r="BI203" s="1783"/>
    </row>
    <row r="204" spans="1:61">
      <c r="A204" s="1819"/>
      <c r="B204" s="1818"/>
      <c r="C204" s="1818"/>
      <c r="D204" s="1818"/>
      <c r="E204" s="1818"/>
      <c r="F204" s="1818"/>
      <c r="G204" s="1818"/>
      <c r="H204" s="1783"/>
      <c r="I204" s="1783"/>
      <c r="J204" s="1783"/>
      <c r="K204" s="1783"/>
      <c r="L204" s="1783"/>
      <c r="M204" s="1783"/>
      <c r="N204" s="1783"/>
      <c r="O204" s="1783"/>
      <c r="P204" s="1783"/>
      <c r="Q204" s="1783"/>
      <c r="R204" s="1783"/>
      <c r="S204" s="1783"/>
      <c r="T204" s="1783"/>
      <c r="U204" s="1783"/>
      <c r="V204" s="1783"/>
      <c r="W204" s="1783"/>
      <c r="X204" s="1783"/>
      <c r="Y204" s="1783"/>
      <c r="Z204" s="1783"/>
      <c r="AA204" s="1783"/>
      <c r="AB204" s="1783"/>
      <c r="AC204" s="1783"/>
      <c r="AD204" s="1783"/>
      <c r="AE204" s="1783"/>
      <c r="AF204" s="1783"/>
      <c r="AG204" s="1783"/>
      <c r="AH204" s="1783"/>
      <c r="AI204" s="1783"/>
      <c r="AJ204" s="1783"/>
      <c r="AK204" s="1783"/>
      <c r="AL204" s="1783"/>
      <c r="AM204" s="1783"/>
      <c r="AN204" s="1783"/>
      <c r="AO204" s="1783"/>
      <c r="AP204" s="1783"/>
      <c r="AQ204" s="1783"/>
      <c r="AR204" s="1783"/>
      <c r="AS204" s="1783"/>
      <c r="AT204" s="1783"/>
      <c r="AU204" s="1783"/>
      <c r="AV204" s="1783"/>
      <c r="AW204" s="1783"/>
      <c r="AX204" s="1783"/>
      <c r="AY204" s="1783"/>
      <c r="AZ204" s="1783"/>
      <c r="BA204" s="1783"/>
      <c r="BB204" s="1783"/>
      <c r="BC204" s="1783"/>
      <c r="BD204" s="1783"/>
      <c r="BE204" s="1783"/>
      <c r="BF204" s="1783"/>
      <c r="BG204" s="1783"/>
      <c r="BH204" s="1783"/>
      <c r="BI204" s="1783"/>
    </row>
    <row r="205" spans="1:61">
      <c r="A205" s="1819"/>
      <c r="B205" s="1818"/>
      <c r="C205" s="1818"/>
      <c r="D205" s="1818"/>
      <c r="E205" s="1818"/>
      <c r="F205" s="1818"/>
      <c r="G205" s="1818"/>
      <c r="H205" s="1783"/>
      <c r="I205" s="1783"/>
      <c r="J205" s="1783"/>
      <c r="K205" s="1783"/>
      <c r="L205" s="1783"/>
      <c r="M205" s="1783"/>
      <c r="N205" s="1783"/>
      <c r="O205" s="1783"/>
      <c r="P205" s="1783"/>
      <c r="Q205" s="1783"/>
      <c r="R205" s="1783"/>
      <c r="S205" s="1783"/>
      <c r="T205" s="1783"/>
      <c r="U205" s="1783"/>
      <c r="V205" s="1783"/>
      <c r="W205" s="1783"/>
      <c r="X205" s="1783"/>
      <c r="Y205" s="1783"/>
      <c r="Z205" s="1783"/>
      <c r="AA205" s="1783"/>
      <c r="AB205" s="1783"/>
      <c r="AC205" s="1783"/>
      <c r="AD205" s="1783"/>
      <c r="AE205" s="1783"/>
      <c r="AF205" s="1783"/>
      <c r="AG205" s="1783"/>
      <c r="AH205" s="1783"/>
      <c r="AI205" s="1783"/>
      <c r="AJ205" s="1783"/>
      <c r="AK205" s="1783"/>
      <c r="AL205" s="1783"/>
      <c r="AM205" s="1783"/>
      <c r="AN205" s="1783"/>
      <c r="AO205" s="1783"/>
      <c r="AP205" s="1783"/>
      <c r="AQ205" s="1783"/>
      <c r="AR205" s="1783"/>
      <c r="AS205" s="1783"/>
      <c r="AT205" s="1783"/>
      <c r="AU205" s="1783"/>
      <c r="AV205" s="1783"/>
      <c r="AW205" s="1783"/>
      <c r="AX205" s="1783"/>
      <c r="AY205" s="1783"/>
      <c r="AZ205" s="1783"/>
      <c r="BA205" s="1783"/>
      <c r="BB205" s="1783"/>
      <c r="BC205" s="1783"/>
      <c r="BD205" s="1783"/>
      <c r="BE205" s="1783"/>
      <c r="BF205" s="1783"/>
      <c r="BG205" s="1783"/>
      <c r="BH205" s="1783"/>
      <c r="BI205" s="1783"/>
    </row>
    <row r="206" spans="1:61">
      <c r="A206" s="1819"/>
      <c r="B206" s="1818"/>
      <c r="C206" s="1818"/>
      <c r="D206" s="1818"/>
      <c r="E206" s="1818"/>
      <c r="F206" s="1818"/>
      <c r="G206" s="1818"/>
      <c r="H206" s="1783"/>
      <c r="I206" s="1783"/>
      <c r="J206" s="1783"/>
      <c r="K206" s="1783"/>
      <c r="L206" s="1783"/>
      <c r="M206" s="1783"/>
      <c r="N206" s="1783"/>
      <c r="O206" s="1783"/>
      <c r="P206" s="1783"/>
      <c r="Q206" s="1783"/>
      <c r="R206" s="1783"/>
      <c r="S206" s="1783"/>
      <c r="T206" s="1783"/>
      <c r="U206" s="1783"/>
      <c r="V206" s="1783"/>
      <c r="W206" s="1783"/>
      <c r="X206" s="1783"/>
      <c r="Y206" s="1783"/>
      <c r="Z206" s="1783"/>
      <c r="AA206" s="1783"/>
      <c r="AB206" s="1783"/>
      <c r="AC206" s="1783"/>
      <c r="AD206" s="1783"/>
      <c r="AE206" s="1783"/>
      <c r="AF206" s="1783"/>
      <c r="AG206" s="1783"/>
      <c r="AH206" s="1783"/>
      <c r="AI206" s="1783"/>
      <c r="AJ206" s="1783"/>
      <c r="AK206" s="1783"/>
      <c r="AL206" s="1783"/>
      <c r="AM206" s="1783"/>
      <c r="AN206" s="1783"/>
      <c r="AO206" s="1783"/>
      <c r="AP206" s="1783"/>
      <c r="AQ206" s="1783"/>
      <c r="AR206" s="1783"/>
      <c r="AS206" s="1783"/>
      <c r="AT206" s="1783"/>
      <c r="AU206" s="1783"/>
      <c r="AV206" s="1783"/>
      <c r="AW206" s="1783"/>
      <c r="AX206" s="1783"/>
      <c r="AY206" s="1783"/>
      <c r="AZ206" s="1783"/>
      <c r="BA206" s="1783"/>
      <c r="BB206" s="1783"/>
      <c r="BC206" s="1783"/>
      <c r="BD206" s="1783"/>
      <c r="BE206" s="1783"/>
      <c r="BF206" s="1783"/>
      <c r="BG206" s="1783"/>
      <c r="BH206" s="1783"/>
      <c r="BI206" s="1783"/>
    </row>
    <row r="207" spans="1:61">
      <c r="A207" s="1819"/>
      <c r="B207" s="1818"/>
      <c r="C207" s="1818"/>
      <c r="D207" s="1818"/>
      <c r="E207" s="1818"/>
      <c r="F207" s="1818"/>
      <c r="G207" s="1818"/>
      <c r="H207" s="1783"/>
      <c r="I207" s="1783"/>
      <c r="J207" s="1783"/>
      <c r="K207" s="1783"/>
      <c r="L207" s="1783"/>
      <c r="M207" s="1783"/>
      <c r="N207" s="1783"/>
      <c r="O207" s="1783"/>
      <c r="P207" s="1783"/>
      <c r="Q207" s="1783"/>
      <c r="R207" s="1783"/>
      <c r="S207" s="1783"/>
      <c r="T207" s="1783"/>
      <c r="U207" s="1783"/>
      <c r="V207" s="1783"/>
      <c r="W207" s="1783"/>
      <c r="X207" s="1783"/>
      <c r="Y207" s="1783"/>
      <c r="Z207" s="1783"/>
      <c r="AA207" s="1783"/>
      <c r="AB207" s="1783"/>
      <c r="AC207" s="1783"/>
      <c r="AD207" s="1783"/>
      <c r="AE207" s="1783"/>
      <c r="AF207" s="1783"/>
      <c r="AG207" s="1783"/>
      <c r="AH207" s="1783"/>
      <c r="AI207" s="1783"/>
      <c r="AJ207" s="1783"/>
      <c r="AK207" s="1783"/>
      <c r="AL207" s="1783"/>
      <c r="AM207" s="1783"/>
      <c r="AN207" s="1783"/>
      <c r="AO207" s="1783"/>
      <c r="AP207" s="1783"/>
      <c r="AQ207" s="1783"/>
      <c r="AR207" s="1783"/>
      <c r="AS207" s="1783"/>
      <c r="AT207" s="1783"/>
      <c r="AU207" s="1783"/>
      <c r="AV207" s="1783"/>
      <c r="AW207" s="1783"/>
      <c r="AX207" s="1783"/>
      <c r="AY207" s="1783"/>
      <c r="AZ207" s="1783"/>
      <c r="BA207" s="1783"/>
      <c r="BB207" s="1783"/>
      <c r="BC207" s="1783"/>
      <c r="BD207" s="1783"/>
      <c r="BE207" s="1783"/>
      <c r="BF207" s="1783"/>
      <c r="BG207" s="1783"/>
      <c r="BH207" s="1783"/>
      <c r="BI207" s="1783"/>
    </row>
    <row r="208" spans="1:61">
      <c r="A208" s="1819"/>
      <c r="B208" s="1818"/>
      <c r="C208" s="1818"/>
      <c r="D208" s="1818"/>
      <c r="E208" s="1818"/>
      <c r="F208" s="1818"/>
      <c r="G208" s="1818"/>
      <c r="H208" s="1783"/>
      <c r="I208" s="1783"/>
      <c r="J208" s="1783"/>
      <c r="K208" s="1783"/>
      <c r="L208" s="1783"/>
      <c r="M208" s="1783"/>
      <c r="N208" s="1783"/>
      <c r="O208" s="1783"/>
      <c r="P208" s="1783"/>
      <c r="Q208" s="1783"/>
      <c r="R208" s="1783"/>
      <c r="S208" s="1783"/>
      <c r="T208" s="1783"/>
      <c r="U208" s="1783"/>
      <c r="V208" s="1783"/>
      <c r="W208" s="1783"/>
      <c r="X208" s="1783"/>
      <c r="Y208" s="1783"/>
      <c r="Z208" s="1783"/>
      <c r="AA208" s="1783"/>
      <c r="AB208" s="1783"/>
      <c r="AC208" s="1783"/>
      <c r="AD208" s="1783"/>
      <c r="AE208" s="1783"/>
      <c r="AF208" s="1783"/>
      <c r="AG208" s="1783"/>
      <c r="AH208" s="1783"/>
      <c r="AI208" s="1783"/>
      <c r="AJ208" s="1783"/>
      <c r="AK208" s="1783"/>
      <c r="AL208" s="1783"/>
      <c r="AM208" s="1783"/>
      <c r="AN208" s="1783"/>
      <c r="AO208" s="1783"/>
      <c r="AP208" s="1783"/>
      <c r="AQ208" s="1783"/>
      <c r="AR208" s="1783"/>
      <c r="AS208" s="1783"/>
      <c r="AT208" s="1783"/>
      <c r="AU208" s="1783"/>
      <c r="AV208" s="1783"/>
      <c r="AW208" s="1783"/>
      <c r="AX208" s="1783"/>
      <c r="AY208" s="1783"/>
      <c r="AZ208" s="1783"/>
      <c r="BA208" s="1783"/>
      <c r="BB208" s="1783"/>
      <c r="BC208" s="1783"/>
      <c r="BD208" s="1783"/>
      <c r="BE208" s="1783"/>
      <c r="BF208" s="1783"/>
      <c r="BG208" s="1783"/>
      <c r="BH208" s="1783"/>
      <c r="BI208" s="1783"/>
    </row>
    <row r="209" spans="1:61">
      <c r="A209" s="1819"/>
      <c r="B209" s="1818"/>
      <c r="C209" s="1818"/>
      <c r="D209" s="1818"/>
      <c r="E209" s="1818"/>
      <c r="F209" s="1818"/>
      <c r="G209" s="1818"/>
      <c r="H209" s="1783"/>
      <c r="I209" s="1783"/>
      <c r="J209" s="1783"/>
      <c r="K209" s="1783"/>
      <c r="L209" s="1783"/>
      <c r="M209" s="1783"/>
      <c r="N209" s="1783"/>
      <c r="O209" s="1783"/>
      <c r="P209" s="1783"/>
      <c r="Q209" s="1783"/>
      <c r="R209" s="1783"/>
      <c r="S209" s="1783"/>
      <c r="T209" s="1783"/>
      <c r="U209" s="1783"/>
      <c r="V209" s="1783"/>
      <c r="W209" s="1783"/>
      <c r="X209" s="1783"/>
      <c r="Y209" s="1783"/>
      <c r="Z209" s="1783"/>
      <c r="AA209" s="1783"/>
      <c r="AB209" s="1783"/>
      <c r="AC209" s="1783"/>
      <c r="AD209" s="1783"/>
      <c r="AE209" s="1783"/>
      <c r="AF209" s="1783"/>
      <c r="AG209" s="1783"/>
      <c r="AH209" s="1783"/>
      <c r="AI209" s="1783"/>
      <c r="AJ209" s="1783"/>
      <c r="AK209" s="1783"/>
      <c r="AL209" s="1783"/>
      <c r="AM209" s="1783"/>
      <c r="AN209" s="1783"/>
      <c r="AO209" s="1783"/>
      <c r="AP209" s="1783"/>
      <c r="AQ209" s="1783"/>
      <c r="AR209" s="1783"/>
      <c r="AS209" s="1783"/>
      <c r="AT209" s="1783"/>
      <c r="AU209" s="1783"/>
      <c r="AV209" s="1783"/>
      <c r="AW209" s="1783"/>
      <c r="AX209" s="1783"/>
      <c r="AY209" s="1783"/>
      <c r="AZ209" s="1783"/>
      <c r="BA209" s="1783"/>
      <c r="BB209" s="1783"/>
      <c r="BC209" s="1783"/>
      <c r="BD209" s="1783"/>
      <c r="BE209" s="1783"/>
      <c r="BF209" s="1783"/>
      <c r="BG209" s="1783"/>
      <c r="BH209" s="1783"/>
      <c r="BI209" s="1783"/>
    </row>
    <row r="210" spans="1:61">
      <c r="A210" s="1819"/>
      <c r="B210" s="1818"/>
      <c r="C210" s="1818"/>
      <c r="D210" s="1818"/>
      <c r="E210" s="1818"/>
      <c r="F210" s="1818"/>
      <c r="G210" s="1818"/>
      <c r="H210" s="1783"/>
      <c r="I210" s="1783"/>
      <c r="J210" s="1783"/>
      <c r="K210" s="1783"/>
      <c r="L210" s="1783"/>
      <c r="M210" s="1783"/>
      <c r="N210" s="1783"/>
      <c r="O210" s="1783"/>
      <c r="P210" s="1783"/>
      <c r="Q210" s="1783"/>
      <c r="R210" s="1783"/>
      <c r="S210" s="1783"/>
      <c r="T210" s="1783"/>
      <c r="U210" s="1783"/>
      <c r="V210" s="1783"/>
      <c r="W210" s="1783"/>
      <c r="X210" s="1783"/>
      <c r="Y210" s="1783"/>
      <c r="Z210" s="1783"/>
      <c r="AA210" s="1783"/>
      <c r="AB210" s="1783"/>
      <c r="AC210" s="1783"/>
      <c r="AD210" s="1783"/>
      <c r="AE210" s="1783"/>
      <c r="AF210" s="1783"/>
      <c r="AG210" s="1783"/>
      <c r="AH210" s="1783"/>
      <c r="AI210" s="1783"/>
      <c r="AJ210" s="1783"/>
      <c r="AK210" s="1783"/>
      <c r="AL210" s="1783"/>
      <c r="AM210" s="1783"/>
      <c r="AN210" s="1783"/>
      <c r="AO210" s="1783"/>
      <c r="AP210" s="1783"/>
      <c r="AQ210" s="1783"/>
      <c r="AR210" s="1783"/>
      <c r="AS210" s="1783"/>
      <c r="AT210" s="1783"/>
      <c r="AU210" s="1783"/>
      <c r="AV210" s="1783"/>
      <c r="AW210" s="1783"/>
      <c r="AX210" s="1783"/>
      <c r="AY210" s="1783"/>
      <c r="AZ210" s="1783"/>
      <c r="BA210" s="1783"/>
      <c r="BB210" s="1783"/>
      <c r="BC210" s="1783"/>
      <c r="BD210" s="1783"/>
      <c r="BE210" s="1783"/>
      <c r="BF210" s="1783"/>
      <c r="BG210" s="1783"/>
      <c r="BH210" s="1783"/>
      <c r="BI210" s="1783"/>
    </row>
    <row r="211" spans="1:61">
      <c r="A211" s="1819"/>
      <c r="B211" s="1818"/>
      <c r="C211" s="1818"/>
      <c r="D211" s="1818"/>
      <c r="E211" s="1818"/>
      <c r="F211" s="1818"/>
      <c r="G211" s="1818"/>
      <c r="H211" s="1783"/>
      <c r="I211" s="1783"/>
      <c r="J211" s="1783"/>
      <c r="K211" s="1783"/>
      <c r="L211" s="1783"/>
      <c r="M211" s="1783"/>
      <c r="N211" s="1783"/>
      <c r="O211" s="1783"/>
      <c r="P211" s="1783"/>
      <c r="Q211" s="1783"/>
      <c r="R211" s="1783"/>
      <c r="S211" s="1783"/>
      <c r="T211" s="1783"/>
      <c r="U211" s="1783"/>
      <c r="V211" s="1783"/>
      <c r="W211" s="1783"/>
      <c r="X211" s="1783"/>
      <c r="Y211" s="1783"/>
      <c r="Z211" s="1783"/>
      <c r="AA211" s="1783"/>
      <c r="AB211" s="1783"/>
      <c r="AC211" s="1783"/>
      <c r="AD211" s="1783"/>
      <c r="AE211" s="1783"/>
      <c r="AF211" s="1783"/>
      <c r="AG211" s="1783"/>
      <c r="AH211" s="1783"/>
      <c r="AI211" s="1783"/>
      <c r="AJ211" s="1783"/>
      <c r="AK211" s="1783"/>
      <c r="AL211" s="1783"/>
      <c r="AM211" s="1783"/>
      <c r="AN211" s="1783"/>
      <c r="AO211" s="1783"/>
      <c r="AP211" s="1783"/>
      <c r="AQ211" s="1783"/>
      <c r="AR211" s="1783"/>
      <c r="AS211" s="1783"/>
      <c r="AT211" s="1783"/>
      <c r="AU211" s="1783"/>
      <c r="AV211" s="1783"/>
      <c r="AW211" s="1783"/>
      <c r="AX211" s="1783"/>
      <c r="AY211" s="1783"/>
      <c r="AZ211" s="1783"/>
      <c r="BA211" s="1783"/>
      <c r="BB211" s="1783"/>
      <c r="BC211" s="1783"/>
      <c r="BD211" s="1783"/>
      <c r="BE211" s="1783"/>
      <c r="BF211" s="1783"/>
      <c r="BG211" s="1783"/>
      <c r="BH211" s="1783"/>
      <c r="BI211" s="1783"/>
    </row>
    <row r="212" spans="1:61">
      <c r="A212" s="1819"/>
      <c r="B212" s="1818"/>
      <c r="C212" s="1818"/>
      <c r="D212" s="1818"/>
      <c r="E212" s="1818"/>
      <c r="F212" s="1818"/>
      <c r="G212" s="1818"/>
      <c r="H212" s="1783"/>
      <c r="I212" s="1783"/>
      <c r="J212" s="1783"/>
      <c r="K212" s="1783"/>
      <c r="L212" s="1783"/>
      <c r="M212" s="1783"/>
      <c r="N212" s="1783"/>
      <c r="O212" s="1783"/>
      <c r="P212" s="1783"/>
      <c r="Q212" s="1783"/>
      <c r="R212" s="1783"/>
      <c r="S212" s="1783"/>
      <c r="T212" s="1783"/>
      <c r="U212" s="1783"/>
      <c r="V212" s="1783"/>
      <c r="W212" s="1783"/>
      <c r="X212" s="1783"/>
      <c r="Y212" s="1783"/>
      <c r="Z212" s="1783"/>
      <c r="AA212" s="1783"/>
      <c r="AB212" s="1783"/>
      <c r="AC212" s="1783"/>
      <c r="AD212" s="1783"/>
      <c r="AE212" s="1783"/>
      <c r="AF212" s="1783"/>
      <c r="AG212" s="1783"/>
      <c r="AH212" s="1783"/>
      <c r="AI212" s="1783"/>
      <c r="AJ212" s="1783"/>
      <c r="AK212" s="1783"/>
      <c r="AL212" s="1783"/>
      <c r="AM212" s="1783"/>
      <c r="AN212" s="1783"/>
      <c r="AO212" s="1783"/>
      <c r="AP212" s="1783"/>
      <c r="AQ212" s="1783"/>
      <c r="AR212" s="1783"/>
      <c r="AS212" s="1783"/>
      <c r="AT212" s="1783"/>
      <c r="AU212" s="1783"/>
      <c r="AV212" s="1783"/>
      <c r="AW212" s="1783"/>
      <c r="AX212" s="1783"/>
      <c r="AY212" s="1783"/>
      <c r="AZ212" s="1783"/>
      <c r="BA212" s="1783"/>
      <c r="BB212" s="1783"/>
      <c r="BC212" s="1783"/>
      <c r="BD212" s="1783"/>
      <c r="BE212" s="1783"/>
      <c r="BF212" s="1783"/>
      <c r="BG212" s="1783"/>
      <c r="BH212" s="1783"/>
      <c r="BI212" s="1783"/>
    </row>
    <row r="213" spans="1:61">
      <c r="A213" s="1819"/>
      <c r="B213" s="1818"/>
      <c r="C213" s="1818"/>
      <c r="D213" s="1818"/>
      <c r="E213" s="1818"/>
      <c r="F213" s="1818"/>
      <c r="G213" s="1818"/>
      <c r="H213" s="1783"/>
      <c r="I213" s="1783"/>
      <c r="J213" s="1783"/>
      <c r="K213" s="1783"/>
      <c r="L213" s="1783"/>
      <c r="M213" s="1783"/>
      <c r="N213" s="1783"/>
      <c r="O213" s="1783"/>
      <c r="P213" s="1783"/>
      <c r="Q213" s="1783"/>
      <c r="R213" s="1783"/>
      <c r="S213" s="1783"/>
      <c r="T213" s="1783"/>
      <c r="U213" s="1783"/>
      <c r="V213" s="1783"/>
      <c r="W213" s="1783"/>
      <c r="X213" s="1783"/>
      <c r="Y213" s="1783"/>
      <c r="Z213" s="1783"/>
      <c r="AA213" s="1783"/>
      <c r="AB213" s="1783"/>
      <c r="AC213" s="1783"/>
      <c r="AD213" s="1783"/>
      <c r="AE213" s="1783"/>
      <c r="AF213" s="1783"/>
      <c r="AG213" s="1783"/>
      <c r="AH213" s="1783"/>
      <c r="AI213" s="1783"/>
      <c r="AJ213" s="1783"/>
      <c r="AK213" s="1783"/>
      <c r="AL213" s="1783"/>
      <c r="AM213" s="1783"/>
      <c r="AN213" s="1783"/>
      <c r="AO213" s="1783"/>
      <c r="AP213" s="1783"/>
      <c r="AQ213" s="1783"/>
      <c r="AR213" s="1783"/>
      <c r="AS213" s="1783"/>
      <c r="AT213" s="1783"/>
      <c r="AU213" s="1783"/>
      <c r="AV213" s="1783"/>
      <c r="AW213" s="1783"/>
      <c r="AX213" s="1783"/>
      <c r="AY213" s="1783"/>
      <c r="AZ213" s="1783"/>
      <c r="BA213" s="1783"/>
      <c r="BB213" s="1783"/>
      <c r="BC213" s="1783"/>
      <c r="BD213" s="1783"/>
      <c r="BE213" s="1783"/>
      <c r="BF213" s="1783"/>
      <c r="BG213" s="1783"/>
      <c r="BH213" s="1783"/>
      <c r="BI213" s="1783"/>
    </row>
    <row r="214" spans="1:61">
      <c r="A214" s="1819"/>
      <c r="B214" s="1818"/>
      <c r="C214" s="1818"/>
      <c r="D214" s="1818"/>
      <c r="E214" s="1818"/>
      <c r="F214" s="1818"/>
      <c r="G214" s="1818"/>
      <c r="H214" s="1783"/>
      <c r="I214" s="1783"/>
      <c r="J214" s="1783"/>
      <c r="K214" s="1783"/>
      <c r="L214" s="1783"/>
      <c r="M214" s="1783"/>
      <c r="N214" s="1783"/>
      <c r="O214" s="1783"/>
      <c r="P214" s="1783"/>
      <c r="Q214" s="1783"/>
      <c r="R214" s="1783"/>
      <c r="S214" s="1783"/>
      <c r="T214" s="1783"/>
      <c r="U214" s="1783"/>
      <c r="V214" s="1783"/>
      <c r="W214" s="1783"/>
      <c r="X214" s="1783"/>
      <c r="Y214" s="1783"/>
      <c r="Z214" s="1783"/>
      <c r="AA214" s="1783"/>
      <c r="AB214" s="1783"/>
      <c r="AC214" s="1783"/>
      <c r="AD214" s="1783"/>
      <c r="AE214" s="1783"/>
      <c r="AF214" s="1783"/>
      <c r="AG214" s="1783"/>
      <c r="AH214" s="1783"/>
      <c r="AI214" s="1783"/>
      <c r="AJ214" s="1783"/>
      <c r="AK214" s="1783"/>
      <c r="AL214" s="1783"/>
      <c r="AM214" s="1783"/>
      <c r="AN214" s="1783"/>
      <c r="AO214" s="1783"/>
      <c r="AP214" s="1783"/>
      <c r="AQ214" s="1783"/>
      <c r="AR214" s="1783"/>
      <c r="AS214" s="1783"/>
      <c r="AT214" s="1783"/>
      <c r="AU214" s="1783"/>
      <c r="AV214" s="1783"/>
      <c r="AW214" s="1783"/>
      <c r="AX214" s="1783"/>
      <c r="AY214" s="1783"/>
      <c r="AZ214" s="1783"/>
      <c r="BA214" s="1783"/>
      <c r="BB214" s="1783"/>
      <c r="BC214" s="1783"/>
      <c r="BD214" s="1783"/>
      <c r="BE214" s="1783"/>
      <c r="BF214" s="1783"/>
      <c r="BG214" s="1783"/>
      <c r="BH214" s="1783"/>
      <c r="BI214" s="1783"/>
    </row>
    <row r="215" spans="1:61">
      <c r="A215" s="1819"/>
      <c r="B215" s="1818"/>
      <c r="C215" s="1818"/>
      <c r="D215" s="1818"/>
      <c r="E215" s="1818"/>
      <c r="F215" s="1818"/>
      <c r="G215" s="1818"/>
      <c r="H215" s="1783"/>
      <c r="I215" s="1783"/>
      <c r="J215" s="1783"/>
      <c r="K215" s="1783"/>
      <c r="L215" s="1783"/>
      <c r="M215" s="1783"/>
      <c r="N215" s="1783"/>
      <c r="O215" s="1783"/>
      <c r="P215" s="1783"/>
      <c r="Q215" s="1783"/>
      <c r="R215" s="1783"/>
      <c r="S215" s="1783"/>
      <c r="T215" s="1783"/>
      <c r="U215" s="1783"/>
      <c r="V215" s="1783"/>
      <c r="W215" s="1783"/>
      <c r="X215" s="1783"/>
      <c r="Y215" s="1783"/>
      <c r="Z215" s="1783"/>
      <c r="AA215" s="1783"/>
      <c r="AB215" s="1783"/>
      <c r="AC215" s="1783"/>
      <c r="AD215" s="1783"/>
      <c r="AE215" s="1783"/>
      <c r="AF215" s="1783"/>
      <c r="AG215" s="1783"/>
      <c r="AH215" s="1783"/>
      <c r="AI215" s="1783"/>
      <c r="AJ215" s="1783"/>
      <c r="AK215" s="1783"/>
      <c r="AL215" s="1783"/>
      <c r="AM215" s="1783"/>
      <c r="AN215" s="1783"/>
      <c r="AO215" s="1783"/>
      <c r="AP215" s="1783"/>
      <c r="AQ215" s="1783"/>
      <c r="AR215" s="1783"/>
      <c r="AS215" s="1783"/>
      <c r="AT215" s="1783"/>
      <c r="AU215" s="1783"/>
      <c r="AV215" s="1783"/>
      <c r="AW215" s="1783"/>
      <c r="AX215" s="1783"/>
      <c r="AY215" s="1783"/>
      <c r="AZ215" s="1783"/>
      <c r="BA215" s="1783"/>
      <c r="BB215" s="1783"/>
      <c r="BC215" s="1783"/>
      <c r="BD215" s="1783"/>
      <c r="BE215" s="1783"/>
      <c r="BF215" s="1783"/>
      <c r="BG215" s="1783"/>
      <c r="BH215" s="1783"/>
      <c r="BI215" s="1783"/>
    </row>
    <row r="216" spans="1:61">
      <c r="A216" s="1819"/>
      <c r="B216" s="1818"/>
      <c r="C216" s="1818"/>
      <c r="D216" s="1818"/>
      <c r="E216" s="1818"/>
      <c r="F216" s="1818"/>
      <c r="G216" s="1818"/>
      <c r="H216" s="1783"/>
      <c r="I216" s="1783"/>
      <c r="J216" s="1783"/>
      <c r="K216" s="1783"/>
      <c r="L216" s="1783"/>
      <c r="M216" s="1783"/>
      <c r="N216" s="1783"/>
      <c r="O216" s="1783"/>
      <c r="P216" s="1783"/>
      <c r="Q216" s="1783"/>
      <c r="R216" s="1783"/>
      <c r="S216" s="1783"/>
      <c r="T216" s="1783"/>
      <c r="U216" s="1783"/>
      <c r="V216" s="1783"/>
      <c r="W216" s="1783"/>
      <c r="X216" s="1783"/>
      <c r="Y216" s="1783"/>
      <c r="Z216" s="1783"/>
      <c r="AA216" s="1783"/>
      <c r="AB216" s="1783"/>
      <c r="AC216" s="1783"/>
      <c r="AD216" s="1783"/>
      <c r="AE216" s="1783"/>
      <c r="AF216" s="1783"/>
      <c r="AG216" s="1783"/>
      <c r="AH216" s="1783"/>
      <c r="AI216" s="1783"/>
      <c r="AJ216" s="1783"/>
      <c r="AK216" s="1783"/>
      <c r="AL216" s="1783"/>
      <c r="AM216" s="1783"/>
      <c r="AN216" s="1783"/>
      <c r="AO216" s="1783"/>
      <c r="AP216" s="1783"/>
      <c r="AQ216" s="1783"/>
      <c r="AR216" s="1783"/>
      <c r="AS216" s="1783"/>
      <c r="AT216" s="1783"/>
      <c r="AU216" s="1783"/>
      <c r="AV216" s="1783"/>
      <c r="AW216" s="1783"/>
      <c r="AX216" s="1783"/>
      <c r="AY216" s="1783"/>
      <c r="AZ216" s="1783"/>
      <c r="BA216" s="1783"/>
      <c r="BB216" s="1783"/>
      <c r="BC216" s="1783"/>
      <c r="BD216" s="1783"/>
      <c r="BE216" s="1783"/>
      <c r="BF216" s="1783"/>
      <c r="BG216" s="1783"/>
      <c r="BH216" s="1783"/>
      <c r="BI216" s="1783"/>
    </row>
    <row r="217" spans="1:61">
      <c r="A217" s="1819"/>
      <c r="B217" s="1818"/>
      <c r="C217" s="1818"/>
      <c r="D217" s="1818"/>
      <c r="E217" s="1818"/>
      <c r="F217" s="1818"/>
      <c r="G217" s="1818"/>
      <c r="H217" s="1783"/>
      <c r="I217" s="1783"/>
      <c r="J217" s="1783"/>
      <c r="K217" s="1783"/>
      <c r="L217" s="1783"/>
      <c r="M217" s="1783"/>
      <c r="N217" s="1783"/>
      <c r="O217" s="1783"/>
      <c r="P217" s="1783"/>
      <c r="Q217" s="1783"/>
      <c r="R217" s="1783"/>
      <c r="S217" s="1783"/>
      <c r="T217" s="1783"/>
      <c r="U217" s="1783"/>
      <c r="V217" s="1783"/>
      <c r="W217" s="1783"/>
      <c r="X217" s="1783"/>
      <c r="Y217" s="1783"/>
      <c r="Z217" s="1783"/>
      <c r="AA217" s="1783"/>
      <c r="AB217" s="1783"/>
      <c r="AC217" s="1783"/>
      <c r="AD217" s="1783"/>
      <c r="AE217" s="1783"/>
      <c r="AF217" s="1783"/>
      <c r="AG217" s="1783"/>
      <c r="AH217" s="1783"/>
      <c r="AI217" s="1783"/>
      <c r="AJ217" s="1783"/>
      <c r="AK217" s="1783"/>
      <c r="AL217" s="1783"/>
      <c r="AM217" s="1783"/>
      <c r="AN217" s="1783"/>
      <c r="AO217" s="1783"/>
      <c r="AP217" s="1783"/>
      <c r="AQ217" s="1783"/>
      <c r="AR217" s="1783"/>
      <c r="AS217" s="1783"/>
      <c r="AT217" s="1783"/>
      <c r="AU217" s="1783"/>
      <c r="AV217" s="1783"/>
      <c r="AW217" s="1783"/>
      <c r="AX217" s="1783"/>
      <c r="AY217" s="1783"/>
      <c r="AZ217" s="1783"/>
      <c r="BA217" s="1783"/>
      <c r="BB217" s="1783"/>
      <c r="BC217" s="1783"/>
      <c r="BD217" s="1783"/>
      <c r="BE217" s="1783"/>
      <c r="BF217" s="1783"/>
      <c r="BG217" s="1783"/>
      <c r="BH217" s="1783"/>
      <c r="BI217" s="1783"/>
    </row>
    <row r="218" spans="1:61">
      <c r="A218" s="1819"/>
      <c r="B218" s="1818"/>
      <c r="C218" s="1818"/>
      <c r="D218" s="1818"/>
      <c r="E218" s="1818"/>
      <c r="F218" s="1818"/>
      <c r="G218" s="1818"/>
      <c r="H218" s="1783"/>
      <c r="I218" s="1783"/>
      <c r="J218" s="1783"/>
      <c r="K218" s="1783"/>
      <c r="L218" s="1783"/>
      <c r="M218" s="1783"/>
      <c r="N218" s="1783"/>
      <c r="O218" s="1783"/>
      <c r="P218" s="1783"/>
      <c r="Q218" s="1783"/>
      <c r="R218" s="1783"/>
      <c r="S218" s="1783"/>
      <c r="T218" s="1783"/>
      <c r="U218" s="1783"/>
      <c r="V218" s="1783"/>
      <c r="W218" s="1783"/>
      <c r="X218" s="1783"/>
      <c r="Y218" s="1783"/>
      <c r="Z218" s="1783"/>
      <c r="AA218" s="1783"/>
      <c r="AB218" s="1783"/>
      <c r="AC218" s="1783"/>
      <c r="AD218" s="1783"/>
      <c r="AE218" s="1783"/>
      <c r="AF218" s="1783"/>
      <c r="AG218" s="1783"/>
      <c r="AH218" s="1783"/>
      <c r="AI218" s="1783"/>
      <c r="AJ218" s="1783"/>
      <c r="AK218" s="1783"/>
      <c r="AL218" s="1783"/>
      <c r="AM218" s="1783"/>
      <c r="AN218" s="1783"/>
      <c r="AO218" s="1783"/>
      <c r="AP218" s="1783"/>
      <c r="AQ218" s="1783"/>
      <c r="AR218" s="1783"/>
      <c r="AS218" s="1783"/>
      <c r="AT218" s="1783"/>
      <c r="AU218" s="1783"/>
      <c r="AV218" s="1783"/>
      <c r="AW218" s="1783"/>
      <c r="AX218" s="1783"/>
      <c r="AY218" s="1783"/>
      <c r="AZ218" s="1783"/>
      <c r="BA218" s="1783"/>
      <c r="BB218" s="1783"/>
      <c r="BC218" s="1783"/>
      <c r="BD218" s="1783"/>
      <c r="BE218" s="1783"/>
      <c r="BF218" s="1783"/>
      <c r="BG218" s="1783"/>
      <c r="BH218" s="1783"/>
      <c r="BI218" s="1783"/>
    </row>
    <row r="219" spans="1:61">
      <c r="A219" s="1819"/>
      <c r="B219" s="1818"/>
      <c r="C219" s="1818"/>
      <c r="D219" s="1818"/>
      <c r="E219" s="1818"/>
      <c r="F219" s="1818"/>
      <c r="G219" s="1818"/>
      <c r="H219" s="1783"/>
      <c r="I219" s="1783"/>
      <c r="J219" s="1783"/>
      <c r="K219" s="1783"/>
      <c r="L219" s="1783"/>
      <c r="M219" s="1783"/>
      <c r="N219" s="1783"/>
      <c r="O219" s="1783"/>
      <c r="P219" s="1783"/>
      <c r="Q219" s="1783"/>
      <c r="R219" s="1783"/>
      <c r="S219" s="1783"/>
      <c r="T219" s="1783"/>
      <c r="U219" s="1783"/>
      <c r="V219" s="1783"/>
      <c r="W219" s="1783"/>
      <c r="X219" s="1783"/>
      <c r="Y219" s="1783"/>
      <c r="Z219" s="1783"/>
      <c r="AA219" s="1783"/>
      <c r="AB219" s="1783"/>
      <c r="AC219" s="1783"/>
      <c r="AD219" s="1783"/>
      <c r="AE219" s="1783"/>
      <c r="AF219" s="1783"/>
      <c r="AG219" s="1783"/>
      <c r="AH219" s="1783"/>
      <c r="AI219" s="1783"/>
      <c r="AJ219" s="1783"/>
      <c r="AK219" s="1783"/>
      <c r="AL219" s="1783"/>
      <c r="AM219" s="1783"/>
      <c r="AN219" s="1783"/>
      <c r="AO219" s="1783"/>
      <c r="AP219" s="1783"/>
      <c r="AQ219" s="1783"/>
      <c r="AR219" s="1783"/>
      <c r="AS219" s="1783"/>
      <c r="AT219" s="1783"/>
      <c r="AU219" s="1783"/>
      <c r="AV219" s="1783"/>
      <c r="AW219" s="1783"/>
      <c r="AX219" s="1783"/>
      <c r="AY219" s="1783"/>
      <c r="AZ219" s="1783"/>
      <c r="BA219" s="1783"/>
      <c r="BB219" s="1783"/>
      <c r="BC219" s="1783"/>
      <c r="BD219" s="1783"/>
      <c r="BE219" s="1783"/>
      <c r="BF219" s="1783"/>
      <c r="BG219" s="1783"/>
      <c r="BH219" s="1783"/>
      <c r="BI219" s="1783"/>
    </row>
    <row r="220" spans="1:61">
      <c r="A220" s="1819"/>
      <c r="B220" s="1818"/>
      <c r="C220" s="1818"/>
      <c r="D220" s="1818"/>
      <c r="E220" s="1818"/>
      <c r="F220" s="1818"/>
      <c r="G220" s="1818"/>
      <c r="H220" s="1783"/>
      <c r="I220" s="1783"/>
      <c r="J220" s="1783"/>
      <c r="K220" s="1783"/>
      <c r="L220" s="1783"/>
      <c r="M220" s="1783"/>
      <c r="N220" s="1783"/>
      <c r="O220" s="1783"/>
      <c r="P220" s="1783"/>
      <c r="Q220" s="1783"/>
      <c r="R220" s="1783"/>
      <c r="S220" s="1783"/>
      <c r="T220" s="1783"/>
      <c r="U220" s="1783"/>
      <c r="V220" s="1783"/>
      <c r="W220" s="1783"/>
      <c r="X220" s="1783"/>
      <c r="Y220" s="1783"/>
      <c r="Z220" s="1783"/>
      <c r="AA220" s="1783"/>
      <c r="AB220" s="1783"/>
      <c r="AC220" s="1783"/>
      <c r="AD220" s="1783"/>
      <c r="AE220" s="1783"/>
      <c r="AF220" s="1783"/>
      <c r="AG220" s="1783"/>
      <c r="AH220" s="1783"/>
      <c r="AI220" s="1783"/>
      <c r="AJ220" s="1783"/>
      <c r="AK220" s="1783"/>
      <c r="AL220" s="1783"/>
      <c r="AM220" s="1783"/>
      <c r="AN220" s="1783"/>
      <c r="AO220" s="1783"/>
      <c r="AP220" s="1783"/>
      <c r="AQ220" s="1783"/>
      <c r="AR220" s="1783"/>
      <c r="AS220" s="1783"/>
      <c r="AT220" s="1783"/>
      <c r="AU220" s="1783"/>
      <c r="AV220" s="1783"/>
      <c r="AW220" s="1783"/>
      <c r="AX220" s="1783"/>
      <c r="AY220" s="1783"/>
      <c r="AZ220" s="1783"/>
      <c r="BA220" s="1783"/>
      <c r="BB220" s="1783"/>
      <c r="BC220" s="1783"/>
      <c r="BD220" s="1783"/>
      <c r="BE220" s="1783"/>
      <c r="BF220" s="1783"/>
      <c r="BG220" s="1783"/>
      <c r="BH220" s="1783"/>
      <c r="BI220" s="1783"/>
    </row>
    <row r="221" spans="1:61">
      <c r="A221" s="1819"/>
      <c r="B221" s="1818"/>
      <c r="C221" s="1818"/>
      <c r="D221" s="1818"/>
      <c r="E221" s="1818"/>
      <c r="F221" s="1818"/>
      <c r="G221" s="1818"/>
      <c r="H221" s="1783"/>
      <c r="I221" s="1783"/>
      <c r="J221" s="1783"/>
      <c r="K221" s="1783"/>
      <c r="L221" s="1783"/>
      <c r="M221" s="1783"/>
      <c r="N221" s="1783"/>
      <c r="O221" s="1783"/>
      <c r="P221" s="1783"/>
      <c r="Q221" s="1783"/>
      <c r="R221" s="1783"/>
      <c r="S221" s="1783"/>
      <c r="T221" s="1783"/>
      <c r="U221" s="1783"/>
      <c r="V221" s="1783"/>
      <c r="W221" s="1783"/>
      <c r="X221" s="1783"/>
      <c r="Y221" s="1783"/>
      <c r="Z221" s="1783"/>
      <c r="AA221" s="1783"/>
      <c r="AB221" s="1783"/>
      <c r="AC221" s="1783"/>
      <c r="AD221" s="1783"/>
      <c r="AE221" s="1783"/>
      <c r="AF221" s="1783"/>
      <c r="AG221" s="1783"/>
      <c r="AH221" s="1783"/>
      <c r="AI221" s="1783"/>
      <c r="AJ221" s="1783"/>
      <c r="AK221" s="1783"/>
      <c r="AL221" s="1783"/>
      <c r="AM221" s="1783"/>
      <c r="AN221" s="1783"/>
      <c r="AO221" s="1783"/>
      <c r="AP221" s="1783"/>
      <c r="AQ221" s="1783"/>
      <c r="AR221" s="1783"/>
      <c r="AS221" s="1783"/>
      <c r="AT221" s="1783"/>
      <c r="AU221" s="1783"/>
      <c r="AV221" s="1783"/>
      <c r="AW221" s="1783"/>
      <c r="AX221" s="1783"/>
      <c r="AY221" s="1783"/>
      <c r="AZ221" s="1783"/>
      <c r="BA221" s="1783"/>
      <c r="BB221" s="1783"/>
      <c r="BC221" s="1783"/>
      <c r="BD221" s="1783"/>
      <c r="BE221" s="1783"/>
      <c r="BF221" s="1783"/>
      <c r="BG221" s="1783"/>
      <c r="BH221" s="1783"/>
      <c r="BI221" s="1783"/>
    </row>
    <row r="222" spans="1:61">
      <c r="A222" s="1819"/>
      <c r="B222" s="1818"/>
      <c r="C222" s="1818"/>
      <c r="D222" s="1818"/>
      <c r="E222" s="1818"/>
      <c r="F222" s="1818"/>
      <c r="G222" s="1818"/>
      <c r="H222" s="1783"/>
      <c r="I222" s="1783"/>
      <c r="J222" s="1783"/>
      <c r="K222" s="1783"/>
      <c r="L222" s="1783"/>
      <c r="M222" s="1783"/>
      <c r="N222" s="1783"/>
      <c r="O222" s="1783"/>
      <c r="P222" s="1783"/>
      <c r="Q222" s="1783"/>
      <c r="R222" s="1783"/>
      <c r="S222" s="1783"/>
      <c r="T222" s="1783"/>
      <c r="U222" s="1783"/>
      <c r="V222" s="1783"/>
      <c r="W222" s="1783"/>
      <c r="X222" s="1783"/>
      <c r="Y222" s="1783"/>
      <c r="Z222" s="1783"/>
      <c r="AA222" s="1783"/>
      <c r="AB222" s="1783"/>
      <c r="AC222" s="1783"/>
      <c r="AD222" s="1783"/>
      <c r="AE222" s="1783"/>
      <c r="AF222" s="1783"/>
      <c r="AG222" s="1783"/>
      <c r="AH222" s="1783"/>
      <c r="AI222" s="1783"/>
      <c r="AJ222" s="1783"/>
      <c r="AK222" s="1783"/>
      <c r="AL222" s="1783"/>
      <c r="AM222" s="1783"/>
      <c r="AN222" s="1783"/>
      <c r="AO222" s="1783"/>
      <c r="AP222" s="1783"/>
      <c r="AQ222" s="1783"/>
      <c r="AR222" s="1783"/>
      <c r="AS222" s="1783"/>
      <c r="AT222" s="1783"/>
      <c r="AU222" s="1783"/>
      <c r="AV222" s="1783"/>
      <c r="AW222" s="1783"/>
      <c r="AX222" s="1783"/>
      <c r="AY222" s="1783"/>
      <c r="AZ222" s="1783"/>
      <c r="BA222" s="1783"/>
      <c r="BB222" s="1783"/>
      <c r="BC222" s="1783"/>
      <c r="BD222" s="1783"/>
      <c r="BE222" s="1783"/>
      <c r="BF222" s="1783"/>
      <c r="BG222" s="1783"/>
      <c r="BH222" s="1783"/>
      <c r="BI222" s="1783"/>
    </row>
    <row r="223" spans="1:61">
      <c r="A223" s="1819"/>
      <c r="B223" s="1818"/>
      <c r="C223" s="1818"/>
      <c r="D223" s="1818"/>
      <c r="E223" s="1818"/>
      <c r="F223" s="1818"/>
      <c r="G223" s="1818"/>
      <c r="H223" s="1783"/>
      <c r="I223" s="1783"/>
      <c r="J223" s="1783"/>
      <c r="K223" s="1783"/>
      <c r="L223" s="1783"/>
      <c r="M223" s="1783"/>
      <c r="N223" s="1783"/>
      <c r="O223" s="1783"/>
      <c r="P223" s="1783"/>
      <c r="Q223" s="1783"/>
      <c r="R223" s="1783"/>
      <c r="S223" s="1783"/>
      <c r="T223" s="1783"/>
      <c r="U223" s="1783"/>
      <c r="V223" s="1783"/>
      <c r="W223" s="1783"/>
      <c r="X223" s="1783"/>
      <c r="Y223" s="1783"/>
      <c r="Z223" s="1783"/>
      <c r="AA223" s="1783"/>
      <c r="AB223" s="1783"/>
      <c r="AC223" s="1783"/>
      <c r="AD223" s="1783"/>
      <c r="AE223" s="1783"/>
      <c r="AF223" s="1783"/>
      <c r="AG223" s="1783"/>
      <c r="AH223" s="1783"/>
      <c r="AI223" s="1783"/>
      <c r="AJ223" s="1783"/>
      <c r="AK223" s="1783"/>
      <c r="AL223" s="1783"/>
      <c r="AM223" s="1783"/>
      <c r="AN223" s="1783"/>
      <c r="AO223" s="1783"/>
      <c r="AP223" s="1783"/>
      <c r="AQ223" s="1783"/>
      <c r="AR223" s="1783"/>
      <c r="AS223" s="1783"/>
      <c r="AT223" s="1783"/>
      <c r="AU223" s="1783"/>
      <c r="AV223" s="1783"/>
      <c r="AW223" s="1783"/>
      <c r="AX223" s="1783"/>
      <c r="AY223" s="1783"/>
      <c r="AZ223" s="1783"/>
      <c r="BA223" s="1783"/>
      <c r="BB223" s="1783"/>
      <c r="BC223" s="1783"/>
      <c r="BD223" s="1783"/>
      <c r="BE223" s="1783"/>
      <c r="BF223" s="1783"/>
      <c r="BG223" s="1783"/>
      <c r="BH223" s="1783"/>
      <c r="BI223" s="1783"/>
    </row>
    <row r="224" spans="1:61">
      <c r="A224" s="1819"/>
      <c r="B224" s="1818"/>
      <c r="C224" s="1818"/>
      <c r="D224" s="1818"/>
      <c r="E224" s="1818"/>
      <c r="F224" s="1818"/>
      <c r="G224" s="1818"/>
      <c r="H224" s="1783"/>
      <c r="I224" s="1783"/>
      <c r="J224" s="1783"/>
      <c r="K224" s="1783"/>
      <c r="L224" s="1783"/>
      <c r="M224" s="1783"/>
      <c r="N224" s="1783"/>
      <c r="O224" s="1783"/>
      <c r="P224" s="1783"/>
      <c r="Q224" s="1783"/>
      <c r="R224" s="1783"/>
      <c r="S224" s="1783"/>
      <c r="T224" s="1783"/>
      <c r="U224" s="1783"/>
      <c r="V224" s="1783"/>
      <c r="W224" s="1783"/>
      <c r="X224" s="1783"/>
      <c r="Y224" s="1783"/>
      <c r="Z224" s="1783"/>
      <c r="AA224" s="1783"/>
      <c r="AB224" s="1783"/>
      <c r="AC224" s="1783"/>
      <c r="AD224" s="1783"/>
      <c r="AE224" s="1783"/>
      <c r="AF224" s="1783"/>
      <c r="AG224" s="1783"/>
      <c r="AH224" s="1783"/>
      <c r="AI224" s="1783"/>
      <c r="AJ224" s="1783"/>
      <c r="AK224" s="1783"/>
      <c r="AL224" s="1783"/>
      <c r="AM224" s="1783"/>
      <c r="AN224" s="1783"/>
      <c r="AO224" s="1783"/>
      <c r="AP224" s="1783"/>
      <c r="AQ224" s="1783"/>
      <c r="AR224" s="1783"/>
      <c r="AS224" s="1783"/>
      <c r="AT224" s="1783"/>
      <c r="AU224" s="1783"/>
      <c r="AV224" s="1783"/>
      <c r="AW224" s="1783"/>
      <c r="AX224" s="1783"/>
      <c r="AY224" s="1783"/>
      <c r="AZ224" s="1783"/>
      <c r="BA224" s="1783"/>
      <c r="BB224" s="1783"/>
      <c r="BC224" s="1783"/>
      <c r="BD224" s="1783"/>
      <c r="BE224" s="1783"/>
      <c r="BF224" s="1783"/>
      <c r="BG224" s="1783"/>
      <c r="BH224" s="1783"/>
      <c r="BI224" s="1783"/>
    </row>
    <row r="225" spans="1:61">
      <c r="A225" s="1819"/>
      <c r="B225" s="1818"/>
      <c r="C225" s="1818"/>
      <c r="D225" s="1818"/>
      <c r="E225" s="1818"/>
      <c r="F225" s="1818"/>
      <c r="G225" s="1818"/>
      <c r="H225" s="1783"/>
      <c r="I225" s="1783"/>
      <c r="J225" s="1783"/>
      <c r="K225" s="1783"/>
      <c r="L225" s="1783"/>
      <c r="M225" s="1783"/>
      <c r="N225" s="1783"/>
      <c r="O225" s="1783"/>
      <c r="P225" s="1783"/>
      <c r="Q225" s="1783"/>
      <c r="R225" s="1783"/>
      <c r="S225" s="1783"/>
      <c r="T225" s="1783"/>
      <c r="U225" s="1783"/>
      <c r="V225" s="1783"/>
      <c r="W225" s="1783"/>
      <c r="X225" s="1783"/>
      <c r="Y225" s="1783"/>
      <c r="Z225" s="1783"/>
      <c r="AA225" s="1783"/>
      <c r="AB225" s="1783"/>
      <c r="AC225" s="1783"/>
      <c r="AD225" s="1783"/>
      <c r="AE225" s="1783"/>
      <c r="AF225" s="1783"/>
      <c r="AG225" s="1783"/>
      <c r="AH225" s="1783"/>
      <c r="AI225" s="1783"/>
      <c r="AJ225" s="1783"/>
      <c r="AK225" s="1783"/>
      <c r="AL225" s="1783"/>
      <c r="AM225" s="1783"/>
      <c r="AN225" s="1783"/>
      <c r="AO225" s="1783"/>
      <c r="AP225" s="1783"/>
      <c r="AQ225" s="1783"/>
      <c r="AR225" s="1783"/>
      <c r="AS225" s="1783"/>
      <c r="AT225" s="1783"/>
      <c r="AU225" s="1783"/>
      <c r="AV225" s="1783"/>
      <c r="AW225" s="1783"/>
      <c r="AX225" s="1783"/>
      <c r="AY225" s="1783"/>
      <c r="AZ225" s="1783"/>
      <c r="BA225" s="1783"/>
      <c r="BB225" s="1783"/>
      <c r="BC225" s="1783"/>
      <c r="BD225" s="1783"/>
      <c r="BE225" s="1783"/>
      <c r="BF225" s="1783"/>
      <c r="BG225" s="1783"/>
      <c r="BH225" s="1783"/>
      <c r="BI225" s="1783"/>
    </row>
    <row r="226" spans="1:61">
      <c r="A226" s="1819"/>
      <c r="B226" s="1818"/>
      <c r="C226" s="1818"/>
      <c r="D226" s="1818"/>
      <c r="E226" s="1818"/>
      <c r="F226" s="1818"/>
      <c r="G226" s="1818"/>
      <c r="H226" s="1783"/>
      <c r="I226" s="1783"/>
      <c r="J226" s="1783"/>
      <c r="K226" s="1783"/>
      <c r="L226" s="1783"/>
      <c r="M226" s="1783"/>
      <c r="N226" s="1783"/>
      <c r="O226" s="1783"/>
      <c r="P226" s="1783"/>
      <c r="Q226" s="1783"/>
      <c r="R226" s="1783"/>
      <c r="S226" s="1783"/>
      <c r="T226" s="1783"/>
      <c r="U226" s="1783"/>
      <c r="V226" s="1783"/>
      <c r="W226" s="1783"/>
      <c r="X226" s="1783"/>
      <c r="Y226" s="1783"/>
      <c r="Z226" s="1783"/>
      <c r="AA226" s="1783"/>
      <c r="AB226" s="1783"/>
      <c r="AC226" s="1783"/>
      <c r="AD226" s="1783"/>
      <c r="AE226" s="1783"/>
      <c r="AF226" s="1783"/>
      <c r="AG226" s="1783"/>
      <c r="AH226" s="1783"/>
      <c r="AI226" s="1783"/>
      <c r="AJ226" s="1783"/>
      <c r="AK226" s="1783"/>
      <c r="AL226" s="1783"/>
      <c r="AM226" s="1783"/>
      <c r="AN226" s="1783"/>
      <c r="AO226" s="1783"/>
      <c r="AP226" s="1783"/>
      <c r="AQ226" s="1783"/>
      <c r="AR226" s="1783"/>
      <c r="AS226" s="1783"/>
      <c r="AT226" s="1783"/>
      <c r="AU226" s="1783"/>
      <c r="AV226" s="1783"/>
      <c r="AW226" s="1783"/>
      <c r="AX226" s="1783"/>
      <c r="AY226" s="1783"/>
      <c r="AZ226" s="1783"/>
      <c r="BA226" s="1783"/>
      <c r="BB226" s="1783"/>
      <c r="BC226" s="1783"/>
      <c r="BD226" s="1783"/>
      <c r="BE226" s="1783"/>
      <c r="BF226" s="1783"/>
      <c r="BG226" s="1783"/>
      <c r="BH226" s="1783"/>
      <c r="BI226" s="1783"/>
    </row>
    <row r="227" spans="1:61">
      <c r="A227" s="1819"/>
      <c r="B227" s="1818"/>
      <c r="C227" s="1818"/>
      <c r="D227" s="1818"/>
      <c r="E227" s="1818"/>
      <c r="F227" s="1818"/>
      <c r="G227" s="1818"/>
      <c r="H227" s="1783"/>
      <c r="I227" s="1783"/>
      <c r="J227" s="1783"/>
      <c r="K227" s="1783"/>
      <c r="L227" s="1783"/>
      <c r="M227" s="1783"/>
      <c r="N227" s="1783"/>
      <c r="O227" s="1783"/>
      <c r="P227" s="1783"/>
      <c r="Q227" s="1783"/>
      <c r="R227" s="1783"/>
      <c r="S227" s="1783"/>
      <c r="T227" s="1783"/>
      <c r="U227" s="1783"/>
      <c r="V227" s="1783"/>
      <c r="W227" s="1783"/>
      <c r="X227" s="1783"/>
      <c r="Y227" s="1783"/>
      <c r="Z227" s="1783"/>
      <c r="AA227" s="1783"/>
      <c r="AB227" s="1783"/>
      <c r="AC227" s="1783"/>
      <c r="AD227" s="1783"/>
      <c r="AE227" s="1783"/>
      <c r="AF227" s="1783"/>
      <c r="AG227" s="1783"/>
      <c r="AH227" s="1783"/>
      <c r="AI227" s="1783"/>
      <c r="AJ227" s="1783"/>
      <c r="AK227" s="1783"/>
      <c r="AL227" s="1783"/>
      <c r="AM227" s="1783"/>
      <c r="AN227" s="1783"/>
      <c r="AO227" s="1783"/>
      <c r="AP227" s="1783"/>
      <c r="AQ227" s="1783"/>
      <c r="AR227" s="1783"/>
      <c r="AS227" s="1783"/>
      <c r="AT227" s="1783"/>
      <c r="AU227" s="1783"/>
      <c r="AV227" s="1783"/>
      <c r="AW227" s="1783"/>
      <c r="AX227" s="1783"/>
      <c r="AY227" s="1783"/>
      <c r="AZ227" s="1783"/>
      <c r="BA227" s="1783"/>
      <c r="BB227" s="1783"/>
      <c r="BC227" s="1783"/>
      <c r="BD227" s="1783"/>
      <c r="BE227" s="1783"/>
      <c r="BF227" s="1783"/>
      <c r="BG227" s="1783"/>
      <c r="BH227" s="1783"/>
      <c r="BI227" s="1783"/>
    </row>
    <row r="228" spans="1:61">
      <c r="A228" s="1819"/>
      <c r="B228" s="1818"/>
      <c r="C228" s="1818"/>
      <c r="D228" s="1818"/>
      <c r="E228" s="1818"/>
      <c r="F228" s="1818"/>
      <c r="G228" s="1818"/>
      <c r="H228" s="1783"/>
      <c r="I228" s="1783"/>
      <c r="J228" s="1783"/>
      <c r="K228" s="1783"/>
      <c r="L228" s="1783"/>
      <c r="M228" s="1783"/>
      <c r="N228" s="1783"/>
      <c r="O228" s="1783"/>
      <c r="P228" s="1783"/>
      <c r="Q228" s="1783"/>
      <c r="R228" s="1783"/>
      <c r="S228" s="1783"/>
      <c r="T228" s="1783"/>
      <c r="U228" s="1783"/>
      <c r="V228" s="1783"/>
      <c r="W228" s="1783"/>
      <c r="X228" s="1783"/>
      <c r="Y228" s="1783"/>
      <c r="Z228" s="1783"/>
      <c r="AA228" s="1783"/>
      <c r="AB228" s="1783"/>
      <c r="AC228" s="1783"/>
      <c r="AD228" s="1783"/>
      <c r="AE228" s="1783"/>
      <c r="AF228" s="1783"/>
      <c r="AG228" s="1783"/>
      <c r="AH228" s="1783"/>
      <c r="AI228" s="1783"/>
      <c r="AJ228" s="1783"/>
      <c r="AK228" s="1783"/>
      <c r="AL228" s="1783"/>
      <c r="AM228" s="1783"/>
      <c r="AN228" s="1783"/>
      <c r="AO228" s="1783"/>
      <c r="AP228" s="1783"/>
      <c r="AQ228" s="1783"/>
      <c r="AR228" s="1783"/>
      <c r="AS228" s="1783"/>
      <c r="AT228" s="1783"/>
      <c r="AU228" s="1783"/>
      <c r="AV228" s="1783"/>
      <c r="AW228" s="1783"/>
      <c r="AX228" s="1783"/>
      <c r="AY228" s="1783"/>
      <c r="AZ228" s="1783"/>
      <c r="BA228" s="1783"/>
      <c r="BB228" s="1783"/>
      <c r="BC228" s="1783"/>
      <c r="BD228" s="1783"/>
      <c r="BE228" s="1783"/>
      <c r="BF228" s="1783"/>
      <c r="BG228" s="1783"/>
      <c r="BH228" s="1783"/>
      <c r="BI228" s="1783"/>
    </row>
    <row r="229" spans="1:61">
      <c r="A229" s="1819"/>
      <c r="B229" s="1818"/>
      <c r="C229" s="1818"/>
      <c r="D229" s="1818"/>
      <c r="E229" s="1818"/>
      <c r="F229" s="1818"/>
      <c r="G229" s="1818"/>
      <c r="H229" s="1783"/>
      <c r="I229" s="1783"/>
      <c r="J229" s="1783"/>
      <c r="K229" s="1783"/>
      <c r="L229" s="1783"/>
      <c r="M229" s="1783"/>
      <c r="N229" s="1783"/>
      <c r="O229" s="1783"/>
      <c r="P229" s="1783"/>
      <c r="Q229" s="1783"/>
      <c r="R229" s="1783"/>
      <c r="S229" s="1783"/>
      <c r="T229" s="1783"/>
      <c r="U229" s="1783"/>
      <c r="V229" s="1783"/>
      <c r="W229" s="1783"/>
      <c r="X229" s="1783"/>
      <c r="Y229" s="1783"/>
      <c r="Z229" s="1783"/>
      <c r="AA229" s="1783"/>
      <c r="AB229" s="1783"/>
      <c r="AC229" s="1783"/>
      <c r="AD229" s="1783"/>
      <c r="AE229" s="1783"/>
      <c r="AF229" s="1783"/>
      <c r="AG229" s="1783"/>
      <c r="AH229" s="1783"/>
      <c r="AI229" s="1783"/>
      <c r="AJ229" s="1783"/>
      <c r="AK229" s="1783"/>
      <c r="AL229" s="1783"/>
      <c r="AM229" s="1783"/>
      <c r="AN229" s="1783"/>
      <c r="AO229" s="1783"/>
      <c r="AP229" s="1783"/>
      <c r="AQ229" s="1783"/>
      <c r="AR229" s="1783"/>
      <c r="AS229" s="1783"/>
      <c r="AT229" s="1783"/>
      <c r="AU229" s="1783"/>
      <c r="AV229" s="1783"/>
      <c r="AW229" s="1783"/>
      <c r="AX229" s="1783"/>
      <c r="AY229" s="1783"/>
      <c r="AZ229" s="1783"/>
      <c r="BA229" s="1783"/>
      <c r="BB229" s="1783"/>
      <c r="BC229" s="1783"/>
      <c r="BD229" s="1783"/>
      <c r="BE229" s="1783"/>
      <c r="BF229" s="1783"/>
      <c r="BG229" s="1783"/>
      <c r="BH229" s="1783"/>
      <c r="BI229" s="1783"/>
    </row>
    <row r="230" spans="1:61">
      <c r="A230" s="1819"/>
      <c r="B230" s="1818"/>
      <c r="C230" s="1818"/>
      <c r="D230" s="1818"/>
      <c r="E230" s="1818"/>
      <c r="F230" s="1818"/>
      <c r="G230" s="1818"/>
      <c r="H230" s="1783"/>
      <c r="I230" s="1783"/>
      <c r="J230" s="1783"/>
      <c r="K230" s="1783"/>
      <c r="L230" s="1783"/>
      <c r="M230" s="1783"/>
      <c r="N230" s="1783"/>
      <c r="O230" s="1783"/>
      <c r="P230" s="1783"/>
      <c r="Q230" s="1783"/>
      <c r="R230" s="1783"/>
      <c r="S230" s="1783"/>
      <c r="T230" s="1783"/>
      <c r="U230" s="1783"/>
      <c r="V230" s="1783"/>
      <c r="W230" s="1783"/>
      <c r="X230" s="1783"/>
      <c r="Y230" s="1783"/>
      <c r="Z230" s="1783"/>
      <c r="AA230" s="1783"/>
      <c r="AB230" s="1783"/>
      <c r="AC230" s="1783"/>
      <c r="AD230" s="1783"/>
      <c r="AE230" s="1783"/>
      <c r="AF230" s="1783"/>
      <c r="AG230" s="1783"/>
      <c r="AH230" s="1783"/>
      <c r="AI230" s="1783"/>
      <c r="AJ230" s="1783"/>
      <c r="AK230" s="1783"/>
      <c r="AL230" s="1783"/>
      <c r="AM230" s="1783"/>
      <c r="AN230" s="1783"/>
      <c r="AO230" s="1783"/>
      <c r="AP230" s="1783"/>
      <c r="AQ230" s="1783"/>
      <c r="AR230" s="1783"/>
      <c r="AS230" s="1783"/>
      <c r="AT230" s="1783"/>
      <c r="AU230" s="1783"/>
      <c r="AV230" s="1783"/>
      <c r="AW230" s="1783"/>
      <c r="AX230" s="1783"/>
      <c r="AY230" s="1783"/>
      <c r="AZ230" s="1783"/>
      <c r="BA230" s="1783"/>
      <c r="BB230" s="1783"/>
      <c r="BC230" s="1783"/>
      <c r="BD230" s="1783"/>
      <c r="BE230" s="1783"/>
      <c r="BF230" s="1783"/>
      <c r="BG230" s="1783"/>
      <c r="BH230" s="1783"/>
      <c r="BI230" s="1783"/>
    </row>
    <row r="231" spans="1:61">
      <c r="A231" s="1819"/>
      <c r="B231" s="1818"/>
      <c r="C231" s="1818"/>
      <c r="D231" s="1818"/>
      <c r="E231" s="1818"/>
      <c r="F231" s="1818"/>
      <c r="G231" s="1818"/>
      <c r="H231" s="1783"/>
      <c r="I231" s="1783"/>
      <c r="J231" s="1783"/>
      <c r="K231" s="1783"/>
      <c r="L231" s="1783"/>
      <c r="M231" s="1783"/>
      <c r="N231" s="1783"/>
      <c r="O231" s="1783"/>
      <c r="P231" s="1783"/>
      <c r="Q231" s="1783"/>
      <c r="R231" s="1783"/>
      <c r="S231" s="1783"/>
      <c r="T231" s="1783"/>
      <c r="U231" s="1783"/>
      <c r="V231" s="1783"/>
      <c r="W231" s="1783"/>
      <c r="X231" s="1783"/>
      <c r="Y231" s="1783"/>
      <c r="Z231" s="1783"/>
      <c r="AA231" s="1783"/>
      <c r="AB231" s="1783"/>
      <c r="AC231" s="1783"/>
      <c r="AD231" s="1783"/>
      <c r="AE231" s="1783"/>
      <c r="AF231" s="1783"/>
      <c r="AG231" s="1783"/>
      <c r="AH231" s="1783"/>
      <c r="AI231" s="1783"/>
      <c r="AJ231" s="1783"/>
      <c r="AK231" s="1783"/>
      <c r="AL231" s="1783"/>
      <c r="AM231" s="1783"/>
      <c r="AN231" s="1783"/>
      <c r="AO231" s="1783"/>
      <c r="AP231" s="1783"/>
      <c r="AQ231" s="1783"/>
      <c r="AR231" s="1783"/>
      <c r="AS231" s="1783"/>
      <c r="AT231" s="1783"/>
      <c r="AU231" s="1783"/>
      <c r="AV231" s="1783"/>
      <c r="AW231" s="1783"/>
      <c r="AX231" s="1783"/>
      <c r="AY231" s="1783"/>
      <c r="AZ231" s="1783"/>
      <c r="BA231" s="1783"/>
      <c r="BB231" s="1783"/>
      <c r="BC231" s="1783"/>
      <c r="BD231" s="1783"/>
      <c r="BE231" s="1783"/>
      <c r="BF231" s="1783"/>
      <c r="BG231" s="1783"/>
      <c r="BH231" s="1783"/>
      <c r="BI231" s="1783"/>
    </row>
    <row r="232" spans="1:61">
      <c r="A232" s="1819"/>
      <c r="B232" s="1818"/>
      <c r="C232" s="1818"/>
      <c r="D232" s="1818"/>
      <c r="E232" s="1818"/>
      <c r="F232" s="1818"/>
      <c r="G232" s="1818"/>
      <c r="H232" s="1783"/>
      <c r="I232" s="1783"/>
      <c r="J232" s="1783"/>
      <c r="K232" s="1783"/>
      <c r="L232" s="1783"/>
      <c r="M232" s="1783"/>
      <c r="N232" s="1783"/>
      <c r="O232" s="1783"/>
      <c r="P232" s="1783"/>
      <c r="Q232" s="1783"/>
      <c r="R232" s="1783"/>
      <c r="S232" s="1783"/>
      <c r="T232" s="1783"/>
      <c r="U232" s="1783"/>
      <c r="V232" s="1783"/>
      <c r="W232" s="1783"/>
      <c r="X232" s="1783"/>
      <c r="Y232" s="1783"/>
      <c r="Z232" s="1783"/>
      <c r="AA232" s="1783"/>
      <c r="AB232" s="1783"/>
      <c r="AC232" s="1783"/>
      <c r="AD232" s="1783"/>
      <c r="AE232" s="1783"/>
      <c r="AF232" s="1783"/>
      <c r="AG232" s="1783"/>
      <c r="AH232" s="1783"/>
      <c r="AI232" s="1783"/>
      <c r="AJ232" s="1783"/>
      <c r="AK232" s="1783"/>
      <c r="AL232" s="1783"/>
      <c r="AM232" s="1783"/>
      <c r="AN232" s="1783"/>
      <c r="AO232" s="1783"/>
      <c r="AP232" s="1783"/>
      <c r="AQ232" s="1783"/>
      <c r="AR232" s="1783"/>
      <c r="AS232" s="1783"/>
      <c r="AT232" s="1783"/>
      <c r="AU232" s="1783"/>
      <c r="AV232" s="1783"/>
      <c r="AW232" s="1783"/>
      <c r="AX232" s="1783"/>
      <c r="AY232" s="1783"/>
      <c r="AZ232" s="1783"/>
      <c r="BA232" s="1783"/>
      <c r="BB232" s="1783"/>
      <c r="BC232" s="1783"/>
      <c r="BD232" s="1783"/>
      <c r="BE232" s="1783"/>
      <c r="BF232" s="1783"/>
      <c r="BG232" s="1783"/>
      <c r="BH232" s="1783"/>
      <c r="BI232" s="1783"/>
    </row>
    <row r="233" spans="1:61">
      <c r="A233" s="1819"/>
      <c r="B233" s="1818"/>
      <c r="C233" s="1818"/>
      <c r="D233" s="1818"/>
      <c r="E233" s="1818"/>
      <c r="F233" s="1818"/>
      <c r="G233" s="1818"/>
      <c r="H233" s="1783"/>
      <c r="I233" s="1783"/>
      <c r="J233" s="1783"/>
      <c r="K233" s="1783"/>
      <c r="L233" s="1783"/>
      <c r="M233" s="1783"/>
      <c r="N233" s="1783"/>
      <c r="O233" s="1783"/>
      <c r="P233" s="1783"/>
      <c r="Q233" s="1783"/>
      <c r="R233" s="1783"/>
      <c r="S233" s="1783"/>
      <c r="T233" s="1783"/>
      <c r="U233" s="1783"/>
      <c r="V233" s="1783"/>
      <c r="W233" s="1783"/>
      <c r="X233" s="1783"/>
      <c r="Y233" s="1783"/>
      <c r="Z233" s="1783"/>
      <c r="AA233" s="1783"/>
      <c r="AB233" s="1783"/>
      <c r="AC233" s="1783"/>
      <c r="AD233" s="1783"/>
      <c r="AE233" s="1783"/>
      <c r="AF233" s="1783"/>
      <c r="AG233" s="1783"/>
      <c r="AH233" s="1783"/>
      <c r="AI233" s="1783"/>
      <c r="AJ233" s="1783"/>
      <c r="AK233" s="1783"/>
      <c r="AL233" s="1783"/>
      <c r="AM233" s="1783"/>
      <c r="AN233" s="1783"/>
      <c r="AO233" s="1783"/>
      <c r="AP233" s="1783"/>
      <c r="AQ233" s="1783"/>
      <c r="AR233" s="1783"/>
      <c r="AS233" s="1783"/>
      <c r="AT233" s="1783"/>
      <c r="AU233" s="1783"/>
      <c r="AV233" s="1783"/>
      <c r="AW233" s="1783"/>
      <c r="AX233" s="1783"/>
      <c r="AY233" s="1783"/>
      <c r="AZ233" s="1783"/>
      <c r="BA233" s="1783"/>
      <c r="BB233" s="1783"/>
      <c r="BC233" s="1783"/>
      <c r="BD233" s="1783"/>
      <c r="BE233" s="1783"/>
      <c r="BF233" s="1783"/>
      <c r="BG233" s="1783"/>
      <c r="BH233" s="1783"/>
      <c r="BI233" s="1783"/>
    </row>
    <row r="234" spans="1:61">
      <c r="A234" s="1819"/>
      <c r="B234" s="1818"/>
      <c r="C234" s="1818"/>
      <c r="D234" s="1818"/>
      <c r="E234" s="1818"/>
      <c r="F234" s="1818"/>
      <c r="G234" s="1818"/>
      <c r="H234" s="1783"/>
      <c r="I234" s="1783"/>
      <c r="J234" s="1783"/>
      <c r="K234" s="1783"/>
      <c r="L234" s="1783"/>
      <c r="M234" s="1783"/>
      <c r="N234" s="1783"/>
      <c r="O234" s="1783"/>
      <c r="P234" s="1783"/>
      <c r="Q234" s="1783"/>
      <c r="R234" s="1783"/>
      <c r="S234" s="1783"/>
      <c r="T234" s="1783"/>
      <c r="U234" s="1783"/>
      <c r="V234" s="1783"/>
      <c r="W234" s="1783"/>
      <c r="X234" s="1783"/>
      <c r="Y234" s="1783"/>
      <c r="Z234" s="1783"/>
      <c r="AA234" s="1783"/>
      <c r="AB234" s="1783"/>
      <c r="AC234" s="1783"/>
      <c r="AD234" s="1783"/>
      <c r="AE234" s="1783"/>
      <c r="AF234" s="1783"/>
      <c r="AG234" s="1783"/>
      <c r="AH234" s="1783"/>
      <c r="AI234" s="1783"/>
      <c r="AJ234" s="1783"/>
      <c r="AK234" s="1783"/>
      <c r="AL234" s="1783"/>
      <c r="AM234" s="1783"/>
      <c r="AN234" s="1783"/>
      <c r="AO234" s="1783"/>
      <c r="AP234" s="1783"/>
      <c r="AQ234" s="1783"/>
      <c r="AR234" s="1783"/>
      <c r="AS234" s="1783"/>
      <c r="AT234" s="1783"/>
      <c r="AU234" s="1783"/>
      <c r="AV234" s="1783"/>
      <c r="AW234" s="1783"/>
      <c r="AX234" s="1783"/>
      <c r="AY234" s="1783"/>
      <c r="AZ234" s="1783"/>
      <c r="BA234" s="1783"/>
      <c r="BB234" s="1783"/>
      <c r="BC234" s="1783"/>
      <c r="BD234" s="1783"/>
      <c r="BE234" s="1783"/>
      <c r="BF234" s="1783"/>
      <c r="BG234" s="1783"/>
      <c r="BH234" s="1783"/>
      <c r="BI234" s="1783"/>
    </row>
    <row r="235" spans="1:61">
      <c r="A235" s="1819"/>
      <c r="B235" s="1818"/>
      <c r="C235" s="1818"/>
      <c r="D235" s="1818"/>
      <c r="E235" s="1818"/>
      <c r="F235" s="1818"/>
      <c r="G235" s="1818"/>
      <c r="H235" s="1783"/>
      <c r="I235" s="1783"/>
      <c r="J235" s="1783"/>
      <c r="K235" s="1783"/>
      <c r="L235" s="1783"/>
      <c r="M235" s="1783"/>
      <c r="N235" s="1783"/>
      <c r="O235" s="1783"/>
      <c r="P235" s="1783"/>
      <c r="Q235" s="1783"/>
      <c r="R235" s="1783"/>
      <c r="S235" s="1783"/>
      <c r="T235" s="1783"/>
      <c r="U235" s="1783"/>
      <c r="V235" s="1783"/>
      <c r="W235" s="1783"/>
      <c r="X235" s="1783"/>
      <c r="Y235" s="1783"/>
      <c r="Z235" s="1783"/>
      <c r="AA235" s="1783"/>
      <c r="AB235" s="1783"/>
      <c r="AC235" s="1783"/>
      <c r="AD235" s="1783"/>
      <c r="AE235" s="1783"/>
      <c r="AF235" s="1783"/>
      <c r="AG235" s="1783"/>
      <c r="AH235" s="1783"/>
      <c r="AI235" s="1783"/>
      <c r="AJ235" s="1783"/>
      <c r="AK235" s="1783"/>
      <c r="AL235" s="1783"/>
      <c r="AM235" s="1783"/>
      <c r="AN235" s="1783"/>
      <c r="AO235" s="1783"/>
      <c r="AP235" s="1783"/>
      <c r="AQ235" s="1783"/>
      <c r="AR235" s="1783"/>
      <c r="AS235" s="1783"/>
      <c r="AT235" s="1783"/>
      <c r="AU235" s="1783"/>
      <c r="AV235" s="1783"/>
      <c r="AW235" s="1783"/>
      <c r="AX235" s="1783"/>
      <c r="AY235" s="1783"/>
      <c r="AZ235" s="1783"/>
      <c r="BA235" s="1783"/>
      <c r="BB235" s="1783"/>
      <c r="BC235" s="1783"/>
      <c r="BD235" s="1783"/>
      <c r="BE235" s="1783"/>
      <c r="BF235" s="1783"/>
      <c r="BG235" s="1783"/>
      <c r="BH235" s="1783"/>
      <c r="BI235" s="1783"/>
    </row>
    <row r="236" spans="1:61">
      <c r="A236" s="1819"/>
      <c r="B236" s="1818"/>
      <c r="C236" s="1818"/>
      <c r="D236" s="1818"/>
      <c r="E236" s="1818"/>
      <c r="F236" s="1818"/>
      <c r="G236" s="1818"/>
      <c r="H236" s="1783"/>
      <c r="I236" s="1783"/>
      <c r="J236" s="1783"/>
      <c r="K236" s="1783"/>
      <c r="L236" s="1783"/>
      <c r="M236" s="1783"/>
      <c r="N236" s="1783"/>
      <c r="O236" s="1783"/>
      <c r="P236" s="1783"/>
      <c r="Q236" s="1783"/>
      <c r="R236" s="1783"/>
      <c r="S236" s="1783"/>
      <c r="T236" s="1783"/>
      <c r="U236" s="1783"/>
      <c r="V236" s="1783"/>
      <c r="W236" s="1783"/>
      <c r="X236" s="1783"/>
      <c r="Y236" s="1783"/>
      <c r="Z236" s="1783"/>
      <c r="AA236" s="1783"/>
      <c r="AB236" s="1783"/>
      <c r="AC236" s="1783"/>
      <c r="AD236" s="1783"/>
      <c r="AE236" s="1783"/>
      <c r="AF236" s="1783"/>
      <c r="AG236" s="1783"/>
      <c r="AH236" s="1783"/>
      <c r="AI236" s="1783"/>
      <c r="AJ236" s="1783"/>
      <c r="AK236" s="1783"/>
      <c r="AL236" s="1783"/>
      <c r="AM236" s="1783"/>
      <c r="AN236" s="1783"/>
      <c r="AO236" s="1783"/>
      <c r="AP236" s="1783"/>
      <c r="AQ236" s="1783"/>
      <c r="AR236" s="1783"/>
      <c r="AS236" s="1783"/>
      <c r="AT236" s="1783"/>
      <c r="AU236" s="1783"/>
      <c r="AV236" s="1783"/>
      <c r="AW236" s="1783"/>
      <c r="AX236" s="1783"/>
      <c r="AY236" s="1783"/>
      <c r="AZ236" s="1783"/>
      <c r="BA236" s="1783"/>
      <c r="BB236" s="1783"/>
      <c r="BC236" s="1783"/>
      <c r="BD236" s="1783"/>
      <c r="BE236" s="1783"/>
      <c r="BF236" s="1783"/>
      <c r="BG236" s="1783"/>
      <c r="BH236" s="1783"/>
      <c r="BI236" s="1783"/>
    </row>
    <row r="237" spans="1:61">
      <c r="A237" s="1819"/>
      <c r="B237" s="1818"/>
      <c r="C237" s="1818"/>
      <c r="D237" s="1818"/>
      <c r="E237" s="1818"/>
      <c r="F237" s="1818"/>
      <c r="G237" s="1818"/>
      <c r="H237" s="1783"/>
      <c r="I237" s="1783"/>
      <c r="J237" s="1783"/>
      <c r="K237" s="1783"/>
      <c r="L237" s="1783"/>
      <c r="M237" s="1783"/>
      <c r="N237" s="1783"/>
      <c r="O237" s="1783"/>
      <c r="P237" s="1783"/>
      <c r="Q237" s="1783"/>
      <c r="R237" s="1783"/>
      <c r="S237" s="1783"/>
      <c r="T237" s="1783"/>
      <c r="U237" s="1783"/>
      <c r="V237" s="1783"/>
      <c r="W237" s="1783"/>
      <c r="X237" s="1783"/>
      <c r="Y237" s="1783"/>
      <c r="Z237" s="1783"/>
      <c r="AA237" s="1783"/>
      <c r="AB237" s="1783"/>
      <c r="AC237" s="1783"/>
      <c r="AD237" s="1783"/>
      <c r="AE237" s="1783"/>
      <c r="AF237" s="1783"/>
      <c r="AG237" s="1783"/>
      <c r="AH237" s="1783"/>
      <c r="AI237" s="1783"/>
      <c r="AJ237" s="1783"/>
      <c r="AK237" s="1783"/>
      <c r="AL237" s="1783"/>
      <c r="AM237" s="1783"/>
      <c r="AN237" s="1783"/>
      <c r="AO237" s="1783"/>
      <c r="AP237" s="1783"/>
      <c r="AQ237" s="1783"/>
      <c r="AR237" s="1783"/>
      <c r="AS237" s="1783"/>
      <c r="AT237" s="1783"/>
      <c r="AU237" s="1783"/>
      <c r="AV237" s="1783"/>
      <c r="AW237" s="1783"/>
      <c r="AX237" s="1783"/>
      <c r="AY237" s="1783"/>
      <c r="AZ237" s="1783"/>
      <c r="BA237" s="1783"/>
      <c r="BB237" s="1783"/>
      <c r="BC237" s="1783"/>
      <c r="BD237" s="1783"/>
      <c r="BE237" s="1783"/>
      <c r="BF237" s="1783"/>
      <c r="BG237" s="1783"/>
      <c r="BH237" s="1783"/>
      <c r="BI237" s="1783"/>
    </row>
    <row r="238" spans="1:61">
      <c r="A238" s="1819"/>
      <c r="B238" s="1818"/>
      <c r="C238" s="1818"/>
      <c r="D238" s="1818"/>
      <c r="E238" s="1818"/>
      <c r="F238" s="1818"/>
      <c r="G238" s="1818"/>
      <c r="H238" s="1783"/>
      <c r="I238" s="1783"/>
      <c r="J238" s="1783"/>
      <c r="K238" s="1783"/>
      <c r="L238" s="1783"/>
      <c r="M238" s="1783"/>
      <c r="N238" s="1783"/>
      <c r="O238" s="1783"/>
      <c r="P238" s="1783"/>
      <c r="Q238" s="1783"/>
      <c r="R238" s="1783"/>
      <c r="S238" s="1783"/>
      <c r="T238" s="1783"/>
      <c r="U238" s="1783"/>
      <c r="V238" s="1783"/>
      <c r="W238" s="1783"/>
      <c r="X238" s="1783"/>
      <c r="Y238" s="1783"/>
      <c r="Z238" s="1783"/>
      <c r="AA238" s="1783"/>
      <c r="AB238" s="1783"/>
      <c r="AC238" s="1783"/>
      <c r="AD238" s="1783"/>
      <c r="AE238" s="1783"/>
      <c r="AF238" s="1783"/>
      <c r="AG238" s="1783"/>
      <c r="AH238" s="1783"/>
      <c r="AI238" s="1783"/>
      <c r="AJ238" s="1783"/>
      <c r="AK238" s="1783"/>
      <c r="AL238" s="1783"/>
      <c r="AM238" s="1783"/>
      <c r="AN238" s="1783"/>
      <c r="AO238" s="1783"/>
      <c r="AP238" s="1783"/>
      <c r="AQ238" s="1783"/>
      <c r="AR238" s="1783"/>
      <c r="AS238" s="1783"/>
      <c r="AT238" s="1783"/>
      <c r="AU238" s="1783"/>
      <c r="AV238" s="1783"/>
      <c r="AW238" s="1783"/>
      <c r="AX238" s="1783"/>
      <c r="AY238" s="1783"/>
      <c r="AZ238" s="1783"/>
      <c r="BA238" s="1783"/>
      <c r="BB238" s="1783"/>
      <c r="BC238" s="1783"/>
      <c r="BD238" s="1783"/>
      <c r="BE238" s="1783"/>
      <c r="BF238" s="1783"/>
      <c r="BG238" s="1783"/>
      <c r="BH238" s="1783"/>
      <c r="BI238" s="1783"/>
    </row>
    <row r="239" spans="1:61">
      <c r="A239" s="1819"/>
      <c r="B239" s="1818"/>
      <c r="C239" s="1818"/>
      <c r="D239" s="1818"/>
      <c r="E239" s="1818"/>
      <c r="F239" s="1818"/>
      <c r="G239" s="1818"/>
      <c r="H239" s="1783"/>
      <c r="I239" s="1783"/>
      <c r="J239" s="1783"/>
      <c r="K239" s="1783"/>
      <c r="L239" s="1783"/>
      <c r="M239" s="1783"/>
      <c r="N239" s="1783"/>
      <c r="O239" s="1783"/>
      <c r="P239" s="1783"/>
      <c r="Q239" s="1783"/>
      <c r="R239" s="1783"/>
      <c r="S239" s="1783"/>
      <c r="T239" s="1783"/>
      <c r="U239" s="1783"/>
      <c r="V239" s="1783"/>
      <c r="W239" s="1783"/>
      <c r="X239" s="1783"/>
      <c r="Y239" s="1783"/>
      <c r="Z239" s="1783"/>
      <c r="AA239" s="1783"/>
      <c r="AB239" s="1783"/>
      <c r="AC239" s="1783"/>
      <c r="AD239" s="1783"/>
      <c r="AE239" s="1783"/>
      <c r="AF239" s="1783"/>
      <c r="AG239" s="1783"/>
      <c r="AH239" s="1783"/>
      <c r="AI239" s="1783"/>
      <c r="AJ239" s="1783"/>
      <c r="AK239" s="1783"/>
      <c r="AL239" s="1783"/>
      <c r="AM239" s="1783"/>
      <c r="AN239" s="1783"/>
      <c r="AO239" s="1783"/>
      <c r="AP239" s="1783"/>
      <c r="AQ239" s="1783"/>
      <c r="AR239" s="1783"/>
      <c r="AS239" s="1783"/>
      <c r="AT239" s="1783"/>
      <c r="AU239" s="1783"/>
      <c r="AV239" s="1783"/>
      <c r="AW239" s="1783"/>
      <c r="AX239" s="1783"/>
      <c r="AY239" s="1783"/>
      <c r="AZ239" s="1783"/>
      <c r="BA239" s="1783"/>
      <c r="BB239" s="1783"/>
      <c r="BC239" s="1783"/>
      <c r="BD239" s="1783"/>
      <c r="BE239" s="1783"/>
      <c r="BF239" s="1783"/>
      <c r="BG239" s="1783"/>
      <c r="BH239" s="1783"/>
      <c r="BI239" s="1783"/>
    </row>
    <row r="240" spans="1:61">
      <c r="A240" s="1819"/>
      <c r="B240" s="1818"/>
      <c r="C240" s="1818"/>
      <c r="D240" s="1818"/>
      <c r="E240" s="1818"/>
      <c r="F240" s="1818"/>
      <c r="G240" s="1818"/>
      <c r="H240" s="1783"/>
      <c r="I240" s="1783"/>
      <c r="J240" s="1783"/>
      <c r="K240" s="1783"/>
      <c r="L240" s="1783"/>
      <c r="M240" s="1783"/>
      <c r="N240" s="1783"/>
      <c r="O240" s="1783"/>
      <c r="P240" s="1783"/>
      <c r="Q240" s="1783"/>
      <c r="R240" s="1783"/>
      <c r="S240" s="1783"/>
      <c r="T240" s="1783"/>
      <c r="U240" s="1783"/>
      <c r="V240" s="1783"/>
      <c r="W240" s="1783"/>
      <c r="X240" s="1783"/>
      <c r="Y240" s="1783"/>
      <c r="Z240" s="1783"/>
      <c r="AA240" s="1783"/>
      <c r="AB240" s="1783"/>
      <c r="AC240" s="1783"/>
      <c r="AD240" s="1783"/>
      <c r="AE240" s="1783"/>
      <c r="AF240" s="1783"/>
      <c r="AG240" s="1783"/>
      <c r="AH240" s="1783"/>
      <c r="AI240" s="1783"/>
      <c r="AJ240" s="1783"/>
      <c r="AK240" s="1783"/>
      <c r="AL240" s="1783"/>
      <c r="AM240" s="1783"/>
      <c r="AN240" s="1783"/>
      <c r="AO240" s="1783"/>
      <c r="AP240" s="1783"/>
      <c r="AQ240" s="1783"/>
      <c r="AR240" s="1783"/>
      <c r="AS240" s="1783"/>
      <c r="AT240" s="1783"/>
      <c r="AU240" s="1783"/>
      <c r="AV240" s="1783"/>
      <c r="AW240" s="1783"/>
      <c r="AX240" s="1783"/>
      <c r="AY240" s="1783"/>
      <c r="AZ240" s="1783"/>
      <c r="BA240" s="1783"/>
      <c r="BB240" s="1783"/>
      <c r="BC240" s="1783"/>
      <c r="BD240" s="1783"/>
      <c r="BE240" s="1783"/>
      <c r="BF240" s="1783"/>
      <c r="BG240" s="1783"/>
      <c r="BH240" s="1783"/>
      <c r="BI240" s="1783"/>
    </row>
    <row r="241" spans="1:61">
      <c r="A241" s="1819"/>
      <c r="B241" s="1818"/>
      <c r="C241" s="1818"/>
      <c r="D241" s="1818"/>
      <c r="E241" s="1818"/>
      <c r="F241" s="1818"/>
      <c r="G241" s="1818"/>
      <c r="H241" s="1783"/>
      <c r="I241" s="1783"/>
      <c r="J241" s="1783"/>
      <c r="K241" s="1783"/>
      <c r="L241" s="1783"/>
      <c r="M241" s="1783"/>
      <c r="N241" s="1783"/>
      <c r="O241" s="1783"/>
      <c r="P241" s="1783"/>
      <c r="Q241" s="1783"/>
      <c r="R241" s="1783"/>
      <c r="S241" s="1783"/>
      <c r="T241" s="1783"/>
      <c r="U241" s="1783"/>
      <c r="V241" s="1783"/>
      <c r="W241" s="1783"/>
      <c r="X241" s="1783"/>
      <c r="Y241" s="1783"/>
      <c r="Z241" s="1783"/>
      <c r="AA241" s="1783"/>
      <c r="AB241" s="1783"/>
      <c r="AC241" s="1783"/>
      <c r="AD241" s="1783"/>
      <c r="AE241" s="1783"/>
      <c r="AF241" s="1783"/>
      <c r="AG241" s="1783"/>
      <c r="AH241" s="1783"/>
      <c r="AI241" s="1783"/>
      <c r="AJ241" s="1783"/>
      <c r="AK241" s="1783"/>
      <c r="AL241" s="1783"/>
      <c r="AM241" s="1783"/>
      <c r="AN241" s="1783"/>
      <c r="AO241" s="1783"/>
      <c r="AP241" s="1783"/>
      <c r="AQ241" s="1783"/>
      <c r="AR241" s="1783"/>
      <c r="AS241" s="1783"/>
      <c r="AT241" s="1783"/>
      <c r="AU241" s="1783"/>
      <c r="AV241" s="1783"/>
      <c r="AW241" s="1783"/>
      <c r="AX241" s="1783"/>
      <c r="AY241" s="1783"/>
      <c r="AZ241" s="1783"/>
      <c r="BA241" s="1783"/>
      <c r="BB241" s="1783"/>
      <c r="BC241" s="1783"/>
      <c r="BD241" s="1783"/>
      <c r="BE241" s="1783"/>
      <c r="BF241" s="1783"/>
      <c r="BG241" s="1783"/>
      <c r="BH241" s="1783"/>
      <c r="BI241" s="1783"/>
    </row>
    <row r="242" spans="1:61">
      <c r="A242" s="1819"/>
      <c r="B242" s="1818"/>
      <c r="C242" s="1818"/>
      <c r="D242" s="1818"/>
      <c r="E242" s="1818"/>
      <c r="F242" s="1818"/>
      <c r="G242" s="1818"/>
      <c r="H242" s="1783"/>
      <c r="I242" s="1783"/>
      <c r="J242" s="1783"/>
      <c r="K242" s="1783"/>
      <c r="L242" s="1783"/>
      <c r="M242" s="1783"/>
      <c r="N242" s="1783"/>
      <c r="O242" s="1783"/>
      <c r="P242" s="1783"/>
      <c r="Q242" s="1783"/>
      <c r="R242" s="1783"/>
      <c r="S242" s="1783"/>
      <c r="T242" s="1783"/>
      <c r="U242" s="1783"/>
      <c r="V242" s="1783"/>
      <c r="W242" s="1783"/>
      <c r="X242" s="1783"/>
      <c r="Y242" s="1783"/>
      <c r="Z242" s="1783"/>
      <c r="AA242" s="1783"/>
      <c r="AB242" s="1783"/>
      <c r="AC242" s="1783"/>
      <c r="AD242" s="1783"/>
      <c r="AE242" s="1783"/>
      <c r="AF242" s="1783"/>
      <c r="AG242" s="1783"/>
      <c r="AH242" s="1783"/>
      <c r="AI242" s="1783"/>
      <c r="AJ242" s="1783"/>
      <c r="AK242" s="1783"/>
      <c r="AL242" s="1783"/>
      <c r="AM242" s="1783"/>
      <c r="AN242" s="1783"/>
      <c r="AO242" s="1783"/>
      <c r="AP242" s="1783"/>
      <c r="AQ242" s="1783"/>
      <c r="AR242" s="1783"/>
      <c r="AS242" s="1783"/>
      <c r="AT242" s="1783"/>
      <c r="AU242" s="1783"/>
      <c r="AV242" s="1783"/>
      <c r="AW242" s="1783"/>
      <c r="AX242" s="1783"/>
      <c r="AY242" s="1783"/>
      <c r="AZ242" s="1783"/>
      <c r="BA242" s="1783"/>
      <c r="BB242" s="1783"/>
      <c r="BC242" s="1783"/>
      <c r="BD242" s="1783"/>
      <c r="BE242" s="1783"/>
      <c r="BF242" s="1783"/>
      <c r="BG242" s="1783"/>
      <c r="BH242" s="1783"/>
      <c r="BI242" s="1783"/>
    </row>
    <row r="243" spans="1:61">
      <c r="A243" s="1819"/>
      <c r="B243" s="1818"/>
      <c r="C243" s="1818"/>
      <c r="D243" s="1818"/>
      <c r="E243" s="1818"/>
      <c r="F243" s="1818"/>
      <c r="G243" s="1818"/>
      <c r="H243" s="1783"/>
      <c r="I243" s="1783"/>
      <c r="J243" s="1783"/>
      <c r="K243" s="1783"/>
      <c r="L243" s="1783"/>
      <c r="M243" s="1783"/>
      <c r="N243" s="1783"/>
      <c r="O243" s="1783"/>
      <c r="P243" s="1783"/>
      <c r="Q243" s="1783"/>
      <c r="R243" s="1783"/>
      <c r="S243" s="1783"/>
      <c r="T243" s="1783"/>
      <c r="U243" s="1783"/>
      <c r="V243" s="1783"/>
      <c r="W243" s="1783"/>
      <c r="X243" s="1783"/>
      <c r="Y243" s="1783"/>
      <c r="Z243" s="1783"/>
      <c r="AA243" s="1783"/>
      <c r="AB243" s="1783"/>
      <c r="AC243" s="1783"/>
      <c r="AD243" s="1783"/>
      <c r="AE243" s="1783"/>
      <c r="AF243" s="1783"/>
      <c r="AG243" s="1783"/>
      <c r="AH243" s="1783"/>
      <c r="AI243" s="1783"/>
      <c r="AJ243" s="1783"/>
      <c r="AK243" s="1783"/>
      <c r="AL243" s="1783"/>
      <c r="AM243" s="1783"/>
      <c r="AN243" s="1783"/>
      <c r="AO243" s="1783"/>
      <c r="AP243" s="1783"/>
      <c r="AQ243" s="1783"/>
      <c r="AR243" s="1783"/>
      <c r="AS243" s="1783"/>
      <c r="AT243" s="1783"/>
      <c r="AU243" s="1783"/>
      <c r="AV243" s="1783"/>
      <c r="AW243" s="1783"/>
      <c r="AX243" s="1783"/>
      <c r="AY243" s="1783"/>
      <c r="AZ243" s="1783"/>
      <c r="BA243" s="1783"/>
      <c r="BB243" s="1783"/>
      <c r="BC243" s="1783"/>
      <c r="BD243" s="1783"/>
      <c r="BE243" s="1783"/>
      <c r="BF243" s="1783"/>
      <c r="BG243" s="1783"/>
      <c r="BH243" s="1783"/>
      <c r="BI243" s="1783"/>
    </row>
    <row r="244" spans="1:61">
      <c r="A244" s="1819"/>
      <c r="B244" s="1818"/>
      <c r="C244" s="1818"/>
      <c r="D244" s="1818"/>
      <c r="E244" s="1818"/>
      <c r="F244" s="1818"/>
      <c r="G244" s="1818"/>
      <c r="H244" s="1783"/>
      <c r="I244" s="1783"/>
      <c r="J244" s="1783"/>
      <c r="K244" s="1783"/>
      <c r="L244" s="1783"/>
      <c r="M244" s="1783"/>
      <c r="N244" s="1783"/>
      <c r="O244" s="1783"/>
      <c r="P244" s="1783"/>
      <c r="Q244" s="1783"/>
      <c r="R244" s="1783"/>
      <c r="S244" s="1783"/>
      <c r="T244" s="1783"/>
      <c r="U244" s="1783"/>
      <c r="V244" s="1783"/>
      <c r="W244" s="1783"/>
      <c r="X244" s="1783"/>
      <c r="Y244" s="1783"/>
      <c r="Z244" s="1783"/>
      <c r="AA244" s="1783"/>
      <c r="AB244" s="1783"/>
      <c r="AC244" s="1783"/>
      <c r="AD244" s="1783"/>
      <c r="AE244" s="1783"/>
      <c r="AF244" s="1783"/>
      <c r="AG244" s="1783"/>
      <c r="AH244" s="1783"/>
      <c r="AI244" s="1783"/>
      <c r="AJ244" s="1783"/>
      <c r="AK244" s="1783"/>
      <c r="AL244" s="1783"/>
      <c r="AM244" s="1783"/>
      <c r="AN244" s="1783"/>
      <c r="AO244" s="1783"/>
      <c r="AP244" s="1783"/>
      <c r="AQ244" s="1783"/>
      <c r="AR244" s="1783"/>
      <c r="AS244" s="1783"/>
      <c r="AT244" s="1783"/>
      <c r="AU244" s="1783"/>
      <c r="AV244" s="1783"/>
      <c r="AW244" s="1783"/>
      <c r="AX244" s="1783"/>
      <c r="AY244" s="1783"/>
      <c r="AZ244" s="1783"/>
      <c r="BA244" s="1783"/>
      <c r="BB244" s="1783"/>
      <c r="BC244" s="1783"/>
      <c r="BD244" s="1783"/>
      <c r="BE244" s="1783"/>
      <c r="BF244" s="1783"/>
      <c r="BG244" s="1783"/>
      <c r="BH244" s="1783"/>
      <c r="BI244" s="1783"/>
    </row>
    <row r="245" spans="1:61">
      <c r="A245" s="1819"/>
      <c r="B245" s="1818"/>
      <c r="C245" s="1818"/>
      <c r="D245" s="1818"/>
      <c r="E245" s="1818"/>
      <c r="F245" s="1818"/>
      <c r="G245" s="1818"/>
      <c r="H245" s="1783"/>
      <c r="I245" s="1783"/>
      <c r="J245" s="1783"/>
      <c r="K245" s="1783"/>
      <c r="L245" s="1783"/>
      <c r="M245" s="1783"/>
      <c r="N245" s="1783"/>
      <c r="O245" s="1783"/>
      <c r="P245" s="1783"/>
      <c r="Q245" s="1783"/>
      <c r="R245" s="1783"/>
      <c r="S245" s="1783"/>
      <c r="T245" s="1783"/>
      <c r="U245" s="1783"/>
      <c r="V245" s="1783"/>
      <c r="W245" s="1783"/>
      <c r="X245" s="1783"/>
      <c r="Y245" s="1783"/>
      <c r="Z245" s="1783"/>
      <c r="AA245" s="1783"/>
      <c r="AB245" s="1783"/>
      <c r="AC245" s="1783"/>
      <c r="AD245" s="1783"/>
      <c r="AE245" s="1783"/>
      <c r="AF245" s="1783"/>
      <c r="AG245" s="1783"/>
      <c r="AH245" s="1783"/>
      <c r="AI245" s="1783"/>
      <c r="AJ245" s="1783"/>
      <c r="AK245" s="1783"/>
      <c r="AL245" s="1783"/>
      <c r="AM245" s="1783"/>
      <c r="AN245" s="1783"/>
      <c r="AO245" s="1783"/>
      <c r="AP245" s="1783"/>
      <c r="AQ245" s="1783"/>
      <c r="AR245" s="1783"/>
      <c r="AS245" s="1783"/>
      <c r="AT245" s="1783"/>
      <c r="AU245" s="1783"/>
      <c r="AV245" s="1783"/>
      <c r="AW245" s="1783"/>
      <c r="AX245" s="1783"/>
      <c r="AY245" s="1783"/>
      <c r="AZ245" s="1783"/>
      <c r="BA245" s="1783"/>
      <c r="BB245" s="1783"/>
      <c r="BC245" s="1783"/>
      <c r="BD245" s="1783"/>
      <c r="BE245" s="1783"/>
      <c r="BF245" s="1783"/>
      <c r="BG245" s="1783"/>
      <c r="BH245" s="1783"/>
      <c r="BI245" s="1783"/>
    </row>
    <row r="246" spans="1:61">
      <c r="A246" s="1819"/>
      <c r="B246" s="1818"/>
      <c r="C246" s="1818"/>
      <c r="D246" s="1818"/>
      <c r="E246" s="1818"/>
      <c r="F246" s="1818"/>
      <c r="G246" s="1818"/>
      <c r="H246" s="1783"/>
      <c r="I246" s="1783"/>
      <c r="J246" s="1783"/>
      <c r="K246" s="1783"/>
      <c r="L246" s="1783"/>
      <c r="M246" s="1783"/>
      <c r="N246" s="1783"/>
      <c r="O246" s="1783"/>
      <c r="P246" s="1783"/>
      <c r="Q246" s="1783"/>
      <c r="R246" s="1783"/>
      <c r="S246" s="1783"/>
      <c r="T246" s="1783"/>
      <c r="U246" s="1783"/>
      <c r="V246" s="1783"/>
      <c r="W246" s="1783"/>
      <c r="X246" s="1783"/>
      <c r="Y246" s="1783"/>
      <c r="Z246" s="1783"/>
      <c r="AA246" s="1783"/>
      <c r="AB246" s="1783"/>
      <c r="AC246" s="1783"/>
      <c r="AD246" s="1783"/>
      <c r="AE246" s="1783"/>
      <c r="AF246" s="1783"/>
      <c r="AG246" s="1783"/>
      <c r="AH246" s="1783"/>
      <c r="AI246" s="1783"/>
      <c r="AJ246" s="1783"/>
      <c r="AK246" s="1783"/>
      <c r="AL246" s="1783"/>
      <c r="AM246" s="1783"/>
      <c r="AN246" s="1783"/>
      <c r="AO246" s="1783"/>
      <c r="AP246" s="1783"/>
      <c r="AQ246" s="1783"/>
      <c r="AR246" s="1783"/>
      <c r="AS246" s="1783"/>
      <c r="AT246" s="1783"/>
      <c r="AU246" s="1783"/>
      <c r="AV246" s="1783"/>
      <c r="AW246" s="1783"/>
      <c r="AX246" s="1783"/>
      <c r="AY246" s="1783"/>
      <c r="AZ246" s="1783"/>
      <c r="BA246" s="1783"/>
      <c r="BB246" s="1783"/>
      <c r="BC246" s="1783"/>
      <c r="BD246" s="1783"/>
      <c r="BE246" s="1783"/>
      <c r="BF246" s="1783"/>
      <c r="BG246" s="1783"/>
      <c r="BH246" s="1783"/>
      <c r="BI246" s="1783"/>
    </row>
    <row r="247" spans="1:61">
      <c r="A247" s="1819"/>
      <c r="B247" s="1818"/>
      <c r="C247" s="1818"/>
      <c r="D247" s="1818"/>
      <c r="E247" s="1818"/>
      <c r="F247" s="1818"/>
      <c r="G247" s="1818"/>
      <c r="H247" s="1783"/>
      <c r="I247" s="1783"/>
      <c r="J247" s="1783"/>
      <c r="K247" s="1783"/>
      <c r="L247" s="1783"/>
      <c r="M247" s="1783"/>
      <c r="N247" s="1783"/>
      <c r="O247" s="1783"/>
      <c r="P247" s="1783"/>
      <c r="Q247" s="1783"/>
      <c r="R247" s="1783"/>
      <c r="S247" s="1783"/>
      <c r="T247" s="1783"/>
      <c r="U247" s="1783"/>
      <c r="V247" s="1783"/>
      <c r="W247" s="1783"/>
      <c r="X247" s="1783"/>
      <c r="Y247" s="1783"/>
      <c r="Z247" s="1783"/>
      <c r="AA247" s="1783"/>
      <c r="AB247" s="1783"/>
      <c r="AC247" s="1783"/>
      <c r="AD247" s="1783"/>
      <c r="AE247" s="1783"/>
      <c r="AF247" s="1783"/>
      <c r="AG247" s="1783"/>
      <c r="AH247" s="1783"/>
      <c r="AI247" s="1783"/>
      <c r="AJ247" s="1783"/>
      <c r="AK247" s="1783"/>
      <c r="AL247" s="1783"/>
      <c r="AM247" s="1783"/>
      <c r="AN247" s="1783"/>
      <c r="AO247" s="1783"/>
      <c r="AP247" s="1783"/>
      <c r="AQ247" s="1783"/>
      <c r="AR247" s="1783"/>
      <c r="AS247" s="1783"/>
      <c r="AT247" s="1783"/>
      <c r="AU247" s="1783"/>
      <c r="AV247" s="1783"/>
      <c r="AW247" s="1783"/>
      <c r="AX247" s="1783"/>
      <c r="AY247" s="1783"/>
      <c r="AZ247" s="1783"/>
      <c r="BA247" s="1783"/>
      <c r="BB247" s="1783"/>
      <c r="BC247" s="1783"/>
      <c r="BD247" s="1783"/>
      <c r="BE247" s="1783"/>
      <c r="BF247" s="1783"/>
      <c r="BG247" s="1783"/>
      <c r="BH247" s="1783"/>
      <c r="BI247" s="1783"/>
    </row>
    <row r="248" spans="1:61">
      <c r="A248" s="1819"/>
      <c r="B248" s="1818"/>
      <c r="C248" s="1818"/>
      <c r="D248" s="1818"/>
      <c r="E248" s="1818"/>
      <c r="F248" s="1818"/>
      <c r="G248" s="1818"/>
      <c r="H248" s="1783"/>
      <c r="I248" s="1783"/>
      <c r="J248" s="1783"/>
      <c r="K248" s="1783"/>
      <c r="L248" s="1783"/>
      <c r="M248" s="1783"/>
      <c r="N248" s="1783"/>
      <c r="O248" s="1783"/>
      <c r="P248" s="1783"/>
      <c r="Q248" s="1783"/>
      <c r="R248" s="1783"/>
      <c r="S248" s="1783"/>
      <c r="T248" s="1783"/>
      <c r="U248" s="1783"/>
      <c r="V248" s="1783"/>
      <c r="W248" s="1783"/>
      <c r="X248" s="1783"/>
      <c r="Y248" s="1783"/>
      <c r="Z248" s="1783"/>
      <c r="AA248" s="1783"/>
      <c r="AB248" s="1783"/>
      <c r="AC248" s="1783"/>
      <c r="AD248" s="1783"/>
      <c r="AE248" s="1783"/>
      <c r="AF248" s="1783"/>
      <c r="AG248" s="1783"/>
      <c r="AH248" s="1783"/>
      <c r="AI248" s="1783"/>
      <c r="AJ248" s="1783"/>
      <c r="AK248" s="1783"/>
      <c r="AL248" s="1783"/>
      <c r="AM248" s="1783"/>
      <c r="AN248" s="1783"/>
      <c r="AO248" s="1783"/>
      <c r="AP248" s="1783"/>
      <c r="AQ248" s="1783"/>
      <c r="AR248" s="1783"/>
      <c r="AS248" s="1783"/>
      <c r="AT248" s="1783"/>
      <c r="AU248" s="1783"/>
      <c r="AV248" s="1783"/>
      <c r="AW248" s="1783"/>
      <c r="AX248" s="1783"/>
      <c r="AY248" s="1783"/>
      <c r="AZ248" s="1783"/>
      <c r="BA248" s="1783"/>
      <c r="BB248" s="1783"/>
      <c r="BC248" s="1783"/>
      <c r="BD248" s="1783"/>
      <c r="BE248" s="1783"/>
      <c r="BF248" s="1783"/>
      <c r="BG248" s="1783"/>
      <c r="BH248" s="1783"/>
      <c r="BI248" s="1783"/>
    </row>
    <row r="249" spans="1:61">
      <c r="A249" s="1819"/>
      <c r="B249" s="1818"/>
      <c r="C249" s="1818"/>
      <c r="D249" s="1818"/>
      <c r="E249" s="1818"/>
      <c r="F249" s="1818"/>
      <c r="G249" s="1818"/>
      <c r="H249" s="1783"/>
      <c r="I249" s="1783"/>
      <c r="J249" s="1783"/>
      <c r="K249" s="1783"/>
      <c r="L249" s="1783"/>
      <c r="M249" s="1783"/>
      <c r="N249" s="1783"/>
      <c r="O249" s="1783"/>
      <c r="P249" s="1783"/>
      <c r="Q249" s="1783"/>
      <c r="R249" s="1783"/>
      <c r="S249" s="1783"/>
      <c r="T249" s="1783"/>
      <c r="U249" s="1783"/>
      <c r="V249" s="1783"/>
      <c r="W249" s="1783"/>
      <c r="X249" s="1783"/>
      <c r="Y249" s="1783"/>
      <c r="Z249" s="1783"/>
      <c r="AA249" s="1783"/>
      <c r="AB249" s="1783"/>
      <c r="AC249" s="1783"/>
      <c r="AD249" s="1783"/>
      <c r="AE249" s="1783"/>
      <c r="AF249" s="1783"/>
      <c r="AG249" s="1783"/>
      <c r="AH249" s="1783"/>
      <c r="AI249" s="1783"/>
      <c r="AJ249" s="1783"/>
      <c r="AK249" s="1783"/>
      <c r="AL249" s="1783"/>
      <c r="AM249" s="1783"/>
      <c r="AN249" s="1783"/>
      <c r="AO249" s="1783"/>
      <c r="AP249" s="1783"/>
      <c r="AQ249" s="1783"/>
      <c r="AR249" s="1783"/>
      <c r="AS249" s="1783"/>
      <c r="AT249" s="1783"/>
      <c r="AU249" s="1783"/>
      <c r="AV249" s="1783"/>
      <c r="AW249" s="1783"/>
      <c r="AX249" s="1783"/>
      <c r="AY249" s="1783"/>
      <c r="AZ249" s="1783"/>
      <c r="BA249" s="1783"/>
      <c r="BB249" s="1783"/>
      <c r="BC249" s="1783"/>
      <c r="BD249" s="1783"/>
      <c r="BE249" s="1783"/>
      <c r="BF249" s="1783"/>
      <c r="BG249" s="1783"/>
      <c r="BH249" s="1783"/>
      <c r="BI249" s="1783"/>
    </row>
    <row r="250" spans="1:61">
      <c r="A250" s="1819"/>
      <c r="B250" s="1818"/>
      <c r="C250" s="1818"/>
      <c r="D250" s="1818"/>
      <c r="E250" s="1818"/>
      <c r="F250" s="1818"/>
      <c r="G250" s="1818"/>
      <c r="H250" s="1783"/>
      <c r="I250" s="1783"/>
      <c r="J250" s="1783"/>
      <c r="K250" s="1783"/>
      <c r="L250" s="1783"/>
      <c r="M250" s="1783"/>
      <c r="N250" s="1783"/>
      <c r="O250" s="1783"/>
      <c r="P250" s="1783"/>
      <c r="Q250" s="1783"/>
      <c r="R250" s="1783"/>
      <c r="S250" s="1783"/>
      <c r="T250" s="1783"/>
      <c r="U250" s="1783"/>
      <c r="V250" s="1783"/>
      <c r="W250" s="1783"/>
      <c r="X250" s="1783"/>
      <c r="Y250" s="1783"/>
      <c r="Z250" s="1783"/>
      <c r="AA250" s="1783"/>
      <c r="AB250" s="1783"/>
      <c r="AC250" s="1783"/>
      <c r="AD250" s="1783"/>
      <c r="AE250" s="1783"/>
      <c r="AF250" s="1783"/>
      <c r="AG250" s="1783"/>
      <c r="AH250" s="1783"/>
      <c r="AI250" s="1783"/>
      <c r="AJ250" s="1783"/>
      <c r="AK250" s="1783"/>
      <c r="AL250" s="1783"/>
      <c r="AM250" s="1783"/>
      <c r="AN250" s="1783"/>
      <c r="AO250" s="1783"/>
      <c r="AP250" s="1783"/>
      <c r="AQ250" s="1783"/>
      <c r="AR250" s="1783"/>
      <c r="AS250" s="1783"/>
      <c r="AT250" s="1783"/>
      <c r="AU250" s="1783"/>
      <c r="AV250" s="1783"/>
      <c r="AW250" s="1783"/>
      <c r="AX250" s="1783"/>
      <c r="AY250" s="1783"/>
      <c r="AZ250" s="1783"/>
      <c r="BA250" s="1783"/>
      <c r="BB250" s="1783"/>
      <c r="BC250" s="1783"/>
      <c r="BD250" s="1783"/>
      <c r="BE250" s="1783"/>
      <c r="BF250" s="1783"/>
      <c r="BG250" s="1783"/>
      <c r="BH250" s="1783"/>
      <c r="BI250" s="1783"/>
    </row>
    <row r="251" spans="1:61">
      <c r="A251" s="1819"/>
      <c r="B251" s="1818"/>
      <c r="C251" s="1818"/>
      <c r="D251" s="1818"/>
      <c r="E251" s="1818"/>
      <c r="F251" s="1818"/>
      <c r="G251" s="1818"/>
      <c r="H251" s="1783"/>
      <c r="I251" s="1783"/>
      <c r="J251" s="1783"/>
      <c r="K251" s="1783"/>
      <c r="L251" s="1783"/>
      <c r="M251" s="1783"/>
      <c r="N251" s="1783"/>
      <c r="O251" s="1783"/>
      <c r="P251" s="1783"/>
      <c r="Q251" s="1783"/>
      <c r="R251" s="1783"/>
      <c r="S251" s="1783"/>
      <c r="T251" s="1783"/>
      <c r="U251" s="1783"/>
      <c r="V251" s="1783"/>
      <c r="W251" s="1783"/>
      <c r="X251" s="1783"/>
      <c r="Y251" s="1783"/>
      <c r="Z251" s="1783"/>
      <c r="AA251" s="1783"/>
      <c r="AB251" s="1783"/>
      <c r="AC251" s="1783"/>
      <c r="AD251" s="1783"/>
      <c r="AE251" s="1783"/>
      <c r="AF251" s="1783"/>
      <c r="AG251" s="1783"/>
      <c r="AH251" s="1783"/>
      <c r="AI251" s="1783"/>
      <c r="AJ251" s="1783"/>
      <c r="AK251" s="1783"/>
      <c r="AL251" s="1783"/>
      <c r="AM251" s="1783"/>
      <c r="AN251" s="1783"/>
      <c r="AO251" s="1783"/>
      <c r="AP251" s="1783"/>
      <c r="AQ251" s="1783"/>
      <c r="AR251" s="1783"/>
      <c r="AS251" s="1783"/>
      <c r="AT251" s="1783"/>
      <c r="AU251" s="1783"/>
      <c r="AV251" s="1783"/>
      <c r="AW251" s="1783"/>
      <c r="AX251" s="1783"/>
      <c r="AY251" s="1783"/>
      <c r="AZ251" s="1783"/>
      <c r="BA251" s="1783"/>
      <c r="BB251" s="1783"/>
      <c r="BC251" s="1783"/>
      <c r="BD251" s="1783"/>
      <c r="BE251" s="1783"/>
      <c r="BF251" s="1783"/>
      <c r="BG251" s="1783"/>
      <c r="BH251" s="1783"/>
      <c r="BI251" s="1783"/>
    </row>
    <row r="252" spans="1:61">
      <c r="A252" s="1819"/>
      <c r="B252" s="1818"/>
      <c r="C252" s="1818"/>
      <c r="D252" s="1818"/>
      <c r="E252" s="1818"/>
      <c r="F252" s="1818"/>
      <c r="G252" s="1818"/>
      <c r="H252" s="1783"/>
      <c r="I252" s="1783"/>
      <c r="J252" s="1783"/>
      <c r="K252" s="1783"/>
      <c r="L252" s="1783"/>
      <c r="M252" s="1783"/>
      <c r="N252" s="1783"/>
      <c r="O252" s="1783"/>
      <c r="P252" s="1783"/>
      <c r="Q252" s="1783"/>
      <c r="R252" s="1783"/>
      <c r="S252" s="1783"/>
      <c r="T252" s="1783"/>
      <c r="U252" s="1783"/>
      <c r="V252" s="1783"/>
      <c r="W252" s="1783"/>
      <c r="X252" s="1783"/>
      <c r="Y252" s="1783"/>
      <c r="Z252" s="1783"/>
      <c r="AA252" s="1783"/>
      <c r="AB252" s="1783"/>
      <c r="AC252" s="1783"/>
      <c r="AD252" s="1783"/>
      <c r="AE252" s="1783"/>
      <c r="AF252" s="1783"/>
      <c r="AG252" s="1783"/>
      <c r="AH252" s="1783"/>
      <c r="AI252" s="1783"/>
      <c r="AJ252" s="1783"/>
      <c r="AK252" s="1783"/>
      <c r="AL252" s="1783"/>
      <c r="AM252" s="1783"/>
      <c r="AN252" s="1783"/>
      <c r="AO252" s="1783"/>
      <c r="AP252" s="1783"/>
      <c r="AQ252" s="1783"/>
      <c r="AR252" s="1783"/>
      <c r="AS252" s="1783"/>
      <c r="AT252" s="1783"/>
      <c r="AU252" s="1783"/>
      <c r="AV252" s="1783"/>
      <c r="AW252" s="1783"/>
      <c r="AX252" s="1783"/>
      <c r="AY252" s="1783"/>
      <c r="AZ252" s="1783"/>
      <c r="BA252" s="1783"/>
      <c r="BB252" s="1783"/>
      <c r="BC252" s="1783"/>
      <c r="BD252" s="1783"/>
      <c r="BE252" s="1783"/>
      <c r="BF252" s="1783"/>
      <c r="BG252" s="1783"/>
      <c r="BH252" s="1783"/>
      <c r="BI252" s="1783"/>
    </row>
    <row r="253" spans="1:61">
      <c r="A253" s="1819"/>
      <c r="B253" s="1818"/>
      <c r="C253" s="1818"/>
      <c r="D253" s="1818"/>
      <c r="E253" s="1818"/>
      <c r="F253" s="1818"/>
      <c r="G253" s="1818"/>
      <c r="H253" s="1783"/>
      <c r="I253" s="1783"/>
      <c r="J253" s="1783"/>
      <c r="K253" s="1783"/>
      <c r="L253" s="1783"/>
      <c r="M253" s="1783"/>
      <c r="N253" s="1783"/>
      <c r="O253" s="1783"/>
      <c r="P253" s="1783"/>
      <c r="Q253" s="1783"/>
      <c r="R253" s="1783"/>
      <c r="S253" s="1783"/>
      <c r="T253" s="1783"/>
      <c r="U253" s="1783"/>
      <c r="V253" s="1783"/>
      <c r="W253" s="1783"/>
      <c r="X253" s="1783"/>
      <c r="Y253" s="1783"/>
      <c r="Z253" s="1783"/>
      <c r="AA253" s="1783"/>
      <c r="AB253" s="1783"/>
      <c r="AC253" s="1783"/>
      <c r="AD253" s="1783"/>
      <c r="AE253" s="1783"/>
      <c r="AF253" s="1783"/>
      <c r="AG253" s="1783"/>
      <c r="AH253" s="1783"/>
      <c r="AI253" s="1783"/>
      <c r="AJ253" s="1783"/>
      <c r="AK253" s="1783"/>
      <c r="AL253" s="1783"/>
      <c r="AM253" s="1783"/>
      <c r="AN253" s="1783"/>
      <c r="AO253" s="1783"/>
      <c r="AP253" s="1783"/>
      <c r="AQ253" s="1783"/>
      <c r="AR253" s="1783"/>
      <c r="AS253" s="1783"/>
      <c r="AT253" s="1783"/>
      <c r="AU253" s="1783"/>
      <c r="AV253" s="1783"/>
      <c r="AW253" s="1783"/>
      <c r="AX253" s="1783"/>
      <c r="AY253" s="1783"/>
      <c r="AZ253" s="1783"/>
      <c r="BA253" s="1783"/>
      <c r="BB253" s="1783"/>
      <c r="BC253" s="1783"/>
      <c r="BD253" s="1783"/>
      <c r="BE253" s="1783"/>
      <c r="BF253" s="1783"/>
      <c r="BG253" s="1783"/>
      <c r="BH253" s="1783"/>
      <c r="BI253" s="1783"/>
    </row>
    <row r="254" spans="1:61">
      <c r="A254" s="1819"/>
      <c r="B254" s="1818"/>
      <c r="C254" s="1818"/>
      <c r="D254" s="1818"/>
      <c r="E254" s="1818"/>
      <c r="F254" s="1818"/>
      <c r="G254" s="1818"/>
      <c r="H254" s="1783"/>
      <c r="I254" s="1783"/>
      <c r="J254" s="1783"/>
      <c r="K254" s="1783"/>
      <c r="L254" s="1783"/>
      <c r="M254" s="1783"/>
      <c r="N254" s="1783"/>
      <c r="O254" s="1783"/>
      <c r="P254" s="1783"/>
      <c r="Q254" s="1783"/>
      <c r="R254" s="1783"/>
      <c r="S254" s="1783"/>
      <c r="T254" s="1783"/>
      <c r="U254" s="1783"/>
      <c r="V254" s="1783"/>
      <c r="W254" s="1783"/>
      <c r="X254" s="1783"/>
      <c r="Y254" s="1783"/>
      <c r="Z254" s="1783"/>
      <c r="AA254" s="1783"/>
      <c r="AB254" s="1783"/>
      <c r="AC254" s="1783"/>
      <c r="AD254" s="1783"/>
      <c r="AE254" s="1783"/>
      <c r="AF254" s="1783"/>
      <c r="AG254" s="1783"/>
      <c r="AH254" s="1783"/>
      <c r="AI254" s="1783"/>
      <c r="AJ254" s="1783"/>
      <c r="AK254" s="1783"/>
      <c r="AL254" s="1783"/>
      <c r="AM254" s="1783"/>
      <c r="AN254" s="1783"/>
      <c r="AO254" s="1783"/>
      <c r="AP254" s="1783"/>
      <c r="AQ254" s="1783"/>
      <c r="AR254" s="1783"/>
      <c r="AS254" s="1783"/>
      <c r="AT254" s="1783"/>
      <c r="AU254" s="1783"/>
      <c r="AV254" s="1783"/>
      <c r="AW254" s="1783"/>
      <c r="AX254" s="1783"/>
      <c r="AY254" s="1783"/>
      <c r="AZ254" s="1783"/>
      <c r="BA254" s="1783"/>
      <c r="BB254" s="1783"/>
      <c r="BC254" s="1783"/>
      <c r="BD254" s="1783"/>
      <c r="BE254" s="1783"/>
      <c r="BF254" s="1783"/>
      <c r="BG254" s="1783"/>
      <c r="BH254" s="1783"/>
      <c r="BI254" s="1783"/>
    </row>
    <row r="255" spans="1:61">
      <c r="A255" s="1819"/>
      <c r="B255" s="1818"/>
      <c r="C255" s="1818"/>
      <c r="D255" s="1818"/>
      <c r="E255" s="1818"/>
      <c r="F255" s="1818"/>
      <c r="G255" s="1818"/>
      <c r="H255" s="1783"/>
      <c r="I255" s="1783"/>
      <c r="J255" s="1783"/>
      <c r="K255" s="1783"/>
      <c r="L255" s="1783"/>
      <c r="M255" s="1783"/>
      <c r="N255" s="1783"/>
      <c r="O255" s="1783"/>
      <c r="P255" s="1783"/>
      <c r="Q255" s="1783"/>
      <c r="R255" s="1783"/>
      <c r="S255" s="1783"/>
      <c r="T255" s="1783"/>
      <c r="U255" s="1783"/>
      <c r="V255" s="1783"/>
      <c r="W255" s="1783"/>
      <c r="X255" s="1783"/>
      <c r="Y255" s="1783"/>
      <c r="Z255" s="1783"/>
      <c r="AA255" s="1783"/>
      <c r="AB255" s="1783"/>
      <c r="AC255" s="1783"/>
      <c r="AD255" s="1783"/>
      <c r="AE255" s="1783"/>
      <c r="AF255" s="1783"/>
      <c r="AG255" s="1783"/>
      <c r="AH255" s="1783"/>
      <c r="AI255" s="1783"/>
      <c r="AJ255" s="1783"/>
      <c r="AK255" s="1783"/>
      <c r="AL255" s="1783"/>
      <c r="AM255" s="1783"/>
      <c r="AN255" s="1783"/>
      <c r="AO255" s="1783"/>
      <c r="AP255" s="1783"/>
      <c r="AQ255" s="1783"/>
      <c r="AR255" s="1783"/>
      <c r="AS255" s="1783"/>
      <c r="AT255" s="1783"/>
      <c r="AU255" s="1783"/>
      <c r="AV255" s="1783"/>
      <c r="AW255" s="1783"/>
      <c r="AX255" s="1783"/>
      <c r="AY255" s="1783"/>
      <c r="AZ255" s="1783"/>
      <c r="BA255" s="1783"/>
      <c r="BB255" s="1783"/>
      <c r="BC255" s="1783"/>
      <c r="BD255" s="1783"/>
      <c r="BE255" s="1783"/>
      <c r="BF255" s="1783"/>
      <c r="BG255" s="1783"/>
      <c r="BH255" s="1783"/>
      <c r="BI255" s="1783"/>
    </row>
    <row r="256" spans="1:61">
      <c r="A256" s="1819"/>
      <c r="B256" s="1818"/>
      <c r="C256" s="1818"/>
      <c r="D256" s="1818"/>
      <c r="E256" s="1818"/>
      <c r="F256" s="1818"/>
      <c r="G256" s="1818"/>
      <c r="H256" s="1783"/>
      <c r="I256" s="1783"/>
      <c r="J256" s="1783"/>
      <c r="K256" s="1783"/>
      <c r="L256" s="1783"/>
      <c r="M256" s="1783"/>
      <c r="N256" s="1783"/>
      <c r="O256" s="1783"/>
      <c r="P256" s="1783"/>
      <c r="Q256" s="1783"/>
      <c r="R256" s="1783"/>
      <c r="S256" s="1783"/>
      <c r="T256" s="1783"/>
      <c r="U256" s="1783"/>
      <c r="V256" s="1783"/>
      <c r="W256" s="1783"/>
      <c r="X256" s="1783"/>
      <c r="Y256" s="1783"/>
      <c r="Z256" s="1783"/>
      <c r="AA256" s="1783"/>
      <c r="AB256" s="1783"/>
      <c r="AC256" s="1783"/>
      <c r="AD256" s="1783"/>
      <c r="AE256" s="1783"/>
      <c r="AF256" s="1783"/>
      <c r="AG256" s="1783"/>
      <c r="AH256" s="1783"/>
      <c r="AI256" s="1783"/>
      <c r="AJ256" s="1783"/>
      <c r="AK256" s="1783"/>
      <c r="AL256" s="1783"/>
      <c r="AM256" s="1783"/>
      <c r="AN256" s="1783"/>
      <c r="AO256" s="1783"/>
      <c r="AP256" s="1783"/>
      <c r="AQ256" s="1783"/>
      <c r="AR256" s="1783"/>
      <c r="AS256" s="1783"/>
      <c r="AT256" s="1783"/>
      <c r="AU256" s="1783"/>
      <c r="AV256" s="1783"/>
      <c r="AW256" s="1783"/>
      <c r="AX256" s="1783"/>
      <c r="AY256" s="1783"/>
      <c r="AZ256" s="1783"/>
      <c r="BA256" s="1783"/>
      <c r="BB256" s="1783"/>
      <c r="BC256" s="1783"/>
      <c r="BD256" s="1783"/>
      <c r="BE256" s="1783"/>
      <c r="BF256" s="1783"/>
      <c r="BG256" s="1783"/>
      <c r="BH256" s="1783"/>
      <c r="BI256" s="1783"/>
    </row>
    <row r="257" spans="1:61">
      <c r="A257" s="1819"/>
      <c r="B257" s="1818"/>
      <c r="C257" s="1818"/>
      <c r="D257" s="1818"/>
      <c r="E257" s="1818"/>
      <c r="F257" s="1818"/>
      <c r="G257" s="1818"/>
      <c r="H257" s="1783"/>
      <c r="I257" s="1783"/>
      <c r="J257" s="1783"/>
      <c r="K257" s="1783"/>
      <c r="L257" s="1783"/>
      <c r="M257" s="1783"/>
      <c r="N257" s="1783"/>
      <c r="O257" s="1783"/>
      <c r="P257" s="1783"/>
      <c r="Q257" s="1783"/>
      <c r="R257" s="1783"/>
      <c r="S257" s="1783"/>
      <c r="T257" s="1783"/>
      <c r="U257" s="1783"/>
      <c r="V257" s="1783"/>
      <c r="W257" s="1783"/>
      <c r="X257" s="1783"/>
      <c r="Y257" s="1783"/>
      <c r="Z257" s="1783"/>
      <c r="AA257" s="1783"/>
      <c r="AB257" s="1783"/>
      <c r="AC257" s="1783"/>
      <c r="AD257" s="1783"/>
      <c r="AE257" s="1783"/>
      <c r="AF257" s="1783"/>
      <c r="AG257" s="1783"/>
      <c r="AH257" s="1783"/>
      <c r="AI257" s="1783"/>
      <c r="AJ257" s="1783"/>
      <c r="AK257" s="1783"/>
      <c r="AL257" s="1783"/>
      <c r="AM257" s="1783"/>
      <c r="AN257" s="1783"/>
      <c r="AO257" s="1783"/>
      <c r="AP257" s="1783"/>
      <c r="AQ257" s="1783"/>
      <c r="AR257" s="1783"/>
      <c r="AS257" s="1783"/>
      <c r="AT257" s="1783"/>
      <c r="AU257" s="1783"/>
      <c r="AV257" s="1783"/>
      <c r="AW257" s="1783"/>
      <c r="AX257" s="1783"/>
      <c r="AY257" s="1783"/>
      <c r="AZ257" s="1783"/>
      <c r="BA257" s="1783"/>
      <c r="BB257" s="1783"/>
      <c r="BC257" s="1783"/>
      <c r="BD257" s="1783"/>
      <c r="BE257" s="1783"/>
      <c r="BF257" s="1783"/>
      <c r="BG257" s="1783"/>
      <c r="BH257" s="1783"/>
      <c r="BI257" s="1783"/>
    </row>
    <row r="258" spans="1:61">
      <c r="A258" s="1819"/>
      <c r="B258" s="1818"/>
      <c r="C258" s="1818"/>
      <c r="D258" s="1818"/>
      <c r="E258" s="1818"/>
      <c r="F258" s="1818"/>
      <c r="G258" s="1818"/>
      <c r="H258" s="1783"/>
      <c r="I258" s="1783"/>
      <c r="J258" s="1783"/>
      <c r="K258" s="1783"/>
      <c r="L258" s="1783"/>
      <c r="M258" s="1783"/>
      <c r="N258" s="1783"/>
      <c r="O258" s="1783"/>
      <c r="P258" s="1783"/>
      <c r="Q258" s="1783"/>
      <c r="R258" s="1783"/>
      <c r="S258" s="1783"/>
      <c r="T258" s="1783"/>
      <c r="U258" s="1783"/>
      <c r="V258" s="1783"/>
      <c r="W258" s="1783"/>
      <c r="X258" s="1783"/>
      <c r="Y258" s="1783"/>
      <c r="Z258" s="1783"/>
      <c r="AA258" s="1783"/>
      <c r="AB258" s="1783"/>
      <c r="AC258" s="1783"/>
      <c r="AD258" s="1783"/>
      <c r="AE258" s="1783"/>
      <c r="AF258" s="1783"/>
      <c r="AG258" s="1783"/>
      <c r="AH258" s="1783"/>
      <c r="AI258" s="1783"/>
      <c r="AJ258" s="1783"/>
      <c r="AK258" s="1783"/>
      <c r="AL258" s="1783"/>
      <c r="AM258" s="1783"/>
      <c r="AN258" s="1783"/>
      <c r="AO258" s="1783"/>
      <c r="AP258" s="1783"/>
      <c r="AQ258" s="1783"/>
      <c r="AR258" s="1783"/>
      <c r="AS258" s="1783"/>
      <c r="AT258" s="1783"/>
      <c r="AU258" s="1783"/>
      <c r="AV258" s="1783"/>
      <c r="AW258" s="1783"/>
      <c r="AX258" s="1783"/>
      <c r="AY258" s="1783"/>
      <c r="AZ258" s="1783"/>
      <c r="BA258" s="1783"/>
      <c r="BB258" s="1783"/>
      <c r="BC258" s="1783"/>
      <c r="BD258" s="1783"/>
      <c r="BE258" s="1783"/>
      <c r="BF258" s="1783"/>
      <c r="BG258" s="1783"/>
      <c r="BH258" s="1783"/>
      <c r="BI258" s="1783"/>
    </row>
    <row r="259" spans="1:61">
      <c r="A259" s="1819"/>
      <c r="B259" s="1818"/>
      <c r="C259" s="1818"/>
      <c r="D259" s="1818"/>
      <c r="E259" s="1818"/>
      <c r="F259" s="1818"/>
      <c r="G259" s="1818"/>
      <c r="H259" s="1783"/>
      <c r="I259" s="1783"/>
      <c r="J259" s="1783"/>
      <c r="K259" s="1783"/>
      <c r="L259" s="1783"/>
      <c r="M259" s="1783"/>
      <c r="N259" s="1783"/>
      <c r="O259" s="1783"/>
      <c r="P259" s="1783"/>
      <c r="Q259" s="1783"/>
      <c r="R259" s="1783"/>
      <c r="S259" s="1783"/>
      <c r="T259" s="1783"/>
      <c r="U259" s="1783"/>
      <c r="V259" s="1783"/>
      <c r="W259" s="1783"/>
      <c r="X259" s="1783"/>
      <c r="Y259" s="1783"/>
      <c r="Z259" s="1783"/>
      <c r="AA259" s="1783"/>
      <c r="AB259" s="1783"/>
      <c r="AC259" s="1783"/>
      <c r="AD259" s="1783"/>
      <c r="AE259" s="1783"/>
      <c r="AF259" s="1783"/>
      <c r="AG259" s="1783"/>
      <c r="AH259" s="1783"/>
      <c r="AI259" s="1783"/>
      <c r="AJ259" s="1783"/>
      <c r="AK259" s="1783"/>
      <c r="AL259" s="1783"/>
      <c r="AM259" s="1783"/>
      <c r="AN259" s="1783"/>
      <c r="AO259" s="1783"/>
      <c r="AP259" s="1783"/>
      <c r="AQ259" s="1783"/>
      <c r="AR259" s="1783"/>
      <c r="AS259" s="1783"/>
      <c r="AT259" s="1783"/>
      <c r="AU259" s="1783"/>
      <c r="AV259" s="1783"/>
      <c r="AW259" s="1783"/>
      <c r="AX259" s="1783"/>
      <c r="AY259" s="1783"/>
      <c r="AZ259" s="1783"/>
      <c r="BA259" s="1783"/>
      <c r="BB259" s="1783"/>
      <c r="BC259" s="1783"/>
      <c r="BD259" s="1783"/>
      <c r="BE259" s="1783"/>
      <c r="BF259" s="1783"/>
      <c r="BG259" s="1783"/>
      <c r="BH259" s="1783"/>
      <c r="BI259" s="1783"/>
    </row>
    <row r="260" spans="1:61">
      <c r="A260" s="1819"/>
      <c r="B260" s="1818"/>
      <c r="C260" s="1818"/>
      <c r="D260" s="1818"/>
      <c r="E260" s="1818"/>
      <c r="F260" s="1818"/>
      <c r="G260" s="1818"/>
      <c r="H260" s="1783"/>
      <c r="I260" s="1783"/>
      <c r="J260" s="1783"/>
      <c r="K260" s="1783"/>
      <c r="L260" s="1783"/>
      <c r="M260" s="1783"/>
      <c r="N260" s="1783"/>
      <c r="O260" s="1783"/>
      <c r="P260" s="1783"/>
      <c r="Q260" s="1783"/>
      <c r="R260" s="1783"/>
      <c r="S260" s="1783"/>
      <c r="T260" s="1783"/>
      <c r="U260" s="1783"/>
      <c r="V260" s="1783"/>
      <c r="W260" s="1783"/>
      <c r="X260" s="1783"/>
      <c r="Y260" s="1783"/>
      <c r="Z260" s="1783"/>
      <c r="AA260" s="1783"/>
      <c r="AB260" s="1783"/>
      <c r="AC260" s="1783"/>
      <c r="AD260" s="1783"/>
      <c r="AE260" s="1783"/>
      <c r="AF260" s="1783"/>
      <c r="AG260" s="1783"/>
      <c r="AH260" s="1783"/>
      <c r="AI260" s="1783"/>
      <c r="AJ260" s="1783"/>
      <c r="AK260" s="1783"/>
      <c r="AL260" s="1783"/>
      <c r="AM260" s="1783"/>
      <c r="AN260" s="1783"/>
      <c r="AO260" s="1783"/>
      <c r="AP260" s="1783"/>
      <c r="AQ260" s="1783"/>
      <c r="AR260" s="1783"/>
      <c r="AS260" s="1783"/>
      <c r="AT260" s="1783"/>
      <c r="AU260" s="1783"/>
      <c r="AV260" s="1783"/>
      <c r="AW260" s="1783"/>
      <c r="AX260" s="1783"/>
      <c r="AY260" s="1783"/>
      <c r="AZ260" s="1783"/>
      <c r="BA260" s="1783"/>
      <c r="BB260" s="1783"/>
      <c r="BC260" s="1783"/>
      <c r="BD260" s="1783"/>
      <c r="BE260" s="1783"/>
      <c r="BF260" s="1783"/>
      <c r="BG260" s="1783"/>
      <c r="BH260" s="1783"/>
      <c r="BI260" s="1783"/>
    </row>
    <row r="261" spans="1:61">
      <c r="A261" s="1819"/>
      <c r="B261" s="1818"/>
      <c r="C261" s="1818"/>
      <c r="D261" s="1818"/>
      <c r="E261" s="1818"/>
      <c r="F261" s="1818"/>
      <c r="G261" s="1818"/>
      <c r="H261" s="1783"/>
      <c r="I261" s="1783"/>
      <c r="J261" s="1783"/>
      <c r="K261" s="1783"/>
      <c r="L261" s="1783"/>
      <c r="M261" s="1783"/>
      <c r="N261" s="1783"/>
      <c r="O261" s="1783"/>
      <c r="P261" s="1783"/>
      <c r="Q261" s="1783"/>
      <c r="R261" s="1783"/>
      <c r="S261" s="1783"/>
      <c r="T261" s="1783"/>
      <c r="U261" s="1783"/>
      <c r="V261" s="1783"/>
      <c r="W261" s="1783"/>
      <c r="X261" s="1783"/>
      <c r="Y261" s="1783"/>
      <c r="Z261" s="1783"/>
      <c r="AA261" s="1783"/>
      <c r="AB261" s="1783"/>
      <c r="AC261" s="1783"/>
      <c r="AD261" s="1783"/>
      <c r="AE261" s="1783"/>
      <c r="AF261" s="1783"/>
      <c r="AG261" s="1783"/>
      <c r="AH261" s="1783"/>
      <c r="AI261" s="1783"/>
      <c r="AJ261" s="1783"/>
      <c r="AK261" s="1783"/>
      <c r="AL261" s="1783"/>
      <c r="AM261" s="1783"/>
      <c r="AN261" s="1783"/>
      <c r="AO261" s="1783"/>
      <c r="AP261" s="1783"/>
      <c r="AQ261" s="1783"/>
      <c r="AR261" s="1783"/>
      <c r="AS261" s="1783"/>
      <c r="AT261" s="1783"/>
      <c r="AU261" s="1783"/>
      <c r="AV261" s="1783"/>
      <c r="AW261" s="1783"/>
      <c r="AX261" s="1783"/>
      <c r="AY261" s="1783"/>
      <c r="AZ261" s="1783"/>
      <c r="BA261" s="1783"/>
      <c r="BB261" s="1783"/>
      <c r="BC261" s="1783"/>
      <c r="BD261" s="1783"/>
      <c r="BE261" s="1783"/>
      <c r="BF261" s="1783"/>
      <c r="BG261" s="1783"/>
      <c r="BH261" s="1783"/>
      <c r="BI261" s="1783"/>
    </row>
    <row r="262" spans="1:61">
      <c r="A262" s="1819"/>
      <c r="B262" s="1818"/>
      <c r="C262" s="1818"/>
      <c r="D262" s="1818"/>
      <c r="E262" s="1818"/>
      <c r="F262" s="1818"/>
      <c r="G262" s="1818"/>
      <c r="H262" s="1783"/>
      <c r="I262" s="1783"/>
      <c r="J262" s="1783"/>
      <c r="K262" s="1783"/>
      <c r="L262" s="1783"/>
      <c r="M262" s="1783"/>
      <c r="N262" s="1783"/>
      <c r="O262" s="1783"/>
      <c r="P262" s="1783"/>
      <c r="Q262" s="1783"/>
      <c r="R262" s="1783"/>
      <c r="S262" s="1783"/>
      <c r="T262" s="1783"/>
      <c r="U262" s="1783"/>
      <c r="V262" s="1783"/>
      <c r="W262" s="1783"/>
      <c r="X262" s="1783"/>
      <c r="Y262" s="1783"/>
      <c r="Z262" s="1783"/>
      <c r="AA262" s="1783"/>
      <c r="AB262" s="1783"/>
      <c r="AC262" s="1783"/>
      <c r="AD262" s="1783"/>
      <c r="AE262" s="1783"/>
      <c r="AF262" s="1783"/>
      <c r="AG262" s="1783"/>
      <c r="AH262" s="1783"/>
      <c r="AI262" s="1783"/>
      <c r="AJ262" s="1783"/>
      <c r="AK262" s="1783"/>
      <c r="AL262" s="1783"/>
      <c r="AM262" s="1783"/>
      <c r="AN262" s="1783"/>
      <c r="AO262" s="1783"/>
      <c r="AP262" s="1783"/>
      <c r="AQ262" s="1783"/>
      <c r="AR262" s="1783"/>
      <c r="AS262" s="1783"/>
      <c r="AT262" s="1783"/>
      <c r="AU262" s="1783"/>
      <c r="AV262" s="1783"/>
      <c r="AW262" s="1783"/>
      <c r="AX262" s="1783"/>
      <c r="AY262" s="1783"/>
      <c r="AZ262" s="1783"/>
      <c r="BA262" s="1783"/>
      <c r="BB262" s="1783"/>
      <c r="BC262" s="1783"/>
      <c r="BD262" s="1783"/>
      <c r="BE262" s="1783"/>
      <c r="BF262" s="1783"/>
      <c r="BG262" s="1783"/>
      <c r="BH262" s="1783"/>
      <c r="BI262" s="1783"/>
    </row>
    <row r="263" spans="1:61">
      <c r="A263" s="1819"/>
      <c r="B263" s="1818"/>
      <c r="C263" s="1818"/>
      <c r="D263" s="1818"/>
      <c r="E263" s="1818"/>
      <c r="F263" s="1818"/>
      <c r="G263" s="1818"/>
      <c r="H263" s="1783"/>
      <c r="I263" s="1783"/>
      <c r="J263" s="1783"/>
      <c r="K263" s="1783"/>
      <c r="L263" s="1783"/>
      <c r="M263" s="1783"/>
      <c r="N263" s="1783"/>
      <c r="O263" s="1783"/>
      <c r="P263" s="1783"/>
      <c r="Q263" s="1783"/>
      <c r="R263" s="1783"/>
      <c r="S263" s="1783"/>
      <c r="T263" s="1783"/>
      <c r="U263" s="1783"/>
      <c r="V263" s="1783"/>
      <c r="W263" s="1783"/>
      <c r="X263" s="1783"/>
      <c r="Y263" s="1783"/>
      <c r="Z263" s="1783"/>
      <c r="AA263" s="1783"/>
      <c r="AB263" s="1783"/>
      <c r="AC263" s="1783"/>
      <c r="AD263" s="1783"/>
      <c r="AE263" s="1783"/>
      <c r="AF263" s="1783"/>
      <c r="AG263" s="1783"/>
      <c r="AH263" s="1783"/>
      <c r="AI263" s="1783"/>
      <c r="AJ263" s="1783"/>
      <c r="AK263" s="1783"/>
      <c r="AL263" s="1783"/>
      <c r="AM263" s="1783"/>
      <c r="AN263" s="1783"/>
      <c r="AO263" s="1783"/>
      <c r="AP263" s="1783"/>
      <c r="AQ263" s="1783"/>
      <c r="AR263" s="1783"/>
      <c r="AS263" s="1783"/>
      <c r="AT263" s="1783"/>
      <c r="AU263" s="1783"/>
      <c r="AV263" s="1783"/>
      <c r="AW263" s="1783"/>
      <c r="AX263" s="1783"/>
      <c r="AY263" s="1783"/>
      <c r="AZ263" s="1783"/>
      <c r="BA263" s="1783"/>
      <c r="BB263" s="1783"/>
      <c r="BC263" s="1783"/>
      <c r="BD263" s="1783"/>
      <c r="BE263" s="1783"/>
      <c r="BF263" s="1783"/>
      <c r="BG263" s="1783"/>
      <c r="BH263" s="1783"/>
      <c r="BI263" s="1783"/>
    </row>
    <row r="264" spans="1:61">
      <c r="A264" s="1819"/>
      <c r="B264" s="1818"/>
      <c r="C264" s="1818"/>
      <c r="D264" s="1818"/>
      <c r="E264" s="1818"/>
      <c r="F264" s="1818"/>
      <c r="G264" s="1818"/>
      <c r="H264" s="1783"/>
      <c r="I264" s="1783"/>
      <c r="J264" s="1783"/>
      <c r="K264" s="1783"/>
      <c r="L264" s="1783"/>
      <c r="M264" s="1783"/>
      <c r="N264" s="1783"/>
      <c r="O264" s="1783"/>
      <c r="P264" s="1783"/>
      <c r="Q264" s="1783"/>
      <c r="R264" s="1783"/>
      <c r="S264" s="1783"/>
      <c r="T264" s="1783"/>
      <c r="U264" s="1783"/>
      <c r="V264" s="1783"/>
      <c r="W264" s="1783"/>
      <c r="X264" s="1783"/>
      <c r="Y264" s="1783"/>
      <c r="Z264" s="1783"/>
      <c r="AA264" s="1783"/>
      <c r="AB264" s="1783"/>
      <c r="AC264" s="1783"/>
      <c r="AD264" s="1783"/>
      <c r="AE264" s="1783"/>
      <c r="AF264" s="1783"/>
      <c r="AG264" s="1783"/>
      <c r="AH264" s="1783"/>
      <c r="AI264" s="1783"/>
      <c r="AJ264" s="1783"/>
      <c r="AK264" s="1783"/>
      <c r="AL264" s="1783"/>
      <c r="AM264" s="1783"/>
      <c r="AN264" s="1783"/>
      <c r="AO264" s="1783"/>
      <c r="AP264" s="1783"/>
      <c r="AQ264" s="1783"/>
      <c r="AR264" s="1783"/>
      <c r="AS264" s="1783"/>
      <c r="AT264" s="1783"/>
      <c r="AU264" s="1783"/>
      <c r="AV264" s="1783"/>
      <c r="AW264" s="1783"/>
      <c r="AX264" s="1783"/>
      <c r="AY264" s="1783"/>
      <c r="AZ264" s="1783"/>
      <c r="BA264" s="1783"/>
      <c r="BB264" s="1783"/>
      <c r="BC264" s="1783"/>
      <c r="BD264" s="1783"/>
      <c r="BE264" s="1783"/>
      <c r="BF264" s="1783"/>
      <c r="BG264" s="1783"/>
      <c r="BH264" s="1783"/>
      <c r="BI264" s="1783"/>
    </row>
    <row r="265" spans="1:61">
      <c r="A265" s="1819"/>
      <c r="B265" s="1818"/>
      <c r="C265" s="1818"/>
      <c r="D265" s="1818"/>
      <c r="E265" s="1818"/>
      <c r="F265" s="1818"/>
      <c r="G265" s="1818"/>
      <c r="H265" s="1783"/>
      <c r="I265" s="1783"/>
      <c r="J265" s="1783"/>
      <c r="K265" s="1783"/>
      <c r="L265" s="1783"/>
      <c r="M265" s="1783"/>
      <c r="N265" s="1783"/>
      <c r="O265" s="1783"/>
      <c r="P265" s="1783"/>
      <c r="Q265" s="1783"/>
      <c r="R265" s="1783"/>
      <c r="S265" s="1783"/>
      <c r="T265" s="1783"/>
      <c r="U265" s="1783"/>
      <c r="V265" s="1783"/>
      <c r="W265" s="1783"/>
      <c r="X265" s="1783"/>
      <c r="Y265" s="1783"/>
      <c r="Z265" s="1783"/>
      <c r="AA265" s="1783"/>
      <c r="AB265" s="1783"/>
      <c r="AC265" s="1783"/>
      <c r="AD265" s="1783"/>
      <c r="AE265" s="1783"/>
      <c r="AF265" s="1783"/>
      <c r="AG265" s="1783"/>
      <c r="AH265" s="1783"/>
      <c r="AI265" s="1783"/>
      <c r="AJ265" s="1783"/>
      <c r="AK265" s="1783"/>
      <c r="AL265" s="1783"/>
      <c r="AM265" s="1783"/>
      <c r="AN265" s="1783"/>
      <c r="AO265" s="1783"/>
      <c r="AP265" s="1783"/>
      <c r="AQ265" s="1783"/>
      <c r="AR265" s="1783"/>
      <c r="AS265" s="1783"/>
      <c r="AT265" s="1783"/>
      <c r="AU265" s="1783"/>
      <c r="AV265" s="1783"/>
      <c r="AW265" s="1783"/>
      <c r="AX265" s="1783"/>
      <c r="AY265" s="1783"/>
      <c r="AZ265" s="1783"/>
      <c r="BA265" s="1783"/>
      <c r="BB265" s="1783"/>
      <c r="BC265" s="1783"/>
      <c r="BD265" s="1783"/>
      <c r="BE265" s="1783"/>
      <c r="BF265" s="1783"/>
      <c r="BG265" s="1783"/>
      <c r="BH265" s="1783"/>
      <c r="BI265" s="1783"/>
    </row>
    <row r="266" spans="1:61">
      <c r="A266" s="1819"/>
      <c r="B266" s="1818"/>
      <c r="C266" s="1818"/>
      <c r="D266" s="1818"/>
      <c r="E266" s="1818"/>
      <c r="F266" s="1818"/>
      <c r="G266" s="1818"/>
      <c r="H266" s="1783"/>
      <c r="I266" s="1783"/>
      <c r="J266" s="1783"/>
      <c r="K266" s="1783"/>
      <c r="L266" s="1783"/>
      <c r="M266" s="1783"/>
      <c r="N266" s="1783"/>
      <c r="O266" s="1783"/>
      <c r="P266" s="1783"/>
      <c r="Q266" s="1783"/>
      <c r="R266" s="1783"/>
      <c r="S266" s="1783"/>
      <c r="T266" s="1783"/>
      <c r="U266" s="1783"/>
      <c r="V266" s="1783"/>
      <c r="W266" s="1783"/>
      <c r="X266" s="1783"/>
      <c r="Y266" s="1783"/>
      <c r="Z266" s="1783"/>
      <c r="AA266" s="1783"/>
      <c r="AB266" s="1783"/>
      <c r="AC266" s="1783"/>
      <c r="AD266" s="1783"/>
      <c r="AE266" s="1783"/>
      <c r="AF266" s="1783"/>
      <c r="AG266" s="1783"/>
      <c r="AH266" s="1783"/>
      <c r="AI266" s="1783"/>
      <c r="AJ266" s="1783"/>
      <c r="AK266" s="1783"/>
      <c r="AL266" s="1783"/>
      <c r="AM266" s="1783"/>
      <c r="AN266" s="1783"/>
      <c r="AO266" s="1783"/>
      <c r="AP266" s="1783"/>
      <c r="AQ266" s="1783"/>
      <c r="AR266" s="1783"/>
      <c r="AS266" s="1783"/>
      <c r="AT266" s="1783"/>
      <c r="AU266" s="1783"/>
      <c r="AV266" s="1783"/>
      <c r="AW266" s="1783"/>
      <c r="AX266" s="1783"/>
      <c r="AY266" s="1783"/>
      <c r="AZ266" s="1783"/>
      <c r="BA266" s="1783"/>
      <c r="BB266" s="1783"/>
      <c r="BC266" s="1783"/>
      <c r="BD266" s="1783"/>
      <c r="BE266" s="1783"/>
      <c r="BF266" s="1783"/>
      <c r="BG266" s="1783"/>
      <c r="BH266" s="1783"/>
      <c r="BI266" s="1783"/>
    </row>
    <row r="267" spans="1:61">
      <c r="A267" s="1819"/>
      <c r="B267" s="1818"/>
      <c r="C267" s="1818"/>
      <c r="D267" s="1818"/>
      <c r="E267" s="1818"/>
      <c r="F267" s="1818"/>
      <c r="G267" s="1818"/>
      <c r="H267" s="1783"/>
      <c r="I267" s="1783"/>
      <c r="J267" s="1783"/>
      <c r="K267" s="1783"/>
      <c r="L267" s="1783"/>
      <c r="M267" s="1783"/>
      <c r="N267" s="1783"/>
      <c r="O267" s="1783"/>
      <c r="P267" s="1783"/>
      <c r="Q267" s="1783"/>
      <c r="R267" s="1783"/>
      <c r="S267" s="1783"/>
      <c r="T267" s="1783"/>
      <c r="U267" s="1783"/>
      <c r="V267" s="1783"/>
      <c r="W267" s="1783"/>
      <c r="X267" s="1783"/>
      <c r="Y267" s="1783"/>
      <c r="Z267" s="1783"/>
      <c r="AA267" s="1783"/>
      <c r="AB267" s="1783"/>
      <c r="AC267" s="1783"/>
      <c r="AD267" s="1783"/>
      <c r="AE267" s="1783"/>
      <c r="AF267" s="1783"/>
      <c r="AG267" s="1783"/>
      <c r="AH267" s="1783"/>
      <c r="AI267" s="1783"/>
      <c r="AJ267" s="1783"/>
      <c r="AK267" s="1783"/>
      <c r="AL267" s="1783"/>
      <c r="AM267" s="1783"/>
      <c r="AN267" s="1783"/>
      <c r="AO267" s="1783"/>
      <c r="AP267" s="1783"/>
      <c r="AQ267" s="1783"/>
      <c r="AR267" s="1783"/>
      <c r="AS267" s="1783"/>
      <c r="AT267" s="1783"/>
      <c r="AU267" s="1783"/>
      <c r="AV267" s="1783"/>
      <c r="AW267" s="1783"/>
      <c r="AX267" s="1783"/>
      <c r="AY267" s="1783"/>
      <c r="AZ267" s="1783"/>
      <c r="BA267" s="1783"/>
      <c r="BB267" s="1783"/>
      <c r="BC267" s="1783"/>
      <c r="BD267" s="1783"/>
      <c r="BE267" s="1783"/>
      <c r="BF267" s="1783"/>
      <c r="BG267" s="1783"/>
      <c r="BH267" s="1783"/>
      <c r="BI267" s="1783"/>
    </row>
    <row r="268" spans="1:61">
      <c r="A268" s="1819"/>
      <c r="B268" s="1818"/>
      <c r="C268" s="1818"/>
      <c r="D268" s="1818"/>
      <c r="E268" s="1818"/>
      <c r="F268" s="1818"/>
      <c r="G268" s="1818"/>
      <c r="H268" s="1783"/>
      <c r="I268" s="1783"/>
      <c r="J268" s="1783"/>
      <c r="K268" s="1783"/>
      <c r="L268" s="1783"/>
      <c r="M268" s="1783"/>
      <c r="N268" s="1783"/>
      <c r="O268" s="1783"/>
      <c r="P268" s="1783"/>
      <c r="Q268" s="1783"/>
      <c r="R268" s="1783"/>
      <c r="S268" s="1783"/>
      <c r="T268" s="1783"/>
      <c r="U268" s="1783"/>
      <c r="V268" s="1783"/>
      <c r="W268" s="1783"/>
      <c r="X268" s="1783"/>
      <c r="Y268" s="1783"/>
      <c r="Z268" s="1783"/>
      <c r="AA268" s="1783"/>
      <c r="AB268" s="1783"/>
      <c r="AC268" s="1783"/>
      <c r="AD268" s="1783"/>
      <c r="AE268" s="1783"/>
      <c r="AF268" s="1783"/>
      <c r="AG268" s="1783"/>
      <c r="AH268" s="1783"/>
      <c r="AI268" s="1783"/>
      <c r="AJ268" s="1783"/>
      <c r="AK268" s="1783"/>
      <c r="AL268" s="1783"/>
      <c r="AM268" s="1783"/>
      <c r="AN268" s="1783"/>
      <c r="AO268" s="1783"/>
      <c r="AP268" s="1783"/>
      <c r="AQ268" s="1783"/>
      <c r="AR268" s="1783"/>
      <c r="AS268" s="1783"/>
      <c r="AT268" s="1783"/>
      <c r="AU268" s="1783"/>
      <c r="AV268" s="1783"/>
      <c r="AW268" s="1783"/>
      <c r="AX268" s="1783"/>
      <c r="AY268" s="1783"/>
      <c r="AZ268" s="1783"/>
      <c r="BA268" s="1783"/>
      <c r="BB268" s="1783"/>
      <c r="BC268" s="1783"/>
      <c r="BD268" s="1783"/>
      <c r="BE268" s="1783"/>
      <c r="BF268" s="1783"/>
      <c r="BG268" s="1783"/>
      <c r="BH268" s="1783"/>
      <c r="BI268" s="1783"/>
    </row>
    <row r="269" spans="1:61">
      <c r="A269" s="1819"/>
      <c r="B269" s="1818"/>
      <c r="C269" s="1818"/>
      <c r="D269" s="1818"/>
      <c r="E269" s="1818"/>
      <c r="F269" s="1818"/>
      <c r="G269" s="1818"/>
      <c r="H269" s="1783"/>
      <c r="I269" s="1783"/>
      <c r="J269" s="1783"/>
      <c r="K269" s="1783"/>
      <c r="L269" s="1783"/>
      <c r="M269" s="1783"/>
      <c r="N269" s="1783"/>
      <c r="O269" s="1783"/>
      <c r="P269" s="1783"/>
      <c r="Q269" s="1783"/>
      <c r="R269" s="1783"/>
      <c r="S269" s="1783"/>
      <c r="T269" s="1783"/>
      <c r="U269" s="1783"/>
      <c r="V269" s="1783"/>
      <c r="W269" s="1783"/>
      <c r="X269" s="1783"/>
      <c r="Y269" s="1783"/>
      <c r="Z269" s="1783"/>
      <c r="AA269" s="1783"/>
      <c r="AB269" s="1783"/>
      <c r="AC269" s="1783"/>
      <c r="AD269" s="1783"/>
      <c r="AE269" s="1783"/>
      <c r="AF269" s="1783"/>
      <c r="AG269" s="1783"/>
      <c r="AH269" s="1783"/>
      <c r="AI269" s="1783"/>
      <c r="AJ269" s="1783"/>
      <c r="AK269" s="1783"/>
      <c r="AL269" s="1783"/>
      <c r="AM269" s="1783"/>
      <c r="AN269" s="1783"/>
      <c r="AO269" s="1783"/>
      <c r="AP269" s="1783"/>
      <c r="AQ269" s="1783"/>
      <c r="AR269" s="1783"/>
      <c r="AS269" s="1783"/>
      <c r="AT269" s="1783"/>
      <c r="AU269" s="1783"/>
      <c r="AV269" s="1783"/>
      <c r="AW269" s="1783"/>
      <c r="AX269" s="1783"/>
      <c r="AY269" s="1783"/>
      <c r="AZ269" s="1783"/>
      <c r="BA269" s="1783"/>
      <c r="BB269" s="1783"/>
      <c r="BC269" s="1783"/>
      <c r="BD269" s="1783"/>
      <c r="BE269" s="1783"/>
      <c r="BF269" s="1783"/>
      <c r="BG269" s="1783"/>
      <c r="BH269" s="1783"/>
      <c r="BI269" s="1783"/>
    </row>
    <row r="270" spans="1:61">
      <c r="A270" s="1819"/>
      <c r="B270" s="1818"/>
      <c r="C270" s="1818"/>
      <c r="D270" s="1818"/>
      <c r="E270" s="1818"/>
      <c r="F270" s="1818"/>
      <c r="G270" s="1818"/>
      <c r="H270" s="1783"/>
      <c r="I270" s="1783"/>
      <c r="J270" s="1783"/>
      <c r="K270" s="1783"/>
      <c r="L270" s="1783"/>
      <c r="M270" s="1783"/>
      <c r="N270" s="1783"/>
      <c r="O270" s="1783"/>
      <c r="P270" s="1783"/>
      <c r="Q270" s="1783"/>
      <c r="R270" s="1783"/>
      <c r="S270" s="1783"/>
      <c r="T270" s="1783"/>
      <c r="U270" s="1783"/>
      <c r="V270" s="1783"/>
      <c r="W270" s="1783"/>
      <c r="X270" s="1783"/>
      <c r="Y270" s="1783"/>
      <c r="Z270" s="1783"/>
      <c r="AA270" s="1783"/>
      <c r="AB270" s="1783"/>
      <c r="AC270" s="1783"/>
      <c r="AD270" s="1783"/>
      <c r="AE270" s="1783"/>
      <c r="AF270" s="1783"/>
      <c r="AG270" s="1783"/>
      <c r="AH270" s="1783"/>
      <c r="AI270" s="1783"/>
      <c r="AJ270" s="1783"/>
      <c r="AK270" s="1783"/>
      <c r="AL270" s="1783"/>
      <c r="AM270" s="1783"/>
      <c r="AN270" s="1783"/>
      <c r="AO270" s="1783"/>
      <c r="AP270" s="1783"/>
      <c r="AQ270" s="1783"/>
      <c r="AR270" s="1783"/>
      <c r="AS270" s="1783"/>
      <c r="AT270" s="1783"/>
      <c r="AU270" s="1783"/>
      <c r="AV270" s="1783"/>
      <c r="AW270" s="1783"/>
      <c r="AX270" s="1783"/>
      <c r="AY270" s="1783"/>
      <c r="AZ270" s="1783"/>
      <c r="BA270" s="1783"/>
      <c r="BB270" s="1783"/>
      <c r="BC270" s="1783"/>
      <c r="BD270" s="1783"/>
      <c r="BE270" s="1783"/>
      <c r="BF270" s="1783"/>
      <c r="BG270" s="1783"/>
      <c r="BH270" s="1783"/>
      <c r="BI270" s="1783"/>
    </row>
    <row r="271" spans="1:61">
      <c r="A271" s="1819"/>
      <c r="B271" s="1818"/>
      <c r="C271" s="1818"/>
      <c r="D271" s="1818"/>
      <c r="E271" s="1818"/>
      <c r="F271" s="1818"/>
      <c r="G271" s="1818"/>
      <c r="H271" s="1783"/>
      <c r="I271" s="1783"/>
      <c r="J271" s="1783"/>
      <c r="K271" s="1783"/>
      <c r="L271" s="1783"/>
      <c r="M271" s="1783"/>
      <c r="N271" s="1783"/>
      <c r="O271" s="1783"/>
      <c r="P271" s="1783"/>
      <c r="Q271" s="1783"/>
      <c r="R271" s="1783"/>
      <c r="S271" s="1783"/>
      <c r="T271" s="1783"/>
      <c r="U271" s="1783"/>
      <c r="V271" s="1783"/>
      <c r="W271" s="1783"/>
      <c r="X271" s="1783"/>
      <c r="Y271" s="1783"/>
      <c r="Z271" s="1783"/>
      <c r="AA271" s="1783"/>
      <c r="AB271" s="1783"/>
      <c r="AC271" s="1783"/>
      <c r="AD271" s="1783"/>
      <c r="AE271" s="1783"/>
      <c r="AF271" s="1783"/>
      <c r="AG271" s="1783"/>
      <c r="AH271" s="1783"/>
      <c r="AI271" s="1783"/>
      <c r="AJ271" s="1783"/>
      <c r="AK271" s="1783"/>
      <c r="AL271" s="1783"/>
      <c r="AM271" s="1783"/>
      <c r="AN271" s="1783"/>
      <c r="AO271" s="1783"/>
      <c r="AP271" s="1783"/>
      <c r="AQ271" s="1783"/>
      <c r="AR271" s="1783"/>
      <c r="AS271" s="1783"/>
      <c r="AT271" s="1783"/>
      <c r="AU271" s="1783"/>
      <c r="AV271" s="1783"/>
      <c r="AW271" s="1783"/>
      <c r="AX271" s="1783"/>
      <c r="AY271" s="1783"/>
      <c r="AZ271" s="1783"/>
      <c r="BA271" s="1783"/>
      <c r="BB271" s="1783"/>
      <c r="BC271" s="1783"/>
      <c r="BD271" s="1783"/>
      <c r="BE271" s="1783"/>
      <c r="BF271" s="1783"/>
      <c r="BG271" s="1783"/>
      <c r="BH271" s="1783"/>
      <c r="BI271" s="1783"/>
    </row>
    <row r="272" spans="1:61">
      <c r="A272" s="1819"/>
      <c r="B272" s="1818"/>
      <c r="C272" s="1818"/>
      <c r="D272" s="1818"/>
      <c r="E272" s="1818"/>
      <c r="F272" s="1818"/>
      <c r="G272" s="1818"/>
      <c r="H272" s="1783"/>
      <c r="I272" s="1783"/>
      <c r="J272" s="1783"/>
      <c r="K272" s="1783"/>
      <c r="L272" s="1783"/>
      <c r="M272" s="1783"/>
      <c r="N272" s="1783"/>
      <c r="O272" s="1783"/>
      <c r="P272" s="1783"/>
      <c r="Q272" s="1783"/>
      <c r="R272" s="1783"/>
      <c r="S272" s="1783"/>
      <c r="T272" s="1783"/>
      <c r="U272" s="1783"/>
      <c r="V272" s="1783"/>
      <c r="W272" s="1783"/>
      <c r="X272" s="1783"/>
      <c r="Y272" s="1783"/>
      <c r="Z272" s="1783"/>
      <c r="AA272" s="1783"/>
      <c r="AB272" s="1783"/>
      <c r="AC272" s="1783"/>
      <c r="AD272" s="1783"/>
      <c r="AE272" s="1783"/>
      <c r="AF272" s="1783"/>
      <c r="AG272" s="1783"/>
      <c r="AH272" s="1783"/>
      <c r="AI272" s="1783"/>
      <c r="AJ272" s="1783"/>
      <c r="AK272" s="1783"/>
      <c r="AL272" s="1783"/>
      <c r="AM272" s="1783"/>
      <c r="AN272" s="1783"/>
      <c r="AO272" s="1783"/>
      <c r="AP272" s="1783"/>
      <c r="AQ272" s="1783"/>
      <c r="AR272" s="1783"/>
      <c r="AS272" s="1783"/>
      <c r="AT272" s="1783"/>
      <c r="AU272" s="1783"/>
      <c r="AV272" s="1783"/>
      <c r="AW272" s="1783"/>
      <c r="AX272" s="1783"/>
      <c r="AY272" s="1783"/>
      <c r="AZ272" s="1783"/>
      <c r="BA272" s="1783"/>
      <c r="BB272" s="1783"/>
      <c r="BC272" s="1783"/>
      <c r="BD272" s="1783"/>
      <c r="BE272" s="1783"/>
      <c r="BF272" s="1783"/>
      <c r="BG272" s="1783"/>
      <c r="BH272" s="1783"/>
      <c r="BI272" s="1783"/>
    </row>
    <row r="273" spans="1:61">
      <c r="A273" s="1819"/>
      <c r="B273" s="1818"/>
      <c r="C273" s="1818"/>
      <c r="D273" s="1818"/>
      <c r="E273" s="1818"/>
      <c r="F273" s="1818"/>
      <c r="G273" s="1818"/>
      <c r="H273" s="1783"/>
      <c r="I273" s="1783"/>
      <c r="J273" s="1783"/>
      <c r="K273" s="1783"/>
      <c r="L273" s="1783"/>
      <c r="M273" s="1783"/>
      <c r="N273" s="1783"/>
      <c r="O273" s="1783"/>
      <c r="P273" s="1783"/>
      <c r="Q273" s="1783"/>
      <c r="R273" s="1783"/>
      <c r="S273" s="1783"/>
      <c r="T273" s="1783"/>
      <c r="U273" s="1783"/>
      <c r="V273" s="1783"/>
      <c r="W273" s="1783"/>
      <c r="X273" s="1783"/>
      <c r="Y273" s="1783"/>
      <c r="Z273" s="1783"/>
      <c r="AA273" s="1783"/>
      <c r="AB273" s="1783"/>
      <c r="AC273" s="1783"/>
      <c r="AD273" s="1783"/>
      <c r="AE273" s="1783"/>
      <c r="AF273" s="1783"/>
      <c r="AG273" s="1783"/>
      <c r="AH273" s="1783"/>
      <c r="AI273" s="1783"/>
      <c r="AJ273" s="1783"/>
      <c r="AK273" s="1783"/>
      <c r="AL273" s="1783"/>
      <c r="AM273" s="1783"/>
      <c r="AN273" s="1783"/>
      <c r="AO273" s="1783"/>
      <c r="AP273" s="1783"/>
      <c r="AQ273" s="1783"/>
      <c r="AR273" s="1783"/>
      <c r="AS273" s="1783"/>
      <c r="AT273" s="1783"/>
      <c r="AU273" s="1783"/>
      <c r="AV273" s="1783"/>
      <c r="AW273" s="1783"/>
      <c r="AX273" s="1783"/>
      <c r="AY273" s="1783"/>
      <c r="AZ273" s="1783"/>
      <c r="BA273" s="1783"/>
      <c r="BB273" s="1783"/>
      <c r="BC273" s="1783"/>
      <c r="BD273" s="1783"/>
      <c r="BE273" s="1783"/>
      <c r="BF273" s="1783"/>
      <c r="BG273" s="1783"/>
      <c r="BH273" s="1783"/>
      <c r="BI273" s="1783"/>
    </row>
    <row r="274" spans="1:61">
      <c r="A274" s="1819"/>
      <c r="B274" s="1818"/>
      <c r="C274" s="1818"/>
      <c r="D274" s="1818"/>
      <c r="E274" s="1818"/>
      <c r="F274" s="1818"/>
      <c r="G274" s="1818"/>
      <c r="H274" s="1783"/>
      <c r="I274" s="1783"/>
      <c r="J274" s="1783"/>
      <c r="K274" s="1783"/>
      <c r="L274" s="1783"/>
      <c r="M274" s="1783"/>
      <c r="N274" s="1783"/>
      <c r="O274" s="1783"/>
      <c r="P274" s="1783"/>
      <c r="Q274" s="1783"/>
      <c r="R274" s="1783"/>
      <c r="S274" s="1783"/>
      <c r="T274" s="1783"/>
      <c r="U274" s="1783"/>
      <c r="V274" s="1783"/>
      <c r="W274" s="1783"/>
      <c r="X274" s="1783"/>
      <c r="Y274" s="1783"/>
      <c r="Z274" s="1783"/>
      <c r="AA274" s="1783"/>
      <c r="AB274" s="1783"/>
      <c r="AC274" s="1783"/>
      <c r="AD274" s="1783"/>
      <c r="AE274" s="1783"/>
      <c r="AF274" s="1783"/>
      <c r="AG274" s="1783"/>
      <c r="AH274" s="1783"/>
      <c r="AI274" s="1783"/>
      <c r="AJ274" s="1783"/>
      <c r="AK274" s="1783"/>
      <c r="AL274" s="1783"/>
      <c r="AM274" s="1783"/>
      <c r="AN274" s="1783"/>
      <c r="AO274" s="1783"/>
      <c r="AP274" s="1783"/>
      <c r="AQ274" s="1783"/>
      <c r="AR274" s="1783"/>
      <c r="AS274" s="1783"/>
      <c r="AT274" s="1783"/>
      <c r="AU274" s="1783"/>
      <c r="AV274" s="1783"/>
      <c r="AW274" s="1783"/>
      <c r="AX274" s="1783"/>
      <c r="AY274" s="1783"/>
      <c r="AZ274" s="1783"/>
      <c r="BA274" s="1783"/>
      <c r="BB274" s="1783"/>
      <c r="BC274" s="1783"/>
      <c r="BD274" s="1783"/>
      <c r="BE274" s="1783"/>
      <c r="BF274" s="1783"/>
      <c r="BG274" s="1783"/>
      <c r="BH274" s="1783"/>
      <c r="BI274" s="1783"/>
    </row>
    <row r="275" spans="1:61">
      <c r="A275" s="1819"/>
      <c r="B275" s="1818"/>
      <c r="C275" s="1818"/>
      <c r="D275" s="1818"/>
      <c r="E275" s="1818"/>
      <c r="F275" s="1818"/>
      <c r="G275" s="1818"/>
      <c r="H275" s="1783"/>
      <c r="I275" s="1783"/>
      <c r="J275" s="1783"/>
      <c r="K275" s="1783"/>
      <c r="L275" s="1783"/>
      <c r="M275" s="1783"/>
      <c r="N275" s="1783"/>
      <c r="O275" s="1783"/>
      <c r="P275" s="1783"/>
      <c r="Q275" s="1783"/>
      <c r="R275" s="1783"/>
      <c r="S275" s="1783"/>
      <c r="T275" s="1783"/>
      <c r="U275" s="1783"/>
      <c r="V275" s="1783"/>
      <c r="W275" s="1783"/>
      <c r="X275" s="1783"/>
      <c r="Y275" s="1783"/>
      <c r="Z275" s="1783"/>
      <c r="AA275" s="1783"/>
      <c r="AB275" s="1783"/>
      <c r="AC275" s="1783"/>
      <c r="AD275" s="1783"/>
      <c r="AE275" s="1783"/>
      <c r="AF275" s="1783"/>
      <c r="AG275" s="1783"/>
      <c r="AH275" s="1783"/>
      <c r="AI275" s="1783"/>
      <c r="AJ275" s="1783"/>
      <c r="AK275" s="1783"/>
      <c r="AL275" s="1783"/>
      <c r="AM275" s="1783"/>
      <c r="AN275" s="1783"/>
      <c r="AO275" s="1783"/>
      <c r="AP275" s="1783"/>
      <c r="AQ275" s="1783"/>
      <c r="AR275" s="1783"/>
      <c r="AS275" s="1783"/>
      <c r="AT275" s="1783"/>
      <c r="AU275" s="1783"/>
      <c r="AV275" s="1783"/>
      <c r="AW275" s="1783"/>
      <c r="AX275" s="1783"/>
      <c r="AY275" s="1783"/>
      <c r="AZ275" s="1783"/>
      <c r="BA275" s="1783"/>
      <c r="BB275" s="1783"/>
      <c r="BC275" s="1783"/>
      <c r="BD275" s="1783"/>
      <c r="BE275" s="1783"/>
      <c r="BF275" s="1783"/>
      <c r="BG275" s="1783"/>
      <c r="BH275" s="1783"/>
      <c r="BI275" s="1783"/>
    </row>
    <row r="276" spans="1:61">
      <c r="A276" s="1819"/>
      <c r="B276" s="1818"/>
      <c r="C276" s="1818"/>
      <c r="D276" s="1818"/>
      <c r="E276" s="1818"/>
      <c r="F276" s="1818"/>
      <c r="G276" s="1818"/>
      <c r="H276" s="1783"/>
      <c r="I276" s="1783"/>
      <c r="J276" s="1783"/>
      <c r="K276" s="1783"/>
      <c r="L276" s="1783"/>
      <c r="M276" s="1783"/>
      <c r="N276" s="1783"/>
      <c r="O276" s="1783"/>
      <c r="P276" s="1783"/>
      <c r="Q276" s="1783"/>
      <c r="R276" s="1783"/>
      <c r="S276" s="1783"/>
      <c r="T276" s="1783"/>
      <c r="U276" s="1783"/>
      <c r="V276" s="1783"/>
      <c r="W276" s="1783"/>
      <c r="X276" s="1783"/>
      <c r="Y276" s="1783"/>
      <c r="Z276" s="1783"/>
      <c r="AA276" s="1783"/>
      <c r="AB276" s="1783"/>
      <c r="AC276" s="1783"/>
      <c r="AD276" s="1783"/>
      <c r="AE276" s="1783"/>
      <c r="AF276" s="1783"/>
      <c r="AG276" s="1783"/>
      <c r="AH276" s="1783"/>
      <c r="AI276" s="1783"/>
      <c r="AJ276" s="1783"/>
      <c r="AK276" s="1783"/>
      <c r="AL276" s="1783"/>
      <c r="AM276" s="1783"/>
      <c r="AN276" s="1783"/>
      <c r="AO276" s="1783"/>
      <c r="AP276" s="1783"/>
      <c r="AQ276" s="1783"/>
      <c r="AR276" s="1783"/>
      <c r="AS276" s="1783"/>
      <c r="AT276" s="1783"/>
      <c r="AU276" s="1783"/>
      <c r="AV276" s="1783"/>
      <c r="AW276" s="1783"/>
      <c r="AX276" s="1783"/>
      <c r="AY276" s="1783"/>
      <c r="AZ276" s="1783"/>
      <c r="BA276" s="1783"/>
      <c r="BB276" s="1783"/>
      <c r="BC276" s="1783"/>
      <c r="BD276" s="1783"/>
      <c r="BE276" s="1783"/>
      <c r="BF276" s="1783"/>
      <c r="BG276" s="1783"/>
      <c r="BH276" s="1783"/>
      <c r="BI276" s="1783"/>
    </row>
    <row r="277" spans="1:61">
      <c r="A277" s="1819"/>
      <c r="B277" s="1818"/>
      <c r="C277" s="1818"/>
      <c r="D277" s="1818"/>
      <c r="E277" s="1818"/>
      <c r="F277" s="1818"/>
      <c r="G277" s="1818"/>
      <c r="H277" s="1783"/>
      <c r="I277" s="1783"/>
      <c r="J277" s="1783"/>
      <c r="K277" s="1783"/>
      <c r="L277" s="1783"/>
      <c r="M277" s="1783"/>
      <c r="N277" s="1783"/>
      <c r="O277" s="1783"/>
      <c r="P277" s="1783"/>
      <c r="Q277" s="1783"/>
      <c r="R277" s="1783"/>
      <c r="S277" s="1783"/>
      <c r="T277" s="1783"/>
      <c r="U277" s="1783"/>
      <c r="V277" s="1783"/>
      <c r="W277" s="1783"/>
      <c r="X277" s="1783"/>
      <c r="Y277" s="1783"/>
      <c r="Z277" s="1783"/>
      <c r="AA277" s="1783"/>
      <c r="AB277" s="1783"/>
      <c r="AC277" s="1783"/>
      <c r="AD277" s="1783"/>
      <c r="AE277" s="1783"/>
      <c r="AF277" s="1783"/>
      <c r="AG277" s="1783"/>
      <c r="AH277" s="1783"/>
      <c r="AI277" s="1783"/>
      <c r="AJ277" s="1783"/>
      <c r="AK277" s="1783"/>
      <c r="AL277" s="1783"/>
      <c r="AM277" s="1783"/>
      <c r="AN277" s="1783"/>
      <c r="AO277" s="1783"/>
      <c r="AP277" s="1783"/>
      <c r="AQ277" s="1783"/>
      <c r="AR277" s="1783"/>
      <c r="AS277" s="1783"/>
      <c r="AT277" s="1783"/>
      <c r="AU277" s="1783"/>
      <c r="AV277" s="1783"/>
      <c r="AW277" s="1783"/>
      <c r="AX277" s="1783"/>
      <c r="AY277" s="1783"/>
      <c r="AZ277" s="1783"/>
      <c r="BA277" s="1783"/>
      <c r="BB277" s="1783"/>
      <c r="BC277" s="1783"/>
      <c r="BD277" s="1783"/>
      <c r="BE277" s="1783"/>
      <c r="BF277" s="1783"/>
      <c r="BG277" s="1783"/>
      <c r="BH277" s="1783"/>
      <c r="BI277" s="1783"/>
    </row>
    <row r="278" spans="1:61">
      <c r="A278" s="1819"/>
      <c r="B278" s="1818"/>
      <c r="C278" s="1818"/>
      <c r="D278" s="1818"/>
      <c r="E278" s="1818"/>
      <c r="F278" s="1818"/>
      <c r="G278" s="1818"/>
      <c r="H278" s="1783"/>
      <c r="I278" s="1783"/>
      <c r="J278" s="1783"/>
      <c r="K278" s="1783"/>
      <c r="L278" s="1783"/>
      <c r="M278" s="1783"/>
      <c r="N278" s="1783"/>
      <c r="O278" s="1783"/>
      <c r="P278" s="1783"/>
      <c r="Q278" s="1783"/>
      <c r="R278" s="1783"/>
      <c r="S278" s="1783"/>
      <c r="T278" s="1783"/>
      <c r="U278" s="1783"/>
      <c r="V278" s="1783"/>
      <c r="W278" s="1783"/>
      <c r="X278" s="1783"/>
      <c r="Y278" s="1783"/>
      <c r="Z278" s="1783"/>
      <c r="AA278" s="1783"/>
      <c r="AB278" s="1783"/>
      <c r="AC278" s="1783"/>
      <c r="AD278" s="1783"/>
      <c r="AE278" s="1783"/>
      <c r="AF278" s="1783"/>
      <c r="AG278" s="1783"/>
      <c r="AH278" s="1783"/>
      <c r="AI278" s="1783"/>
      <c r="AJ278" s="1783"/>
      <c r="AK278" s="1783"/>
      <c r="AL278" s="1783"/>
      <c r="AM278" s="1783"/>
      <c r="AN278" s="1783"/>
      <c r="AO278" s="1783"/>
      <c r="AP278" s="1783"/>
      <c r="AQ278" s="1783"/>
      <c r="AR278" s="1783"/>
      <c r="AS278" s="1783"/>
      <c r="AT278" s="1783"/>
      <c r="AU278" s="1783"/>
      <c r="AV278" s="1783"/>
      <c r="AW278" s="1783"/>
      <c r="AX278" s="1783"/>
      <c r="AY278" s="1783"/>
      <c r="AZ278" s="1783"/>
      <c r="BA278" s="1783"/>
      <c r="BB278" s="1783"/>
      <c r="BC278" s="1783"/>
      <c r="BD278" s="1783"/>
      <c r="BE278" s="1783"/>
      <c r="BF278" s="1783"/>
      <c r="BG278" s="1783"/>
      <c r="BH278" s="1783"/>
      <c r="BI278" s="1783"/>
    </row>
    <row r="279" spans="1:61">
      <c r="A279" s="1819"/>
      <c r="B279" s="1818"/>
      <c r="C279" s="1818"/>
      <c r="D279" s="1818"/>
      <c r="E279" s="1818"/>
      <c r="F279" s="1818"/>
      <c r="G279" s="1818"/>
      <c r="H279" s="1783"/>
      <c r="I279" s="1783"/>
      <c r="J279" s="1783"/>
      <c r="K279" s="1783"/>
      <c r="L279" s="1783"/>
      <c r="M279" s="1783"/>
      <c r="N279" s="1783"/>
      <c r="O279" s="1783"/>
      <c r="P279" s="1783"/>
      <c r="Q279" s="1783"/>
      <c r="R279" s="1783"/>
      <c r="S279" s="1783"/>
      <c r="T279" s="1783"/>
      <c r="U279" s="1783"/>
      <c r="V279" s="1783"/>
      <c r="W279" s="1783"/>
      <c r="X279" s="1783"/>
      <c r="Y279" s="1783"/>
      <c r="Z279" s="1783"/>
      <c r="AA279" s="1783"/>
      <c r="AB279" s="1783"/>
      <c r="AC279" s="1783"/>
      <c r="AD279" s="1783"/>
      <c r="AE279" s="1783"/>
      <c r="AF279" s="1783"/>
      <c r="AG279" s="1783"/>
      <c r="AH279" s="1783"/>
      <c r="AI279" s="1783"/>
      <c r="AJ279" s="1783"/>
      <c r="AK279" s="1783"/>
      <c r="AL279" s="1783"/>
      <c r="AM279" s="1783"/>
      <c r="AN279" s="1783"/>
      <c r="AO279" s="1783"/>
      <c r="AP279" s="1783"/>
      <c r="AQ279" s="1783"/>
      <c r="AR279" s="1783"/>
      <c r="AS279" s="1783"/>
      <c r="AT279" s="1783"/>
      <c r="AU279" s="1783"/>
      <c r="AV279" s="1783"/>
      <c r="AW279" s="1783"/>
      <c r="AX279" s="1783"/>
      <c r="AY279" s="1783"/>
      <c r="AZ279" s="1783"/>
      <c r="BA279" s="1783"/>
      <c r="BB279" s="1783"/>
      <c r="BC279" s="1783"/>
      <c r="BD279" s="1783"/>
      <c r="BE279" s="1783"/>
      <c r="BF279" s="1783"/>
      <c r="BG279" s="1783"/>
      <c r="BH279" s="1783"/>
      <c r="BI279" s="1783"/>
    </row>
    <row r="280" spans="1:61">
      <c r="A280" s="1819"/>
      <c r="B280" s="1818"/>
      <c r="C280" s="1818"/>
      <c r="D280" s="1818"/>
      <c r="E280" s="1818"/>
      <c r="F280" s="1818"/>
      <c r="G280" s="1818"/>
      <c r="H280" s="1783"/>
      <c r="I280" s="1783"/>
      <c r="J280" s="1783"/>
      <c r="K280" s="1783"/>
      <c r="L280" s="1783"/>
      <c r="M280" s="1783"/>
      <c r="N280" s="1783"/>
      <c r="O280" s="1783"/>
      <c r="P280" s="1783"/>
      <c r="Q280" s="1783"/>
      <c r="R280" s="1783"/>
      <c r="S280" s="1783"/>
      <c r="T280" s="1783"/>
      <c r="U280" s="1783"/>
      <c r="V280" s="1783"/>
      <c r="W280" s="1783"/>
      <c r="X280" s="1783"/>
      <c r="Y280" s="1783"/>
      <c r="Z280" s="1783"/>
      <c r="AA280" s="1783"/>
      <c r="AB280" s="1783"/>
      <c r="AC280" s="1783"/>
      <c r="AD280" s="1783"/>
      <c r="AE280" s="1783"/>
      <c r="AF280" s="1783"/>
      <c r="AG280" s="1783"/>
      <c r="AH280" s="1783"/>
      <c r="AI280" s="1783"/>
      <c r="AJ280" s="1783"/>
      <c r="AK280" s="1783"/>
      <c r="AL280" s="1783"/>
      <c r="AM280" s="1783"/>
      <c r="AN280" s="1783"/>
      <c r="AO280" s="1783"/>
      <c r="AP280" s="1783"/>
      <c r="AQ280" s="1783"/>
      <c r="AR280" s="1783"/>
      <c r="AS280" s="1783"/>
      <c r="AT280" s="1783"/>
      <c r="AU280" s="1783"/>
      <c r="AV280" s="1783"/>
      <c r="AW280" s="1783"/>
      <c r="AX280" s="1783"/>
      <c r="AY280" s="1783"/>
      <c r="AZ280" s="1783"/>
      <c r="BA280" s="1783"/>
      <c r="BB280" s="1783"/>
      <c r="BC280" s="1783"/>
      <c r="BD280" s="1783"/>
      <c r="BE280" s="1783"/>
      <c r="BF280" s="1783"/>
      <c r="BG280" s="1783"/>
      <c r="BH280" s="1783"/>
      <c r="BI280" s="1783"/>
    </row>
    <row r="281" spans="1:61">
      <c r="A281" s="1819"/>
      <c r="B281" s="1818"/>
      <c r="C281" s="1818"/>
      <c r="D281" s="1818"/>
      <c r="E281" s="1818"/>
      <c r="F281" s="1818"/>
      <c r="G281" s="1818"/>
      <c r="H281" s="1783"/>
      <c r="I281" s="1783"/>
      <c r="J281" s="1783"/>
      <c r="K281" s="1783"/>
      <c r="L281" s="1783"/>
      <c r="M281" s="1783"/>
      <c r="N281" s="1783"/>
      <c r="O281" s="1783"/>
      <c r="P281" s="1783"/>
      <c r="Q281" s="1783"/>
      <c r="R281" s="1783"/>
      <c r="S281" s="1783"/>
      <c r="T281" s="1783"/>
      <c r="U281" s="1783"/>
      <c r="V281" s="1783"/>
      <c r="W281" s="1783"/>
      <c r="X281" s="1783"/>
      <c r="Y281" s="1783"/>
      <c r="Z281" s="1783"/>
      <c r="AA281" s="1783"/>
      <c r="AB281" s="1783"/>
      <c r="AC281" s="1783"/>
      <c r="AD281" s="1783"/>
      <c r="AE281" s="1783"/>
      <c r="AF281" s="1783"/>
      <c r="AG281" s="1783"/>
      <c r="AH281" s="1783"/>
      <c r="AI281" s="1783"/>
      <c r="AJ281" s="1783"/>
      <c r="AK281" s="1783"/>
      <c r="AL281" s="1783"/>
      <c r="AM281" s="1783"/>
      <c r="AN281" s="1783"/>
      <c r="AO281" s="1783"/>
      <c r="AP281" s="1783"/>
      <c r="AQ281" s="1783"/>
      <c r="AR281" s="1783"/>
      <c r="AS281" s="1783"/>
      <c r="AT281" s="1783"/>
      <c r="AU281" s="1783"/>
      <c r="AV281" s="1783"/>
      <c r="AW281" s="1783"/>
      <c r="AX281" s="1783"/>
      <c r="AY281" s="1783"/>
      <c r="AZ281" s="1783"/>
      <c r="BA281" s="1783"/>
      <c r="BB281" s="1783"/>
      <c r="BC281" s="1783"/>
      <c r="BD281" s="1783"/>
      <c r="BE281" s="1783"/>
      <c r="BF281" s="1783"/>
      <c r="BG281" s="1783"/>
      <c r="BH281" s="1783"/>
      <c r="BI281" s="1783"/>
    </row>
    <row r="282" spans="1:61">
      <c r="A282" s="1819"/>
      <c r="B282" s="1818"/>
      <c r="C282" s="1818"/>
      <c r="D282" s="1818"/>
      <c r="E282" s="1818"/>
      <c r="F282" s="1818"/>
      <c r="G282" s="1818"/>
      <c r="H282" s="1783"/>
      <c r="I282" s="1783"/>
      <c r="J282" s="1783"/>
      <c r="K282" s="1783"/>
      <c r="L282" s="1783"/>
      <c r="M282" s="1783"/>
      <c r="N282" s="1783"/>
      <c r="O282" s="1783"/>
      <c r="P282" s="1783"/>
      <c r="Q282" s="1783"/>
      <c r="R282" s="1783"/>
      <c r="S282" s="1783"/>
      <c r="T282" s="1783"/>
      <c r="U282" s="1783"/>
      <c r="V282" s="1783"/>
      <c r="W282" s="1783"/>
      <c r="X282" s="1783"/>
      <c r="Y282" s="1783"/>
      <c r="Z282" s="1783"/>
      <c r="AA282" s="1783"/>
      <c r="AB282" s="1783"/>
      <c r="AC282" s="1783"/>
      <c r="AD282" s="1783"/>
      <c r="AE282" s="1783"/>
      <c r="AF282" s="1783"/>
      <c r="AG282" s="1783"/>
      <c r="AH282" s="1783"/>
      <c r="AI282" s="1783"/>
      <c r="AJ282" s="1783"/>
      <c r="AK282" s="1783"/>
      <c r="AL282" s="1783"/>
      <c r="AM282" s="1783"/>
      <c r="AN282" s="1783"/>
      <c r="AO282" s="1783"/>
      <c r="AP282" s="1783"/>
      <c r="AQ282" s="1783"/>
      <c r="AR282" s="1783"/>
      <c r="AS282" s="1783"/>
      <c r="AT282" s="1783"/>
      <c r="AU282" s="1783"/>
      <c r="AV282" s="1783"/>
      <c r="AW282" s="1783"/>
      <c r="AX282" s="1783"/>
      <c r="AY282" s="1783"/>
      <c r="AZ282" s="1783"/>
      <c r="BA282" s="1783"/>
      <c r="BB282" s="1783"/>
      <c r="BC282" s="1783"/>
      <c r="BD282" s="1783"/>
      <c r="BE282" s="1783"/>
      <c r="BF282" s="1783"/>
      <c r="BG282" s="1783"/>
      <c r="BH282" s="1783"/>
      <c r="BI282" s="1783"/>
    </row>
    <row r="283" spans="1:61">
      <c r="A283" s="1819"/>
      <c r="B283" s="1818"/>
      <c r="C283" s="1818"/>
      <c r="D283" s="1818"/>
      <c r="E283" s="1818"/>
      <c r="F283" s="1818"/>
      <c r="G283" s="1818"/>
      <c r="H283" s="1783"/>
      <c r="I283" s="1783"/>
      <c r="J283" s="1783"/>
      <c r="K283" s="1783"/>
      <c r="L283" s="1783"/>
      <c r="M283" s="1783"/>
      <c r="N283" s="1783"/>
      <c r="O283" s="1783"/>
      <c r="P283" s="1783"/>
      <c r="Q283" s="1783"/>
      <c r="R283" s="1783"/>
      <c r="S283" s="1783"/>
      <c r="T283" s="1783"/>
      <c r="U283" s="1783"/>
      <c r="V283" s="1783"/>
      <c r="W283" s="1783"/>
      <c r="X283" s="1783"/>
      <c r="Y283" s="1783"/>
      <c r="Z283" s="1783"/>
      <c r="AA283" s="1783"/>
      <c r="AB283" s="1783"/>
      <c r="AC283" s="1783"/>
      <c r="AD283" s="1783"/>
      <c r="AE283" s="1783"/>
      <c r="AF283" s="1783"/>
      <c r="AG283" s="1783"/>
      <c r="AH283" s="1783"/>
      <c r="AI283" s="1783"/>
      <c r="AJ283" s="1783"/>
      <c r="AK283" s="1783"/>
      <c r="AL283" s="1783"/>
      <c r="AM283" s="1783"/>
      <c r="AN283" s="1783"/>
      <c r="AO283" s="1783"/>
      <c r="AP283" s="1783"/>
      <c r="AQ283" s="1783"/>
      <c r="AR283" s="1783"/>
      <c r="AS283" s="1783"/>
      <c r="AT283" s="1783"/>
      <c r="AU283" s="1783"/>
      <c r="AV283" s="1783"/>
      <c r="AW283" s="1783"/>
      <c r="AX283" s="1783"/>
      <c r="AY283" s="1783"/>
      <c r="AZ283" s="1783"/>
      <c r="BA283" s="1783"/>
      <c r="BB283" s="1783"/>
      <c r="BC283" s="1783"/>
      <c r="BD283" s="1783"/>
      <c r="BE283" s="1783"/>
      <c r="BF283" s="1783"/>
      <c r="BG283" s="1783"/>
      <c r="BH283" s="1783"/>
      <c r="BI283" s="1783"/>
    </row>
    <row r="284" spans="1:61">
      <c r="A284" s="1819"/>
      <c r="B284" s="1818"/>
      <c r="C284" s="1818"/>
      <c r="D284" s="1818"/>
      <c r="E284" s="1818"/>
      <c r="F284" s="1818"/>
      <c r="G284" s="1818"/>
      <c r="H284" s="1783"/>
      <c r="I284" s="1783"/>
      <c r="J284" s="1783"/>
      <c r="K284" s="1783"/>
      <c r="L284" s="1783"/>
      <c r="M284" s="1783"/>
      <c r="N284" s="1783"/>
      <c r="O284" s="1783"/>
      <c r="P284" s="1783"/>
      <c r="Q284" s="1783"/>
      <c r="R284" s="1783"/>
      <c r="S284" s="1783"/>
      <c r="T284" s="1783"/>
      <c r="U284" s="1783"/>
      <c r="V284" s="1783"/>
      <c r="W284" s="1783"/>
      <c r="X284" s="1783"/>
      <c r="Y284" s="1783"/>
      <c r="Z284" s="1783"/>
      <c r="AA284" s="1783"/>
      <c r="AB284" s="1783"/>
      <c r="AC284" s="1783"/>
      <c r="AD284" s="1783"/>
      <c r="AE284" s="1783"/>
      <c r="AF284" s="1783"/>
      <c r="AG284" s="1783"/>
      <c r="AH284" s="1783"/>
      <c r="AI284" s="1783"/>
      <c r="AJ284" s="1783"/>
      <c r="AK284" s="1783"/>
      <c r="AL284" s="1783"/>
      <c r="AM284" s="1783"/>
      <c r="AN284" s="1783"/>
      <c r="AO284" s="1783"/>
      <c r="AP284" s="1783"/>
      <c r="AQ284" s="1783"/>
      <c r="AR284" s="1783"/>
      <c r="AS284" s="1783"/>
      <c r="AT284" s="1783"/>
      <c r="AU284" s="1783"/>
      <c r="AV284" s="1783"/>
      <c r="AW284" s="1783"/>
      <c r="AX284" s="1783"/>
      <c r="AY284" s="1783"/>
      <c r="AZ284" s="1783"/>
      <c r="BA284" s="1783"/>
      <c r="BB284" s="1783"/>
      <c r="BC284" s="1783"/>
      <c r="BD284" s="1783"/>
      <c r="BE284" s="1783"/>
      <c r="BF284" s="1783"/>
      <c r="BG284" s="1783"/>
      <c r="BH284" s="1783"/>
      <c r="BI284" s="1783"/>
    </row>
    <row r="285" spans="1:61">
      <c r="A285" s="1819"/>
      <c r="B285" s="1818"/>
      <c r="C285" s="1818"/>
      <c r="D285" s="1818"/>
      <c r="E285" s="1818"/>
      <c r="F285" s="1818"/>
      <c r="G285" s="1818"/>
      <c r="H285" s="1783"/>
      <c r="I285" s="1783"/>
      <c r="J285" s="1783"/>
      <c r="K285" s="1783"/>
      <c r="L285" s="1783"/>
      <c r="M285" s="1783"/>
      <c r="N285" s="1783"/>
      <c r="O285" s="1783"/>
      <c r="P285" s="1783"/>
      <c r="Q285" s="1783"/>
      <c r="R285" s="1783"/>
      <c r="S285" s="1783"/>
      <c r="T285" s="1783"/>
      <c r="U285" s="1783"/>
      <c r="V285" s="1783"/>
      <c r="W285" s="1783"/>
      <c r="X285" s="1783"/>
      <c r="Y285" s="1783"/>
      <c r="Z285" s="1783"/>
      <c r="AA285" s="1783"/>
      <c r="AB285" s="1783"/>
      <c r="AC285" s="1783"/>
      <c r="AD285" s="1783"/>
      <c r="AE285" s="1783"/>
      <c r="AF285" s="1783"/>
      <c r="AG285" s="1783"/>
      <c r="AH285" s="1783"/>
      <c r="AI285" s="1783"/>
      <c r="AJ285" s="1783"/>
      <c r="AK285" s="1783"/>
      <c r="AL285" s="1783"/>
      <c r="AM285" s="1783"/>
      <c r="AN285" s="1783"/>
      <c r="AO285" s="1783"/>
      <c r="AP285" s="1783"/>
      <c r="AQ285" s="1783"/>
      <c r="AR285" s="1783"/>
      <c r="AS285" s="1783"/>
      <c r="AT285" s="1783"/>
      <c r="AU285" s="1783"/>
      <c r="AV285" s="1783"/>
      <c r="AW285" s="1783"/>
      <c r="AX285" s="1783"/>
      <c r="AY285" s="1783"/>
      <c r="AZ285" s="1783"/>
      <c r="BA285" s="1783"/>
      <c r="BB285" s="1783"/>
      <c r="BC285" s="1783"/>
      <c r="BD285" s="1783"/>
      <c r="BE285" s="1783"/>
      <c r="BF285" s="1783"/>
      <c r="BG285" s="1783"/>
      <c r="BH285" s="1783"/>
      <c r="BI285" s="1783"/>
    </row>
    <row r="286" spans="1:61">
      <c r="A286" s="1819"/>
      <c r="B286" s="1818"/>
      <c r="C286" s="1818"/>
      <c r="D286" s="1818"/>
      <c r="E286" s="1818"/>
      <c r="F286" s="1818"/>
      <c r="G286" s="1818"/>
      <c r="H286" s="1783"/>
      <c r="I286" s="1783"/>
      <c r="J286" s="1783"/>
      <c r="K286" s="1783"/>
      <c r="L286" s="1783"/>
      <c r="M286" s="1783"/>
      <c r="N286" s="1783"/>
      <c r="O286" s="1783"/>
      <c r="P286" s="1783"/>
      <c r="Q286" s="1783"/>
      <c r="R286" s="1783"/>
      <c r="S286" s="1783"/>
      <c r="T286" s="1783"/>
      <c r="U286" s="1783"/>
      <c r="V286" s="1783"/>
      <c r="W286" s="1783"/>
      <c r="X286" s="1783"/>
      <c r="Y286" s="1783"/>
      <c r="Z286" s="1783"/>
      <c r="AA286" s="1783"/>
      <c r="AB286" s="1783"/>
      <c r="AC286" s="1783"/>
      <c r="AD286" s="1783"/>
      <c r="AE286" s="1783"/>
      <c r="AF286" s="1783"/>
      <c r="AG286" s="1783"/>
      <c r="AH286" s="1783"/>
      <c r="AI286" s="1783"/>
      <c r="AJ286" s="1783"/>
      <c r="AK286" s="1783"/>
      <c r="AL286" s="1783"/>
      <c r="AM286" s="1783"/>
      <c r="AN286" s="1783"/>
      <c r="AO286" s="1783"/>
      <c r="AP286" s="1783"/>
      <c r="AQ286" s="1783"/>
      <c r="AR286" s="1783"/>
      <c r="AS286" s="1783"/>
      <c r="AT286" s="1783"/>
      <c r="AU286" s="1783"/>
      <c r="AV286" s="1783"/>
      <c r="AW286" s="1783"/>
      <c r="AX286" s="1783"/>
      <c r="AY286" s="1783"/>
      <c r="AZ286" s="1783"/>
      <c r="BA286" s="1783"/>
      <c r="BB286" s="1783"/>
      <c r="BC286" s="1783"/>
      <c r="BD286" s="1783"/>
      <c r="BE286" s="1783"/>
      <c r="BF286" s="1783"/>
      <c r="BG286" s="1783"/>
      <c r="BH286" s="1783"/>
      <c r="BI286" s="1783"/>
    </row>
    <row r="287" spans="1:61">
      <c r="A287" s="1819"/>
      <c r="B287" s="1818"/>
      <c r="C287" s="1818"/>
      <c r="D287" s="1818"/>
      <c r="E287" s="1818"/>
      <c r="F287" s="1818"/>
      <c r="G287" s="1818"/>
      <c r="H287" s="1783"/>
      <c r="I287" s="1783"/>
      <c r="J287" s="1783"/>
      <c r="K287" s="1783"/>
      <c r="L287" s="1783"/>
      <c r="M287" s="1783"/>
      <c r="N287" s="1783"/>
      <c r="O287" s="1783"/>
      <c r="P287" s="1783"/>
      <c r="Q287" s="1783"/>
      <c r="R287" s="1783"/>
      <c r="S287" s="1783"/>
      <c r="T287" s="1783"/>
      <c r="U287" s="1783"/>
      <c r="V287" s="1783"/>
      <c r="W287" s="1783"/>
      <c r="X287" s="1783"/>
      <c r="Y287" s="1783"/>
      <c r="Z287" s="1783"/>
      <c r="AA287" s="1783"/>
      <c r="AB287" s="1783"/>
      <c r="AC287" s="1783"/>
      <c r="AD287" s="1783"/>
      <c r="AE287" s="1783"/>
      <c r="AF287" s="1783"/>
      <c r="AG287" s="1783"/>
      <c r="AH287" s="1783"/>
      <c r="AI287" s="1783"/>
      <c r="AJ287" s="1783"/>
      <c r="AK287" s="1783"/>
      <c r="AL287" s="1783"/>
      <c r="AM287" s="1783"/>
      <c r="AN287" s="1783"/>
      <c r="AO287" s="1783"/>
      <c r="AP287" s="1783"/>
      <c r="AQ287" s="1783"/>
      <c r="AR287" s="1783"/>
      <c r="AS287" s="1783"/>
      <c r="AT287" s="1783"/>
      <c r="AU287" s="1783"/>
      <c r="AV287" s="1783"/>
      <c r="AW287" s="1783"/>
      <c r="AX287" s="1783"/>
      <c r="AY287" s="1783"/>
      <c r="AZ287" s="1783"/>
      <c r="BA287" s="1783"/>
      <c r="BB287" s="1783"/>
      <c r="BC287" s="1783"/>
      <c r="BD287" s="1783"/>
      <c r="BE287" s="1783"/>
      <c r="BF287" s="1783"/>
      <c r="BG287" s="1783"/>
      <c r="BH287" s="1783"/>
      <c r="BI287" s="1783"/>
    </row>
    <row r="288" spans="1:61">
      <c r="A288" s="1819"/>
      <c r="B288" s="1818"/>
      <c r="C288" s="1818"/>
      <c r="D288" s="1818"/>
      <c r="E288" s="1818"/>
      <c r="F288" s="1818"/>
      <c r="G288" s="1818"/>
      <c r="H288" s="1783"/>
      <c r="I288" s="1783"/>
      <c r="J288" s="1783"/>
      <c r="K288" s="1783"/>
      <c r="L288" s="1783"/>
      <c r="M288" s="1783"/>
      <c r="N288" s="1783"/>
      <c r="O288" s="1783"/>
      <c r="P288" s="1783"/>
      <c r="Q288" s="1783"/>
      <c r="R288" s="1783"/>
      <c r="S288" s="1783"/>
      <c r="T288" s="1783"/>
      <c r="U288" s="1783"/>
      <c r="V288" s="1783"/>
      <c r="W288" s="1783"/>
      <c r="X288" s="1783"/>
      <c r="Y288" s="1783"/>
      <c r="Z288" s="1783"/>
      <c r="AA288" s="1783"/>
      <c r="AB288" s="1783"/>
      <c r="AC288" s="1783"/>
      <c r="AD288" s="1783"/>
      <c r="AE288" s="1783"/>
      <c r="AF288" s="1783"/>
      <c r="AG288" s="1783"/>
      <c r="AH288" s="1783"/>
      <c r="AI288" s="1783"/>
      <c r="AJ288" s="1783"/>
      <c r="AK288" s="1783"/>
      <c r="AL288" s="1783"/>
      <c r="AM288" s="1783"/>
      <c r="AN288" s="1783"/>
      <c r="AO288" s="1783"/>
      <c r="AP288" s="1783"/>
      <c r="AQ288" s="1783"/>
      <c r="AR288" s="1783"/>
      <c r="AS288" s="1783"/>
      <c r="AT288" s="1783"/>
      <c r="AU288" s="1783"/>
      <c r="AV288" s="1783"/>
      <c r="AW288" s="1783"/>
      <c r="AX288" s="1783"/>
      <c r="AY288" s="1783"/>
      <c r="AZ288" s="1783"/>
      <c r="BA288" s="1783"/>
      <c r="BB288" s="1783"/>
      <c r="BC288" s="1783"/>
      <c r="BD288" s="1783"/>
      <c r="BE288" s="1783"/>
      <c r="BF288" s="1783"/>
      <c r="BG288" s="1783"/>
      <c r="BH288" s="1783"/>
      <c r="BI288" s="1783"/>
    </row>
    <row r="289" spans="1:61">
      <c r="A289" s="1819"/>
      <c r="B289" s="1818"/>
      <c r="C289" s="1818"/>
      <c r="D289" s="1818"/>
      <c r="E289" s="1818"/>
      <c r="F289" s="1818"/>
      <c r="G289" s="1818"/>
      <c r="H289" s="1783"/>
      <c r="I289" s="1783"/>
      <c r="J289" s="1783"/>
      <c r="K289" s="1783"/>
      <c r="L289" s="1783"/>
      <c r="M289" s="1783"/>
      <c r="N289" s="1783"/>
      <c r="O289" s="1783"/>
      <c r="P289" s="1783"/>
      <c r="Q289" s="1783"/>
      <c r="R289" s="1783"/>
      <c r="S289" s="1783"/>
      <c r="T289" s="1783"/>
      <c r="U289" s="1783"/>
      <c r="V289" s="1783"/>
      <c r="W289" s="1783"/>
      <c r="X289" s="1783"/>
      <c r="Y289" s="1783"/>
      <c r="Z289" s="1783"/>
      <c r="AA289" s="1783"/>
      <c r="AB289" s="1783"/>
      <c r="AC289" s="1783"/>
      <c r="AD289" s="1783"/>
      <c r="AE289" s="1783"/>
      <c r="AF289" s="1783"/>
      <c r="AG289" s="1783"/>
      <c r="AH289" s="1783"/>
      <c r="AI289" s="1783"/>
      <c r="AJ289" s="1783"/>
      <c r="AK289" s="1783"/>
      <c r="AL289" s="1783"/>
      <c r="AM289" s="1783"/>
      <c r="AN289" s="1783"/>
      <c r="AO289" s="1783"/>
      <c r="AP289" s="1783"/>
      <c r="AQ289" s="1783"/>
      <c r="AR289" s="1783"/>
      <c r="AS289" s="1783"/>
      <c r="AT289" s="1783"/>
      <c r="AU289" s="1783"/>
      <c r="AV289" s="1783"/>
      <c r="AW289" s="1783"/>
      <c r="AX289" s="1783"/>
      <c r="AY289" s="1783"/>
      <c r="AZ289" s="1783"/>
      <c r="BA289" s="1783"/>
      <c r="BB289" s="1783"/>
      <c r="BC289" s="1783"/>
      <c r="BD289" s="1783"/>
      <c r="BE289" s="1783"/>
      <c r="BF289" s="1783"/>
      <c r="BG289" s="1783"/>
      <c r="BH289" s="1783"/>
      <c r="BI289" s="1783"/>
    </row>
    <row r="290" spans="1:61">
      <c r="A290" s="1819"/>
      <c r="B290" s="1818"/>
      <c r="C290" s="1818"/>
      <c r="D290" s="1818"/>
      <c r="E290" s="1818"/>
      <c r="F290" s="1818"/>
      <c r="G290" s="1818"/>
      <c r="H290" s="1783"/>
      <c r="I290" s="1783"/>
      <c r="J290" s="1783"/>
      <c r="K290" s="1783"/>
      <c r="L290" s="1783"/>
      <c r="M290" s="1783"/>
      <c r="N290" s="1783"/>
      <c r="O290" s="1783"/>
      <c r="P290" s="1783"/>
      <c r="Q290" s="1783"/>
      <c r="R290" s="1783"/>
      <c r="S290" s="1783"/>
      <c r="T290" s="1783"/>
      <c r="U290" s="1783"/>
      <c r="V290" s="1783"/>
      <c r="W290" s="1783"/>
      <c r="X290" s="1783"/>
      <c r="Y290" s="1783"/>
      <c r="Z290" s="1783"/>
      <c r="AA290" s="1783"/>
      <c r="AB290" s="1783"/>
      <c r="AC290" s="1783"/>
      <c r="AD290" s="1783"/>
      <c r="AE290" s="1783"/>
      <c r="AF290" s="1783"/>
      <c r="AG290" s="1783"/>
      <c r="AH290" s="1783"/>
      <c r="AI290" s="1783"/>
      <c r="AJ290" s="1783"/>
      <c r="AK290" s="1783"/>
      <c r="AL290" s="1783"/>
      <c r="AM290" s="1783"/>
      <c r="AN290" s="1783"/>
      <c r="AO290" s="1783"/>
      <c r="AP290" s="1783"/>
      <c r="AQ290" s="1783"/>
      <c r="AR290" s="1783"/>
      <c r="AS290" s="1783"/>
      <c r="AT290" s="1783"/>
      <c r="AU290" s="1783"/>
      <c r="AV290" s="1783"/>
      <c r="AW290" s="1783"/>
      <c r="AX290" s="1783"/>
      <c r="AY290" s="1783"/>
      <c r="AZ290" s="1783"/>
      <c r="BA290" s="1783"/>
      <c r="BB290" s="1783"/>
      <c r="BC290" s="1783"/>
      <c r="BD290" s="1783"/>
      <c r="BE290" s="1783"/>
      <c r="BF290" s="1783"/>
      <c r="BG290" s="1783"/>
      <c r="BH290" s="1783"/>
      <c r="BI290" s="1783"/>
    </row>
    <row r="291" spans="1:61">
      <c r="A291" s="1819"/>
      <c r="B291" s="1818"/>
      <c r="C291" s="1818"/>
      <c r="D291" s="1818"/>
      <c r="E291" s="1818"/>
      <c r="F291" s="1818"/>
      <c r="G291" s="1818"/>
      <c r="H291" s="1783"/>
      <c r="I291" s="1783"/>
      <c r="J291" s="1783"/>
      <c r="K291" s="1783"/>
      <c r="L291" s="1783"/>
      <c r="M291" s="1783"/>
      <c r="N291" s="1783"/>
      <c r="O291" s="1783"/>
      <c r="P291" s="1783"/>
      <c r="Q291" s="1783"/>
      <c r="R291" s="1783"/>
      <c r="S291" s="1783"/>
      <c r="T291" s="1783"/>
      <c r="U291" s="1783"/>
      <c r="V291" s="1783"/>
      <c r="W291" s="1783"/>
      <c r="X291" s="1783"/>
      <c r="Y291" s="1783"/>
      <c r="Z291" s="1783"/>
      <c r="AA291" s="1783"/>
      <c r="AB291" s="1783"/>
      <c r="AC291" s="1783"/>
      <c r="AD291" s="1783"/>
      <c r="AE291" s="1783"/>
      <c r="AF291" s="1783"/>
      <c r="AG291" s="1783"/>
      <c r="AH291" s="1783"/>
      <c r="AI291" s="1783"/>
      <c r="AJ291" s="1783"/>
      <c r="AK291" s="1783"/>
      <c r="AL291" s="1783"/>
      <c r="AM291" s="1783"/>
      <c r="AN291" s="1783"/>
      <c r="AO291" s="1783"/>
      <c r="AP291" s="1783"/>
      <c r="AQ291" s="1783"/>
      <c r="AR291" s="1783"/>
      <c r="AS291" s="1783"/>
      <c r="AT291" s="1783"/>
      <c r="AU291" s="1783"/>
      <c r="AV291" s="1783"/>
      <c r="AW291" s="1783"/>
      <c r="AX291" s="1783"/>
      <c r="AY291" s="1783"/>
      <c r="AZ291" s="1783"/>
      <c r="BA291" s="1783"/>
      <c r="BB291" s="1783"/>
      <c r="BC291" s="1783"/>
      <c r="BD291" s="1783"/>
      <c r="BE291" s="1783"/>
      <c r="BF291" s="1783"/>
      <c r="BG291" s="1783"/>
      <c r="BH291" s="1783"/>
      <c r="BI291" s="1783"/>
    </row>
    <row r="292" spans="1:61">
      <c r="A292" s="1819"/>
      <c r="B292" s="1818"/>
      <c r="C292" s="1818"/>
      <c r="D292" s="1818"/>
      <c r="E292" s="1818"/>
      <c r="F292" s="1818"/>
      <c r="G292" s="1818"/>
      <c r="H292" s="1783"/>
      <c r="I292" s="1783"/>
      <c r="J292" s="1783"/>
      <c r="K292" s="1783"/>
      <c r="L292" s="1783"/>
      <c r="M292" s="1783"/>
      <c r="N292" s="1783"/>
      <c r="O292" s="1783"/>
      <c r="P292" s="1783"/>
      <c r="Q292" s="1783"/>
      <c r="R292" s="1783"/>
      <c r="S292" s="1783"/>
      <c r="T292" s="1783"/>
      <c r="U292" s="1783"/>
      <c r="V292" s="1783"/>
      <c r="W292" s="1783"/>
      <c r="X292" s="1783"/>
      <c r="Y292" s="1783"/>
      <c r="Z292" s="1783"/>
      <c r="AA292" s="1783"/>
      <c r="AB292" s="1783"/>
      <c r="AC292" s="1783"/>
      <c r="AD292" s="1783"/>
      <c r="AE292" s="1783"/>
      <c r="AF292" s="1783"/>
      <c r="AG292" s="1783"/>
      <c r="AH292" s="1783"/>
      <c r="AI292" s="1783"/>
      <c r="AJ292" s="1783"/>
      <c r="AK292" s="1783"/>
      <c r="AL292" s="1783"/>
      <c r="AM292" s="1783"/>
      <c r="AN292" s="1783"/>
      <c r="AO292" s="1783"/>
      <c r="AP292" s="1783"/>
      <c r="AQ292" s="1783"/>
      <c r="AR292" s="1783"/>
      <c r="AS292" s="1783"/>
      <c r="AT292" s="1783"/>
      <c r="AU292" s="1783"/>
      <c r="AV292" s="1783"/>
      <c r="AW292" s="1783"/>
      <c r="AX292" s="1783"/>
      <c r="AY292" s="1783"/>
      <c r="AZ292" s="1783"/>
      <c r="BA292" s="1783"/>
      <c r="BB292" s="1783"/>
      <c r="BC292" s="1783"/>
      <c r="BD292" s="1783"/>
      <c r="BE292" s="1783"/>
      <c r="BF292" s="1783"/>
      <c r="BG292" s="1783"/>
      <c r="BH292" s="1783"/>
      <c r="BI292" s="1783"/>
    </row>
    <row r="293" spans="1:61">
      <c r="A293" s="1819"/>
      <c r="B293" s="1818"/>
      <c r="C293" s="1818"/>
      <c r="D293" s="1818"/>
      <c r="E293" s="1818"/>
      <c r="F293" s="1818"/>
      <c r="G293" s="1818"/>
      <c r="H293" s="1783"/>
      <c r="I293" s="1783"/>
      <c r="J293" s="1783"/>
      <c r="K293" s="1783"/>
      <c r="L293" s="1783"/>
      <c r="M293" s="1783"/>
      <c r="N293" s="1783"/>
      <c r="O293" s="1783"/>
      <c r="P293" s="1783"/>
      <c r="Q293" s="1783"/>
      <c r="R293" s="1783"/>
      <c r="S293" s="1783"/>
      <c r="T293" s="1783"/>
      <c r="U293" s="1783"/>
      <c r="V293" s="1783"/>
      <c r="W293" s="1783"/>
      <c r="X293" s="1783"/>
      <c r="Y293" s="1783"/>
      <c r="Z293" s="1783"/>
      <c r="AA293" s="1783"/>
      <c r="AB293" s="1783"/>
      <c r="AC293" s="1783"/>
      <c r="AD293" s="1783"/>
      <c r="AE293" s="1783"/>
      <c r="AF293" s="1783"/>
      <c r="AG293" s="1783"/>
      <c r="AH293" s="1783"/>
      <c r="AI293" s="1783"/>
      <c r="AJ293" s="1783"/>
      <c r="AK293" s="1783"/>
      <c r="AL293" s="1783"/>
      <c r="AM293" s="1783"/>
      <c r="AN293" s="1783"/>
      <c r="AO293" s="1783"/>
      <c r="AP293" s="1783"/>
      <c r="AQ293" s="1783"/>
      <c r="AR293" s="1783"/>
      <c r="AS293" s="1783"/>
      <c r="AT293" s="1783"/>
      <c r="AU293" s="1783"/>
      <c r="AV293" s="1783"/>
      <c r="AW293" s="1783"/>
      <c r="AX293" s="1783"/>
      <c r="AY293" s="1783"/>
      <c r="AZ293" s="1783"/>
      <c r="BA293" s="1783"/>
      <c r="BB293" s="1783"/>
      <c r="BC293" s="1783"/>
      <c r="BD293" s="1783"/>
      <c r="BE293" s="1783"/>
      <c r="BF293" s="1783"/>
      <c r="BG293" s="1783"/>
      <c r="BH293" s="1783"/>
      <c r="BI293" s="1783"/>
    </row>
    <row r="294" spans="1:61">
      <c r="A294" s="1819"/>
      <c r="B294" s="1818"/>
      <c r="C294" s="1818"/>
      <c r="D294" s="1818"/>
      <c r="E294" s="1818"/>
      <c r="F294" s="1818"/>
      <c r="G294" s="1818"/>
      <c r="H294" s="1783"/>
      <c r="I294" s="1783"/>
      <c r="J294" s="1783"/>
      <c r="K294" s="1783"/>
      <c r="L294" s="1783"/>
      <c r="M294" s="1783"/>
      <c r="N294" s="1783"/>
      <c r="O294" s="1783"/>
      <c r="P294" s="1783"/>
      <c r="Q294" s="1783"/>
      <c r="R294" s="1783"/>
      <c r="S294" s="1783"/>
      <c r="T294" s="1783"/>
      <c r="U294" s="1783"/>
      <c r="V294" s="1783"/>
      <c r="W294" s="1783"/>
      <c r="X294" s="1783"/>
      <c r="Y294" s="1783"/>
      <c r="Z294" s="1783"/>
      <c r="AA294" s="1783"/>
      <c r="AB294" s="1783"/>
      <c r="AC294" s="1783"/>
      <c r="AD294" s="1783"/>
      <c r="AE294" s="1783"/>
      <c r="AF294" s="1783"/>
      <c r="AG294" s="1783"/>
      <c r="AH294" s="1783"/>
      <c r="AI294" s="1783"/>
      <c r="AJ294" s="1783"/>
      <c r="AK294" s="1783"/>
      <c r="AL294" s="1783"/>
      <c r="AM294" s="1783"/>
      <c r="AN294" s="1783"/>
      <c r="AO294" s="1783"/>
      <c r="AP294" s="1783"/>
      <c r="AQ294" s="1783"/>
      <c r="AR294" s="1783"/>
      <c r="AS294" s="1783"/>
      <c r="AT294" s="1783"/>
      <c r="AU294" s="1783"/>
      <c r="AV294" s="1783"/>
      <c r="AW294" s="1783"/>
      <c r="AX294" s="1783"/>
      <c r="AY294" s="1783"/>
      <c r="AZ294" s="1783"/>
      <c r="BA294" s="1783"/>
      <c r="BB294" s="1783"/>
      <c r="BC294" s="1783"/>
      <c r="BD294" s="1783"/>
      <c r="BE294" s="1783"/>
      <c r="BF294" s="1783"/>
      <c r="BG294" s="1783"/>
      <c r="BH294" s="1783"/>
      <c r="BI294" s="1783"/>
    </row>
    <row r="295" spans="1:61">
      <c r="A295" s="1819"/>
      <c r="B295" s="1818"/>
      <c r="C295" s="1818"/>
      <c r="D295" s="1818"/>
      <c r="E295" s="1818"/>
      <c r="F295" s="1818"/>
      <c r="G295" s="1818"/>
      <c r="H295" s="1783"/>
      <c r="I295" s="1783"/>
      <c r="J295" s="1783"/>
      <c r="K295" s="1783"/>
      <c r="L295" s="1783"/>
      <c r="M295" s="1783"/>
      <c r="N295" s="1783"/>
      <c r="O295" s="1783"/>
      <c r="P295" s="1783"/>
      <c r="Q295" s="1783"/>
      <c r="R295" s="1783"/>
      <c r="S295" s="1783"/>
      <c r="T295" s="1783"/>
      <c r="U295" s="1783"/>
      <c r="V295" s="1783"/>
      <c r="W295" s="1783"/>
      <c r="X295" s="1783"/>
      <c r="Y295" s="1783"/>
      <c r="Z295" s="1783"/>
      <c r="AA295" s="1783"/>
      <c r="AB295" s="1783"/>
      <c r="AC295" s="1783"/>
      <c r="AD295" s="1783"/>
      <c r="AE295" s="1783"/>
      <c r="AF295" s="1783"/>
      <c r="AG295" s="1783"/>
      <c r="AH295" s="1783"/>
      <c r="AI295" s="1783"/>
      <c r="AJ295" s="1783"/>
      <c r="AK295" s="1783"/>
      <c r="AL295" s="1783"/>
      <c r="AM295" s="1783"/>
      <c r="AN295" s="1783"/>
      <c r="AO295" s="1783"/>
      <c r="AP295" s="1783"/>
      <c r="AQ295" s="1783"/>
      <c r="AR295" s="1783"/>
      <c r="AS295" s="1783"/>
      <c r="AT295" s="1783"/>
      <c r="AU295" s="1783"/>
      <c r="AV295" s="1783"/>
      <c r="AW295" s="1783"/>
      <c r="AX295" s="1783"/>
      <c r="AY295" s="1783"/>
      <c r="AZ295" s="1783"/>
      <c r="BA295" s="1783"/>
      <c r="BB295" s="1783"/>
      <c r="BC295" s="1783"/>
      <c r="BD295" s="1783"/>
      <c r="BE295" s="1783"/>
      <c r="BF295" s="1783"/>
      <c r="BG295" s="1783"/>
      <c r="BH295" s="1783"/>
      <c r="BI295" s="1783"/>
    </row>
    <row r="296" spans="1:61">
      <c r="A296" s="1819"/>
      <c r="B296" s="1818"/>
      <c r="C296" s="1818"/>
      <c r="D296" s="1818"/>
      <c r="E296" s="1818"/>
      <c r="F296" s="1818"/>
      <c r="G296" s="1818"/>
      <c r="H296" s="1783"/>
      <c r="I296" s="1783"/>
      <c r="J296" s="1783"/>
      <c r="K296" s="1783"/>
      <c r="L296" s="1783"/>
      <c r="M296" s="1783"/>
      <c r="N296" s="1783"/>
      <c r="O296" s="1783"/>
      <c r="P296" s="1783"/>
      <c r="Q296" s="1783"/>
      <c r="R296" s="1783"/>
      <c r="S296" s="1783"/>
      <c r="T296" s="1783"/>
      <c r="U296" s="1783"/>
      <c r="V296" s="1783"/>
      <c r="W296" s="1783"/>
      <c r="X296" s="1783"/>
      <c r="Y296" s="1783"/>
      <c r="Z296" s="1783"/>
      <c r="AA296" s="1783"/>
      <c r="AB296" s="1783"/>
      <c r="AC296" s="1783"/>
      <c r="AD296" s="1783"/>
      <c r="AE296" s="1783"/>
      <c r="AF296" s="1783"/>
      <c r="AG296" s="1783"/>
      <c r="AH296" s="1783"/>
      <c r="AI296" s="1783"/>
      <c r="AJ296" s="1783"/>
      <c r="AK296" s="1783"/>
      <c r="AL296" s="1783"/>
      <c r="AM296" s="1783"/>
      <c r="AN296" s="1783"/>
      <c r="AO296" s="1783"/>
      <c r="AP296" s="1783"/>
      <c r="AQ296" s="1783"/>
      <c r="AR296" s="1783"/>
      <c r="AS296" s="1783"/>
      <c r="AT296" s="1783"/>
      <c r="AU296" s="1783"/>
      <c r="AV296" s="1783"/>
      <c r="AW296" s="1783"/>
      <c r="AX296" s="1783"/>
      <c r="AY296" s="1783"/>
      <c r="AZ296" s="1783"/>
      <c r="BA296" s="1783"/>
      <c r="BB296" s="1783"/>
      <c r="BC296" s="1783"/>
      <c r="BD296" s="1783"/>
      <c r="BE296" s="1783"/>
      <c r="BF296" s="1783"/>
      <c r="BG296" s="1783"/>
      <c r="BH296" s="1783"/>
      <c r="BI296" s="1783"/>
    </row>
    <row r="297" spans="1:61">
      <c r="A297" s="1819"/>
      <c r="B297" s="1818"/>
      <c r="C297" s="1818"/>
      <c r="D297" s="1818"/>
      <c r="E297" s="1818"/>
      <c r="F297" s="1818"/>
      <c r="G297" s="1818"/>
      <c r="H297" s="1783"/>
      <c r="I297" s="1783"/>
      <c r="J297" s="1783"/>
      <c r="K297" s="1783"/>
      <c r="L297" s="1783"/>
      <c r="M297" s="1783"/>
      <c r="N297" s="1783"/>
      <c r="O297" s="1783"/>
      <c r="P297" s="1783"/>
      <c r="Q297" s="1783"/>
      <c r="R297" s="1783"/>
      <c r="S297" s="1783"/>
      <c r="T297" s="1783"/>
      <c r="U297" s="1783"/>
      <c r="V297" s="1783"/>
      <c r="W297" s="1783"/>
      <c r="X297" s="1783"/>
      <c r="Y297" s="1783"/>
      <c r="Z297" s="1783"/>
      <c r="AA297" s="1783"/>
      <c r="AB297" s="1783"/>
      <c r="AC297" s="1783"/>
      <c r="AD297" s="1783"/>
      <c r="AE297" s="1783"/>
      <c r="AF297" s="1783"/>
      <c r="AG297" s="1783"/>
      <c r="AH297" s="1783"/>
      <c r="AI297" s="1783"/>
      <c r="AJ297" s="1783"/>
      <c r="AK297" s="1783"/>
      <c r="AL297" s="1783"/>
      <c r="AM297" s="1783"/>
      <c r="AN297" s="1783"/>
      <c r="AO297" s="1783"/>
      <c r="AP297" s="1783"/>
      <c r="AQ297" s="1783"/>
      <c r="AR297" s="1783"/>
      <c r="AS297" s="1783"/>
      <c r="AT297" s="1783"/>
      <c r="AU297" s="1783"/>
      <c r="AV297" s="1783"/>
      <c r="AW297" s="1783"/>
      <c r="AX297" s="1783"/>
      <c r="AY297" s="1783"/>
      <c r="AZ297" s="1783"/>
      <c r="BA297" s="1783"/>
      <c r="BB297" s="1783"/>
      <c r="BC297" s="1783"/>
      <c r="BD297" s="1783"/>
      <c r="BE297" s="1783"/>
      <c r="BF297" s="1783"/>
      <c r="BG297" s="1783"/>
      <c r="BH297" s="1783"/>
      <c r="BI297" s="1783"/>
    </row>
    <row r="298" spans="1:61">
      <c r="A298" s="1819"/>
      <c r="B298" s="1818"/>
      <c r="C298" s="1818"/>
      <c r="D298" s="1818"/>
      <c r="E298" s="1818"/>
      <c r="F298" s="1818"/>
      <c r="G298" s="1818"/>
      <c r="H298" s="1783"/>
      <c r="I298" s="1783"/>
      <c r="J298" s="1783"/>
      <c r="K298" s="1783"/>
      <c r="L298" s="1783"/>
      <c r="M298" s="1783"/>
      <c r="N298" s="1783"/>
      <c r="O298" s="1783"/>
      <c r="P298" s="1783"/>
      <c r="Q298" s="1783"/>
      <c r="R298" s="1783"/>
      <c r="S298" s="1783"/>
      <c r="T298" s="1783"/>
      <c r="U298" s="1783"/>
      <c r="V298" s="1783"/>
      <c r="W298" s="1783"/>
      <c r="X298" s="1783"/>
      <c r="Y298" s="1783"/>
      <c r="Z298" s="1783"/>
      <c r="AA298" s="1783"/>
      <c r="AB298" s="1783"/>
      <c r="AC298" s="1783"/>
      <c r="AD298" s="1783"/>
      <c r="AE298" s="1783"/>
      <c r="AF298" s="1783"/>
      <c r="AG298" s="1783"/>
      <c r="AH298" s="1783"/>
      <c r="AI298" s="1783"/>
      <c r="AJ298" s="1783"/>
      <c r="AK298" s="1783"/>
      <c r="AL298" s="1783"/>
      <c r="AM298" s="1783"/>
      <c r="AN298" s="1783"/>
      <c r="AO298" s="1783"/>
      <c r="AP298" s="1783"/>
      <c r="AQ298" s="1783"/>
      <c r="AR298" s="1783"/>
      <c r="AS298" s="1783"/>
      <c r="AT298" s="1783"/>
      <c r="AU298" s="1783"/>
      <c r="AV298" s="1783"/>
      <c r="AW298" s="1783"/>
      <c r="AX298" s="1783"/>
      <c r="AY298" s="1783"/>
      <c r="AZ298" s="1783"/>
      <c r="BA298" s="1783"/>
      <c r="BB298" s="1783"/>
      <c r="BC298" s="1783"/>
      <c r="BD298" s="1783"/>
      <c r="BE298" s="1783"/>
      <c r="BF298" s="1783"/>
      <c r="BG298" s="1783"/>
      <c r="BH298" s="1783"/>
      <c r="BI298" s="1783"/>
    </row>
    <row r="299" spans="1:61">
      <c r="A299" s="1819"/>
      <c r="B299" s="1818"/>
      <c r="C299" s="1818"/>
      <c r="D299" s="1818"/>
      <c r="E299" s="1818"/>
      <c r="F299" s="1818"/>
      <c r="G299" s="1818"/>
      <c r="H299" s="1783"/>
      <c r="I299" s="1783"/>
      <c r="J299" s="1783"/>
      <c r="K299" s="1783"/>
      <c r="L299" s="1783"/>
      <c r="M299" s="1783"/>
      <c r="N299" s="1783"/>
      <c r="O299" s="1783"/>
      <c r="P299" s="1783"/>
      <c r="Q299" s="1783"/>
      <c r="R299" s="1783"/>
      <c r="S299" s="1783"/>
      <c r="T299" s="1783"/>
      <c r="U299" s="1783"/>
      <c r="V299" s="1783"/>
      <c r="W299" s="1783"/>
      <c r="X299" s="1783"/>
      <c r="Y299" s="1783"/>
      <c r="Z299" s="1783"/>
      <c r="AA299" s="1783"/>
      <c r="AB299" s="1783"/>
      <c r="AC299" s="1783"/>
      <c r="AD299" s="1783"/>
      <c r="AE299" s="1783"/>
      <c r="AF299" s="1783"/>
      <c r="AG299" s="1783"/>
      <c r="AH299" s="1783"/>
      <c r="AI299" s="1783"/>
      <c r="AJ299" s="1783"/>
      <c r="AK299" s="1783"/>
      <c r="AL299" s="1783"/>
      <c r="AM299" s="1783"/>
      <c r="AN299" s="1783"/>
      <c r="AO299" s="1783"/>
      <c r="AP299" s="1783"/>
      <c r="AQ299" s="1783"/>
      <c r="AR299" s="1783"/>
      <c r="AS299" s="1783"/>
      <c r="AT299" s="1783"/>
      <c r="AU299" s="1783"/>
      <c r="AV299" s="1783"/>
      <c r="AW299" s="1783"/>
      <c r="AX299" s="1783"/>
      <c r="AY299" s="1783"/>
      <c r="AZ299" s="1783"/>
      <c r="BA299" s="1783"/>
      <c r="BB299" s="1783"/>
      <c r="BC299" s="1783"/>
      <c r="BD299" s="1783"/>
      <c r="BE299" s="1783"/>
      <c r="BF299" s="1783"/>
      <c r="BG299" s="1783"/>
      <c r="BH299" s="1783"/>
      <c r="BI299" s="1783"/>
    </row>
    <row r="300" spans="1:61">
      <c r="A300" s="1819"/>
      <c r="B300" s="1818"/>
      <c r="C300" s="1818"/>
      <c r="D300" s="1818"/>
      <c r="E300" s="1818"/>
      <c r="F300" s="1818"/>
      <c r="G300" s="1818"/>
      <c r="H300" s="1783"/>
      <c r="I300" s="1783"/>
      <c r="J300" s="1783"/>
      <c r="K300" s="1783"/>
      <c r="L300" s="1783"/>
      <c r="M300" s="1783"/>
      <c r="N300" s="1783"/>
      <c r="O300" s="1783"/>
      <c r="P300" s="1783"/>
      <c r="Q300" s="1783"/>
      <c r="R300" s="1783"/>
      <c r="S300" s="1783"/>
      <c r="T300" s="1783"/>
      <c r="U300" s="1783"/>
      <c r="V300" s="1783"/>
      <c r="W300" s="1783"/>
      <c r="X300" s="1783"/>
      <c r="Y300" s="1783"/>
      <c r="Z300" s="1783"/>
      <c r="AA300" s="1783"/>
      <c r="AB300" s="1783"/>
      <c r="AC300" s="1783"/>
      <c r="AD300" s="1783"/>
      <c r="AE300" s="1783"/>
      <c r="AF300" s="1783"/>
      <c r="AG300" s="1783"/>
      <c r="AH300" s="1783"/>
      <c r="AI300" s="1783"/>
      <c r="AJ300" s="1783"/>
      <c r="AK300" s="1783"/>
      <c r="AL300" s="1783"/>
      <c r="AM300" s="1783"/>
      <c r="AN300" s="1783"/>
      <c r="AO300" s="1783"/>
      <c r="AP300" s="1783"/>
      <c r="AQ300" s="1783"/>
      <c r="AR300" s="1783"/>
      <c r="AS300" s="1783"/>
      <c r="AT300" s="1783"/>
      <c r="AU300" s="1783"/>
      <c r="AV300" s="1783"/>
      <c r="AW300" s="1783"/>
      <c r="AX300" s="1783"/>
      <c r="AY300" s="1783"/>
      <c r="AZ300" s="1783"/>
      <c r="BA300" s="1783"/>
      <c r="BB300" s="1783"/>
      <c r="BC300" s="1783"/>
      <c r="BD300" s="1783"/>
      <c r="BE300" s="1783"/>
      <c r="BF300" s="1783"/>
      <c r="BG300" s="1783"/>
      <c r="BH300" s="1783"/>
      <c r="BI300" s="1783"/>
    </row>
    <row r="301" spans="1:61">
      <c r="A301" s="1819"/>
      <c r="B301" s="1818"/>
      <c r="C301" s="1818"/>
      <c r="D301" s="1818"/>
      <c r="E301" s="1818"/>
      <c r="F301" s="1818"/>
      <c r="G301" s="1818"/>
      <c r="H301" s="1783"/>
      <c r="I301" s="1783"/>
      <c r="J301" s="1783"/>
      <c r="K301" s="1783"/>
      <c r="L301" s="1783"/>
      <c r="M301" s="1783"/>
      <c r="N301" s="1783"/>
      <c r="O301" s="1783"/>
      <c r="P301" s="1783"/>
      <c r="Q301" s="1783"/>
      <c r="R301" s="1783"/>
      <c r="S301" s="1783"/>
      <c r="T301" s="1783"/>
      <c r="U301" s="1783"/>
      <c r="V301" s="1783"/>
      <c r="W301" s="1783"/>
      <c r="X301" s="1783"/>
      <c r="Y301" s="1783"/>
      <c r="Z301" s="1783"/>
      <c r="AA301" s="1783"/>
      <c r="AB301" s="1783"/>
      <c r="AC301" s="1783"/>
      <c r="AD301" s="1783"/>
      <c r="AE301" s="1783"/>
      <c r="AF301" s="1783"/>
      <c r="AG301" s="1783"/>
      <c r="AH301" s="1783"/>
      <c r="AI301" s="1783"/>
      <c r="AJ301" s="1783"/>
      <c r="AK301" s="1783"/>
      <c r="AL301" s="1783"/>
      <c r="AM301" s="1783"/>
      <c r="AN301" s="1783"/>
      <c r="AO301" s="1783"/>
      <c r="AP301" s="1783"/>
      <c r="AQ301" s="1783"/>
      <c r="AR301" s="1783"/>
      <c r="AS301" s="1783"/>
      <c r="AT301" s="1783"/>
      <c r="AU301" s="1783"/>
      <c r="AV301" s="1783"/>
      <c r="AW301" s="1783"/>
      <c r="AX301" s="1783"/>
      <c r="AY301" s="1783"/>
      <c r="AZ301" s="1783"/>
      <c r="BA301" s="1783"/>
      <c r="BB301" s="1783"/>
      <c r="BC301" s="1783"/>
      <c r="BD301" s="1783"/>
      <c r="BE301" s="1783"/>
      <c r="BF301" s="1783"/>
      <c r="BG301" s="1783"/>
      <c r="BH301" s="1783"/>
      <c r="BI301" s="1783"/>
    </row>
    <row r="302" spans="1:61">
      <c r="A302" s="1819"/>
      <c r="B302" s="1818"/>
      <c r="C302" s="1818"/>
      <c r="D302" s="1818"/>
      <c r="E302" s="1818"/>
      <c r="F302" s="1818"/>
      <c r="G302" s="1818"/>
      <c r="H302" s="1783"/>
      <c r="I302" s="1783"/>
      <c r="J302" s="1783"/>
      <c r="K302" s="1783"/>
      <c r="L302" s="1783"/>
      <c r="M302" s="1783"/>
      <c r="N302" s="1783"/>
      <c r="O302" s="1783"/>
      <c r="P302" s="1783"/>
      <c r="Q302" s="1783"/>
      <c r="R302" s="1783"/>
      <c r="S302" s="1783"/>
      <c r="T302" s="1783"/>
      <c r="U302" s="1783"/>
      <c r="V302" s="1783"/>
      <c r="W302" s="1783"/>
      <c r="X302" s="1783"/>
      <c r="Y302" s="1783"/>
      <c r="Z302" s="1783"/>
      <c r="AA302" s="1783"/>
      <c r="AB302" s="1783"/>
      <c r="AC302" s="1783"/>
      <c r="AD302" s="1783"/>
      <c r="AE302" s="1783"/>
      <c r="AF302" s="1783"/>
      <c r="AG302" s="1783"/>
      <c r="AH302" s="1783"/>
      <c r="AI302" s="1783"/>
      <c r="AJ302" s="1783"/>
      <c r="AK302" s="1783"/>
      <c r="AL302" s="1783"/>
      <c r="AM302" s="1783"/>
      <c r="AN302" s="1783"/>
      <c r="AO302" s="1783"/>
      <c r="AP302" s="1783"/>
      <c r="AQ302" s="1783"/>
      <c r="AR302" s="1783"/>
      <c r="AS302" s="1783"/>
      <c r="AT302" s="1783"/>
      <c r="AU302" s="1783"/>
      <c r="AV302" s="1783"/>
      <c r="AW302" s="1783"/>
      <c r="AX302" s="1783"/>
      <c r="AY302" s="1783"/>
      <c r="AZ302" s="1783"/>
      <c r="BA302" s="1783"/>
      <c r="BB302" s="1783"/>
      <c r="BC302" s="1783"/>
      <c r="BD302" s="1783"/>
      <c r="BE302" s="1783"/>
      <c r="BF302" s="1783"/>
      <c r="BG302" s="1783"/>
      <c r="BH302" s="1783"/>
      <c r="BI302" s="1783"/>
    </row>
    <row r="303" spans="1:61">
      <c r="A303" s="1819"/>
      <c r="B303" s="1818"/>
      <c r="C303" s="1818"/>
      <c r="D303" s="1818"/>
      <c r="E303" s="1818"/>
      <c r="F303" s="1818"/>
      <c r="G303" s="1818"/>
      <c r="H303" s="1783"/>
      <c r="I303" s="1783"/>
      <c r="J303" s="1783"/>
      <c r="K303" s="1783"/>
      <c r="L303" s="1783"/>
      <c r="M303" s="1783"/>
      <c r="N303" s="1783"/>
      <c r="O303" s="1783"/>
      <c r="P303" s="1783"/>
      <c r="Q303" s="1783"/>
      <c r="R303" s="1783"/>
      <c r="S303" s="1783"/>
      <c r="T303" s="1783"/>
      <c r="U303" s="1783"/>
      <c r="V303" s="1783"/>
      <c r="W303" s="1783"/>
      <c r="X303" s="1783"/>
      <c r="Y303" s="1783"/>
      <c r="Z303" s="1783"/>
      <c r="AA303" s="1783"/>
      <c r="AB303" s="1783"/>
      <c r="AC303" s="1783"/>
      <c r="AD303" s="1783"/>
      <c r="AE303" s="1783"/>
      <c r="AF303" s="1783"/>
      <c r="AG303" s="1783"/>
      <c r="AH303" s="1783"/>
      <c r="AI303" s="1783"/>
      <c r="AJ303" s="1783"/>
      <c r="AK303" s="1783"/>
      <c r="AL303" s="1783"/>
      <c r="AM303" s="1783"/>
      <c r="AN303" s="1783"/>
      <c r="AO303" s="1783"/>
      <c r="AP303" s="1783"/>
      <c r="AQ303" s="1783"/>
      <c r="AR303" s="1783"/>
      <c r="AS303" s="1783"/>
      <c r="AT303" s="1783"/>
      <c r="AU303" s="1783"/>
      <c r="AV303" s="1783"/>
      <c r="AW303" s="1783"/>
      <c r="AX303" s="1783"/>
      <c r="AY303" s="1783"/>
      <c r="AZ303" s="1783"/>
      <c r="BA303" s="1783"/>
      <c r="BB303" s="1783"/>
      <c r="BC303" s="1783"/>
      <c r="BD303" s="1783"/>
      <c r="BE303" s="1783"/>
      <c r="BF303" s="1783"/>
      <c r="BG303" s="1783"/>
      <c r="BH303" s="1783"/>
      <c r="BI303" s="1783"/>
    </row>
    <row r="304" spans="1:61">
      <c r="A304" s="1819"/>
      <c r="B304" s="1818"/>
      <c r="C304" s="1818"/>
      <c r="D304" s="1818"/>
      <c r="E304" s="1818"/>
      <c r="F304" s="1818"/>
      <c r="G304" s="1818"/>
      <c r="H304" s="1783"/>
      <c r="I304" s="1783"/>
      <c r="J304" s="1783"/>
      <c r="K304" s="1783"/>
      <c r="L304" s="1783"/>
      <c r="M304" s="1783"/>
      <c r="N304" s="1783"/>
      <c r="O304" s="1783"/>
      <c r="P304" s="1783"/>
      <c r="Q304" s="1783"/>
      <c r="R304" s="1783"/>
      <c r="S304" s="1783"/>
      <c r="T304" s="1783"/>
      <c r="U304" s="1783"/>
      <c r="V304" s="1783"/>
      <c r="W304" s="1783"/>
      <c r="X304" s="1783"/>
      <c r="Y304" s="1783"/>
      <c r="Z304" s="1783"/>
      <c r="AA304" s="1783"/>
      <c r="AB304" s="1783"/>
      <c r="AC304" s="1783"/>
      <c r="AD304" s="1783"/>
      <c r="AE304" s="1783"/>
      <c r="AF304" s="1783"/>
      <c r="AG304" s="1783"/>
      <c r="AH304" s="1783"/>
      <c r="AI304" s="1783"/>
      <c r="AJ304" s="1783"/>
      <c r="AK304" s="1783"/>
      <c r="AL304" s="1783"/>
      <c r="AM304" s="1783"/>
      <c r="AN304" s="1783"/>
      <c r="AO304" s="1783"/>
      <c r="AP304" s="1783"/>
      <c r="AQ304" s="1783"/>
      <c r="AR304" s="1783"/>
      <c r="AS304" s="1783"/>
      <c r="AT304" s="1783"/>
      <c r="AU304" s="1783"/>
      <c r="AV304" s="1783"/>
      <c r="AW304" s="1783"/>
      <c r="AX304" s="1783"/>
      <c r="AY304" s="1783"/>
      <c r="AZ304" s="1783"/>
      <c r="BA304" s="1783"/>
      <c r="BB304" s="1783"/>
      <c r="BC304" s="1783"/>
      <c r="BD304" s="1783"/>
      <c r="BE304" s="1783"/>
      <c r="BF304" s="1783"/>
      <c r="BG304" s="1783"/>
      <c r="BH304" s="1783"/>
      <c r="BI304" s="1783"/>
    </row>
    <row r="305" spans="1:61">
      <c r="A305" s="1819"/>
      <c r="B305" s="1818"/>
      <c r="C305" s="1818"/>
      <c r="D305" s="1818"/>
      <c r="E305" s="1818"/>
      <c r="F305" s="1818"/>
      <c r="G305" s="1818"/>
      <c r="H305" s="1783"/>
      <c r="I305" s="1783"/>
      <c r="J305" s="1783"/>
      <c r="K305" s="1783"/>
      <c r="L305" s="1783"/>
      <c r="M305" s="1783"/>
      <c r="N305" s="1783"/>
      <c r="O305" s="1783"/>
      <c r="P305" s="1783"/>
      <c r="Q305" s="1783"/>
      <c r="R305" s="1783"/>
      <c r="S305" s="1783"/>
      <c r="T305" s="1783"/>
      <c r="U305" s="1783"/>
      <c r="V305" s="1783"/>
      <c r="W305" s="1783"/>
      <c r="X305" s="1783"/>
      <c r="Y305" s="1783"/>
      <c r="Z305" s="1783"/>
      <c r="AA305" s="1783"/>
      <c r="AB305" s="1783"/>
      <c r="AC305" s="1783"/>
      <c r="AD305" s="1783"/>
      <c r="AE305" s="1783"/>
      <c r="AF305" s="1783"/>
      <c r="AG305" s="1783"/>
      <c r="AH305" s="1783"/>
      <c r="AI305" s="1783"/>
      <c r="AJ305" s="1783"/>
      <c r="AK305" s="1783"/>
      <c r="AL305" s="1783"/>
      <c r="AM305" s="1783"/>
      <c r="AN305" s="1783"/>
      <c r="AO305" s="1783"/>
      <c r="AP305" s="1783"/>
      <c r="AQ305" s="1783"/>
      <c r="AR305" s="1783"/>
      <c r="AS305" s="1783"/>
      <c r="AT305" s="1783"/>
      <c r="AU305" s="1783"/>
      <c r="AV305" s="1783"/>
      <c r="AW305" s="1783"/>
      <c r="AX305" s="1783"/>
      <c r="AY305" s="1783"/>
      <c r="AZ305" s="1783"/>
      <c r="BA305" s="1783"/>
      <c r="BB305" s="1783"/>
      <c r="BC305" s="1783"/>
      <c r="BD305" s="1783"/>
      <c r="BE305" s="1783"/>
      <c r="BF305" s="1783"/>
      <c r="BG305" s="1783"/>
      <c r="BH305" s="1783"/>
      <c r="BI305" s="1783"/>
    </row>
    <row r="306" spans="1:61">
      <c r="A306" s="1819"/>
      <c r="B306" s="1818"/>
      <c r="C306" s="1818"/>
      <c r="D306" s="1818"/>
      <c r="E306" s="1818"/>
      <c r="F306" s="1818"/>
      <c r="G306" s="1818"/>
      <c r="H306" s="1783"/>
      <c r="I306" s="1783"/>
      <c r="J306" s="1783"/>
      <c r="K306" s="1783"/>
      <c r="L306" s="1783"/>
      <c r="M306" s="1783"/>
      <c r="N306" s="1783"/>
      <c r="O306" s="1783"/>
      <c r="P306" s="1783"/>
      <c r="Q306" s="1783"/>
      <c r="R306" s="1783"/>
      <c r="S306" s="1783"/>
      <c r="T306" s="1783"/>
      <c r="U306" s="1783"/>
      <c r="V306" s="1783"/>
      <c r="W306" s="1783"/>
      <c r="X306" s="1783"/>
      <c r="Y306" s="1783"/>
      <c r="Z306" s="1783"/>
      <c r="AA306" s="1783"/>
      <c r="AB306" s="1783"/>
      <c r="AC306" s="1783"/>
      <c r="AD306" s="1783"/>
      <c r="AE306" s="1783"/>
      <c r="AF306" s="1783"/>
      <c r="AG306" s="1783"/>
      <c r="AH306" s="1783"/>
      <c r="AI306" s="1783"/>
      <c r="AJ306" s="1783"/>
      <c r="AK306" s="1783"/>
      <c r="AL306" s="1783"/>
      <c r="AM306" s="1783"/>
      <c r="AN306" s="1783"/>
      <c r="AO306" s="1783"/>
      <c r="AP306" s="1783"/>
      <c r="AQ306" s="1783"/>
      <c r="AR306" s="1783"/>
      <c r="AS306" s="1783"/>
      <c r="AT306" s="1783"/>
      <c r="AU306" s="1783"/>
      <c r="AV306" s="1783"/>
      <c r="AW306" s="1783"/>
      <c r="AX306" s="1783"/>
      <c r="AY306" s="1783"/>
      <c r="AZ306" s="1783"/>
      <c r="BA306" s="1783"/>
      <c r="BB306" s="1783"/>
      <c r="BC306" s="1783"/>
      <c r="BD306" s="1783"/>
      <c r="BE306" s="1783"/>
      <c r="BF306" s="1783"/>
      <c r="BG306" s="1783"/>
      <c r="BH306" s="1783"/>
      <c r="BI306" s="1783"/>
    </row>
    <row r="307" spans="1:61">
      <c r="A307" s="1819"/>
      <c r="B307" s="1818"/>
      <c r="C307" s="1818"/>
      <c r="D307" s="1818"/>
      <c r="E307" s="1818"/>
      <c r="F307" s="1818"/>
      <c r="G307" s="1818"/>
      <c r="H307" s="1783"/>
      <c r="I307" s="1783"/>
      <c r="J307" s="1783"/>
      <c r="K307" s="1783"/>
      <c r="L307" s="1783"/>
      <c r="M307" s="1783"/>
      <c r="N307" s="1783"/>
      <c r="O307" s="1783"/>
      <c r="P307" s="1783"/>
      <c r="Q307" s="1783"/>
      <c r="R307" s="1783"/>
      <c r="S307" s="1783"/>
      <c r="T307" s="1783"/>
      <c r="U307" s="1783"/>
      <c r="V307" s="1783"/>
      <c r="W307" s="1783"/>
      <c r="X307" s="1783"/>
      <c r="Y307" s="1783"/>
      <c r="Z307" s="1783"/>
      <c r="AA307" s="1783"/>
      <c r="AB307" s="1783"/>
      <c r="AC307" s="1783"/>
      <c r="AD307" s="1783"/>
      <c r="AE307" s="1783"/>
      <c r="AF307" s="1783"/>
      <c r="AG307" s="1783"/>
      <c r="AH307" s="1783"/>
      <c r="AI307" s="1783"/>
      <c r="AJ307" s="1783"/>
      <c r="AK307" s="1783"/>
      <c r="AL307" s="1783"/>
      <c r="AM307" s="1783"/>
      <c r="AN307" s="1783"/>
      <c r="AO307" s="1783"/>
      <c r="AP307" s="1783"/>
      <c r="AQ307" s="1783"/>
      <c r="AR307" s="1783"/>
      <c r="AS307" s="1783"/>
      <c r="AT307" s="1783"/>
      <c r="AU307" s="1783"/>
      <c r="AV307" s="1783"/>
      <c r="AW307" s="1783"/>
      <c r="AX307" s="1783"/>
      <c r="AY307" s="1783"/>
      <c r="AZ307" s="1783"/>
      <c r="BA307" s="1783"/>
      <c r="BB307" s="1783"/>
      <c r="BC307" s="1783"/>
      <c r="BD307" s="1783"/>
      <c r="BE307" s="1783"/>
      <c r="BF307" s="1783"/>
      <c r="BG307" s="1783"/>
      <c r="BH307" s="1783"/>
      <c r="BI307" s="1783"/>
    </row>
    <row r="308" spans="1:61">
      <c r="A308" s="1819"/>
      <c r="B308" s="1818"/>
      <c r="C308" s="1818"/>
      <c r="D308" s="1818"/>
      <c r="E308" s="1818"/>
      <c r="F308" s="1818"/>
      <c r="G308" s="1818"/>
      <c r="H308" s="1783"/>
      <c r="I308" s="1783"/>
      <c r="J308" s="1783"/>
      <c r="K308" s="1783"/>
      <c r="L308" s="1783"/>
      <c r="M308" s="1783"/>
      <c r="N308" s="1783"/>
      <c r="O308" s="1783"/>
      <c r="P308" s="1783"/>
      <c r="Q308" s="1783"/>
      <c r="R308" s="1783"/>
      <c r="S308" s="1783"/>
      <c r="T308" s="1783"/>
      <c r="U308" s="1783"/>
      <c r="V308" s="1783"/>
      <c r="W308" s="1783"/>
      <c r="X308" s="1783"/>
      <c r="Y308" s="1783"/>
      <c r="Z308" s="1783"/>
      <c r="AA308" s="1783"/>
      <c r="AB308" s="1783"/>
      <c r="AC308" s="1783"/>
      <c r="AD308" s="1783"/>
      <c r="AE308" s="1783"/>
      <c r="AF308" s="1783"/>
      <c r="AG308" s="1783"/>
      <c r="AH308" s="1783"/>
      <c r="AI308" s="1783"/>
      <c r="AJ308" s="1783"/>
      <c r="AK308" s="1783"/>
      <c r="AL308" s="1783"/>
      <c r="AM308" s="1783"/>
      <c r="AN308" s="1783"/>
      <c r="AO308" s="1783"/>
      <c r="AP308" s="1783"/>
      <c r="AQ308" s="1783"/>
      <c r="AR308" s="1783"/>
      <c r="AS308" s="1783"/>
      <c r="AT308" s="1783"/>
      <c r="AU308" s="1783"/>
      <c r="AV308" s="1783"/>
      <c r="AW308" s="1783"/>
      <c r="AX308" s="1783"/>
      <c r="AY308" s="1783"/>
      <c r="AZ308" s="1783"/>
      <c r="BA308" s="1783"/>
      <c r="BB308" s="1783"/>
      <c r="BC308" s="1783"/>
      <c r="BD308" s="1783"/>
      <c r="BE308" s="1783"/>
      <c r="BF308" s="1783"/>
      <c r="BG308" s="1783"/>
      <c r="BH308" s="1783"/>
      <c r="BI308" s="1783"/>
    </row>
    <row r="309" spans="1:61">
      <c r="A309" s="1819"/>
      <c r="B309" s="1818"/>
      <c r="C309" s="1818"/>
      <c r="D309" s="1818"/>
      <c r="E309" s="1818"/>
      <c r="F309" s="1818"/>
      <c r="G309" s="1818"/>
      <c r="H309" s="1783"/>
      <c r="I309" s="1783"/>
      <c r="J309" s="1783"/>
      <c r="K309" s="1783"/>
      <c r="L309" s="1783"/>
      <c r="M309" s="1783"/>
      <c r="N309" s="1783"/>
      <c r="O309" s="1783"/>
      <c r="P309" s="1783"/>
      <c r="Q309" s="1783"/>
      <c r="R309" s="1783"/>
      <c r="S309" s="1783"/>
      <c r="T309" s="1783"/>
      <c r="U309" s="1783"/>
      <c r="V309" s="1783"/>
      <c r="W309" s="1783"/>
      <c r="X309" s="1783"/>
      <c r="Y309" s="1783"/>
      <c r="Z309" s="1783"/>
      <c r="AA309" s="1783"/>
      <c r="AB309" s="1783"/>
      <c r="AC309" s="1783"/>
      <c r="AD309" s="1783"/>
      <c r="AE309" s="1783"/>
      <c r="AF309" s="1783"/>
      <c r="AG309" s="1783"/>
      <c r="AH309" s="1783"/>
      <c r="AI309" s="1783"/>
      <c r="AJ309" s="1783"/>
      <c r="AK309" s="1783"/>
      <c r="AL309" s="1783"/>
      <c r="AM309" s="1783"/>
      <c r="AN309" s="1783"/>
      <c r="AO309" s="1783"/>
      <c r="AP309" s="1783"/>
      <c r="AQ309" s="1783"/>
      <c r="AR309" s="1783"/>
      <c r="AS309" s="1783"/>
      <c r="AT309" s="1783"/>
      <c r="AU309" s="1783"/>
      <c r="AV309" s="1783"/>
      <c r="AW309" s="1783"/>
      <c r="AX309" s="1783"/>
      <c r="AY309" s="1783"/>
      <c r="AZ309" s="1783"/>
      <c r="BA309" s="1783"/>
      <c r="BB309" s="1783"/>
      <c r="BC309" s="1783"/>
      <c r="BD309" s="1783"/>
      <c r="BE309" s="1783"/>
      <c r="BF309" s="1783"/>
      <c r="BG309" s="1783"/>
      <c r="BH309" s="1783"/>
      <c r="BI309" s="1783"/>
    </row>
    <row r="310" spans="1:61">
      <c r="A310" s="1819"/>
      <c r="B310" s="1818"/>
      <c r="C310" s="1818"/>
      <c r="D310" s="1818"/>
      <c r="E310" s="1818"/>
      <c r="F310" s="1818"/>
      <c r="G310" s="1818"/>
      <c r="H310" s="1783"/>
      <c r="I310" s="1783"/>
      <c r="J310" s="1783"/>
      <c r="K310" s="1783"/>
      <c r="L310" s="1783"/>
      <c r="M310" s="1783"/>
      <c r="N310" s="1783"/>
      <c r="O310" s="1783"/>
      <c r="P310" s="1783"/>
      <c r="Q310" s="1783"/>
      <c r="R310" s="1783"/>
      <c r="S310" s="1783"/>
      <c r="T310" s="1783"/>
      <c r="U310" s="1783"/>
      <c r="V310" s="1783"/>
      <c r="W310" s="1783"/>
      <c r="X310" s="1783"/>
      <c r="Y310" s="1783"/>
      <c r="Z310" s="1783"/>
      <c r="AA310" s="1783"/>
      <c r="AB310" s="1783"/>
      <c r="AC310" s="1783"/>
      <c r="AD310" s="1783"/>
      <c r="AE310" s="1783"/>
      <c r="AF310" s="1783"/>
      <c r="AG310" s="1783"/>
      <c r="AH310" s="1783"/>
      <c r="AI310" s="1783"/>
      <c r="AJ310" s="1783"/>
      <c r="AK310" s="1783"/>
      <c r="AL310" s="1783"/>
      <c r="AM310" s="1783"/>
      <c r="AN310" s="1783"/>
      <c r="AO310" s="1783"/>
      <c r="AP310" s="1783"/>
      <c r="AQ310" s="1783"/>
      <c r="AR310" s="1783"/>
      <c r="AS310" s="1783"/>
      <c r="AT310" s="1783"/>
      <c r="AU310" s="1783"/>
      <c r="AV310" s="1783"/>
      <c r="AW310" s="1783"/>
      <c r="AX310" s="1783"/>
      <c r="AY310" s="1783"/>
      <c r="AZ310" s="1783"/>
      <c r="BA310" s="1783"/>
      <c r="BB310" s="1783"/>
      <c r="BC310" s="1783"/>
      <c r="BD310" s="1783"/>
      <c r="BE310" s="1783"/>
      <c r="BF310" s="1783"/>
      <c r="BG310" s="1783"/>
      <c r="BH310" s="1783"/>
      <c r="BI310" s="1783"/>
    </row>
    <row r="311" spans="1:61">
      <c r="A311" s="1819"/>
      <c r="B311" s="1818"/>
      <c r="C311" s="1818"/>
      <c r="D311" s="1818"/>
      <c r="E311" s="1818"/>
      <c r="F311" s="1818"/>
      <c r="G311" s="1818"/>
      <c r="H311" s="1783"/>
      <c r="I311" s="1783"/>
      <c r="J311" s="1783"/>
      <c r="K311" s="1783"/>
      <c r="L311" s="1783"/>
      <c r="M311" s="1783"/>
      <c r="N311" s="1783"/>
      <c r="O311" s="1783"/>
      <c r="P311" s="1783"/>
      <c r="Q311" s="1783"/>
      <c r="R311" s="1783"/>
      <c r="S311" s="1783"/>
      <c r="T311" s="1783"/>
      <c r="U311" s="1783"/>
      <c r="V311" s="1783"/>
      <c r="W311" s="1783"/>
      <c r="X311" s="1783"/>
      <c r="Y311" s="1783"/>
      <c r="Z311" s="1783"/>
      <c r="AA311" s="1783"/>
      <c r="AB311" s="1783"/>
      <c r="AC311" s="1783"/>
      <c r="AD311" s="1783"/>
      <c r="AE311" s="1783"/>
      <c r="AF311" s="1783"/>
      <c r="AG311" s="1783"/>
      <c r="AH311" s="1783"/>
      <c r="AI311" s="1783"/>
      <c r="AJ311" s="1783"/>
      <c r="AK311" s="1783"/>
      <c r="AL311" s="1783"/>
      <c r="AM311" s="1783"/>
      <c r="AN311" s="1783"/>
      <c r="AO311" s="1783"/>
      <c r="AP311" s="1783"/>
      <c r="AQ311" s="1783"/>
      <c r="AR311" s="1783"/>
      <c r="AS311" s="1783"/>
      <c r="AT311" s="1783"/>
      <c r="AU311" s="1783"/>
      <c r="AV311" s="1783"/>
      <c r="AW311" s="1783"/>
      <c r="AX311" s="1783"/>
      <c r="AY311" s="1783"/>
      <c r="AZ311" s="1783"/>
      <c r="BA311" s="1783"/>
      <c r="BB311" s="1783"/>
      <c r="BC311" s="1783"/>
      <c r="BD311" s="1783"/>
      <c r="BE311" s="1783"/>
      <c r="BF311" s="1783"/>
      <c r="BG311" s="1783"/>
      <c r="BH311" s="1783"/>
      <c r="BI311" s="1783"/>
    </row>
    <row r="312" spans="1:61">
      <c r="A312" s="1819"/>
      <c r="B312" s="1818"/>
      <c r="C312" s="1818"/>
      <c r="D312" s="1818"/>
      <c r="E312" s="1818"/>
      <c r="F312" s="1818"/>
      <c r="G312" s="1818"/>
      <c r="H312" s="1783"/>
      <c r="I312" s="1783"/>
      <c r="J312" s="1783"/>
      <c r="K312" s="1783"/>
      <c r="L312" s="1783"/>
      <c r="M312" s="1783"/>
      <c r="N312" s="1783"/>
      <c r="O312" s="1783"/>
      <c r="P312" s="1783"/>
      <c r="Q312" s="1783"/>
      <c r="R312" s="1783"/>
      <c r="S312" s="1783"/>
      <c r="T312" s="1783"/>
      <c r="U312" s="1783"/>
      <c r="V312" s="1783"/>
      <c r="W312" s="1783"/>
      <c r="X312" s="1783"/>
      <c r="Y312" s="1783"/>
      <c r="Z312" s="1783"/>
      <c r="AA312" s="1783"/>
      <c r="AB312" s="1783"/>
      <c r="AC312" s="1783"/>
      <c r="AD312" s="1783"/>
      <c r="AE312" s="1783"/>
      <c r="AF312" s="1783"/>
      <c r="AG312" s="1783"/>
      <c r="AH312" s="1783"/>
      <c r="AI312" s="1783"/>
      <c r="AJ312" s="1783"/>
      <c r="AK312" s="1783"/>
      <c r="AL312" s="1783"/>
      <c r="AM312" s="1783"/>
      <c r="AN312" s="1783"/>
      <c r="AO312" s="1783"/>
      <c r="AP312" s="1783"/>
      <c r="AQ312" s="1783"/>
      <c r="AR312" s="1783"/>
      <c r="AS312" s="1783"/>
      <c r="AT312" s="1783"/>
      <c r="AU312" s="1783"/>
      <c r="AV312" s="1783"/>
      <c r="AW312" s="1783"/>
      <c r="AX312" s="1783"/>
      <c r="AY312" s="1783"/>
      <c r="AZ312" s="1783"/>
      <c r="BA312" s="1783"/>
      <c r="BB312" s="1783"/>
      <c r="BC312" s="1783"/>
      <c r="BD312" s="1783"/>
      <c r="BE312" s="1783"/>
      <c r="BF312" s="1783"/>
      <c r="BG312" s="1783"/>
      <c r="BH312" s="1783"/>
      <c r="BI312" s="1783"/>
    </row>
    <row r="313" spans="1:61">
      <c r="A313" s="1819"/>
      <c r="B313" s="1818"/>
      <c r="C313" s="1818"/>
      <c r="D313" s="1818"/>
      <c r="E313" s="1818"/>
      <c r="F313" s="1818"/>
      <c r="G313" s="1818"/>
      <c r="H313" s="1783"/>
      <c r="I313" s="1783"/>
      <c r="J313" s="1783"/>
      <c r="K313" s="1783"/>
      <c r="L313" s="1783"/>
      <c r="M313" s="1783"/>
      <c r="N313" s="1783"/>
      <c r="O313" s="1783"/>
      <c r="P313" s="1783"/>
      <c r="Q313" s="1783"/>
      <c r="R313" s="1783"/>
      <c r="S313" s="1783"/>
      <c r="T313" s="1783"/>
      <c r="U313" s="1783"/>
      <c r="V313" s="1783"/>
      <c r="W313" s="1783"/>
      <c r="X313" s="1783"/>
      <c r="Y313" s="1783"/>
      <c r="Z313" s="1783"/>
      <c r="AA313" s="1783"/>
      <c r="AB313" s="1783"/>
      <c r="AC313" s="1783"/>
      <c r="AD313" s="1783"/>
      <c r="AE313" s="1783"/>
      <c r="AF313" s="1783"/>
      <c r="AG313" s="1783"/>
      <c r="AH313" s="1783"/>
      <c r="AI313" s="1783"/>
      <c r="AJ313" s="1783"/>
      <c r="AK313" s="1783"/>
      <c r="AL313" s="1783"/>
      <c r="AM313" s="1783"/>
      <c r="AN313" s="1783"/>
      <c r="AO313" s="1783"/>
      <c r="AP313" s="1783"/>
      <c r="AQ313" s="1783"/>
      <c r="AR313" s="1783"/>
      <c r="AS313" s="1783"/>
      <c r="AT313" s="1783"/>
      <c r="AU313" s="1783"/>
      <c r="AV313" s="1783"/>
      <c r="AW313" s="1783"/>
      <c r="AX313" s="1783"/>
      <c r="AY313" s="1783"/>
      <c r="AZ313" s="1783"/>
      <c r="BA313" s="1783"/>
      <c r="BB313" s="1783"/>
      <c r="BC313" s="1783"/>
      <c r="BD313" s="1783"/>
      <c r="BE313" s="1783"/>
      <c r="BF313" s="1783"/>
      <c r="BG313" s="1783"/>
      <c r="BH313" s="1783"/>
      <c r="BI313" s="1783"/>
    </row>
    <row r="314" spans="1:61">
      <c r="A314" s="1819"/>
      <c r="B314" s="1818"/>
      <c r="C314" s="1818"/>
      <c r="D314" s="1818"/>
      <c r="E314" s="1818"/>
      <c r="F314" s="1818"/>
      <c r="G314" s="1818"/>
      <c r="H314" s="1783"/>
      <c r="I314" s="1783"/>
      <c r="J314" s="1783"/>
      <c r="K314" s="1783"/>
      <c r="L314" s="1783"/>
      <c r="M314" s="1783"/>
      <c r="N314" s="1783"/>
      <c r="O314" s="1783"/>
      <c r="P314" s="1783"/>
      <c r="Q314" s="1783"/>
      <c r="R314" s="1783"/>
      <c r="S314" s="1783"/>
      <c r="T314" s="1783"/>
      <c r="U314" s="1783"/>
      <c r="V314" s="1783"/>
      <c r="W314" s="1783"/>
      <c r="X314" s="1783"/>
      <c r="Y314" s="1783"/>
      <c r="Z314" s="1783"/>
      <c r="AA314" s="1783"/>
      <c r="AB314" s="1783"/>
      <c r="AC314" s="1783"/>
      <c r="AD314" s="1783"/>
      <c r="AE314" s="1783"/>
      <c r="AF314" s="1783"/>
      <c r="AG314" s="1783"/>
      <c r="AH314" s="1783"/>
      <c r="AI314" s="1783"/>
      <c r="AJ314" s="1783"/>
      <c r="AK314" s="1783"/>
      <c r="AL314" s="1783"/>
      <c r="AM314" s="1783"/>
      <c r="AN314" s="1783"/>
      <c r="AO314" s="1783"/>
      <c r="AP314" s="1783"/>
      <c r="AQ314" s="1783"/>
      <c r="AR314" s="1783"/>
      <c r="AS314" s="1783"/>
      <c r="AT314" s="1783"/>
      <c r="AU314" s="1783"/>
      <c r="AV314" s="1783"/>
      <c r="AW314" s="1783"/>
      <c r="AX314" s="1783"/>
      <c r="AY314" s="1783"/>
      <c r="AZ314" s="1783"/>
      <c r="BA314" s="1783"/>
      <c r="BB314" s="1783"/>
      <c r="BC314" s="1783"/>
      <c r="BD314" s="1783"/>
      <c r="BE314" s="1783"/>
      <c r="BF314" s="1783"/>
      <c r="BG314" s="1783"/>
      <c r="BH314" s="1783"/>
      <c r="BI314" s="1783"/>
    </row>
    <row r="315" spans="1:61">
      <c r="A315" s="1819"/>
      <c r="B315" s="1818"/>
      <c r="C315" s="1818"/>
      <c r="D315" s="1818"/>
      <c r="E315" s="1818"/>
      <c r="F315" s="1818"/>
      <c r="G315" s="1818"/>
      <c r="H315" s="1783"/>
      <c r="I315" s="1783"/>
      <c r="J315" s="1783"/>
      <c r="K315" s="1783"/>
      <c r="L315" s="1783"/>
      <c r="M315" s="1783"/>
      <c r="N315" s="1783"/>
      <c r="O315" s="1783"/>
      <c r="P315" s="1783"/>
      <c r="Q315" s="1783"/>
      <c r="R315" s="1783"/>
      <c r="S315" s="1783"/>
      <c r="T315" s="1783"/>
      <c r="U315" s="1783"/>
      <c r="V315" s="1783"/>
      <c r="W315" s="1783"/>
      <c r="X315" s="1783"/>
      <c r="Y315" s="1783"/>
      <c r="Z315" s="1783"/>
      <c r="AA315" s="1783"/>
      <c r="AB315" s="1783"/>
      <c r="AC315" s="1783"/>
      <c r="AD315" s="1783"/>
      <c r="AE315" s="1783"/>
      <c r="AF315" s="1783"/>
      <c r="AG315" s="1783"/>
      <c r="AH315" s="1783"/>
      <c r="AI315" s="1783"/>
      <c r="AJ315" s="1783"/>
      <c r="AK315" s="1783"/>
      <c r="AL315" s="1783"/>
      <c r="AM315" s="1783"/>
      <c r="AN315" s="1783"/>
      <c r="AO315" s="1783"/>
      <c r="AP315" s="1783"/>
      <c r="AQ315" s="1783"/>
      <c r="AR315" s="1783"/>
      <c r="AS315" s="1783"/>
      <c r="AT315" s="1783"/>
      <c r="AU315" s="1783"/>
      <c r="AV315" s="1783"/>
      <c r="AW315" s="1783"/>
      <c r="AX315" s="1783"/>
      <c r="AY315" s="1783"/>
      <c r="AZ315" s="1783"/>
      <c r="BA315" s="1783"/>
      <c r="BB315" s="1783"/>
      <c r="BC315" s="1783"/>
      <c r="BD315" s="1783"/>
      <c r="BE315" s="1783"/>
      <c r="BF315" s="1783"/>
      <c r="BG315" s="1783"/>
      <c r="BH315" s="1783"/>
      <c r="BI315" s="1783"/>
    </row>
    <row r="316" spans="1:61">
      <c r="A316" s="1819"/>
      <c r="B316" s="1818"/>
      <c r="C316" s="1818"/>
      <c r="D316" s="1818"/>
      <c r="E316" s="1818"/>
      <c r="F316" s="1818"/>
      <c r="G316" s="1818"/>
      <c r="H316" s="1783"/>
      <c r="I316" s="1783"/>
      <c r="J316" s="1783"/>
      <c r="K316" s="1783"/>
      <c r="L316" s="1783"/>
      <c r="M316" s="1783"/>
      <c r="N316" s="1783"/>
      <c r="O316" s="1783"/>
      <c r="P316" s="1783"/>
      <c r="Q316" s="1783"/>
      <c r="R316" s="1783"/>
      <c r="S316" s="1783"/>
      <c r="T316" s="1783"/>
      <c r="U316" s="1783"/>
      <c r="V316" s="1783"/>
      <c r="W316" s="1783"/>
      <c r="X316" s="1783"/>
      <c r="Y316" s="1783"/>
      <c r="Z316" s="1783"/>
      <c r="AA316" s="1783"/>
      <c r="AB316" s="1783"/>
      <c r="AC316" s="1783"/>
      <c r="AD316" s="1783"/>
      <c r="AE316" s="1783"/>
      <c r="AF316" s="1783"/>
      <c r="AG316" s="1783"/>
      <c r="AH316" s="1783"/>
      <c r="AI316" s="1783"/>
      <c r="AJ316" s="1783"/>
      <c r="AK316" s="1783"/>
      <c r="AL316" s="1783"/>
      <c r="AM316" s="1783"/>
      <c r="AN316" s="1783"/>
      <c r="AO316" s="1783"/>
      <c r="AP316" s="1783"/>
      <c r="AQ316" s="1783"/>
      <c r="AR316" s="1783"/>
      <c r="AS316" s="1783"/>
      <c r="AT316" s="1783"/>
      <c r="AU316" s="1783"/>
      <c r="AV316" s="1783"/>
      <c r="AW316" s="1783"/>
      <c r="AX316" s="1783"/>
      <c r="AY316" s="1783"/>
      <c r="AZ316" s="1783"/>
      <c r="BA316" s="1783"/>
      <c r="BB316" s="1783"/>
      <c r="BC316" s="1783"/>
      <c r="BD316" s="1783"/>
      <c r="BE316" s="1783"/>
      <c r="BF316" s="1783"/>
      <c r="BG316" s="1783"/>
      <c r="BH316" s="1783"/>
      <c r="BI316" s="1783"/>
    </row>
    <row r="317" spans="1:61">
      <c r="A317" s="1819"/>
      <c r="B317" s="1818"/>
      <c r="C317" s="1818"/>
      <c r="D317" s="1818"/>
      <c r="E317" s="1818"/>
      <c r="F317" s="1818"/>
      <c r="G317" s="1818"/>
      <c r="H317" s="1783"/>
      <c r="I317" s="1783"/>
      <c r="J317" s="1783"/>
      <c r="K317" s="1783"/>
      <c r="L317" s="1783"/>
      <c r="M317" s="1783"/>
      <c r="N317" s="1783"/>
      <c r="O317" s="1783"/>
      <c r="P317" s="1783"/>
      <c r="Q317" s="1783"/>
      <c r="R317" s="1783"/>
      <c r="S317" s="1783"/>
      <c r="T317" s="1783"/>
      <c r="U317" s="1783"/>
      <c r="V317" s="1783"/>
      <c r="W317" s="1783"/>
      <c r="X317" s="1783"/>
      <c r="Y317" s="1783"/>
      <c r="Z317" s="1783"/>
      <c r="AA317" s="1783"/>
      <c r="AB317" s="1783"/>
      <c r="AC317" s="1783"/>
      <c r="AD317" s="1783"/>
      <c r="AE317" s="1783"/>
      <c r="AF317" s="1783"/>
      <c r="AG317" s="1783"/>
      <c r="AH317" s="1783"/>
      <c r="AI317" s="1783"/>
      <c r="AJ317" s="1783"/>
      <c r="AK317" s="1783"/>
      <c r="AL317" s="1783"/>
      <c r="AM317" s="1783"/>
      <c r="AN317" s="1783"/>
      <c r="AO317" s="1783"/>
      <c r="AP317" s="1783"/>
      <c r="AQ317" s="1783"/>
      <c r="AR317" s="1783"/>
      <c r="AS317" s="1783"/>
      <c r="AT317" s="1783"/>
      <c r="AU317" s="1783"/>
      <c r="AV317" s="1783"/>
      <c r="AW317" s="1783"/>
      <c r="AX317" s="1783"/>
      <c r="AY317" s="1783"/>
      <c r="AZ317" s="1783"/>
      <c r="BA317" s="1783"/>
      <c r="BB317" s="1783"/>
      <c r="BC317" s="1783"/>
      <c r="BD317" s="1783"/>
      <c r="BE317" s="1783"/>
      <c r="BF317" s="1783"/>
      <c r="BG317" s="1783"/>
      <c r="BH317" s="1783"/>
      <c r="BI317" s="1783"/>
    </row>
    <row r="318" spans="1:61">
      <c r="A318" s="1819"/>
      <c r="B318" s="1818"/>
      <c r="C318" s="1818"/>
      <c r="D318" s="1818"/>
      <c r="E318" s="1818"/>
      <c r="F318" s="1818"/>
      <c r="G318" s="1818"/>
      <c r="H318" s="1783"/>
      <c r="I318" s="1783"/>
      <c r="J318" s="1783"/>
      <c r="K318" s="1783"/>
      <c r="L318" s="1783"/>
      <c r="M318" s="1783"/>
      <c r="N318" s="1783"/>
      <c r="O318" s="1783"/>
      <c r="P318" s="1783"/>
      <c r="Q318" s="1783"/>
      <c r="R318" s="1783"/>
      <c r="S318" s="1783"/>
      <c r="T318" s="1783"/>
      <c r="U318" s="1783"/>
      <c r="V318" s="1783"/>
      <c r="W318" s="1783"/>
      <c r="X318" s="1783"/>
      <c r="Y318" s="1783"/>
      <c r="Z318" s="1783"/>
      <c r="AA318" s="1783"/>
      <c r="AB318" s="1783"/>
      <c r="AC318" s="1783"/>
      <c r="AD318" s="1783"/>
      <c r="AE318" s="1783"/>
      <c r="AF318" s="1783"/>
      <c r="AG318" s="1783"/>
      <c r="AH318" s="1783"/>
      <c r="AI318" s="1783"/>
      <c r="AJ318" s="1783"/>
      <c r="AK318" s="1783"/>
      <c r="AL318" s="1783"/>
      <c r="AM318" s="1783"/>
      <c r="AN318" s="1783"/>
      <c r="AO318" s="1783"/>
      <c r="AP318" s="1783"/>
      <c r="AQ318" s="1783"/>
      <c r="AR318" s="1783"/>
      <c r="AS318" s="1783"/>
      <c r="AT318" s="1783"/>
      <c r="AU318" s="1783"/>
      <c r="AV318" s="1783"/>
      <c r="AW318" s="1783"/>
      <c r="AX318" s="1783"/>
      <c r="AY318" s="1783"/>
      <c r="AZ318" s="1783"/>
      <c r="BA318" s="1783"/>
      <c r="BB318" s="1783"/>
      <c r="BC318" s="1783"/>
      <c r="BD318" s="1783"/>
      <c r="BE318" s="1783"/>
      <c r="BF318" s="1783"/>
      <c r="BG318" s="1783"/>
      <c r="BH318" s="1783"/>
      <c r="BI318" s="1783"/>
    </row>
    <row r="319" spans="1:61">
      <c r="A319" s="1819"/>
      <c r="B319" s="1818"/>
      <c r="C319" s="1818"/>
      <c r="D319" s="1818"/>
      <c r="E319" s="1818"/>
      <c r="F319" s="1818"/>
      <c r="G319" s="1818"/>
      <c r="H319" s="1783"/>
      <c r="I319" s="1783"/>
      <c r="J319" s="1783"/>
      <c r="K319" s="1783"/>
      <c r="L319" s="1783"/>
      <c r="M319" s="1783"/>
      <c r="N319" s="1783"/>
      <c r="O319" s="1783"/>
      <c r="P319" s="1783"/>
      <c r="Q319" s="1783"/>
      <c r="R319" s="1783"/>
      <c r="S319" s="1783"/>
      <c r="T319" s="1783"/>
      <c r="U319" s="1783"/>
      <c r="V319" s="1783"/>
      <c r="W319" s="1783"/>
      <c r="X319" s="1783"/>
      <c r="Y319" s="1783"/>
      <c r="Z319" s="1783"/>
      <c r="AA319" s="1783"/>
      <c r="AB319" s="1783"/>
      <c r="AC319" s="1783"/>
      <c r="AD319" s="1783"/>
      <c r="AE319" s="1783"/>
      <c r="AF319" s="1783"/>
      <c r="AG319" s="1783"/>
      <c r="AH319" s="1783"/>
      <c r="AI319" s="1783"/>
      <c r="AJ319" s="1783"/>
      <c r="AK319" s="1783"/>
      <c r="AL319" s="1783"/>
      <c r="AM319" s="1783"/>
      <c r="AN319" s="1783"/>
      <c r="AO319" s="1783"/>
      <c r="AP319" s="1783"/>
      <c r="AQ319" s="1783"/>
      <c r="AR319" s="1783"/>
      <c r="AS319" s="1783"/>
      <c r="AT319" s="1783"/>
      <c r="AU319" s="1783"/>
      <c r="AV319" s="1783"/>
      <c r="AW319" s="1783"/>
      <c r="AX319" s="1783"/>
      <c r="AY319" s="1783"/>
      <c r="AZ319" s="1783"/>
      <c r="BA319" s="1783"/>
      <c r="BB319" s="1783"/>
      <c r="BC319" s="1783"/>
      <c r="BD319" s="1783"/>
      <c r="BE319" s="1783"/>
      <c r="BF319" s="1783"/>
      <c r="BG319" s="1783"/>
      <c r="BH319" s="1783"/>
      <c r="BI319" s="1783"/>
    </row>
    <row r="320" spans="1:61">
      <c r="A320" s="1819"/>
      <c r="B320" s="1818"/>
      <c r="C320" s="1818"/>
      <c r="D320" s="1818"/>
      <c r="E320" s="1818"/>
      <c r="F320" s="1818"/>
      <c r="G320" s="1818"/>
      <c r="H320" s="1783"/>
      <c r="I320" s="1783"/>
      <c r="J320" s="1783"/>
      <c r="K320" s="1783"/>
      <c r="L320" s="1783"/>
      <c r="M320" s="1783"/>
      <c r="N320" s="1783"/>
      <c r="O320" s="1783"/>
      <c r="P320" s="1783"/>
      <c r="Q320" s="1783"/>
      <c r="R320" s="1783"/>
      <c r="S320" s="1783"/>
      <c r="T320" s="1783"/>
      <c r="U320" s="1783"/>
      <c r="V320" s="1783"/>
      <c r="W320" s="1783"/>
      <c r="X320" s="1783"/>
      <c r="Y320" s="1783"/>
      <c r="Z320" s="1783"/>
      <c r="AA320" s="1783"/>
      <c r="AB320" s="1783"/>
      <c r="AC320" s="1783"/>
      <c r="AD320" s="1783"/>
      <c r="AE320" s="1783"/>
      <c r="AF320" s="1783"/>
      <c r="AG320" s="1783"/>
      <c r="AH320" s="1783"/>
      <c r="AI320" s="1783"/>
      <c r="AJ320" s="1783"/>
      <c r="AK320" s="1783"/>
      <c r="AL320" s="1783"/>
      <c r="AM320" s="1783"/>
      <c r="AN320" s="1783"/>
      <c r="AO320" s="1783"/>
      <c r="AP320" s="1783"/>
      <c r="AQ320" s="1783"/>
      <c r="AR320" s="1783"/>
      <c r="AS320" s="1783"/>
      <c r="AT320" s="1783"/>
      <c r="AU320" s="1783"/>
      <c r="AV320" s="1783"/>
      <c r="AW320" s="1783"/>
      <c r="AX320" s="1783"/>
      <c r="AY320" s="1783"/>
      <c r="AZ320" s="1783"/>
      <c r="BA320" s="1783"/>
      <c r="BB320" s="1783"/>
      <c r="BC320" s="1783"/>
      <c r="BD320" s="1783"/>
      <c r="BE320" s="1783"/>
      <c r="BF320" s="1783"/>
      <c r="BG320" s="1783"/>
      <c r="BH320" s="1783"/>
      <c r="BI320" s="1783"/>
    </row>
    <row r="321" spans="1:61">
      <c r="A321" s="1819"/>
      <c r="B321" s="1818"/>
      <c r="C321" s="1818"/>
      <c r="D321" s="1818"/>
      <c r="E321" s="1818"/>
      <c r="F321" s="1818"/>
      <c r="G321" s="1818"/>
      <c r="H321" s="1783"/>
      <c r="I321" s="1783"/>
      <c r="J321" s="1783"/>
      <c r="K321" s="1783"/>
      <c r="L321" s="1783"/>
      <c r="M321" s="1783"/>
      <c r="N321" s="1783"/>
      <c r="O321" s="1783"/>
      <c r="P321" s="1783"/>
      <c r="Q321" s="1783"/>
      <c r="R321" s="1783"/>
      <c r="S321" s="1783"/>
      <c r="T321" s="1783"/>
      <c r="U321" s="1783"/>
      <c r="V321" s="1783"/>
      <c r="W321" s="1783"/>
      <c r="X321" s="1783"/>
      <c r="Y321" s="1783"/>
      <c r="Z321" s="1783"/>
      <c r="AA321" s="1783"/>
      <c r="AB321" s="1783"/>
      <c r="AC321" s="1783"/>
      <c r="AD321" s="1783"/>
      <c r="AE321" s="1783"/>
      <c r="AF321" s="1783"/>
      <c r="AG321" s="1783"/>
      <c r="AH321" s="1783"/>
      <c r="AI321" s="1783"/>
      <c r="AJ321" s="1783"/>
      <c r="AK321" s="1783"/>
      <c r="AL321" s="1783"/>
      <c r="AM321" s="1783"/>
      <c r="AN321" s="1783"/>
      <c r="AO321" s="1783"/>
      <c r="AP321" s="1783"/>
      <c r="AQ321" s="1783"/>
      <c r="AR321" s="1783"/>
      <c r="AS321" s="1783"/>
      <c r="AT321" s="1783"/>
      <c r="AU321" s="1783"/>
      <c r="AV321" s="1783"/>
      <c r="AW321" s="1783"/>
      <c r="AX321" s="1783"/>
      <c r="AY321" s="1783"/>
      <c r="AZ321" s="1783"/>
      <c r="BA321" s="1783"/>
      <c r="BB321" s="1783"/>
      <c r="BC321" s="1783"/>
      <c r="BD321" s="1783"/>
      <c r="BE321" s="1783"/>
      <c r="BF321" s="1783"/>
      <c r="BG321" s="1783"/>
      <c r="BH321" s="1783"/>
      <c r="BI321" s="1783"/>
    </row>
    <row r="322" spans="1:61">
      <c r="A322" s="1819"/>
      <c r="B322" s="1818"/>
      <c r="C322" s="1818"/>
      <c r="D322" s="1818"/>
      <c r="E322" s="1818"/>
      <c r="F322" s="1818"/>
      <c r="G322" s="1818"/>
      <c r="H322" s="1783"/>
      <c r="I322" s="1783"/>
      <c r="J322" s="1783"/>
      <c r="K322" s="1783"/>
      <c r="L322" s="1783"/>
      <c r="M322" s="1783"/>
      <c r="N322" s="1783"/>
      <c r="O322" s="1783"/>
      <c r="P322" s="1783"/>
      <c r="Q322" s="1783"/>
      <c r="R322" s="1783"/>
      <c r="S322" s="1783"/>
      <c r="T322" s="1783"/>
      <c r="U322" s="1783"/>
      <c r="V322" s="1783"/>
      <c r="W322" s="1783"/>
      <c r="X322" s="1783"/>
      <c r="Y322" s="1783"/>
      <c r="Z322" s="1783"/>
      <c r="AA322" s="1783"/>
      <c r="AB322" s="1783"/>
      <c r="AC322" s="1783"/>
      <c r="AD322" s="1783"/>
      <c r="AE322" s="1783"/>
      <c r="AF322" s="1783"/>
      <c r="AG322" s="1783"/>
      <c r="AH322" s="1783"/>
      <c r="AI322" s="1783"/>
      <c r="AJ322" s="1783"/>
      <c r="AK322" s="1783"/>
      <c r="AL322" s="1783"/>
      <c r="AM322" s="1783"/>
      <c r="AN322" s="1783"/>
      <c r="AO322" s="1783"/>
      <c r="AP322" s="1783"/>
      <c r="AQ322" s="1783"/>
      <c r="AR322" s="1783"/>
      <c r="AS322" s="1783"/>
      <c r="AT322" s="1783"/>
      <c r="AU322" s="1783"/>
      <c r="AV322" s="1783"/>
      <c r="AW322" s="1783"/>
      <c r="AX322" s="1783"/>
      <c r="AY322" s="1783"/>
      <c r="AZ322" s="1783"/>
      <c r="BA322" s="1783"/>
      <c r="BB322" s="1783"/>
      <c r="BC322" s="1783"/>
      <c r="BD322" s="1783"/>
      <c r="BE322" s="1783"/>
      <c r="BF322" s="1783"/>
      <c r="BG322" s="1783"/>
      <c r="BH322" s="1783"/>
      <c r="BI322" s="1783"/>
    </row>
    <row r="323" spans="1:61">
      <c r="A323" s="1819"/>
      <c r="B323" s="1818"/>
      <c r="C323" s="1818"/>
      <c r="D323" s="1818"/>
      <c r="E323" s="1818"/>
      <c r="F323" s="1818"/>
      <c r="G323" s="1818"/>
      <c r="H323" s="1783"/>
      <c r="I323" s="1783"/>
      <c r="J323" s="1783"/>
      <c r="K323" s="1783"/>
      <c r="L323" s="1783"/>
      <c r="M323" s="1783"/>
      <c r="N323" s="1783"/>
      <c r="O323" s="1783"/>
      <c r="P323" s="1783"/>
      <c r="Q323" s="1783"/>
      <c r="R323" s="1783"/>
      <c r="S323" s="1783"/>
      <c r="T323" s="1783"/>
      <c r="U323" s="1783"/>
      <c r="V323" s="1783"/>
      <c r="W323" s="1783"/>
      <c r="X323" s="1783"/>
      <c r="Y323" s="1783"/>
      <c r="Z323" s="1783"/>
      <c r="AA323" s="1783"/>
      <c r="AB323" s="1783"/>
      <c r="AC323" s="1783"/>
      <c r="AD323" s="1783"/>
      <c r="AE323" s="1783"/>
      <c r="AF323" s="1783"/>
      <c r="AG323" s="1783"/>
      <c r="AH323" s="1783"/>
      <c r="AI323" s="1783"/>
      <c r="AJ323" s="1783"/>
      <c r="AK323" s="1783"/>
      <c r="AL323" s="1783"/>
      <c r="AM323" s="1783"/>
      <c r="AN323" s="1783"/>
      <c r="AO323" s="1783"/>
      <c r="AP323" s="1783"/>
      <c r="AQ323" s="1783"/>
      <c r="AR323" s="1783"/>
      <c r="AS323" s="1783"/>
      <c r="AT323" s="1783"/>
      <c r="AU323" s="1783"/>
      <c r="AV323" s="1783"/>
      <c r="AW323" s="1783"/>
      <c r="AX323" s="1783"/>
      <c r="AY323" s="1783"/>
      <c r="AZ323" s="1783"/>
      <c r="BA323" s="1783"/>
      <c r="BB323" s="1783"/>
      <c r="BC323" s="1783"/>
      <c r="BD323" s="1783"/>
      <c r="BE323" s="1783"/>
      <c r="BF323" s="1783"/>
      <c r="BG323" s="1783"/>
      <c r="BH323" s="1783"/>
      <c r="BI323" s="1783"/>
    </row>
    <row r="324" spans="1:61">
      <c r="A324" s="1819"/>
      <c r="B324" s="1818"/>
      <c r="C324" s="1818"/>
      <c r="D324" s="1818"/>
      <c r="E324" s="1818"/>
      <c r="F324" s="1818"/>
      <c r="G324" s="1818"/>
      <c r="H324" s="1783"/>
      <c r="I324" s="1783"/>
      <c r="J324" s="1783"/>
      <c r="K324" s="1783"/>
      <c r="L324" s="1783"/>
      <c r="M324" s="1783"/>
      <c r="N324" s="1783"/>
      <c r="O324" s="1783"/>
      <c r="P324" s="1783"/>
      <c r="Q324" s="1783"/>
      <c r="R324" s="1783"/>
      <c r="S324" s="1783"/>
      <c r="T324" s="1783"/>
      <c r="U324" s="1783"/>
      <c r="V324" s="1783"/>
      <c r="W324" s="1783"/>
      <c r="X324" s="1783"/>
      <c r="Y324" s="1783"/>
      <c r="Z324" s="1783"/>
      <c r="AA324" s="1783"/>
      <c r="AB324" s="1783"/>
      <c r="AC324" s="1783"/>
      <c r="AD324" s="1783"/>
      <c r="AE324" s="1783"/>
      <c r="AF324" s="1783"/>
      <c r="AG324" s="1783"/>
      <c r="AH324" s="1783"/>
      <c r="AI324" s="1783"/>
      <c r="AJ324" s="1783"/>
      <c r="AK324" s="1783"/>
      <c r="AL324" s="1783"/>
      <c r="AM324" s="1783"/>
      <c r="AN324" s="1783"/>
      <c r="AO324" s="1783"/>
      <c r="AP324" s="1783"/>
      <c r="AQ324" s="1783"/>
      <c r="AR324" s="1783"/>
      <c r="AS324" s="1783"/>
      <c r="AT324" s="1783"/>
      <c r="AU324" s="1783"/>
      <c r="AV324" s="1783"/>
      <c r="AW324" s="1783"/>
      <c r="AX324" s="1783"/>
      <c r="AY324" s="1783"/>
      <c r="AZ324" s="1783"/>
      <c r="BA324" s="1783"/>
      <c r="BB324" s="1783"/>
      <c r="BC324" s="1783"/>
      <c r="BD324" s="1783"/>
      <c r="BE324" s="1783"/>
      <c r="BF324" s="1783"/>
      <c r="BG324" s="1783"/>
      <c r="BH324" s="1783"/>
      <c r="BI324" s="1783"/>
    </row>
    <row r="325" spans="1:61">
      <c r="A325" s="1819"/>
      <c r="B325" s="1818"/>
      <c r="C325" s="1818"/>
      <c r="D325" s="1818"/>
      <c r="E325" s="1818"/>
      <c r="F325" s="1818"/>
      <c r="G325" s="1818"/>
      <c r="H325" s="1783"/>
      <c r="I325" s="1783"/>
      <c r="J325" s="1783"/>
      <c r="K325" s="1783"/>
      <c r="L325" s="1783"/>
      <c r="M325" s="1783"/>
      <c r="N325" s="1783"/>
      <c r="O325" s="1783"/>
      <c r="P325" s="1783"/>
      <c r="Q325" s="1783"/>
      <c r="R325" s="1783"/>
      <c r="S325" s="1783"/>
      <c r="T325" s="1783"/>
      <c r="U325" s="1783"/>
      <c r="V325" s="1783"/>
      <c r="W325" s="1783"/>
      <c r="X325" s="1783"/>
      <c r="Y325" s="1783"/>
      <c r="Z325" s="1783"/>
      <c r="AA325" s="1783"/>
      <c r="AB325" s="1783"/>
      <c r="AC325" s="1783"/>
      <c r="AD325" s="1783"/>
      <c r="AE325" s="1783"/>
      <c r="AF325" s="1783"/>
      <c r="AG325" s="1783"/>
      <c r="AH325" s="1783"/>
      <c r="AI325" s="1783"/>
      <c r="AJ325" s="1783"/>
      <c r="AK325" s="1783"/>
      <c r="AL325" s="1783"/>
      <c r="AM325" s="1783"/>
      <c r="AN325" s="1783"/>
      <c r="AO325" s="1783"/>
      <c r="AP325" s="1783"/>
      <c r="AQ325" s="1783"/>
      <c r="AR325" s="1783"/>
      <c r="AS325" s="1783"/>
      <c r="AT325" s="1783"/>
      <c r="AU325" s="1783"/>
      <c r="AV325" s="1783"/>
      <c r="AW325" s="1783"/>
      <c r="AX325" s="1783"/>
      <c r="AY325" s="1783"/>
      <c r="AZ325" s="1783"/>
      <c r="BA325" s="1783"/>
      <c r="BB325" s="1783"/>
      <c r="BC325" s="1783"/>
      <c r="BD325" s="1783"/>
      <c r="BE325" s="1783"/>
      <c r="BF325" s="1783"/>
      <c r="BG325" s="1783"/>
      <c r="BH325" s="1783"/>
      <c r="BI325" s="1783"/>
    </row>
    <row r="326" spans="1:61">
      <c r="A326" s="1819"/>
      <c r="B326" s="1818"/>
      <c r="C326" s="1818"/>
      <c r="D326" s="1818"/>
      <c r="E326" s="1818"/>
      <c r="F326" s="1818"/>
      <c r="G326" s="1818"/>
      <c r="H326" s="1783"/>
      <c r="I326" s="1783"/>
      <c r="J326" s="1783"/>
      <c r="K326" s="1783"/>
      <c r="L326" s="1783"/>
      <c r="M326" s="1783"/>
      <c r="N326" s="1783"/>
      <c r="O326" s="1783"/>
      <c r="P326" s="1783"/>
      <c r="Q326" s="1783"/>
      <c r="R326" s="1783"/>
      <c r="S326" s="1783"/>
      <c r="T326" s="1783"/>
      <c r="U326" s="1783"/>
      <c r="V326" s="1783"/>
      <c r="W326" s="1783"/>
      <c r="X326" s="1783"/>
      <c r="Y326" s="1783"/>
      <c r="Z326" s="1783"/>
      <c r="AA326" s="1783"/>
      <c r="AB326" s="1783"/>
      <c r="AC326" s="1783"/>
      <c r="AD326" s="1783"/>
      <c r="AE326" s="1783"/>
      <c r="AF326" s="1783"/>
      <c r="AG326" s="1783"/>
      <c r="AH326" s="1783"/>
      <c r="AI326" s="1783"/>
      <c r="AJ326" s="1783"/>
      <c r="AK326" s="1783"/>
      <c r="AL326" s="1783"/>
      <c r="AM326" s="1783"/>
      <c r="AN326" s="1783"/>
      <c r="AO326" s="1783"/>
      <c r="AP326" s="1783"/>
      <c r="AQ326" s="1783"/>
      <c r="AR326" s="1783"/>
      <c r="AS326" s="1783"/>
      <c r="AT326" s="1783"/>
      <c r="AU326" s="1783"/>
      <c r="AV326" s="1783"/>
      <c r="AW326" s="1783"/>
      <c r="AX326" s="1783"/>
      <c r="AY326" s="1783"/>
      <c r="AZ326" s="1783"/>
      <c r="BA326" s="1783"/>
      <c r="BB326" s="1783"/>
      <c r="BC326" s="1783"/>
      <c r="BD326" s="1783"/>
      <c r="BE326" s="1783"/>
      <c r="BF326" s="1783"/>
      <c r="BG326" s="1783"/>
      <c r="BH326" s="1783"/>
      <c r="BI326" s="1783"/>
    </row>
    <row r="327" spans="1:61">
      <c r="A327" s="1819"/>
      <c r="B327" s="1818"/>
      <c r="C327" s="1818"/>
      <c r="D327" s="1818"/>
      <c r="E327" s="1818"/>
      <c r="F327" s="1818"/>
      <c r="G327" s="1818"/>
      <c r="H327" s="1783"/>
      <c r="I327" s="1783"/>
      <c r="J327" s="1783"/>
      <c r="K327" s="1783"/>
      <c r="L327" s="1783"/>
      <c r="M327" s="1783"/>
      <c r="N327" s="1783"/>
      <c r="O327" s="1783"/>
      <c r="P327" s="1783"/>
      <c r="Q327" s="1783"/>
      <c r="R327" s="1783"/>
      <c r="S327" s="1783"/>
      <c r="T327" s="1783"/>
      <c r="U327" s="1783"/>
      <c r="V327" s="1783"/>
      <c r="W327" s="1783"/>
      <c r="X327" s="1783"/>
      <c r="Y327" s="1783"/>
      <c r="Z327" s="1783"/>
      <c r="AA327" s="1783"/>
      <c r="AB327" s="1783"/>
      <c r="AC327" s="1783"/>
      <c r="AD327" s="1783"/>
      <c r="AE327" s="1783"/>
      <c r="AF327" s="1783"/>
      <c r="AG327" s="1783"/>
      <c r="AH327" s="1783"/>
      <c r="AI327" s="1783"/>
      <c r="AJ327" s="1783"/>
      <c r="AK327" s="1783"/>
      <c r="AL327" s="1783"/>
      <c r="AM327" s="1783"/>
      <c r="AN327" s="1783"/>
      <c r="AO327" s="1783"/>
      <c r="AP327" s="1783"/>
      <c r="AQ327" s="1783"/>
      <c r="AR327" s="1783"/>
      <c r="AS327" s="1783"/>
      <c r="AT327" s="1783"/>
      <c r="AU327" s="1783"/>
      <c r="AV327" s="1783"/>
      <c r="AW327" s="1783"/>
      <c r="AX327" s="1783"/>
      <c r="AY327" s="1783"/>
      <c r="AZ327" s="1783"/>
      <c r="BA327" s="1783"/>
      <c r="BB327" s="1783"/>
      <c r="BC327" s="1783"/>
      <c r="BD327" s="1783"/>
      <c r="BE327" s="1783"/>
      <c r="BF327" s="1783"/>
      <c r="BG327" s="1783"/>
      <c r="BH327" s="1783"/>
      <c r="BI327" s="1783"/>
    </row>
    <row r="328" spans="1:61">
      <c r="A328" s="1819"/>
      <c r="B328" s="1818"/>
      <c r="C328" s="1818"/>
      <c r="D328" s="1818"/>
      <c r="E328" s="1818"/>
      <c r="F328" s="1818"/>
      <c r="G328" s="1818"/>
      <c r="H328" s="1783"/>
      <c r="I328" s="1783"/>
      <c r="J328" s="1783"/>
      <c r="K328" s="1783"/>
      <c r="L328" s="1783"/>
      <c r="M328" s="1783"/>
      <c r="N328" s="1783"/>
      <c r="O328" s="1783"/>
      <c r="P328" s="1783"/>
      <c r="Q328" s="1783"/>
      <c r="R328" s="1783"/>
      <c r="S328" s="1783"/>
      <c r="T328" s="1783"/>
      <c r="U328" s="1783"/>
      <c r="V328" s="1783"/>
      <c r="W328" s="1783"/>
      <c r="X328" s="1783"/>
      <c r="Y328" s="1783"/>
      <c r="Z328" s="1783"/>
      <c r="AA328" s="1783"/>
      <c r="AB328" s="1783"/>
      <c r="AC328" s="1783"/>
      <c r="AD328" s="1783"/>
      <c r="AE328" s="1783"/>
      <c r="AF328" s="1783"/>
      <c r="AG328" s="1783"/>
      <c r="AH328" s="1783"/>
      <c r="AI328" s="1783"/>
      <c r="AJ328" s="1783"/>
      <c r="AK328" s="1783"/>
      <c r="AL328" s="1783"/>
      <c r="AM328" s="1783"/>
      <c r="AN328" s="1783"/>
      <c r="AO328" s="1783"/>
      <c r="AP328" s="1783"/>
      <c r="AQ328" s="1783"/>
      <c r="AR328" s="1783"/>
      <c r="AS328" s="1783"/>
      <c r="AT328" s="1783"/>
      <c r="AU328" s="1783"/>
      <c r="AV328" s="1783"/>
      <c r="AW328" s="1783"/>
      <c r="AX328" s="1783"/>
      <c r="AY328" s="1783"/>
      <c r="AZ328" s="1783"/>
      <c r="BA328" s="1783"/>
      <c r="BB328" s="1783"/>
      <c r="BC328" s="1783"/>
      <c r="BD328" s="1783"/>
      <c r="BE328" s="1783"/>
      <c r="BF328" s="1783"/>
      <c r="BG328" s="1783"/>
      <c r="BH328" s="1783"/>
      <c r="BI328" s="1783"/>
    </row>
    <row r="329" spans="1:61">
      <c r="A329" s="1819"/>
      <c r="B329" s="1818"/>
      <c r="C329" s="1818"/>
      <c r="D329" s="1818"/>
      <c r="E329" s="1818"/>
      <c r="F329" s="1818"/>
      <c r="G329" s="1818"/>
      <c r="H329" s="1783"/>
      <c r="I329" s="1783"/>
      <c r="J329" s="1783"/>
      <c r="K329" s="1783"/>
      <c r="L329" s="1783"/>
      <c r="M329" s="1783"/>
      <c r="N329" s="1783"/>
      <c r="O329" s="1783"/>
      <c r="P329" s="1783"/>
      <c r="Q329" s="1783"/>
      <c r="R329" s="1783"/>
      <c r="S329" s="1783"/>
      <c r="T329" s="1783"/>
      <c r="U329" s="1783"/>
      <c r="V329" s="1783"/>
      <c r="W329" s="1783"/>
      <c r="X329" s="1783"/>
      <c r="Y329" s="1783"/>
      <c r="Z329" s="1783"/>
      <c r="AA329" s="1783"/>
      <c r="AB329" s="1783"/>
      <c r="AC329" s="1783"/>
      <c r="AD329" s="1783"/>
      <c r="AE329" s="1783"/>
      <c r="AF329" s="1783"/>
      <c r="AG329" s="1783"/>
      <c r="AH329" s="1783"/>
      <c r="AI329" s="1783"/>
      <c r="AJ329" s="1783"/>
      <c r="AK329" s="1783"/>
      <c r="AL329" s="1783"/>
      <c r="AM329" s="1783"/>
      <c r="AN329" s="1783"/>
      <c r="AO329" s="1783"/>
      <c r="AP329" s="1783"/>
      <c r="AQ329" s="1783"/>
      <c r="AR329" s="1783"/>
      <c r="AS329" s="1783"/>
      <c r="AT329" s="1783"/>
      <c r="AU329" s="1783"/>
      <c r="AV329" s="1783"/>
      <c r="AW329" s="1783"/>
      <c r="AX329" s="1783"/>
      <c r="AY329" s="1783"/>
      <c r="AZ329" s="1783"/>
      <c r="BA329" s="1783"/>
      <c r="BB329" s="1783"/>
      <c r="BC329" s="1783"/>
      <c r="BD329" s="1783"/>
      <c r="BE329" s="1783"/>
      <c r="BF329" s="1783"/>
      <c r="BG329" s="1783"/>
      <c r="BH329" s="1783"/>
      <c r="BI329" s="1783"/>
    </row>
    <row r="330" spans="1:61">
      <c r="A330" s="1819"/>
      <c r="B330" s="1818"/>
      <c r="C330" s="1818"/>
      <c r="D330" s="1818"/>
      <c r="E330" s="1818"/>
      <c r="F330" s="1818"/>
      <c r="G330" s="1818"/>
      <c r="H330" s="1783"/>
      <c r="I330" s="1783"/>
      <c r="J330" s="1783"/>
      <c r="K330" s="1783"/>
      <c r="L330" s="1783"/>
      <c r="M330" s="1783"/>
      <c r="N330" s="1783"/>
      <c r="O330" s="1783"/>
      <c r="P330" s="1783"/>
      <c r="Q330" s="1783"/>
      <c r="R330" s="1783"/>
      <c r="S330" s="1783"/>
      <c r="T330" s="1783"/>
      <c r="U330" s="1783"/>
      <c r="V330" s="1783"/>
      <c r="W330" s="1783"/>
      <c r="X330" s="1783"/>
      <c r="Y330" s="1783"/>
      <c r="Z330" s="1783"/>
      <c r="AA330" s="1783"/>
      <c r="AB330" s="1783"/>
      <c r="AC330" s="1783"/>
      <c r="AD330" s="1783"/>
      <c r="AE330" s="1783"/>
      <c r="AF330" s="1783"/>
      <c r="AG330" s="1783"/>
      <c r="AH330" s="1783"/>
      <c r="AI330" s="1783"/>
      <c r="AJ330" s="1783"/>
      <c r="AK330" s="1783"/>
      <c r="AL330" s="1783"/>
      <c r="AM330" s="1783"/>
      <c r="AN330" s="1783"/>
      <c r="AO330" s="1783"/>
      <c r="AP330" s="1783"/>
      <c r="AQ330" s="1783"/>
      <c r="AR330" s="1783"/>
      <c r="AS330" s="1783"/>
      <c r="AT330" s="1783"/>
      <c r="AU330" s="1783"/>
      <c r="AV330" s="1783"/>
      <c r="AW330" s="1783"/>
      <c r="AX330" s="1783"/>
      <c r="AY330" s="1783"/>
      <c r="AZ330" s="1783"/>
      <c r="BA330" s="1783"/>
      <c r="BB330" s="1783"/>
      <c r="BC330" s="1783"/>
      <c r="BD330" s="1783"/>
      <c r="BE330" s="1783"/>
      <c r="BF330" s="1783"/>
      <c r="BG330" s="1783"/>
      <c r="BH330" s="1783"/>
      <c r="BI330" s="1783"/>
    </row>
    <row r="331" spans="1:61">
      <c r="A331" s="1819"/>
      <c r="B331" s="1818"/>
      <c r="C331" s="1818"/>
      <c r="D331" s="1818"/>
      <c r="E331" s="1818"/>
      <c r="F331" s="1818"/>
      <c r="G331" s="1818"/>
      <c r="H331" s="1783"/>
      <c r="I331" s="1783"/>
      <c r="J331" s="1783"/>
      <c r="K331" s="1783"/>
      <c r="L331" s="1783"/>
      <c r="M331" s="1783"/>
      <c r="N331" s="1783"/>
      <c r="O331" s="1783"/>
      <c r="P331" s="1783"/>
      <c r="Q331" s="1783"/>
      <c r="R331" s="1783"/>
      <c r="S331" s="1783"/>
      <c r="T331" s="1783"/>
      <c r="U331" s="1783"/>
      <c r="V331" s="1783"/>
      <c r="W331" s="1783"/>
      <c r="X331" s="1783"/>
      <c r="Y331" s="1783"/>
      <c r="Z331" s="1783"/>
      <c r="AA331" s="1783"/>
      <c r="AB331" s="1783"/>
      <c r="AC331" s="1783"/>
      <c r="AD331" s="1783"/>
      <c r="AE331" s="1783"/>
      <c r="AF331" s="1783"/>
      <c r="AG331" s="1783"/>
      <c r="AH331" s="1783"/>
      <c r="AI331" s="1783"/>
      <c r="AJ331" s="1783"/>
      <c r="AK331" s="1783"/>
      <c r="AL331" s="1783"/>
      <c r="AM331" s="1783"/>
      <c r="AN331" s="1783"/>
      <c r="AO331" s="1783"/>
      <c r="AP331" s="1783"/>
      <c r="AQ331" s="1783"/>
      <c r="AR331" s="1783"/>
      <c r="AS331" s="1783"/>
      <c r="AT331" s="1783"/>
      <c r="AU331" s="1783"/>
      <c r="AV331" s="1783"/>
      <c r="AW331" s="1783"/>
      <c r="AX331" s="1783"/>
      <c r="AY331" s="1783"/>
      <c r="AZ331" s="1783"/>
      <c r="BA331" s="1783"/>
      <c r="BB331" s="1783"/>
      <c r="BC331" s="1783"/>
      <c r="BD331" s="1783"/>
      <c r="BE331" s="1783"/>
      <c r="BF331" s="1783"/>
      <c r="BG331" s="1783"/>
      <c r="BH331" s="1783"/>
      <c r="BI331" s="1783"/>
    </row>
    <row r="332" spans="1:61">
      <c r="A332" s="1819"/>
      <c r="B332" s="1818"/>
      <c r="C332" s="1818"/>
      <c r="D332" s="1818"/>
      <c r="E332" s="1818"/>
      <c r="F332" s="1818"/>
      <c r="G332" s="1818"/>
      <c r="H332" s="1783"/>
      <c r="I332" s="1783"/>
      <c r="J332" s="1783"/>
      <c r="K332" s="1783"/>
      <c r="L332" s="1783"/>
      <c r="M332" s="1783"/>
      <c r="N332" s="1783"/>
      <c r="O332" s="1783"/>
      <c r="P332" s="1783"/>
      <c r="Q332" s="1783"/>
      <c r="R332" s="1783"/>
      <c r="S332" s="1783"/>
      <c r="T332" s="1783"/>
      <c r="U332" s="1783"/>
      <c r="V332" s="1783"/>
      <c r="W332" s="1783"/>
      <c r="X332" s="1783"/>
      <c r="Y332" s="1783"/>
      <c r="Z332" s="1783"/>
      <c r="AA332" s="1783"/>
      <c r="AB332" s="1783"/>
      <c r="AC332" s="1783"/>
      <c r="AD332" s="1783"/>
      <c r="AE332" s="1783"/>
      <c r="AF332" s="1783"/>
      <c r="AG332" s="1783"/>
      <c r="AH332" s="1783"/>
      <c r="AI332" s="1783"/>
      <c r="AJ332" s="1783"/>
      <c r="AK332" s="1783"/>
      <c r="AL332" s="1783"/>
      <c r="AM332" s="1783"/>
      <c r="AN332" s="1783"/>
      <c r="AO332" s="1783"/>
      <c r="AP332" s="1783"/>
      <c r="AQ332" s="1783"/>
      <c r="AR332" s="1783"/>
      <c r="AS332" s="1783"/>
      <c r="AT332" s="1783"/>
      <c r="AU332" s="1783"/>
      <c r="AV332" s="1783"/>
      <c r="AW332" s="1783"/>
      <c r="AX332" s="1783"/>
      <c r="AY332" s="1783"/>
      <c r="AZ332" s="1783"/>
      <c r="BA332" s="1783"/>
      <c r="BB332" s="1783"/>
      <c r="BC332" s="1783"/>
      <c r="BD332" s="1783"/>
      <c r="BE332" s="1783"/>
      <c r="BF332" s="1783"/>
      <c r="BG332" s="1783"/>
      <c r="BH332" s="1783"/>
      <c r="BI332" s="1783"/>
    </row>
    <row r="333" spans="1:61">
      <c r="A333" s="1819"/>
      <c r="B333" s="1818"/>
      <c r="C333" s="1818"/>
      <c r="D333" s="1818"/>
      <c r="E333" s="1818"/>
      <c r="F333" s="1818"/>
      <c r="G333" s="1818"/>
      <c r="H333" s="1783"/>
      <c r="I333" s="1783"/>
      <c r="J333" s="1783"/>
      <c r="K333" s="1783"/>
      <c r="L333" s="1783"/>
      <c r="M333" s="1783"/>
      <c r="N333" s="1783"/>
      <c r="O333" s="1783"/>
      <c r="P333" s="1783"/>
      <c r="Q333" s="1783"/>
      <c r="R333" s="1783"/>
      <c r="S333" s="1783"/>
      <c r="T333" s="1783"/>
      <c r="U333" s="1783"/>
      <c r="V333" s="1783"/>
      <c r="W333" s="1783"/>
      <c r="X333" s="1783"/>
      <c r="Y333" s="1783"/>
      <c r="Z333" s="1783"/>
      <c r="AA333" s="1783"/>
      <c r="AB333" s="1783"/>
      <c r="AC333" s="1783"/>
      <c r="AD333" s="1783"/>
      <c r="AE333" s="1783"/>
      <c r="AF333" s="1783"/>
      <c r="AG333" s="1783"/>
      <c r="AH333" s="1783"/>
      <c r="AI333" s="1783"/>
      <c r="AJ333" s="1783"/>
      <c r="AK333" s="1783"/>
      <c r="AL333" s="1783"/>
      <c r="AM333" s="1783"/>
      <c r="AN333" s="1783"/>
      <c r="AO333" s="1783"/>
      <c r="AP333" s="1783"/>
      <c r="AQ333" s="1783"/>
      <c r="AR333" s="1783"/>
      <c r="AS333" s="1783"/>
      <c r="AT333" s="1783"/>
      <c r="AU333" s="1783"/>
      <c r="AV333" s="1783"/>
      <c r="AW333" s="1783"/>
      <c r="AX333" s="1783"/>
      <c r="AY333" s="1783"/>
      <c r="AZ333" s="1783"/>
      <c r="BA333" s="1783"/>
      <c r="BB333" s="1783"/>
      <c r="BC333" s="1783"/>
      <c r="BD333" s="1783"/>
      <c r="BE333" s="1783"/>
      <c r="BF333" s="1783"/>
      <c r="BG333" s="1783"/>
      <c r="BH333" s="1783"/>
      <c r="BI333" s="1783"/>
    </row>
    <row r="334" spans="1:61">
      <c r="A334" s="1819"/>
      <c r="B334" s="1818"/>
      <c r="C334" s="1818"/>
      <c r="D334" s="1818"/>
      <c r="E334" s="1818"/>
      <c r="F334" s="1818"/>
      <c r="G334" s="1818"/>
      <c r="H334" s="1783"/>
      <c r="I334" s="1783"/>
      <c r="J334" s="1783"/>
      <c r="K334" s="1783"/>
      <c r="L334" s="1783"/>
      <c r="M334" s="1783"/>
      <c r="N334" s="1783"/>
      <c r="O334" s="1783"/>
      <c r="P334" s="1783"/>
      <c r="Q334" s="1783"/>
      <c r="R334" s="1783"/>
      <c r="S334" s="1783"/>
      <c r="T334" s="1783"/>
      <c r="U334" s="1783"/>
      <c r="V334" s="1783"/>
      <c r="W334" s="1783"/>
      <c r="X334" s="1783"/>
      <c r="Y334" s="1783"/>
      <c r="Z334" s="1783"/>
      <c r="AA334" s="1783"/>
      <c r="AB334" s="1783"/>
      <c r="AC334" s="1783"/>
      <c r="AD334" s="1783"/>
      <c r="AE334" s="1783"/>
      <c r="AF334" s="1783"/>
      <c r="AG334" s="1783"/>
      <c r="AH334" s="1783"/>
      <c r="AI334" s="1783"/>
      <c r="AJ334" s="1783"/>
      <c r="AK334" s="1783"/>
      <c r="AL334" s="1783"/>
      <c r="AM334" s="1783"/>
      <c r="AN334" s="1783"/>
      <c r="AO334" s="1783"/>
      <c r="AP334" s="1783"/>
      <c r="AQ334" s="1783"/>
      <c r="AR334" s="1783"/>
      <c r="AS334" s="1783"/>
      <c r="AT334" s="1783"/>
      <c r="AU334" s="1783"/>
      <c r="AV334" s="1783"/>
      <c r="AW334" s="1783"/>
      <c r="AX334" s="1783"/>
      <c r="AY334" s="1783"/>
      <c r="AZ334" s="1783"/>
      <c r="BA334" s="1783"/>
      <c r="BB334" s="1783"/>
      <c r="BC334" s="1783"/>
      <c r="BD334" s="1783"/>
      <c r="BE334" s="1783"/>
      <c r="BF334" s="1783"/>
      <c r="BG334" s="1783"/>
      <c r="BH334" s="1783"/>
      <c r="BI334" s="1783"/>
    </row>
    <row r="335" spans="1:61">
      <c r="A335" s="1819"/>
      <c r="B335" s="1818"/>
      <c r="C335" s="1818"/>
      <c r="D335" s="1818"/>
      <c r="E335" s="1818"/>
      <c r="F335" s="1818"/>
      <c r="G335" s="1818"/>
      <c r="H335" s="1783"/>
      <c r="I335" s="1783"/>
      <c r="J335" s="1783"/>
      <c r="K335" s="1783"/>
      <c r="L335" s="1783"/>
      <c r="M335" s="1783"/>
      <c r="N335" s="1783"/>
      <c r="O335" s="1783"/>
      <c r="P335" s="1783"/>
      <c r="Q335" s="1783"/>
      <c r="R335" s="1783"/>
      <c r="S335" s="1783"/>
      <c r="T335" s="1783"/>
      <c r="U335" s="1783"/>
      <c r="V335" s="1783"/>
      <c r="W335" s="1783"/>
      <c r="X335" s="1783"/>
      <c r="Y335" s="1783"/>
      <c r="Z335" s="1783"/>
      <c r="AA335" s="1783"/>
      <c r="AB335" s="1783"/>
      <c r="AC335" s="1783"/>
      <c r="AD335" s="1783"/>
      <c r="AE335" s="1783"/>
      <c r="AF335" s="1783"/>
      <c r="AG335" s="1783"/>
      <c r="AH335" s="1783"/>
      <c r="AI335" s="1783"/>
      <c r="AJ335" s="1783"/>
      <c r="AK335" s="1783"/>
      <c r="AL335" s="1783"/>
      <c r="AM335" s="1783"/>
      <c r="AN335" s="1783"/>
      <c r="AO335" s="1783"/>
      <c r="AP335" s="1783"/>
      <c r="AQ335" s="1783"/>
      <c r="AR335" s="1783"/>
      <c r="AS335" s="1783"/>
      <c r="AT335" s="1783"/>
      <c r="AU335" s="1783"/>
      <c r="AV335" s="1783"/>
      <c r="AW335" s="1783"/>
      <c r="AX335" s="1783"/>
      <c r="AY335" s="1783"/>
      <c r="AZ335" s="1783"/>
      <c r="BA335" s="1783"/>
      <c r="BB335" s="1783"/>
      <c r="BC335" s="1783"/>
      <c r="BD335" s="1783"/>
      <c r="BE335" s="1783"/>
      <c r="BF335" s="1783"/>
      <c r="BG335" s="1783"/>
      <c r="BH335" s="1783"/>
      <c r="BI335" s="1783"/>
    </row>
    <row r="336" spans="1:61">
      <c r="A336" s="1819"/>
      <c r="B336" s="1818"/>
      <c r="C336" s="1818"/>
      <c r="D336" s="1818"/>
      <c r="E336" s="1818"/>
      <c r="F336" s="1818"/>
      <c r="G336" s="1818"/>
      <c r="H336" s="1783"/>
      <c r="I336" s="1783"/>
      <c r="J336" s="1783"/>
      <c r="K336" s="1783"/>
      <c r="L336" s="1783"/>
      <c r="M336" s="1783"/>
      <c r="N336" s="1783"/>
      <c r="O336" s="1783"/>
      <c r="P336" s="1783"/>
      <c r="Q336" s="1783"/>
      <c r="R336" s="1783"/>
      <c r="S336" s="1783"/>
      <c r="T336" s="1783"/>
      <c r="U336" s="1783"/>
      <c r="V336" s="1783"/>
      <c r="W336" s="1783"/>
      <c r="X336" s="1783"/>
      <c r="Y336" s="1783"/>
      <c r="Z336" s="1783"/>
      <c r="AA336" s="1783"/>
      <c r="AB336" s="1783"/>
      <c r="AC336" s="1783"/>
      <c r="AD336" s="1783"/>
      <c r="AE336" s="1783"/>
      <c r="AF336" s="1783"/>
      <c r="AG336" s="1783"/>
      <c r="AH336" s="1783"/>
      <c r="AI336" s="1783"/>
      <c r="AJ336" s="1783"/>
      <c r="AK336" s="1783"/>
      <c r="AL336" s="1783"/>
      <c r="AM336" s="1783"/>
      <c r="AN336" s="1783"/>
      <c r="AO336" s="1783"/>
      <c r="AP336" s="1783"/>
      <c r="AQ336" s="1783"/>
      <c r="AR336" s="1783"/>
      <c r="AS336" s="1783"/>
      <c r="AT336" s="1783"/>
      <c r="AU336" s="1783"/>
      <c r="AV336" s="1783"/>
      <c r="AW336" s="1783"/>
      <c r="AX336" s="1783"/>
      <c r="AY336" s="1783"/>
      <c r="AZ336" s="1783"/>
      <c r="BA336" s="1783"/>
      <c r="BB336" s="1783"/>
      <c r="BC336" s="1783"/>
      <c r="BD336" s="1783"/>
      <c r="BE336" s="1783"/>
      <c r="BF336" s="1783"/>
      <c r="BG336" s="1783"/>
      <c r="BH336" s="1783"/>
      <c r="BI336" s="1783"/>
    </row>
    <row r="337" spans="1:61">
      <c r="A337" s="1819"/>
      <c r="B337" s="1818"/>
      <c r="C337" s="1818"/>
      <c r="D337" s="1818"/>
      <c r="E337" s="1818"/>
      <c r="F337" s="1818"/>
      <c r="G337" s="1818"/>
      <c r="H337" s="1783"/>
      <c r="I337" s="1783"/>
      <c r="J337" s="1783"/>
      <c r="K337" s="1783"/>
      <c r="L337" s="1783"/>
      <c r="M337" s="1783"/>
      <c r="N337" s="1783"/>
      <c r="O337" s="1783"/>
      <c r="P337" s="1783"/>
      <c r="Q337" s="1783"/>
      <c r="R337" s="1783"/>
      <c r="S337" s="1783"/>
      <c r="T337" s="1783"/>
      <c r="U337" s="1783"/>
      <c r="V337" s="1783"/>
      <c r="W337" s="1783"/>
      <c r="X337" s="1783"/>
      <c r="Y337" s="1783"/>
      <c r="Z337" s="1783"/>
      <c r="AA337" s="1783"/>
      <c r="AB337" s="1783"/>
      <c r="AC337" s="1783"/>
      <c r="AD337" s="1783"/>
      <c r="AE337" s="1783"/>
      <c r="AF337" s="1783"/>
      <c r="AG337" s="1783"/>
      <c r="AH337" s="1783"/>
      <c r="AI337" s="1783"/>
      <c r="AJ337" s="1783"/>
      <c r="AK337" s="1783"/>
      <c r="AL337" s="1783"/>
      <c r="AM337" s="1783"/>
      <c r="AN337" s="1783"/>
      <c r="AO337" s="1783"/>
      <c r="AP337" s="1783"/>
      <c r="AQ337" s="1783"/>
      <c r="AR337" s="1783"/>
      <c r="AS337" s="1783"/>
      <c r="AT337" s="1783"/>
      <c r="AU337" s="1783"/>
      <c r="AV337" s="1783"/>
      <c r="AW337" s="1783"/>
      <c r="AX337" s="1783"/>
      <c r="AY337" s="1783"/>
      <c r="AZ337" s="1783"/>
      <c r="BA337" s="1783"/>
      <c r="BB337" s="1783"/>
      <c r="BC337" s="1783"/>
      <c r="BD337" s="1783"/>
      <c r="BE337" s="1783"/>
      <c r="BF337" s="1783"/>
      <c r="BG337" s="1783"/>
      <c r="BH337" s="1783"/>
      <c r="BI337" s="1783"/>
    </row>
    <row r="338" spans="1:61">
      <c r="A338" s="1819"/>
      <c r="B338" s="1818"/>
      <c r="C338" s="1818"/>
      <c r="D338" s="1818"/>
      <c r="E338" s="1818"/>
      <c r="F338" s="1818"/>
      <c r="G338" s="1818"/>
      <c r="H338" s="1783"/>
      <c r="I338" s="1783"/>
      <c r="J338" s="1783"/>
      <c r="K338" s="1783"/>
      <c r="L338" s="1783"/>
      <c r="M338" s="1783"/>
      <c r="N338" s="1783"/>
      <c r="O338" s="1783"/>
      <c r="P338" s="1783"/>
      <c r="Q338" s="1783"/>
      <c r="R338" s="1783"/>
      <c r="S338" s="1783"/>
      <c r="T338" s="1783"/>
      <c r="U338" s="1783"/>
      <c r="V338" s="1783"/>
      <c r="W338" s="1783"/>
      <c r="X338" s="1783"/>
      <c r="Y338" s="1783"/>
      <c r="Z338" s="1783"/>
      <c r="AA338" s="1783"/>
      <c r="AB338" s="1783"/>
      <c r="AC338" s="1783"/>
      <c r="AD338" s="1783"/>
      <c r="AE338" s="1783"/>
      <c r="AF338" s="1783"/>
      <c r="AG338" s="1783"/>
      <c r="AH338" s="1783"/>
      <c r="AI338" s="1783"/>
      <c r="AJ338" s="1783"/>
      <c r="AK338" s="1783"/>
      <c r="AL338" s="1783"/>
      <c r="AM338" s="1783"/>
      <c r="AN338" s="1783"/>
      <c r="AO338" s="1783"/>
      <c r="AP338" s="1783"/>
      <c r="AQ338" s="1783"/>
      <c r="AR338" s="1783"/>
      <c r="AS338" s="1783"/>
      <c r="AT338" s="1783"/>
      <c r="AU338" s="1783"/>
      <c r="AV338" s="1783"/>
      <c r="AW338" s="1783"/>
      <c r="AX338" s="1783"/>
      <c r="AY338" s="1783"/>
      <c r="AZ338" s="1783"/>
      <c r="BA338" s="1783"/>
      <c r="BB338" s="1783"/>
      <c r="BC338" s="1783"/>
      <c r="BD338" s="1783"/>
      <c r="BE338" s="1783"/>
      <c r="BF338" s="1783"/>
      <c r="BG338" s="1783"/>
      <c r="BH338" s="1783"/>
      <c r="BI338" s="1783"/>
    </row>
    <row r="339" spans="1:61">
      <c r="A339" s="1819"/>
      <c r="B339" s="1818"/>
      <c r="C339" s="1818"/>
      <c r="D339" s="1818"/>
      <c r="E339" s="1818"/>
      <c r="F339" s="1818"/>
      <c r="G339" s="1818"/>
      <c r="H339" s="1783"/>
      <c r="I339" s="1783"/>
      <c r="J339" s="1783"/>
      <c r="K339" s="1783"/>
      <c r="L339" s="1783"/>
      <c r="M339" s="1783"/>
      <c r="N339" s="1783"/>
      <c r="O339" s="1783"/>
      <c r="P339" s="1783"/>
      <c r="Q339" s="1783"/>
      <c r="R339" s="1783"/>
      <c r="S339" s="1783"/>
      <c r="T339" s="1783"/>
      <c r="U339" s="1783"/>
      <c r="V339" s="1783"/>
      <c r="W339" s="1783"/>
      <c r="X339" s="1783"/>
      <c r="Y339" s="1783"/>
      <c r="Z339" s="1783"/>
      <c r="AA339" s="1783"/>
      <c r="AB339" s="1783"/>
      <c r="AC339" s="1783"/>
      <c r="AD339" s="1783"/>
      <c r="AE339" s="1783"/>
      <c r="AF339" s="1783"/>
      <c r="AG339" s="1783"/>
      <c r="AH339" s="1783"/>
      <c r="AI339" s="1783"/>
      <c r="AJ339" s="1783"/>
      <c r="AK339" s="1783"/>
      <c r="AL339" s="1783"/>
      <c r="AM339" s="1783"/>
      <c r="AN339" s="1783"/>
      <c r="AO339" s="1783"/>
      <c r="AP339" s="1783"/>
      <c r="AQ339" s="1783"/>
      <c r="AR339" s="1783"/>
      <c r="AS339" s="1783"/>
      <c r="AT339" s="1783"/>
      <c r="AU339" s="1783"/>
      <c r="AV339" s="1783"/>
      <c r="AW339" s="1783"/>
      <c r="AX339" s="1783"/>
      <c r="AY339" s="1783"/>
      <c r="AZ339" s="1783"/>
      <c r="BA339" s="1783"/>
      <c r="BB339" s="1783"/>
      <c r="BC339" s="1783"/>
      <c r="BD339" s="1783"/>
      <c r="BE339" s="1783"/>
      <c r="BF339" s="1783"/>
      <c r="BG339" s="1783"/>
      <c r="BH339" s="1783"/>
      <c r="BI339" s="1783"/>
    </row>
    <row r="340" spans="1:61">
      <c r="A340" s="1819"/>
      <c r="B340" s="1818"/>
      <c r="C340" s="1818"/>
      <c r="D340" s="1818"/>
      <c r="E340" s="1818"/>
      <c r="F340" s="1818"/>
      <c r="G340" s="1818"/>
      <c r="H340" s="1783"/>
      <c r="I340" s="1783"/>
      <c r="J340" s="1783"/>
      <c r="K340" s="1783"/>
      <c r="L340" s="1783"/>
      <c r="M340" s="1783"/>
      <c r="N340" s="1783"/>
      <c r="O340" s="1783"/>
      <c r="P340" s="1783"/>
      <c r="Q340" s="1783"/>
      <c r="R340" s="1783"/>
      <c r="S340" s="1783"/>
      <c r="T340" s="1783"/>
      <c r="U340" s="1783"/>
      <c r="V340" s="1783"/>
      <c r="W340" s="1783"/>
      <c r="X340" s="1783"/>
      <c r="Y340" s="1783"/>
      <c r="Z340" s="1783"/>
      <c r="AA340" s="1783"/>
      <c r="AB340" s="1783"/>
      <c r="AC340" s="1783"/>
      <c r="AD340" s="1783"/>
      <c r="AE340" s="1783"/>
      <c r="AF340" s="1783"/>
      <c r="AG340" s="1783"/>
      <c r="AH340" s="1783"/>
      <c r="AI340" s="1783"/>
      <c r="AJ340" s="1783"/>
      <c r="AK340" s="1783"/>
      <c r="AL340" s="1783"/>
      <c r="AM340" s="1783"/>
      <c r="AN340" s="1783"/>
      <c r="AO340" s="1783"/>
      <c r="AP340" s="1783"/>
      <c r="AQ340" s="1783"/>
      <c r="AR340" s="1783"/>
      <c r="AS340" s="1783"/>
      <c r="AT340" s="1783"/>
      <c r="AU340" s="1783"/>
      <c r="AV340" s="1783"/>
      <c r="AW340" s="1783"/>
      <c r="AX340" s="1783"/>
      <c r="AY340" s="1783"/>
      <c r="AZ340" s="1783"/>
      <c r="BA340" s="1783"/>
      <c r="BB340" s="1783"/>
      <c r="BC340" s="1783"/>
      <c r="BD340" s="1783"/>
      <c r="BE340" s="1783"/>
      <c r="BF340" s="1783"/>
      <c r="BG340" s="1783"/>
      <c r="BH340" s="1783"/>
      <c r="BI340" s="1783"/>
    </row>
    <row r="341" spans="1:61">
      <c r="A341" s="1819"/>
      <c r="B341" s="1818"/>
      <c r="C341" s="1818"/>
      <c r="D341" s="1818"/>
      <c r="E341" s="1818"/>
      <c r="F341" s="1818"/>
      <c r="G341" s="1818"/>
      <c r="H341" s="1783"/>
      <c r="I341" s="1783"/>
      <c r="J341" s="1783"/>
      <c r="K341" s="1783"/>
      <c r="L341" s="1783"/>
      <c r="M341" s="1783"/>
      <c r="N341" s="1783"/>
      <c r="O341" s="1783"/>
      <c r="P341" s="1783"/>
      <c r="Q341" s="1783"/>
      <c r="R341" s="1783"/>
      <c r="S341" s="1783"/>
      <c r="T341" s="1783"/>
      <c r="U341" s="1783"/>
      <c r="V341" s="1783"/>
      <c r="W341" s="1783"/>
      <c r="X341" s="1783"/>
      <c r="Y341" s="1783"/>
      <c r="Z341" s="1783"/>
      <c r="AA341" s="1783"/>
      <c r="AB341" s="1783"/>
      <c r="AC341" s="1783"/>
      <c r="AD341" s="1783"/>
      <c r="AE341" s="1783"/>
      <c r="AF341" s="1783"/>
      <c r="AG341" s="1783"/>
      <c r="AH341" s="1783"/>
      <c r="AI341" s="1783"/>
      <c r="AJ341" s="1783"/>
      <c r="AK341" s="1783"/>
      <c r="AL341" s="1783"/>
      <c r="AM341" s="1783"/>
      <c r="AN341" s="1783"/>
      <c r="AO341" s="1783"/>
      <c r="AP341" s="1783"/>
      <c r="AQ341" s="1783"/>
      <c r="AR341" s="1783"/>
      <c r="AS341" s="1783"/>
      <c r="AT341" s="1783"/>
      <c r="AU341" s="1783"/>
      <c r="AV341" s="1783"/>
      <c r="AW341" s="1783"/>
      <c r="AX341" s="1783"/>
      <c r="AY341" s="1783"/>
      <c r="AZ341" s="1783"/>
      <c r="BA341" s="1783"/>
      <c r="BB341" s="1783"/>
      <c r="BC341" s="1783"/>
      <c r="BD341" s="1783"/>
      <c r="BE341" s="1783"/>
      <c r="BF341" s="1783"/>
      <c r="BG341" s="1783"/>
      <c r="BH341" s="1783"/>
      <c r="BI341" s="1783"/>
    </row>
    <row r="342" spans="1:61">
      <c r="A342" s="1819"/>
      <c r="B342" s="1818"/>
      <c r="C342" s="1818"/>
      <c r="D342" s="1818"/>
      <c r="E342" s="1818"/>
      <c r="F342" s="1818"/>
      <c r="G342" s="1818"/>
      <c r="H342" s="1783"/>
      <c r="I342" s="1783"/>
      <c r="J342" s="1783"/>
      <c r="K342" s="1783"/>
      <c r="L342" s="1783"/>
      <c r="M342" s="1783"/>
      <c r="N342" s="1783"/>
      <c r="O342" s="1783"/>
      <c r="P342" s="1783"/>
      <c r="Q342" s="1783"/>
      <c r="R342" s="1783"/>
      <c r="S342" s="1783"/>
      <c r="T342" s="1783"/>
      <c r="U342" s="1783"/>
      <c r="V342" s="1783"/>
      <c r="W342" s="1783"/>
      <c r="X342" s="1783"/>
      <c r="Y342" s="1783"/>
      <c r="Z342" s="1783"/>
      <c r="AA342" s="1783"/>
      <c r="AB342" s="1783"/>
      <c r="AC342" s="1783"/>
      <c r="AD342" s="1783"/>
      <c r="AE342" s="1783"/>
      <c r="AF342" s="1783"/>
      <c r="AG342" s="1783"/>
      <c r="AH342" s="1783"/>
      <c r="AI342" s="1783"/>
      <c r="AJ342" s="1783"/>
      <c r="AK342" s="1783"/>
      <c r="AL342" s="1783"/>
      <c r="AM342" s="1783"/>
      <c r="AN342" s="1783"/>
      <c r="AO342" s="1783"/>
      <c r="AP342" s="1783"/>
      <c r="AQ342" s="1783"/>
      <c r="AR342" s="1783"/>
      <c r="AS342" s="1783"/>
      <c r="AT342" s="1783"/>
      <c r="AU342" s="1783"/>
      <c r="AV342" s="1783"/>
      <c r="AW342" s="1783"/>
      <c r="AX342" s="1783"/>
      <c r="AY342" s="1783"/>
      <c r="AZ342" s="1783"/>
      <c r="BA342" s="1783"/>
      <c r="BB342" s="1783"/>
      <c r="BC342" s="1783"/>
      <c r="BD342" s="1783"/>
      <c r="BE342" s="1783"/>
      <c r="BF342" s="1783"/>
      <c r="BG342" s="1783"/>
      <c r="BH342" s="1783"/>
      <c r="BI342" s="1783"/>
    </row>
    <row r="343" spans="1:61">
      <c r="A343" s="1819"/>
      <c r="B343" s="1818"/>
      <c r="C343" s="1818"/>
      <c r="D343" s="1818"/>
      <c r="E343" s="1818"/>
      <c r="F343" s="1818"/>
      <c r="G343" s="1818"/>
      <c r="H343" s="1783"/>
      <c r="I343" s="1783"/>
      <c r="J343" s="1783"/>
      <c r="K343" s="1783"/>
      <c r="L343" s="1783"/>
      <c r="M343" s="1783"/>
      <c r="N343" s="1783"/>
      <c r="O343" s="1783"/>
      <c r="P343" s="1783"/>
      <c r="Q343" s="1783"/>
      <c r="R343" s="1783"/>
      <c r="S343" s="1783"/>
      <c r="T343" s="1783"/>
      <c r="U343" s="1783"/>
      <c r="V343" s="1783"/>
      <c r="W343" s="1783"/>
      <c r="X343" s="1783"/>
      <c r="Y343" s="1783"/>
      <c r="Z343" s="1783"/>
      <c r="AA343" s="1783"/>
      <c r="AB343" s="1783"/>
      <c r="AC343" s="1783"/>
      <c r="AD343" s="1783"/>
      <c r="AE343" s="1783"/>
      <c r="AF343" s="1783"/>
      <c r="AG343" s="1783"/>
      <c r="AH343" s="1783"/>
      <c r="AI343" s="1783"/>
      <c r="AJ343" s="1783"/>
      <c r="AK343" s="1783"/>
      <c r="AL343" s="1783"/>
      <c r="AM343" s="1783"/>
      <c r="AN343" s="1783"/>
      <c r="AO343" s="1783"/>
      <c r="AP343" s="1783"/>
      <c r="AQ343" s="1783"/>
      <c r="AR343" s="1783"/>
      <c r="AS343" s="1783"/>
      <c r="AT343" s="1783"/>
      <c r="AU343" s="1783"/>
      <c r="AV343" s="1783"/>
      <c r="AW343" s="1783"/>
      <c r="AX343" s="1783"/>
      <c r="AY343" s="1783"/>
      <c r="AZ343" s="1783"/>
      <c r="BA343" s="1783"/>
      <c r="BB343" s="1783"/>
      <c r="BC343" s="1783"/>
      <c r="BD343" s="1783"/>
      <c r="BE343" s="1783"/>
      <c r="BF343" s="1783"/>
      <c r="BG343" s="1783"/>
      <c r="BH343" s="1783"/>
      <c r="BI343" s="1783"/>
    </row>
    <row r="344" spans="1:61">
      <c r="A344" s="1819"/>
      <c r="B344" s="1818"/>
      <c r="C344" s="1818"/>
      <c r="D344" s="1818"/>
      <c r="E344" s="1818"/>
      <c r="F344" s="1818"/>
      <c r="G344" s="1818"/>
      <c r="H344" s="1783"/>
      <c r="I344" s="1783"/>
      <c r="J344" s="1783"/>
      <c r="K344" s="1783"/>
      <c r="L344" s="1783"/>
      <c r="M344" s="1783"/>
      <c r="N344" s="1783"/>
      <c r="O344" s="1783"/>
      <c r="P344" s="1783"/>
      <c r="Q344" s="1783"/>
      <c r="R344" s="1783"/>
      <c r="S344" s="1783"/>
      <c r="T344" s="1783"/>
      <c r="U344" s="1783"/>
      <c r="V344" s="1783"/>
      <c r="W344" s="1783"/>
      <c r="X344" s="1783"/>
      <c r="Y344" s="1783"/>
      <c r="Z344" s="1783"/>
      <c r="AA344" s="1783"/>
      <c r="AB344" s="1783"/>
      <c r="AC344" s="1783"/>
      <c r="AD344" s="1783"/>
      <c r="AE344" s="1783"/>
      <c r="AF344" s="1783"/>
      <c r="AG344" s="1783"/>
      <c r="AH344" s="1783"/>
      <c r="AI344" s="1783"/>
      <c r="AJ344" s="1783"/>
      <c r="AK344" s="1783"/>
      <c r="AL344" s="1783"/>
      <c r="AM344" s="1783"/>
      <c r="AN344" s="1783"/>
      <c r="AO344" s="1783"/>
      <c r="AP344" s="1783"/>
      <c r="AQ344" s="1783"/>
      <c r="AR344" s="1783"/>
      <c r="AS344" s="1783"/>
      <c r="AT344" s="1783"/>
      <c r="AU344" s="1783"/>
      <c r="AV344" s="1783"/>
      <c r="AW344" s="1783"/>
      <c r="AX344" s="1783"/>
      <c r="AY344" s="1783"/>
      <c r="AZ344" s="1783"/>
      <c r="BA344" s="1783"/>
      <c r="BB344" s="1783"/>
      <c r="BC344" s="1783"/>
      <c r="BD344" s="1783"/>
      <c r="BE344" s="1783"/>
      <c r="BF344" s="1783"/>
      <c r="BG344" s="1783"/>
      <c r="BH344" s="1783"/>
      <c r="BI344" s="1783"/>
    </row>
    <row r="345" spans="1:61">
      <c r="A345" s="1819"/>
      <c r="B345" s="1818"/>
      <c r="C345" s="1818"/>
      <c r="D345" s="1818"/>
      <c r="E345" s="1818"/>
      <c r="F345" s="1818"/>
      <c r="G345" s="1818"/>
      <c r="H345" s="1783"/>
      <c r="I345" s="1783"/>
      <c r="J345" s="1783"/>
      <c r="K345" s="1783"/>
      <c r="L345" s="1783"/>
      <c r="M345" s="1783"/>
      <c r="N345" s="1783"/>
      <c r="O345" s="1783"/>
      <c r="P345" s="1783"/>
      <c r="Q345" s="1783"/>
      <c r="R345" s="1783"/>
      <c r="S345" s="1783"/>
      <c r="T345" s="1783"/>
      <c r="U345" s="1783"/>
      <c r="V345" s="1783"/>
      <c r="W345" s="1783"/>
      <c r="X345" s="1783"/>
      <c r="Y345" s="1783"/>
      <c r="Z345" s="1783"/>
      <c r="AA345" s="1783"/>
      <c r="AB345" s="1783"/>
      <c r="AC345" s="1783"/>
      <c r="AD345" s="1783"/>
      <c r="AE345" s="1783"/>
      <c r="AF345" s="1783"/>
      <c r="AG345" s="1783"/>
      <c r="AH345" s="1783"/>
      <c r="AI345" s="1783"/>
      <c r="AJ345" s="1783"/>
      <c r="AK345" s="1783"/>
      <c r="AL345" s="1783"/>
      <c r="AM345" s="1783"/>
      <c r="AN345" s="1783"/>
      <c r="AO345" s="1783"/>
      <c r="AP345" s="1783"/>
      <c r="AQ345" s="1783"/>
      <c r="AR345" s="1783"/>
      <c r="AS345" s="1783"/>
      <c r="AT345" s="1783"/>
      <c r="AU345" s="1783"/>
      <c r="AV345" s="1783"/>
      <c r="AW345" s="1783"/>
      <c r="AX345" s="1783"/>
      <c r="AY345" s="1783"/>
      <c r="AZ345" s="1783"/>
      <c r="BA345" s="1783"/>
      <c r="BB345" s="1783"/>
      <c r="BC345" s="1783"/>
      <c r="BD345" s="1783"/>
      <c r="BE345" s="1783"/>
      <c r="BF345" s="1783"/>
      <c r="BG345" s="1783"/>
      <c r="BH345" s="1783"/>
      <c r="BI345" s="1783"/>
    </row>
    <row r="346" spans="1:61">
      <c r="A346" s="1819"/>
      <c r="B346" s="1818"/>
      <c r="C346" s="1818"/>
      <c r="D346" s="1818"/>
      <c r="E346" s="1818"/>
      <c r="F346" s="1818"/>
      <c r="G346" s="1818"/>
      <c r="H346" s="1783"/>
      <c r="I346" s="1783"/>
      <c r="J346" s="1783"/>
      <c r="K346" s="1783"/>
      <c r="L346" s="1783"/>
      <c r="M346" s="1783"/>
      <c r="N346" s="1783"/>
      <c r="O346" s="1783"/>
      <c r="P346" s="1783"/>
      <c r="Q346" s="1783"/>
      <c r="R346" s="1783"/>
      <c r="S346" s="1783"/>
      <c r="T346" s="1783"/>
      <c r="U346" s="1783"/>
      <c r="V346" s="1783"/>
      <c r="W346" s="1783"/>
      <c r="X346" s="1783"/>
      <c r="Y346" s="1783"/>
      <c r="Z346" s="1783"/>
      <c r="AA346" s="1783"/>
      <c r="AB346" s="1783"/>
      <c r="AC346" s="1783"/>
      <c r="AD346" s="1783"/>
      <c r="AE346" s="1783"/>
      <c r="AF346" s="1783"/>
      <c r="AG346" s="1783"/>
      <c r="AH346" s="1783"/>
      <c r="AI346" s="1783"/>
      <c r="AJ346" s="1783"/>
      <c r="AK346" s="1783"/>
      <c r="AL346" s="1783"/>
      <c r="AM346" s="1783"/>
      <c r="AN346" s="1783"/>
      <c r="AO346" s="1783"/>
      <c r="AP346" s="1783"/>
      <c r="AQ346" s="1783"/>
      <c r="AR346" s="1783"/>
      <c r="AS346" s="1783"/>
      <c r="AT346" s="1783"/>
      <c r="AU346" s="1783"/>
      <c r="AV346" s="1783"/>
      <c r="AW346" s="1783"/>
      <c r="AX346" s="1783"/>
      <c r="AY346" s="1783"/>
      <c r="AZ346" s="1783"/>
      <c r="BA346" s="1783"/>
      <c r="BB346" s="1783"/>
      <c r="BC346" s="1783"/>
      <c r="BD346" s="1783"/>
      <c r="BE346" s="1783"/>
      <c r="BF346" s="1783"/>
      <c r="BG346" s="1783"/>
      <c r="BH346" s="1783"/>
      <c r="BI346" s="1783"/>
    </row>
    <row r="347" spans="1:61">
      <c r="A347" s="1819"/>
      <c r="B347" s="1818"/>
      <c r="C347" s="1818"/>
      <c r="D347" s="1818"/>
      <c r="E347" s="1818"/>
      <c r="F347" s="1818"/>
      <c r="G347" s="1818"/>
      <c r="H347" s="1783"/>
      <c r="I347" s="1783"/>
      <c r="J347" s="1783"/>
      <c r="K347" s="1783"/>
      <c r="L347" s="1783"/>
      <c r="M347" s="1783"/>
      <c r="N347" s="1783"/>
      <c r="O347" s="1783"/>
      <c r="P347" s="1783"/>
      <c r="Q347" s="1783"/>
      <c r="R347" s="1783"/>
      <c r="S347" s="1783"/>
      <c r="T347" s="1783"/>
      <c r="U347" s="1783"/>
      <c r="V347" s="1783"/>
      <c r="W347" s="1783"/>
      <c r="X347" s="1783"/>
      <c r="Y347" s="1783"/>
      <c r="Z347" s="1783"/>
      <c r="AA347" s="1783"/>
      <c r="AB347" s="1783"/>
      <c r="AC347" s="1783"/>
      <c r="AD347" s="1783"/>
      <c r="AE347" s="1783"/>
      <c r="AF347" s="1783"/>
      <c r="AG347" s="1783"/>
      <c r="AH347" s="1783"/>
      <c r="AI347" s="1783"/>
      <c r="AJ347" s="1783"/>
      <c r="AK347" s="1783"/>
      <c r="AL347" s="1783"/>
      <c r="AM347" s="1783"/>
      <c r="AN347" s="1783"/>
      <c r="AO347" s="1783"/>
      <c r="AP347" s="1783"/>
      <c r="AQ347" s="1783"/>
      <c r="AR347" s="1783"/>
      <c r="AS347" s="1783"/>
      <c r="AT347" s="1783"/>
      <c r="AU347" s="1783"/>
      <c r="AV347" s="1783"/>
      <c r="AW347" s="1783"/>
      <c r="AX347" s="1783"/>
      <c r="AY347" s="1783"/>
      <c r="AZ347" s="1783"/>
      <c r="BA347" s="1783"/>
      <c r="BB347" s="1783"/>
      <c r="BC347" s="1783"/>
      <c r="BD347" s="1783"/>
      <c r="BE347" s="1783"/>
      <c r="BF347" s="1783"/>
      <c r="BG347" s="1783"/>
      <c r="BH347" s="1783"/>
      <c r="BI347" s="1783"/>
    </row>
    <row r="348" spans="1:61">
      <c r="A348" s="1819"/>
      <c r="B348" s="1818"/>
      <c r="C348" s="1818"/>
      <c r="D348" s="1818"/>
      <c r="E348" s="1818"/>
      <c r="F348" s="1818"/>
      <c r="G348" s="1818"/>
      <c r="H348" s="1783"/>
      <c r="I348" s="1783"/>
      <c r="J348" s="1783"/>
      <c r="K348" s="1783"/>
      <c r="L348" s="1783"/>
      <c r="M348" s="1783"/>
      <c r="N348" s="1783"/>
      <c r="O348" s="1783"/>
      <c r="P348" s="1783"/>
      <c r="Q348" s="1783"/>
      <c r="R348" s="1783"/>
      <c r="S348" s="1783"/>
      <c r="T348" s="1783"/>
      <c r="U348" s="1783"/>
      <c r="V348" s="1783"/>
      <c r="W348" s="1783"/>
      <c r="X348" s="1783"/>
      <c r="Y348" s="1783"/>
      <c r="Z348" s="1783"/>
      <c r="AA348" s="1783"/>
      <c r="AB348" s="1783"/>
      <c r="AC348" s="1783"/>
      <c r="AD348" s="1783"/>
      <c r="AE348" s="1783"/>
      <c r="AF348" s="1783"/>
      <c r="AG348" s="1783"/>
      <c r="AH348" s="1783"/>
      <c r="AI348" s="1783"/>
      <c r="AJ348" s="1783"/>
      <c r="AK348" s="1783"/>
      <c r="AL348" s="1783"/>
      <c r="AM348" s="1783"/>
      <c r="AN348" s="1783"/>
      <c r="AO348" s="1783"/>
      <c r="AP348" s="1783"/>
      <c r="AQ348" s="1783"/>
      <c r="AR348" s="1783"/>
      <c r="AS348" s="1783"/>
      <c r="AT348" s="1783"/>
      <c r="AU348" s="1783"/>
      <c r="AV348" s="1783"/>
      <c r="AW348" s="1783"/>
      <c r="AX348" s="1783"/>
      <c r="AY348" s="1783"/>
      <c r="AZ348" s="1783"/>
      <c r="BA348" s="1783"/>
      <c r="BB348" s="1783"/>
      <c r="BC348" s="1783"/>
      <c r="BD348" s="1783"/>
      <c r="BE348" s="1783"/>
      <c r="BF348" s="1783"/>
      <c r="BG348" s="1783"/>
      <c r="BH348" s="1783"/>
      <c r="BI348" s="1783"/>
    </row>
    <row r="349" spans="1:61">
      <c r="A349" s="1819"/>
      <c r="B349" s="1818"/>
      <c r="C349" s="1818"/>
      <c r="D349" s="1818"/>
      <c r="E349" s="1818"/>
      <c r="F349" s="1818"/>
      <c r="G349" s="1818"/>
      <c r="H349" s="1783"/>
      <c r="I349" s="1783"/>
      <c r="J349" s="1783"/>
      <c r="K349" s="1783"/>
      <c r="L349" s="1783"/>
      <c r="M349" s="1783"/>
      <c r="N349" s="1783"/>
      <c r="O349" s="1783"/>
      <c r="P349" s="1783"/>
      <c r="Q349" s="1783"/>
      <c r="R349" s="1783"/>
      <c r="S349" s="1783"/>
      <c r="T349" s="1783"/>
      <c r="U349" s="1783"/>
      <c r="V349" s="1783"/>
      <c r="W349" s="1783"/>
      <c r="X349" s="1783"/>
      <c r="Y349" s="1783"/>
      <c r="Z349" s="1783"/>
      <c r="AA349" s="1783"/>
      <c r="AB349" s="1783"/>
      <c r="AC349" s="1783"/>
      <c r="AD349" s="1783"/>
      <c r="AE349" s="1783"/>
      <c r="AF349" s="1783"/>
      <c r="AG349" s="1783"/>
      <c r="AH349" s="1783"/>
      <c r="AI349" s="1783"/>
      <c r="AJ349" s="1783"/>
      <c r="AK349" s="1783"/>
      <c r="AL349" s="1783"/>
      <c r="AM349" s="1783"/>
      <c r="AN349" s="1783"/>
      <c r="AO349" s="1783"/>
      <c r="AP349" s="1783"/>
      <c r="AQ349" s="1783"/>
      <c r="AR349" s="1783"/>
      <c r="AS349" s="1783"/>
      <c r="AT349" s="1783"/>
      <c r="AU349" s="1783"/>
      <c r="AV349" s="1783"/>
      <c r="AW349" s="1783"/>
      <c r="AX349" s="1783"/>
      <c r="AY349" s="1783"/>
      <c r="AZ349" s="1783"/>
      <c r="BA349" s="1783"/>
      <c r="BB349" s="1783"/>
      <c r="BC349" s="1783"/>
      <c r="BD349" s="1783"/>
      <c r="BE349" s="1783"/>
      <c r="BF349" s="1783"/>
      <c r="BG349" s="1783"/>
      <c r="BH349" s="1783"/>
      <c r="BI349" s="1783"/>
    </row>
    <row r="350" spans="1:61">
      <c r="A350" s="1819"/>
      <c r="B350" s="1818"/>
      <c r="C350" s="1818"/>
      <c r="D350" s="1818"/>
      <c r="E350" s="1818"/>
      <c r="F350" s="1818"/>
      <c r="G350" s="1818"/>
      <c r="H350" s="1783"/>
      <c r="I350" s="1783"/>
      <c r="J350" s="1783"/>
      <c r="K350" s="1783"/>
      <c r="L350" s="1783"/>
      <c r="M350" s="1783"/>
      <c r="N350" s="1783"/>
      <c r="O350" s="1783"/>
      <c r="P350" s="1783"/>
      <c r="Q350" s="1783"/>
      <c r="R350" s="1783"/>
      <c r="S350" s="1783"/>
      <c r="T350" s="1783"/>
      <c r="U350" s="1783"/>
      <c r="V350" s="1783"/>
      <c r="W350" s="1783"/>
      <c r="X350" s="1783"/>
      <c r="Y350" s="1783"/>
      <c r="Z350" s="1783"/>
      <c r="AA350" s="1783"/>
      <c r="AB350" s="1783"/>
      <c r="AC350" s="1783"/>
      <c r="AD350" s="1783"/>
      <c r="AE350" s="1783"/>
      <c r="AF350" s="1783"/>
      <c r="AG350" s="1783"/>
      <c r="AH350" s="1783"/>
      <c r="AI350" s="1783"/>
      <c r="AJ350" s="1783"/>
      <c r="AK350" s="1783"/>
      <c r="AL350" s="1783"/>
      <c r="AM350" s="1783"/>
      <c r="AN350" s="1783"/>
      <c r="AO350" s="1783"/>
      <c r="AP350" s="1783"/>
      <c r="AQ350" s="1783"/>
      <c r="AR350" s="1783"/>
      <c r="AS350" s="1783"/>
      <c r="AT350" s="1783"/>
      <c r="AU350" s="1783"/>
      <c r="AV350" s="1783"/>
      <c r="AW350" s="1783"/>
      <c r="AX350" s="1783"/>
      <c r="AY350" s="1783"/>
      <c r="AZ350" s="1783"/>
      <c r="BA350" s="1783"/>
      <c r="BB350" s="1783"/>
      <c r="BC350" s="1783"/>
      <c r="BD350" s="1783"/>
      <c r="BE350" s="1783"/>
      <c r="BF350" s="1783"/>
      <c r="BG350" s="1783"/>
      <c r="BH350" s="1783"/>
      <c r="BI350" s="1783"/>
    </row>
    <row r="351" spans="1:61">
      <c r="A351" s="1819"/>
      <c r="B351" s="1818"/>
      <c r="C351" s="1818"/>
      <c r="D351" s="1818"/>
      <c r="E351" s="1818"/>
      <c r="F351" s="1818"/>
      <c r="G351" s="1818"/>
      <c r="H351" s="1783"/>
      <c r="I351" s="1783"/>
      <c r="J351" s="1783"/>
      <c r="K351" s="1783"/>
      <c r="L351" s="1783"/>
      <c r="M351" s="1783"/>
      <c r="N351" s="1783"/>
      <c r="O351" s="1783"/>
      <c r="P351" s="1783"/>
      <c r="Q351" s="1783"/>
      <c r="R351" s="1783"/>
      <c r="S351" s="1783"/>
      <c r="T351" s="1783"/>
      <c r="U351" s="1783"/>
      <c r="V351" s="1783"/>
      <c r="W351" s="1783"/>
      <c r="X351" s="1783"/>
      <c r="Y351" s="1783"/>
      <c r="Z351" s="1783"/>
      <c r="AA351" s="1783"/>
      <c r="AB351" s="1783"/>
      <c r="AC351" s="1783"/>
      <c r="AD351" s="1783"/>
      <c r="AE351" s="1783"/>
      <c r="AF351" s="1783"/>
      <c r="AG351" s="1783"/>
      <c r="AH351" s="1783"/>
      <c r="AI351" s="1783"/>
      <c r="AJ351" s="1783"/>
      <c r="AK351" s="1783"/>
      <c r="AL351" s="1783"/>
      <c r="AM351" s="1783"/>
      <c r="AN351" s="1783"/>
      <c r="AO351" s="1783"/>
      <c r="AP351" s="1783"/>
      <c r="AQ351" s="1783"/>
      <c r="AR351" s="1783"/>
      <c r="AS351" s="1783"/>
      <c r="AT351" s="1783"/>
      <c r="AU351" s="1783"/>
      <c r="AV351" s="1783"/>
      <c r="AW351" s="1783"/>
      <c r="AX351" s="1783"/>
      <c r="AY351" s="1783"/>
      <c r="AZ351" s="1783"/>
      <c r="BA351" s="1783"/>
      <c r="BB351" s="1783"/>
      <c r="BC351" s="1783"/>
      <c r="BD351" s="1783"/>
      <c r="BE351" s="1783"/>
      <c r="BF351" s="1783"/>
      <c r="BG351" s="1783"/>
      <c r="BH351" s="1783"/>
      <c r="BI351" s="1783"/>
    </row>
    <row r="352" spans="1:61">
      <c r="A352" s="1819"/>
      <c r="B352" s="1818"/>
      <c r="C352" s="1818"/>
      <c r="D352" s="1818"/>
      <c r="E352" s="1818"/>
      <c r="F352" s="1818"/>
      <c r="G352" s="1818"/>
      <c r="H352" s="1783"/>
      <c r="I352" s="1783"/>
      <c r="J352" s="1783"/>
      <c r="K352" s="1783"/>
      <c r="L352" s="1783"/>
      <c r="M352" s="1783"/>
      <c r="N352" s="1783"/>
      <c r="O352" s="1783"/>
      <c r="P352" s="1783"/>
      <c r="Q352" s="1783"/>
      <c r="R352" s="1783"/>
      <c r="S352" s="1783"/>
      <c r="T352" s="1783"/>
      <c r="U352" s="1783"/>
      <c r="V352" s="1783"/>
      <c r="W352" s="1783"/>
      <c r="X352" s="1783"/>
      <c r="Y352" s="1783"/>
      <c r="Z352" s="1783"/>
      <c r="AA352" s="1783"/>
      <c r="AB352" s="1783"/>
      <c r="AC352" s="1783"/>
      <c r="AD352" s="1783"/>
      <c r="AE352" s="1783"/>
      <c r="AF352" s="1783"/>
      <c r="AG352" s="1783"/>
      <c r="AH352" s="1783"/>
      <c r="AI352" s="1783"/>
      <c r="AJ352" s="1783"/>
      <c r="AK352" s="1783"/>
      <c r="AL352" s="1783"/>
      <c r="AM352" s="1783"/>
      <c r="AN352" s="1783"/>
      <c r="AO352" s="1783"/>
      <c r="AP352" s="1783"/>
      <c r="AQ352" s="1783"/>
      <c r="AR352" s="1783"/>
      <c r="AS352" s="1783"/>
      <c r="AT352" s="1783"/>
      <c r="AU352" s="1783"/>
      <c r="AV352" s="1783"/>
      <c r="AW352" s="1783"/>
      <c r="AX352" s="1783"/>
      <c r="AY352" s="1783"/>
      <c r="AZ352" s="1783"/>
      <c r="BA352" s="1783"/>
      <c r="BB352" s="1783"/>
      <c r="BC352" s="1783"/>
      <c r="BD352" s="1783"/>
      <c r="BE352" s="1783"/>
      <c r="BF352" s="1783"/>
      <c r="BG352" s="1783"/>
      <c r="BH352" s="1783"/>
      <c r="BI352" s="1783"/>
    </row>
    <row r="353" spans="1:61">
      <c r="A353" s="1819"/>
      <c r="B353" s="1818"/>
      <c r="C353" s="1818"/>
      <c r="D353" s="1818"/>
      <c r="E353" s="1818"/>
      <c r="F353" s="1818"/>
      <c r="G353" s="1818"/>
      <c r="H353" s="1783"/>
      <c r="I353" s="1783"/>
      <c r="J353" s="1783"/>
      <c r="K353" s="1783"/>
      <c r="L353" s="1783"/>
      <c r="M353" s="1783"/>
      <c r="N353" s="1783"/>
      <c r="O353" s="1783"/>
      <c r="P353" s="1783"/>
      <c r="Q353" s="1783"/>
      <c r="R353" s="1783"/>
      <c r="S353" s="1783"/>
      <c r="T353" s="1783"/>
      <c r="U353" s="1783"/>
      <c r="V353" s="1783"/>
      <c r="W353" s="1783"/>
      <c r="X353" s="1783"/>
      <c r="Y353" s="1783"/>
      <c r="Z353" s="1783"/>
      <c r="AA353" s="1783"/>
      <c r="AB353" s="1783"/>
      <c r="AC353" s="1783"/>
      <c r="AD353" s="1783"/>
      <c r="AE353" s="1783"/>
      <c r="AF353" s="1783"/>
      <c r="AG353" s="1783"/>
      <c r="AH353" s="1783"/>
      <c r="AI353" s="1783"/>
      <c r="AJ353" s="1783"/>
      <c r="AK353" s="1783"/>
      <c r="AL353" s="1783"/>
      <c r="AM353" s="1783"/>
      <c r="AN353" s="1783"/>
      <c r="AO353" s="1783"/>
      <c r="AP353" s="1783"/>
      <c r="AQ353" s="1783"/>
      <c r="AR353" s="1783"/>
      <c r="AS353" s="1783"/>
      <c r="AT353" s="1783"/>
      <c r="AU353" s="1783"/>
      <c r="AV353" s="1783"/>
      <c r="AW353" s="1783"/>
      <c r="AX353" s="1783"/>
      <c r="AY353" s="1783"/>
      <c r="AZ353" s="1783"/>
      <c r="BA353" s="1783"/>
      <c r="BB353" s="1783"/>
      <c r="BC353" s="1783"/>
      <c r="BD353" s="1783"/>
      <c r="BE353" s="1783"/>
      <c r="BF353" s="1783"/>
      <c r="BG353" s="1783"/>
      <c r="BH353" s="1783"/>
      <c r="BI353" s="1783"/>
    </row>
    <row r="354" spans="1:61">
      <c r="A354" s="1819"/>
      <c r="B354" s="1818"/>
      <c r="C354" s="1818"/>
      <c r="D354" s="1818"/>
      <c r="E354" s="1818"/>
      <c r="F354" s="1818"/>
      <c r="G354" s="1818"/>
      <c r="H354" s="1783"/>
      <c r="I354" s="1783"/>
      <c r="J354" s="1783"/>
      <c r="K354" s="1783"/>
      <c r="L354" s="1783"/>
      <c r="M354" s="1783"/>
      <c r="N354" s="1783"/>
      <c r="O354" s="1783"/>
      <c r="P354" s="1783"/>
      <c r="Q354" s="1783"/>
      <c r="R354" s="1783"/>
      <c r="S354" s="1783"/>
      <c r="T354" s="1783"/>
      <c r="U354" s="1783"/>
      <c r="V354" s="1783"/>
      <c r="W354" s="1783"/>
      <c r="X354" s="1783"/>
      <c r="Y354" s="1783"/>
      <c r="Z354" s="1783"/>
      <c r="AA354" s="1783"/>
      <c r="AB354" s="1783"/>
      <c r="AC354" s="1783"/>
      <c r="AD354" s="1783"/>
      <c r="AE354" s="1783"/>
      <c r="AF354" s="1783"/>
      <c r="AG354" s="1783"/>
      <c r="AH354" s="1783"/>
      <c r="AI354" s="1783"/>
      <c r="AJ354" s="1783"/>
      <c r="AK354" s="1783"/>
      <c r="AL354" s="1783"/>
      <c r="AM354" s="1783"/>
      <c r="AN354" s="1783"/>
      <c r="AO354" s="1783"/>
      <c r="AP354" s="1783"/>
      <c r="AQ354" s="1783"/>
      <c r="AR354" s="1783"/>
      <c r="AS354" s="1783"/>
      <c r="AT354" s="1783"/>
      <c r="AU354" s="1783"/>
      <c r="AV354" s="1783"/>
      <c r="AW354" s="1783"/>
      <c r="AX354" s="1783"/>
      <c r="AY354" s="1783"/>
      <c r="AZ354" s="1783"/>
      <c r="BA354" s="1783"/>
      <c r="BB354" s="1783"/>
      <c r="BC354" s="1783"/>
      <c r="BD354" s="1783"/>
      <c r="BE354" s="1783"/>
      <c r="BF354" s="1783"/>
      <c r="BG354" s="1783"/>
      <c r="BH354" s="1783"/>
      <c r="BI354" s="1783"/>
    </row>
    <row r="355" spans="1:61">
      <c r="A355" s="1819"/>
      <c r="B355" s="1818"/>
      <c r="C355" s="1818"/>
      <c r="D355" s="1818"/>
      <c r="E355" s="1818"/>
      <c r="F355" s="1818"/>
      <c r="G355" s="1818"/>
      <c r="H355" s="1783"/>
      <c r="I355" s="1783"/>
      <c r="J355" s="1783"/>
      <c r="K355" s="1783"/>
      <c r="L355" s="1783"/>
      <c r="M355" s="1783"/>
      <c r="N355" s="1783"/>
      <c r="O355" s="1783"/>
      <c r="P355" s="1783"/>
      <c r="Q355" s="1783"/>
      <c r="R355" s="1783"/>
      <c r="S355" s="1783"/>
      <c r="T355" s="1783"/>
      <c r="U355" s="1783"/>
      <c r="V355" s="1783"/>
      <c r="W355" s="1783"/>
      <c r="X355" s="1783"/>
      <c r="Y355" s="1783"/>
      <c r="Z355" s="1783"/>
      <c r="AA355" s="1783"/>
      <c r="AB355" s="1783"/>
      <c r="AC355" s="1783"/>
      <c r="AD355" s="1783"/>
      <c r="AE355" s="1783"/>
      <c r="AF355" s="1783"/>
      <c r="AG355" s="1783"/>
      <c r="AH355" s="1783"/>
      <c r="AI355" s="1783"/>
      <c r="AJ355" s="1783"/>
      <c r="AK355" s="1783"/>
      <c r="AL355" s="1783"/>
      <c r="AM355" s="1783"/>
      <c r="AN355" s="1783"/>
      <c r="AO355" s="1783"/>
      <c r="AP355" s="1783"/>
      <c r="AQ355" s="1783"/>
      <c r="AR355" s="1783"/>
      <c r="AS355" s="1783"/>
      <c r="AT355" s="1783"/>
      <c r="AU355" s="1783"/>
      <c r="AV355" s="1783"/>
      <c r="AW355" s="1783"/>
      <c r="AX355" s="1783"/>
      <c r="AY355" s="1783"/>
      <c r="AZ355" s="1783"/>
      <c r="BA355" s="1783"/>
      <c r="BB355" s="1783"/>
      <c r="BC355" s="1783"/>
      <c r="BD355" s="1783"/>
      <c r="BE355" s="1783"/>
      <c r="BF355" s="1783"/>
      <c r="BG355" s="1783"/>
      <c r="BH355" s="1783"/>
      <c r="BI355" s="1783"/>
    </row>
    <row r="356" spans="1:61">
      <c r="A356" s="1819"/>
      <c r="B356" s="1818"/>
      <c r="C356" s="1818"/>
      <c r="D356" s="1818"/>
      <c r="E356" s="1818"/>
      <c r="F356" s="1818"/>
      <c r="G356" s="1818"/>
      <c r="H356" s="1783"/>
      <c r="I356" s="1783"/>
      <c r="J356" s="1783"/>
      <c r="K356" s="1783"/>
      <c r="L356" s="1783"/>
      <c r="M356" s="1783"/>
      <c r="N356" s="1783"/>
      <c r="O356" s="1783"/>
      <c r="P356" s="1783"/>
      <c r="Q356" s="1783"/>
      <c r="R356" s="1783"/>
      <c r="S356" s="1783"/>
      <c r="T356" s="1783"/>
      <c r="U356" s="1783"/>
      <c r="V356" s="1783"/>
      <c r="W356" s="1783"/>
      <c r="X356" s="1783"/>
      <c r="Y356" s="1783"/>
      <c r="Z356" s="1783"/>
      <c r="AA356" s="1783"/>
      <c r="AB356" s="1783"/>
      <c r="AC356" s="1783"/>
      <c r="AD356" s="1783"/>
      <c r="AE356" s="1783"/>
      <c r="AF356" s="1783"/>
      <c r="AG356" s="1783"/>
      <c r="AH356" s="1783"/>
      <c r="AI356" s="1783"/>
      <c r="AJ356" s="1783"/>
      <c r="AK356" s="1783"/>
      <c r="AL356" s="1783"/>
      <c r="AM356" s="1783"/>
      <c r="AN356" s="1783"/>
      <c r="AO356" s="1783"/>
      <c r="AP356" s="1783"/>
      <c r="AQ356" s="1783"/>
      <c r="AR356" s="1783"/>
      <c r="AS356" s="1783"/>
      <c r="AT356" s="1783"/>
      <c r="AU356" s="1783"/>
      <c r="AV356" s="1783"/>
      <c r="AW356" s="1783"/>
      <c r="AX356" s="1783"/>
      <c r="AY356" s="1783"/>
      <c r="AZ356" s="1783"/>
      <c r="BA356" s="1783"/>
      <c r="BB356" s="1783"/>
      <c r="BC356" s="1783"/>
      <c r="BD356" s="1783"/>
      <c r="BE356" s="1783"/>
      <c r="BF356" s="1783"/>
      <c r="BG356" s="1783"/>
      <c r="BH356" s="1783"/>
      <c r="BI356" s="1783"/>
    </row>
    <row r="357" spans="1:61">
      <c r="A357" s="1819"/>
      <c r="B357" s="1818"/>
      <c r="C357" s="1818"/>
      <c r="D357" s="1818"/>
      <c r="E357" s="1818"/>
      <c r="F357" s="1818"/>
      <c r="G357" s="1818"/>
      <c r="H357" s="1783"/>
      <c r="I357" s="1783"/>
      <c r="J357" s="1783"/>
      <c r="K357" s="1783"/>
      <c r="L357" s="1783"/>
      <c r="M357" s="1783"/>
      <c r="N357" s="1783"/>
      <c r="O357" s="1783"/>
      <c r="P357" s="1783"/>
      <c r="Q357" s="1783"/>
      <c r="R357" s="1783"/>
      <c r="S357" s="1783"/>
      <c r="T357" s="1783"/>
      <c r="U357" s="1783"/>
      <c r="V357" s="1783"/>
      <c r="W357" s="1783"/>
      <c r="X357" s="1783"/>
      <c r="Y357" s="1783"/>
      <c r="Z357" s="1783"/>
      <c r="AA357" s="1783"/>
      <c r="AB357" s="1783"/>
      <c r="AC357" s="1783"/>
      <c r="AD357" s="1783"/>
      <c r="AE357" s="1783"/>
      <c r="AF357" s="1783"/>
      <c r="AG357" s="1783"/>
      <c r="AH357" s="1783"/>
      <c r="AI357" s="1783"/>
      <c r="AJ357" s="1783"/>
      <c r="AK357" s="1783"/>
      <c r="AL357" s="1783"/>
      <c r="AM357" s="1783"/>
      <c r="AN357" s="1783"/>
      <c r="AO357" s="1783"/>
      <c r="AP357" s="1783"/>
      <c r="AQ357" s="1783"/>
      <c r="AR357" s="1783"/>
      <c r="AS357" s="1783"/>
      <c r="AT357" s="1783"/>
      <c r="AU357" s="1783"/>
      <c r="AV357" s="1783"/>
      <c r="AW357" s="1783"/>
      <c r="AX357" s="1783"/>
      <c r="AY357" s="1783"/>
      <c r="AZ357" s="1783"/>
      <c r="BA357" s="1783"/>
      <c r="BB357" s="1783"/>
      <c r="BC357" s="1783"/>
      <c r="BD357" s="1783"/>
      <c r="BE357" s="1783"/>
      <c r="BF357" s="1783"/>
      <c r="BG357" s="1783"/>
      <c r="BH357" s="1783"/>
      <c r="BI357" s="1783"/>
    </row>
    <row r="358" spans="1:61">
      <c r="A358" s="1819"/>
      <c r="B358" s="1818"/>
      <c r="C358" s="1818"/>
      <c r="D358" s="1818"/>
      <c r="E358" s="1818"/>
      <c r="F358" s="1818"/>
      <c r="G358" s="1818"/>
      <c r="H358" s="1783"/>
      <c r="I358" s="1783"/>
      <c r="J358" s="1783"/>
      <c r="K358" s="1783"/>
      <c r="L358" s="1783"/>
      <c r="M358" s="1783"/>
      <c r="N358" s="1783"/>
      <c r="O358" s="1783"/>
      <c r="P358" s="1783"/>
      <c r="Q358" s="1783"/>
      <c r="R358" s="1783"/>
      <c r="S358" s="1783"/>
      <c r="T358" s="1783"/>
      <c r="U358" s="1783"/>
      <c r="V358" s="1783"/>
      <c r="W358" s="1783"/>
      <c r="X358" s="1783"/>
      <c r="Y358" s="1783"/>
      <c r="Z358" s="1783"/>
      <c r="AA358" s="1783"/>
      <c r="AB358" s="1783"/>
      <c r="AC358" s="1783"/>
      <c r="AD358" s="1783"/>
      <c r="AE358" s="1783"/>
      <c r="AF358" s="1783"/>
      <c r="AG358" s="1783"/>
      <c r="AH358" s="1783"/>
      <c r="AI358" s="1783"/>
      <c r="AJ358" s="1783"/>
      <c r="AK358" s="1783"/>
      <c r="AL358" s="1783"/>
      <c r="AM358" s="1783"/>
      <c r="AN358" s="1783"/>
      <c r="AO358" s="1783"/>
      <c r="AP358" s="1783"/>
      <c r="AQ358" s="1783"/>
      <c r="AR358" s="1783"/>
      <c r="AS358" s="1783"/>
      <c r="AT358" s="1783"/>
      <c r="AU358" s="1783"/>
      <c r="AV358" s="1783"/>
      <c r="AW358" s="1783"/>
      <c r="AX358" s="1783"/>
      <c r="AY358" s="1783"/>
      <c r="AZ358" s="1783"/>
      <c r="BA358" s="1783"/>
      <c r="BB358" s="1783"/>
      <c r="BC358" s="1783"/>
      <c r="BD358" s="1783"/>
      <c r="BE358" s="1783"/>
      <c r="BF358" s="1783"/>
      <c r="BG358" s="1783"/>
      <c r="BH358" s="1783"/>
      <c r="BI358" s="1783"/>
    </row>
    <row r="359" spans="1:61">
      <c r="A359" s="1819"/>
      <c r="B359" s="1818"/>
      <c r="C359" s="1818"/>
      <c r="D359" s="1818"/>
      <c r="E359" s="1818"/>
      <c r="F359" s="1818"/>
      <c r="G359" s="1818"/>
      <c r="H359" s="1783"/>
      <c r="I359" s="1783"/>
      <c r="J359" s="1783"/>
      <c r="K359" s="1783"/>
      <c r="L359" s="1783"/>
      <c r="M359" s="1783"/>
      <c r="N359" s="1783"/>
      <c r="O359" s="1783"/>
      <c r="P359" s="1783"/>
      <c r="Q359" s="1783"/>
      <c r="R359" s="1783"/>
      <c r="S359" s="1783"/>
      <c r="T359" s="1783"/>
      <c r="U359" s="1783"/>
      <c r="V359" s="1783"/>
      <c r="W359" s="1783"/>
      <c r="X359" s="1783"/>
      <c r="Y359" s="1783"/>
      <c r="Z359" s="1783"/>
      <c r="AA359" s="1783"/>
      <c r="AB359" s="1783"/>
      <c r="AC359" s="1783"/>
      <c r="AD359" s="1783"/>
      <c r="AE359" s="1783"/>
      <c r="AF359" s="1783"/>
      <c r="AG359" s="1783"/>
      <c r="AH359" s="1783"/>
      <c r="AI359" s="1783"/>
      <c r="AJ359" s="1783"/>
      <c r="AK359" s="1783"/>
      <c r="AL359" s="1783"/>
      <c r="AM359" s="1783"/>
      <c r="AN359" s="1783"/>
      <c r="AO359" s="1783"/>
      <c r="AP359" s="1783"/>
      <c r="AQ359" s="1783"/>
      <c r="AR359" s="1783"/>
      <c r="AS359" s="1783"/>
      <c r="AT359" s="1783"/>
      <c r="AU359" s="1783"/>
      <c r="AV359" s="1783"/>
      <c r="AW359" s="1783"/>
      <c r="AX359" s="1783"/>
      <c r="AY359" s="1783"/>
      <c r="AZ359" s="1783"/>
      <c r="BA359" s="1783"/>
      <c r="BB359" s="1783"/>
      <c r="BC359" s="1783"/>
      <c r="BD359" s="1783"/>
      <c r="BE359" s="1783"/>
      <c r="BF359" s="1783"/>
      <c r="BG359" s="1783"/>
      <c r="BH359" s="1783"/>
      <c r="BI359" s="1783"/>
    </row>
    <row r="360" spans="1:61">
      <c r="A360" s="1819"/>
      <c r="B360" s="1818"/>
      <c r="C360" s="1818"/>
      <c r="D360" s="1818"/>
      <c r="E360" s="1818"/>
      <c r="F360" s="1818"/>
      <c r="G360" s="1818"/>
      <c r="H360" s="1783"/>
      <c r="I360" s="1783"/>
      <c r="J360" s="1783"/>
      <c r="K360" s="1783"/>
      <c r="L360" s="1783"/>
      <c r="M360" s="1783"/>
      <c r="N360" s="1783"/>
      <c r="O360" s="1783"/>
      <c r="P360" s="1783"/>
      <c r="Q360" s="1783"/>
      <c r="R360" s="1783"/>
      <c r="S360" s="1783"/>
      <c r="T360" s="1783"/>
      <c r="U360" s="1783"/>
      <c r="V360" s="1783"/>
      <c r="W360" s="1783"/>
      <c r="X360" s="1783"/>
      <c r="Y360" s="1783"/>
      <c r="Z360" s="1783"/>
      <c r="AA360" s="1783"/>
      <c r="AB360" s="1783"/>
      <c r="AC360" s="1783"/>
      <c r="AD360" s="1783"/>
      <c r="AE360" s="1783"/>
      <c r="AF360" s="1783"/>
      <c r="AG360" s="1783"/>
      <c r="AH360" s="1783"/>
      <c r="AI360" s="1783"/>
      <c r="AJ360" s="1783"/>
      <c r="AK360" s="1783"/>
      <c r="AL360" s="1783"/>
      <c r="AM360" s="1783"/>
      <c r="AN360" s="1783"/>
      <c r="AO360" s="1783"/>
      <c r="AP360" s="1783"/>
      <c r="AQ360" s="1783"/>
      <c r="AR360" s="1783"/>
      <c r="AS360" s="1783"/>
      <c r="AT360" s="1783"/>
      <c r="AU360" s="1783"/>
      <c r="AV360" s="1783"/>
      <c r="AW360" s="1783"/>
      <c r="AX360" s="1783"/>
      <c r="AY360" s="1783"/>
      <c r="AZ360" s="1783"/>
      <c r="BA360" s="1783"/>
      <c r="BB360" s="1783"/>
      <c r="BC360" s="1783"/>
      <c r="BD360" s="1783"/>
      <c r="BE360" s="1783"/>
      <c r="BF360" s="1783"/>
      <c r="BG360" s="1783"/>
      <c r="BH360" s="1783"/>
      <c r="BI360" s="1783"/>
    </row>
    <row r="361" spans="1:61">
      <c r="A361" s="1819"/>
      <c r="B361" s="1818"/>
      <c r="C361" s="1818"/>
      <c r="D361" s="1818"/>
      <c r="E361" s="1818"/>
      <c r="F361" s="1818"/>
      <c r="G361" s="1818"/>
      <c r="H361" s="1783"/>
      <c r="I361" s="1783"/>
      <c r="J361" s="1783"/>
      <c r="K361" s="1783"/>
      <c r="L361" s="1783"/>
      <c r="M361" s="1783"/>
      <c r="N361" s="1783"/>
      <c r="O361" s="1783"/>
      <c r="P361" s="1783"/>
      <c r="Q361" s="1783"/>
      <c r="R361" s="1783"/>
      <c r="S361" s="1783"/>
      <c r="T361" s="1783"/>
      <c r="U361" s="1783"/>
      <c r="V361" s="1783"/>
      <c r="W361" s="1783"/>
      <c r="X361" s="1783"/>
      <c r="Y361" s="1783"/>
      <c r="Z361" s="1783"/>
      <c r="AA361" s="1783"/>
      <c r="AB361" s="1783"/>
      <c r="AC361" s="1783"/>
      <c r="AD361" s="1783"/>
      <c r="AE361" s="1783"/>
      <c r="AF361" s="1783"/>
      <c r="AG361" s="1783"/>
      <c r="AH361" s="1783"/>
      <c r="AI361" s="1783"/>
      <c r="AJ361" s="1783"/>
      <c r="AK361" s="1783"/>
      <c r="AL361" s="1783"/>
      <c r="AM361" s="1783"/>
      <c r="AN361" s="1783"/>
      <c r="AO361" s="1783"/>
      <c r="AP361" s="1783"/>
      <c r="AQ361" s="1783"/>
      <c r="AR361" s="1783"/>
      <c r="AS361" s="1783"/>
      <c r="AT361" s="1783"/>
      <c r="AU361" s="1783"/>
      <c r="AV361" s="1783"/>
      <c r="AW361" s="1783"/>
      <c r="AX361" s="1783"/>
      <c r="AY361" s="1783"/>
      <c r="AZ361" s="1783"/>
      <c r="BA361" s="1783"/>
      <c r="BB361" s="1783"/>
      <c r="BC361" s="1783"/>
      <c r="BD361" s="1783"/>
      <c r="BE361" s="1783"/>
      <c r="BF361" s="1783"/>
      <c r="BG361" s="1783"/>
      <c r="BH361" s="1783"/>
      <c r="BI361" s="1783"/>
    </row>
    <row r="362" spans="1:61">
      <c r="A362" s="1819"/>
      <c r="B362" s="1818"/>
      <c r="C362" s="1818"/>
      <c r="D362" s="1818"/>
      <c r="E362" s="1818"/>
      <c r="F362" s="1818"/>
      <c r="G362" s="1818"/>
      <c r="H362" s="1783"/>
      <c r="I362" s="1783"/>
      <c r="J362" s="1783"/>
      <c r="K362" s="1783"/>
      <c r="L362" s="1783"/>
      <c r="M362" s="1783"/>
      <c r="N362" s="1783"/>
      <c r="O362" s="1783"/>
      <c r="P362" s="1783"/>
      <c r="Q362" s="1783"/>
      <c r="R362" s="1783"/>
      <c r="S362" s="1783"/>
      <c r="T362" s="1783"/>
      <c r="U362" s="1783"/>
      <c r="V362" s="1783"/>
      <c r="W362" s="1783"/>
      <c r="X362" s="1783"/>
      <c r="Y362" s="1783"/>
      <c r="Z362" s="1783"/>
      <c r="AA362" s="1783"/>
      <c r="AB362" s="1783"/>
      <c r="AC362" s="1783"/>
      <c r="AD362" s="1783"/>
      <c r="AE362" s="1783"/>
      <c r="AF362" s="1783"/>
      <c r="AG362" s="1783"/>
      <c r="AH362" s="1783"/>
      <c r="AI362" s="1783"/>
      <c r="AJ362" s="1783"/>
      <c r="AK362" s="1783"/>
      <c r="AL362" s="1783"/>
      <c r="AM362" s="1783"/>
      <c r="AN362" s="1783"/>
      <c r="AO362" s="1783"/>
      <c r="AP362" s="1783"/>
      <c r="AQ362" s="1783"/>
      <c r="AR362" s="1783"/>
      <c r="AS362" s="1783"/>
      <c r="AT362" s="1783"/>
      <c r="AU362" s="1783"/>
      <c r="AV362" s="1783"/>
      <c r="AW362" s="1783"/>
      <c r="AX362" s="1783"/>
      <c r="AY362" s="1783"/>
      <c r="AZ362" s="1783"/>
      <c r="BA362" s="1783"/>
      <c r="BB362" s="1783"/>
      <c r="BC362" s="1783"/>
      <c r="BD362" s="1783"/>
      <c r="BE362" s="1783"/>
      <c r="BF362" s="1783"/>
      <c r="BG362" s="1783"/>
      <c r="BH362" s="1783"/>
      <c r="BI362" s="1783"/>
    </row>
    <row r="363" spans="1:61">
      <c r="A363" s="1819"/>
      <c r="B363" s="1818"/>
      <c r="C363" s="1818"/>
      <c r="D363" s="1818"/>
      <c r="E363" s="1818"/>
      <c r="F363" s="1818"/>
      <c r="G363" s="1818"/>
      <c r="H363" s="1783"/>
      <c r="I363" s="1783"/>
      <c r="J363" s="1783"/>
      <c r="K363" s="1783"/>
      <c r="L363" s="1783"/>
      <c r="M363" s="1783"/>
      <c r="N363" s="1783"/>
      <c r="O363" s="1783"/>
      <c r="P363" s="1783"/>
      <c r="Q363" s="1783"/>
      <c r="R363" s="1783"/>
      <c r="S363" s="1783"/>
      <c r="T363" s="1783"/>
      <c r="U363" s="1783"/>
      <c r="V363" s="1783"/>
      <c r="W363" s="1783"/>
      <c r="X363" s="1783"/>
      <c r="Y363" s="1783"/>
      <c r="Z363" s="1783"/>
      <c r="AA363" s="1783"/>
      <c r="AB363" s="1783"/>
      <c r="AC363" s="1783"/>
      <c r="AD363" s="1783"/>
      <c r="AE363" s="1783"/>
      <c r="AF363" s="1783"/>
      <c r="AG363" s="1783"/>
      <c r="AH363" s="1783"/>
      <c r="AI363" s="1783"/>
      <c r="AJ363" s="1783"/>
      <c r="AK363" s="1783"/>
      <c r="AL363" s="1783"/>
      <c r="AM363" s="1783"/>
      <c r="AN363" s="1783"/>
      <c r="AO363" s="1783"/>
      <c r="AP363" s="1783"/>
      <c r="AQ363" s="1783"/>
      <c r="AR363" s="1783"/>
      <c r="AS363" s="1783"/>
      <c r="AT363" s="1783"/>
      <c r="AU363" s="1783"/>
      <c r="AV363" s="1783"/>
      <c r="AW363" s="1783"/>
      <c r="AX363" s="1783"/>
      <c r="AY363" s="1783"/>
      <c r="AZ363" s="1783"/>
      <c r="BA363" s="1783"/>
      <c r="BB363" s="1783"/>
      <c r="BC363" s="1783"/>
      <c r="BD363" s="1783"/>
      <c r="BE363" s="1783"/>
      <c r="BF363" s="1783"/>
      <c r="BG363" s="1783"/>
      <c r="BH363" s="1783"/>
      <c r="BI363" s="1783"/>
    </row>
    <row r="364" spans="1:61">
      <c r="A364" s="1819"/>
      <c r="B364" s="1818"/>
      <c r="C364" s="1818"/>
      <c r="D364" s="1818"/>
      <c r="E364" s="1818"/>
      <c r="F364" s="1818"/>
      <c r="G364" s="1818"/>
      <c r="H364" s="1783"/>
      <c r="I364" s="1783"/>
      <c r="J364" s="1783"/>
      <c r="K364" s="1783"/>
      <c r="L364" s="1783"/>
      <c r="M364" s="1783"/>
      <c r="N364" s="1783"/>
      <c r="O364" s="1783"/>
      <c r="P364" s="1783"/>
      <c r="Q364" s="1783"/>
      <c r="R364" s="1783"/>
      <c r="S364" s="1783"/>
      <c r="T364" s="1783"/>
      <c r="U364" s="1783"/>
      <c r="V364" s="1783"/>
      <c r="W364" s="1783"/>
      <c r="X364" s="1783"/>
      <c r="Y364" s="1783"/>
      <c r="Z364" s="1783"/>
      <c r="AA364" s="1783"/>
      <c r="AB364" s="1783"/>
      <c r="AC364" s="1783"/>
      <c r="AD364" s="1783"/>
      <c r="AE364" s="1783"/>
      <c r="AF364" s="1783"/>
      <c r="AG364" s="1783"/>
      <c r="AH364" s="1783"/>
      <c r="AI364" s="1783"/>
      <c r="AJ364" s="1783"/>
      <c r="AK364" s="1783"/>
      <c r="AL364" s="1783"/>
      <c r="AM364" s="1783"/>
      <c r="AN364" s="1783"/>
      <c r="AO364" s="1783"/>
      <c r="AP364" s="1783"/>
      <c r="AQ364" s="1783"/>
      <c r="AR364" s="1783"/>
      <c r="AS364" s="1783"/>
      <c r="AT364" s="1783"/>
      <c r="AU364" s="1783"/>
      <c r="AV364" s="1783"/>
      <c r="AW364" s="1783"/>
      <c r="AX364" s="1783"/>
      <c r="AY364" s="1783"/>
      <c r="AZ364" s="1783"/>
      <c r="BA364" s="1783"/>
      <c r="BB364" s="1783"/>
      <c r="BC364" s="1783"/>
      <c r="BD364" s="1783"/>
      <c r="BE364" s="1783"/>
      <c r="BF364" s="1783"/>
      <c r="BG364" s="1783"/>
      <c r="BH364" s="1783"/>
      <c r="BI364" s="1783"/>
    </row>
    <row r="365" spans="1:61">
      <c r="A365" s="1819"/>
      <c r="B365" s="1818"/>
      <c r="C365" s="1818"/>
      <c r="D365" s="1818"/>
      <c r="E365" s="1818"/>
      <c r="F365" s="1818"/>
      <c r="G365" s="1818"/>
      <c r="H365" s="1783"/>
      <c r="I365" s="1783"/>
      <c r="J365" s="1783"/>
      <c r="K365" s="1783"/>
      <c r="L365" s="1783"/>
      <c r="M365" s="1783"/>
      <c r="N365" s="1783"/>
      <c r="O365" s="1783"/>
      <c r="P365" s="1783"/>
      <c r="Q365" s="1783"/>
      <c r="R365" s="1783"/>
      <c r="S365" s="1783"/>
      <c r="T365" s="1783"/>
      <c r="U365" s="1783"/>
      <c r="V365" s="1783"/>
      <c r="W365" s="1783"/>
      <c r="X365" s="1783"/>
      <c r="Y365" s="1783"/>
      <c r="Z365" s="1783"/>
      <c r="AA365" s="1783"/>
      <c r="AB365" s="1783"/>
      <c r="AC365" s="1783"/>
      <c r="AD365" s="1783"/>
      <c r="AE365" s="1783"/>
      <c r="AF365" s="1783"/>
      <c r="AG365" s="1783"/>
      <c r="AH365" s="1783"/>
      <c r="AI365" s="1783"/>
      <c r="AJ365" s="1783"/>
      <c r="AK365" s="1783"/>
      <c r="AL365" s="1783"/>
      <c r="AM365" s="1783"/>
      <c r="AN365" s="1783"/>
      <c r="AO365" s="1783"/>
      <c r="AP365" s="1783"/>
      <c r="AQ365" s="1783"/>
      <c r="AR365" s="1783"/>
      <c r="AS365" s="1783"/>
      <c r="AT365" s="1783"/>
      <c r="AU365" s="1783"/>
      <c r="AV365" s="1783"/>
      <c r="AW365" s="1783"/>
      <c r="AX365" s="1783"/>
      <c r="AY365" s="1783"/>
      <c r="AZ365" s="1783"/>
      <c r="BA365" s="1783"/>
      <c r="BB365" s="1783"/>
      <c r="BC365" s="1783"/>
      <c r="BD365" s="1783"/>
      <c r="BE365" s="1783"/>
      <c r="BF365" s="1783"/>
      <c r="BG365" s="1783"/>
      <c r="BH365" s="1783"/>
      <c r="BI365" s="1783"/>
    </row>
    <row r="366" spans="1:61">
      <c r="A366" s="1819"/>
      <c r="B366" s="1818"/>
      <c r="C366" s="1818"/>
      <c r="D366" s="1818"/>
      <c r="E366" s="1818"/>
      <c r="F366" s="1818"/>
      <c r="G366" s="1818"/>
      <c r="H366" s="1783"/>
      <c r="I366" s="1783"/>
      <c r="J366" s="1783"/>
      <c r="K366" s="1783"/>
      <c r="L366" s="1783"/>
      <c r="M366" s="1783"/>
      <c r="N366" s="1783"/>
      <c r="O366" s="1783"/>
      <c r="P366" s="1783"/>
      <c r="Q366" s="1783"/>
      <c r="R366" s="1783"/>
      <c r="S366" s="1783"/>
      <c r="T366" s="1783"/>
      <c r="U366" s="1783"/>
      <c r="V366" s="1783"/>
      <c r="W366" s="1783"/>
      <c r="X366" s="1783"/>
      <c r="Y366" s="1783"/>
      <c r="Z366" s="1783"/>
      <c r="AA366" s="1783"/>
      <c r="AB366" s="1783"/>
      <c r="AC366" s="1783"/>
      <c r="AD366" s="1783"/>
      <c r="AE366" s="1783"/>
      <c r="AF366" s="1783"/>
      <c r="AG366" s="1783"/>
      <c r="AH366" s="1783"/>
      <c r="AI366" s="1783"/>
      <c r="AJ366" s="1783"/>
      <c r="AK366" s="1783"/>
      <c r="AL366" s="1783"/>
      <c r="AM366" s="1783"/>
      <c r="AN366" s="1783"/>
      <c r="AO366" s="1783"/>
      <c r="AP366" s="1783"/>
      <c r="AQ366" s="1783"/>
      <c r="AR366" s="1783"/>
      <c r="AS366" s="1783"/>
      <c r="AT366" s="1783"/>
      <c r="AU366" s="1783"/>
      <c r="AV366" s="1783"/>
      <c r="AW366" s="1783"/>
      <c r="AX366" s="1783"/>
      <c r="AY366" s="1783"/>
      <c r="AZ366" s="1783"/>
      <c r="BA366" s="1783"/>
      <c r="BB366" s="1783"/>
      <c r="BC366" s="1783"/>
      <c r="BD366" s="1783"/>
      <c r="BE366" s="1783"/>
      <c r="BF366" s="1783"/>
      <c r="BG366" s="1783"/>
      <c r="BH366" s="1783"/>
      <c r="BI366" s="1783"/>
    </row>
    <row r="367" spans="1:61">
      <c r="A367" s="1819"/>
      <c r="B367" s="1818"/>
      <c r="C367" s="1818"/>
      <c r="D367" s="1818"/>
      <c r="E367" s="1818"/>
      <c r="F367" s="1818"/>
      <c r="G367" s="1818"/>
      <c r="H367" s="1783"/>
      <c r="I367" s="1783"/>
      <c r="J367" s="1783"/>
      <c r="K367" s="1783"/>
      <c r="L367" s="1783"/>
      <c r="M367" s="1783"/>
      <c r="N367" s="1783"/>
      <c r="O367" s="1783"/>
      <c r="P367" s="1783"/>
      <c r="Q367" s="1783"/>
      <c r="R367" s="1783"/>
      <c r="S367" s="1783"/>
      <c r="T367" s="1783"/>
      <c r="U367" s="1783"/>
      <c r="V367" s="1783"/>
      <c r="W367" s="1783"/>
      <c r="X367" s="1783"/>
      <c r="Y367" s="1783"/>
      <c r="Z367" s="1783"/>
      <c r="AA367" s="1783"/>
      <c r="AB367" s="1783"/>
      <c r="AC367" s="1783"/>
      <c r="AD367" s="1783"/>
      <c r="AE367" s="1783"/>
      <c r="AF367" s="1783"/>
      <c r="AG367" s="1783"/>
      <c r="AH367" s="1783"/>
      <c r="AI367" s="1783"/>
      <c r="AJ367" s="1783"/>
      <c r="AK367" s="1783"/>
      <c r="AL367" s="1783"/>
      <c r="AM367" s="1783"/>
      <c r="AN367" s="1783"/>
      <c r="AO367" s="1783"/>
      <c r="AP367" s="1783"/>
      <c r="AQ367" s="1783"/>
      <c r="AR367" s="1783"/>
      <c r="AS367" s="1783"/>
      <c r="AT367" s="1783"/>
      <c r="AU367" s="1783"/>
      <c r="AV367" s="1783"/>
      <c r="AW367" s="1783"/>
      <c r="AX367" s="1783"/>
      <c r="AY367" s="1783"/>
      <c r="AZ367" s="1783"/>
      <c r="BA367" s="1783"/>
      <c r="BB367" s="1783"/>
      <c r="BC367" s="1783"/>
      <c r="BD367" s="1783"/>
      <c r="BE367" s="1783"/>
      <c r="BF367" s="1783"/>
      <c r="BG367" s="1783"/>
      <c r="BH367" s="1783"/>
      <c r="BI367" s="1783"/>
    </row>
    <row r="368" spans="1:61">
      <c r="A368" s="1819"/>
      <c r="B368" s="1818"/>
      <c r="C368" s="1818"/>
      <c r="D368" s="1818"/>
      <c r="E368" s="1818"/>
      <c r="F368" s="1818"/>
      <c r="G368" s="1818"/>
      <c r="H368" s="1783"/>
      <c r="I368" s="1783"/>
      <c r="J368" s="1783"/>
      <c r="K368" s="1783"/>
      <c r="L368" s="1783"/>
      <c r="M368" s="1783"/>
      <c r="N368" s="1783"/>
      <c r="O368" s="1783"/>
      <c r="P368" s="1783"/>
      <c r="Q368" s="1783"/>
      <c r="R368" s="1783"/>
      <c r="S368" s="1783"/>
      <c r="T368" s="1783"/>
      <c r="U368" s="1783"/>
      <c r="V368" s="1783"/>
      <c r="W368" s="1783"/>
      <c r="X368" s="1783"/>
      <c r="Y368" s="1783"/>
      <c r="Z368" s="1783"/>
      <c r="AA368" s="1783"/>
      <c r="AB368" s="1783"/>
      <c r="AC368" s="1783"/>
      <c r="AD368" s="1783"/>
      <c r="AE368" s="1783"/>
      <c r="AF368" s="1783"/>
      <c r="AG368" s="1783"/>
      <c r="AH368" s="1783"/>
      <c r="AI368" s="1783"/>
      <c r="AJ368" s="1783"/>
      <c r="AK368" s="1783"/>
      <c r="AL368" s="1783"/>
      <c r="AM368" s="1783"/>
      <c r="AN368" s="1783"/>
      <c r="AO368" s="1783"/>
      <c r="AP368" s="1783"/>
      <c r="AQ368" s="1783"/>
      <c r="AR368" s="1783"/>
      <c r="AS368" s="1783"/>
      <c r="AT368" s="1783"/>
      <c r="AU368" s="1783"/>
      <c r="AV368" s="1783"/>
      <c r="AW368" s="1783"/>
      <c r="AX368" s="1783"/>
      <c r="AY368" s="1783"/>
      <c r="AZ368" s="1783"/>
      <c r="BA368" s="1783"/>
      <c r="BB368" s="1783"/>
      <c r="BC368" s="1783"/>
      <c r="BD368" s="1783"/>
      <c r="BE368" s="1783"/>
      <c r="BF368" s="1783"/>
      <c r="BG368" s="1783"/>
      <c r="BH368" s="1783"/>
      <c r="BI368" s="1783"/>
    </row>
    <row r="369" spans="1:61">
      <c r="A369" s="1819"/>
      <c r="B369" s="1818"/>
      <c r="C369" s="1818"/>
      <c r="D369" s="1818"/>
      <c r="E369" s="1818"/>
      <c r="F369" s="1818"/>
      <c r="G369" s="1818"/>
      <c r="H369" s="1783"/>
      <c r="I369" s="1783"/>
      <c r="J369" s="1783"/>
      <c r="K369" s="1783"/>
      <c r="L369" s="1783"/>
      <c r="M369" s="1783"/>
      <c r="N369" s="1783"/>
      <c r="O369" s="1783"/>
      <c r="P369" s="1783"/>
      <c r="Q369" s="1783"/>
      <c r="R369" s="1783"/>
      <c r="S369" s="1783"/>
      <c r="T369" s="1783"/>
      <c r="U369" s="1783"/>
      <c r="V369" s="1783"/>
      <c r="W369" s="1783"/>
      <c r="X369" s="1783"/>
      <c r="Y369" s="1783"/>
      <c r="Z369" s="1783"/>
      <c r="AA369" s="1783"/>
      <c r="AB369" s="1783"/>
      <c r="AC369" s="1783"/>
      <c r="AD369" s="1783"/>
      <c r="AE369" s="1783"/>
      <c r="AF369" s="1783"/>
      <c r="AG369" s="1783"/>
      <c r="AH369" s="1783"/>
      <c r="AI369" s="1783"/>
      <c r="AJ369" s="1783"/>
      <c r="AK369" s="1783"/>
      <c r="AL369" s="1783"/>
      <c r="AM369" s="1783"/>
      <c r="AN369" s="1783"/>
      <c r="AO369" s="1783"/>
      <c r="AP369" s="1783"/>
      <c r="AQ369" s="1783"/>
      <c r="AR369" s="1783"/>
      <c r="AS369" s="1783"/>
      <c r="AT369" s="1783"/>
      <c r="AU369" s="1783"/>
      <c r="AV369" s="1783"/>
      <c r="AW369" s="1783"/>
      <c r="AX369" s="1783"/>
      <c r="AY369" s="1783"/>
      <c r="AZ369" s="1783"/>
      <c r="BA369" s="1783"/>
      <c r="BB369" s="1783"/>
      <c r="BC369" s="1783"/>
      <c r="BD369" s="1783"/>
      <c r="BE369" s="1783"/>
      <c r="BF369" s="1783"/>
      <c r="BG369" s="1783"/>
      <c r="BH369" s="1783"/>
      <c r="BI369" s="1783"/>
    </row>
    <row r="370" spans="1:61">
      <c r="A370" s="1819"/>
      <c r="B370" s="1818"/>
      <c r="C370" s="1818"/>
      <c r="D370" s="1818"/>
      <c r="E370" s="1818"/>
      <c r="F370" s="1818"/>
      <c r="G370" s="1818"/>
      <c r="H370" s="1783"/>
      <c r="I370" s="1783"/>
      <c r="J370" s="1783"/>
      <c r="K370" s="1783"/>
      <c r="L370" s="1783"/>
      <c r="M370" s="1783"/>
      <c r="N370" s="1783"/>
      <c r="O370" s="1783"/>
      <c r="P370" s="1783"/>
      <c r="Q370" s="1783"/>
      <c r="R370" s="1783"/>
      <c r="S370" s="1783"/>
      <c r="T370" s="1783"/>
      <c r="U370" s="1783"/>
      <c r="V370" s="1783"/>
      <c r="W370" s="1783"/>
      <c r="X370" s="1783"/>
      <c r="Y370" s="1783"/>
      <c r="Z370" s="1783"/>
      <c r="AA370" s="1783"/>
      <c r="AB370" s="1783"/>
      <c r="AC370" s="1783"/>
      <c r="AD370" s="1783"/>
      <c r="AE370" s="1783"/>
      <c r="AF370" s="1783"/>
      <c r="AG370" s="1783"/>
      <c r="AH370" s="1783"/>
      <c r="AI370" s="1783"/>
      <c r="AJ370" s="1783"/>
      <c r="AK370" s="1783"/>
      <c r="AL370" s="1783"/>
      <c r="AM370" s="1783"/>
      <c r="AN370" s="1783"/>
      <c r="AO370" s="1783"/>
      <c r="AP370" s="1783"/>
      <c r="AQ370" s="1783"/>
      <c r="AR370" s="1783"/>
      <c r="AS370" s="1783"/>
      <c r="AT370" s="1783"/>
      <c r="AU370" s="1783"/>
      <c r="AV370" s="1783"/>
      <c r="AW370" s="1783"/>
      <c r="AX370" s="1783"/>
      <c r="AY370" s="1783"/>
      <c r="AZ370" s="1783"/>
      <c r="BA370" s="1783"/>
      <c r="BB370" s="1783"/>
      <c r="BC370" s="1783"/>
      <c r="BD370" s="1783"/>
      <c r="BE370" s="1783"/>
      <c r="BF370" s="1783"/>
      <c r="BG370" s="1783"/>
      <c r="BH370" s="1783"/>
      <c r="BI370" s="1783"/>
    </row>
    <row r="371" spans="1:61">
      <c r="A371" s="1819"/>
      <c r="B371" s="1818"/>
      <c r="C371" s="1818"/>
      <c r="D371" s="1818"/>
      <c r="E371" s="1818"/>
      <c r="F371" s="1818"/>
      <c r="G371" s="1818"/>
      <c r="H371" s="1783"/>
      <c r="I371" s="1783"/>
      <c r="J371" s="1783"/>
      <c r="K371" s="1783"/>
      <c r="L371" s="1783"/>
      <c r="M371" s="1783"/>
      <c r="N371" s="1783"/>
      <c r="O371" s="1783"/>
      <c r="P371" s="1783"/>
      <c r="Q371" s="1783"/>
      <c r="R371" s="1783"/>
      <c r="S371" s="1783"/>
      <c r="T371" s="1783"/>
      <c r="U371" s="1783"/>
      <c r="V371" s="1783"/>
      <c r="W371" s="1783"/>
      <c r="X371" s="1783"/>
      <c r="Y371" s="1783"/>
      <c r="Z371" s="1783"/>
      <c r="AA371" s="1783"/>
      <c r="AB371" s="1783"/>
      <c r="AC371" s="1783"/>
      <c r="AD371" s="1783"/>
      <c r="AE371" s="1783"/>
      <c r="AF371" s="1783"/>
      <c r="AG371" s="1783"/>
      <c r="AH371" s="1783"/>
      <c r="AI371" s="1783"/>
      <c r="AJ371" s="1783"/>
      <c r="AK371" s="1783"/>
      <c r="AL371" s="1783"/>
      <c r="AM371" s="1783"/>
      <c r="AN371" s="1783"/>
      <c r="AO371" s="1783"/>
      <c r="AP371" s="1783"/>
      <c r="AQ371" s="1783"/>
      <c r="AR371" s="1783"/>
      <c r="AS371" s="1783"/>
      <c r="AT371" s="1783"/>
      <c r="AU371" s="1783"/>
      <c r="AV371" s="1783"/>
      <c r="AW371" s="1783"/>
      <c r="AX371" s="1783"/>
      <c r="AY371" s="1783"/>
      <c r="AZ371" s="1783"/>
      <c r="BA371" s="1783"/>
      <c r="BB371" s="1783"/>
      <c r="BC371" s="1783"/>
      <c r="BD371" s="1783"/>
      <c r="BE371" s="1783"/>
      <c r="BF371" s="1783"/>
      <c r="BG371" s="1783"/>
      <c r="BH371" s="1783"/>
      <c r="BI371" s="1783"/>
    </row>
    <row r="372" spans="1:61">
      <c r="A372" s="1819"/>
      <c r="B372" s="1818"/>
      <c r="C372" s="1818"/>
      <c r="D372" s="1818"/>
      <c r="E372" s="1818"/>
      <c r="F372" s="1818"/>
      <c r="G372" s="1818"/>
      <c r="H372" s="1783"/>
      <c r="I372" s="1783"/>
      <c r="J372" s="1783"/>
      <c r="K372" s="1783"/>
      <c r="L372" s="1783"/>
      <c r="M372" s="1783"/>
      <c r="N372" s="1783"/>
      <c r="O372" s="1783"/>
      <c r="P372" s="1783"/>
      <c r="Q372" s="1783"/>
      <c r="R372" s="1783"/>
      <c r="S372" s="1783"/>
      <c r="T372" s="1783"/>
      <c r="U372" s="1783"/>
      <c r="V372" s="1783"/>
      <c r="W372" s="1783"/>
      <c r="X372" s="1783"/>
      <c r="Y372" s="1783"/>
      <c r="Z372" s="1783"/>
      <c r="AA372" s="1783"/>
      <c r="AB372" s="1783"/>
      <c r="AC372" s="1783"/>
      <c r="AD372" s="1783"/>
      <c r="AE372" s="1783"/>
      <c r="AF372" s="1783"/>
      <c r="AG372" s="1783"/>
      <c r="AH372" s="1783"/>
      <c r="AI372" s="1783"/>
      <c r="AJ372" s="1783"/>
      <c r="AK372" s="1783"/>
      <c r="AL372" s="1783"/>
      <c r="AM372" s="1783"/>
      <c r="AN372" s="1783"/>
      <c r="AO372" s="1783"/>
      <c r="AP372" s="1783"/>
      <c r="AQ372" s="1783"/>
      <c r="AR372" s="1783"/>
      <c r="AS372" s="1783"/>
      <c r="AT372" s="1783"/>
      <c r="AU372" s="1783"/>
      <c r="AV372" s="1783"/>
      <c r="AW372" s="1783"/>
      <c r="AX372" s="1783"/>
      <c r="AY372" s="1783"/>
      <c r="AZ372" s="1783"/>
      <c r="BA372" s="1783"/>
      <c r="BB372" s="1783"/>
      <c r="BC372" s="1783"/>
      <c r="BD372" s="1783"/>
      <c r="BE372" s="1783"/>
      <c r="BF372" s="1783"/>
      <c r="BG372" s="1783"/>
      <c r="BH372" s="1783"/>
      <c r="BI372" s="1783"/>
    </row>
    <row r="373" spans="1:61">
      <c r="A373" s="1819"/>
      <c r="B373" s="1818"/>
      <c r="C373" s="1818"/>
      <c r="D373" s="1818"/>
      <c r="E373" s="1818"/>
      <c r="F373" s="1818"/>
      <c r="G373" s="1818"/>
      <c r="H373" s="1783"/>
      <c r="I373" s="1783"/>
      <c r="J373" s="1783"/>
      <c r="K373" s="1783"/>
      <c r="L373" s="1783"/>
      <c r="M373" s="1783"/>
      <c r="N373" s="1783"/>
      <c r="O373" s="1783"/>
      <c r="P373" s="1783"/>
      <c r="Q373" s="1783"/>
      <c r="R373" s="1783"/>
      <c r="S373" s="1783"/>
      <c r="T373" s="1783"/>
      <c r="U373" s="1783"/>
      <c r="V373" s="1783"/>
      <c r="W373" s="1783"/>
      <c r="X373" s="1783"/>
      <c r="Y373" s="1783"/>
      <c r="Z373" s="1783"/>
      <c r="AA373" s="1783"/>
      <c r="AB373" s="1783"/>
      <c r="AC373" s="1783"/>
      <c r="AD373" s="1783"/>
      <c r="AE373" s="1783"/>
      <c r="AF373" s="1783"/>
      <c r="AG373" s="1783"/>
      <c r="AH373" s="1783"/>
      <c r="AI373" s="1783"/>
      <c r="AJ373" s="1783"/>
      <c r="AK373" s="1783"/>
      <c r="AL373" s="1783"/>
      <c r="AM373" s="1783"/>
      <c r="AN373" s="1783"/>
      <c r="AO373" s="1783"/>
      <c r="AP373" s="1783"/>
      <c r="AQ373" s="1783"/>
      <c r="AR373" s="1783"/>
      <c r="AS373" s="1783"/>
      <c r="AT373" s="1783"/>
      <c r="AU373" s="1783"/>
      <c r="AV373" s="1783"/>
      <c r="AW373" s="1783"/>
      <c r="AX373" s="1783"/>
      <c r="AY373" s="1783"/>
      <c r="AZ373" s="1783"/>
      <c r="BA373" s="1783"/>
      <c r="BB373" s="1783"/>
      <c r="BC373" s="1783"/>
      <c r="BD373" s="1783"/>
      <c r="BE373" s="1783"/>
      <c r="BF373" s="1783"/>
      <c r="BG373" s="1783"/>
      <c r="BH373" s="1783"/>
      <c r="BI373" s="1783"/>
    </row>
    <row r="374" spans="1:61">
      <c r="A374" s="1819"/>
      <c r="B374" s="1818"/>
      <c r="C374" s="1818"/>
      <c r="D374" s="1818"/>
      <c r="E374" s="1818"/>
      <c r="F374" s="1818"/>
      <c r="G374" s="1818"/>
      <c r="H374" s="1783"/>
      <c r="I374" s="1783"/>
      <c r="J374" s="1783"/>
      <c r="K374" s="1783"/>
      <c r="L374" s="1783"/>
      <c r="M374" s="1783"/>
      <c r="N374" s="1783"/>
      <c r="O374" s="1783"/>
      <c r="P374" s="1783"/>
      <c r="Q374" s="1783"/>
      <c r="R374" s="1783"/>
      <c r="S374" s="1783"/>
      <c r="T374" s="1783"/>
      <c r="U374" s="1783"/>
      <c r="V374" s="1783"/>
      <c r="W374" s="1783"/>
      <c r="X374" s="1783"/>
      <c r="Y374" s="1783"/>
      <c r="Z374" s="1783"/>
      <c r="AA374" s="1783"/>
      <c r="AB374" s="1783"/>
      <c r="AC374" s="1783"/>
      <c r="AD374" s="1783"/>
      <c r="AE374" s="1783"/>
      <c r="AF374" s="1783"/>
      <c r="AG374" s="1783"/>
      <c r="AH374" s="1783"/>
      <c r="AI374" s="1783"/>
      <c r="AJ374" s="1783"/>
      <c r="AK374" s="1783"/>
      <c r="AL374" s="1783"/>
      <c r="AM374" s="1783"/>
      <c r="AN374" s="1783"/>
      <c r="AO374" s="1783"/>
      <c r="AP374" s="1783"/>
      <c r="AQ374" s="1783"/>
      <c r="AR374" s="1783"/>
      <c r="AS374" s="1783"/>
      <c r="AT374" s="1783"/>
      <c r="AU374" s="1783"/>
      <c r="AV374" s="1783"/>
      <c r="AW374" s="1783"/>
      <c r="AX374" s="1783"/>
      <c r="AY374" s="1783"/>
      <c r="AZ374" s="1783"/>
      <c r="BA374" s="1783"/>
      <c r="BB374" s="1783"/>
      <c r="BC374" s="1783"/>
      <c r="BD374" s="1783"/>
      <c r="BE374" s="1783"/>
      <c r="BF374" s="1783"/>
      <c r="BG374" s="1783"/>
      <c r="BH374" s="1783"/>
      <c r="BI374" s="1783"/>
    </row>
    <row r="375" spans="1:61">
      <c r="A375" s="1819"/>
      <c r="B375" s="1818"/>
      <c r="C375" s="1818"/>
      <c r="D375" s="1818"/>
      <c r="E375" s="1818"/>
      <c r="F375" s="1818"/>
      <c r="G375" s="1818"/>
      <c r="H375" s="1783"/>
      <c r="I375" s="1783"/>
      <c r="J375" s="1783"/>
      <c r="K375" s="1783"/>
      <c r="L375" s="1783"/>
      <c r="M375" s="1783"/>
      <c r="N375" s="1783"/>
      <c r="O375" s="1783"/>
      <c r="P375" s="1783"/>
      <c r="Q375" s="1783"/>
      <c r="R375" s="1783"/>
      <c r="S375" s="1783"/>
      <c r="T375" s="1783"/>
      <c r="U375" s="1783"/>
      <c r="V375" s="1783"/>
      <c r="W375" s="1783"/>
      <c r="X375" s="1783"/>
      <c r="Y375" s="1783"/>
      <c r="Z375" s="1783"/>
      <c r="AA375" s="1783"/>
      <c r="AB375" s="1783"/>
      <c r="AC375" s="1783"/>
      <c r="AD375" s="1783"/>
      <c r="AE375" s="1783"/>
      <c r="AF375" s="1783"/>
      <c r="AG375" s="1783"/>
      <c r="AH375" s="1783"/>
      <c r="AI375" s="1783"/>
      <c r="AJ375" s="1783"/>
      <c r="AK375" s="1783"/>
      <c r="AL375" s="1783"/>
      <c r="AM375" s="1783"/>
      <c r="AN375" s="1783"/>
      <c r="AO375" s="1783"/>
      <c r="AP375" s="1783"/>
      <c r="AQ375" s="1783"/>
      <c r="AR375" s="1783"/>
      <c r="AS375" s="1783"/>
      <c r="AT375" s="1783"/>
      <c r="AU375" s="1783"/>
      <c r="AV375" s="1783"/>
      <c r="AW375" s="1783"/>
      <c r="AX375" s="1783"/>
      <c r="AY375" s="1783"/>
      <c r="AZ375" s="1783"/>
      <c r="BA375" s="1783"/>
      <c r="BB375" s="1783"/>
      <c r="BC375" s="1783"/>
      <c r="BD375" s="1783"/>
      <c r="BE375" s="1783"/>
      <c r="BF375" s="1783"/>
      <c r="BG375" s="1783"/>
      <c r="BH375" s="1783"/>
      <c r="BI375" s="1783"/>
    </row>
    <row r="376" spans="1:61">
      <c r="A376" s="1819"/>
      <c r="B376" s="1818"/>
      <c r="C376" s="1818"/>
      <c r="D376" s="1818"/>
      <c r="E376" s="1818"/>
      <c r="F376" s="1818"/>
      <c r="G376" s="1818"/>
      <c r="H376" s="1783"/>
      <c r="I376" s="1783"/>
      <c r="J376" s="1783"/>
      <c r="K376" s="1783"/>
      <c r="L376" s="1783"/>
      <c r="M376" s="1783"/>
      <c r="N376" s="1783"/>
      <c r="O376" s="1783"/>
      <c r="P376" s="1783"/>
      <c r="Q376" s="1783"/>
      <c r="R376" s="1783"/>
      <c r="S376" s="1783"/>
      <c r="T376" s="1783"/>
      <c r="U376" s="1783"/>
      <c r="V376" s="1783"/>
      <c r="W376" s="1783"/>
      <c r="X376" s="1783"/>
      <c r="Y376" s="1783"/>
      <c r="Z376" s="1783"/>
      <c r="AA376" s="1783"/>
      <c r="AB376" s="1783"/>
      <c r="AC376" s="1783"/>
      <c r="AD376" s="1783"/>
      <c r="AE376" s="1783"/>
      <c r="AF376" s="1783"/>
      <c r="AG376" s="1783"/>
      <c r="AH376" s="1783"/>
      <c r="AI376" s="1783"/>
      <c r="AJ376" s="1783"/>
      <c r="AK376" s="1783"/>
      <c r="AL376" s="1783"/>
      <c r="AM376" s="1783"/>
      <c r="AN376" s="1783"/>
      <c r="AO376" s="1783"/>
      <c r="AP376" s="1783"/>
      <c r="AQ376" s="1783"/>
      <c r="AR376" s="1783"/>
      <c r="AS376" s="1783"/>
      <c r="AT376" s="1783"/>
      <c r="AU376" s="1783"/>
      <c r="AV376" s="1783"/>
      <c r="AW376" s="1783"/>
      <c r="AX376" s="1783"/>
      <c r="AY376" s="1783"/>
      <c r="AZ376" s="1783"/>
      <c r="BA376" s="1783"/>
      <c r="BB376" s="1783"/>
      <c r="BC376" s="1783"/>
      <c r="BD376" s="1783"/>
      <c r="BE376" s="1783"/>
      <c r="BF376" s="1783"/>
      <c r="BG376" s="1783"/>
      <c r="BH376" s="1783"/>
      <c r="BI376" s="1783"/>
    </row>
    <row r="377" spans="1:61">
      <c r="A377" s="1819"/>
      <c r="B377" s="1818"/>
      <c r="C377" s="1818"/>
      <c r="D377" s="1818"/>
      <c r="E377" s="1818"/>
      <c r="F377" s="1818"/>
      <c r="G377" s="1818"/>
      <c r="H377" s="1783"/>
      <c r="I377" s="1783"/>
      <c r="J377" s="1783"/>
      <c r="K377" s="1783"/>
      <c r="L377" s="1783"/>
      <c r="M377" s="1783"/>
      <c r="N377" s="1783"/>
      <c r="O377" s="1783"/>
      <c r="P377" s="1783"/>
      <c r="Q377" s="1783"/>
      <c r="R377" s="1783"/>
      <c r="S377" s="1783"/>
      <c r="T377" s="1783"/>
      <c r="U377" s="1783"/>
      <c r="V377" s="1783"/>
      <c r="W377" s="1783"/>
      <c r="X377" s="1783"/>
      <c r="Y377" s="1783"/>
      <c r="Z377" s="1783"/>
      <c r="AA377" s="1783"/>
      <c r="AB377" s="1783"/>
      <c r="AC377" s="1783"/>
      <c r="AD377" s="1783"/>
      <c r="AE377" s="1783"/>
      <c r="AF377" s="1783"/>
      <c r="AG377" s="1783"/>
      <c r="AH377" s="1783"/>
      <c r="AI377" s="1783"/>
      <c r="AJ377" s="1783"/>
      <c r="AK377" s="1783"/>
      <c r="AL377" s="1783"/>
      <c r="AM377" s="1783"/>
      <c r="AN377" s="1783"/>
      <c r="AO377" s="1783"/>
      <c r="AP377" s="1783"/>
      <c r="AQ377" s="1783"/>
      <c r="AR377" s="1783"/>
      <c r="AS377" s="1783"/>
      <c r="AT377" s="1783"/>
      <c r="AU377" s="1783"/>
      <c r="AV377" s="1783"/>
      <c r="AW377" s="1783"/>
      <c r="AX377" s="1783"/>
      <c r="AY377" s="1783"/>
      <c r="AZ377" s="1783"/>
      <c r="BA377" s="1783"/>
      <c r="BB377" s="1783"/>
      <c r="BC377" s="1783"/>
      <c r="BD377" s="1783"/>
      <c r="BE377" s="1783"/>
      <c r="BF377" s="1783"/>
      <c r="BG377" s="1783"/>
      <c r="BH377" s="1783"/>
      <c r="BI377" s="1783"/>
    </row>
    <row r="378" spans="1:61">
      <c r="A378" s="1819"/>
      <c r="B378" s="1818"/>
      <c r="C378" s="1818"/>
      <c r="D378" s="1818"/>
      <c r="E378" s="1818"/>
      <c r="F378" s="1818"/>
      <c r="G378" s="1818"/>
      <c r="H378" s="1783"/>
      <c r="I378" s="1783"/>
      <c r="J378" s="1783"/>
      <c r="K378" s="1783"/>
      <c r="L378" s="1783"/>
      <c r="M378" s="1783"/>
      <c r="N378" s="1783"/>
      <c r="O378" s="1783"/>
      <c r="P378" s="1783"/>
      <c r="Q378" s="1783"/>
      <c r="R378" s="1783"/>
      <c r="S378" s="1783"/>
      <c r="T378" s="1783"/>
      <c r="U378" s="1783"/>
      <c r="V378" s="1783"/>
      <c r="W378" s="1783"/>
      <c r="X378" s="1783"/>
      <c r="Y378" s="1783"/>
      <c r="Z378" s="1783"/>
      <c r="AA378" s="1783"/>
      <c r="AB378" s="1783"/>
      <c r="AC378" s="1783"/>
      <c r="AD378" s="1783"/>
      <c r="AE378" s="1783"/>
      <c r="AF378" s="1783"/>
      <c r="AG378" s="1783"/>
      <c r="AH378" s="1783"/>
      <c r="AI378" s="1783"/>
      <c r="AJ378" s="1783"/>
      <c r="AK378" s="1783"/>
      <c r="AL378" s="1783"/>
      <c r="AM378" s="1783"/>
      <c r="AN378" s="1783"/>
      <c r="AO378" s="1783"/>
      <c r="AP378" s="1783"/>
      <c r="AQ378" s="1783"/>
      <c r="AR378" s="1783"/>
      <c r="AS378" s="1783"/>
      <c r="AT378" s="1783"/>
      <c r="AU378" s="1783"/>
      <c r="AV378" s="1783"/>
      <c r="AW378" s="1783"/>
      <c r="AX378" s="1783"/>
      <c r="AY378" s="1783"/>
      <c r="AZ378" s="1783"/>
      <c r="BA378" s="1783"/>
      <c r="BB378" s="1783"/>
      <c r="BC378" s="1783"/>
      <c r="BD378" s="1783"/>
      <c r="BE378" s="1783"/>
      <c r="BF378" s="1783"/>
      <c r="BG378" s="1783"/>
      <c r="BH378" s="1783"/>
      <c r="BI378" s="1783"/>
    </row>
    <row r="379" spans="1:61">
      <c r="A379" s="1819"/>
      <c r="B379" s="1818"/>
      <c r="C379" s="1818"/>
      <c r="D379" s="1818"/>
      <c r="E379" s="1818"/>
      <c r="F379" s="1818"/>
      <c r="G379" s="1818"/>
      <c r="H379" s="1783"/>
      <c r="I379" s="1783"/>
      <c r="J379" s="1783"/>
      <c r="K379" s="1783"/>
      <c r="L379" s="1783"/>
      <c r="M379" s="1783"/>
      <c r="N379" s="1783"/>
      <c r="O379" s="1783"/>
      <c r="P379" s="1783"/>
      <c r="Q379" s="1783"/>
      <c r="R379" s="1783"/>
      <c r="S379" s="1783"/>
      <c r="T379" s="1783"/>
      <c r="U379" s="1783"/>
      <c r="V379" s="1783"/>
      <c r="W379" s="1783"/>
      <c r="X379" s="1783"/>
      <c r="Y379" s="1783"/>
      <c r="Z379" s="1783"/>
      <c r="AA379" s="1783"/>
      <c r="AB379" s="1783"/>
      <c r="AC379" s="1783"/>
      <c r="AD379" s="1783"/>
      <c r="AE379" s="1783"/>
      <c r="AF379" s="1783"/>
      <c r="AG379" s="1783"/>
      <c r="AH379" s="1783"/>
      <c r="AI379" s="1783"/>
      <c r="AJ379" s="1783"/>
      <c r="AK379" s="1783"/>
      <c r="AL379" s="1783"/>
      <c r="AM379" s="1783"/>
      <c r="AN379" s="1783"/>
      <c r="AO379" s="1783"/>
      <c r="AP379" s="1783"/>
      <c r="AQ379" s="1783"/>
      <c r="AR379" s="1783"/>
      <c r="AS379" s="1783"/>
      <c r="AT379" s="1783"/>
      <c r="AU379" s="1783"/>
      <c r="AV379" s="1783"/>
      <c r="AW379" s="1783"/>
      <c r="AX379" s="1783"/>
      <c r="AY379" s="1783"/>
      <c r="AZ379" s="1783"/>
      <c r="BA379" s="1783"/>
      <c r="BB379" s="1783"/>
      <c r="BC379" s="1783"/>
      <c r="BD379" s="1783"/>
      <c r="BE379" s="1783"/>
      <c r="BF379" s="1783"/>
      <c r="BG379" s="1783"/>
      <c r="BH379" s="1783"/>
      <c r="BI379" s="1783"/>
    </row>
    <row r="380" spans="1:61">
      <c r="A380" s="1819"/>
      <c r="B380" s="1818"/>
      <c r="C380" s="1818"/>
      <c r="D380" s="1818"/>
      <c r="E380" s="1818"/>
      <c r="F380" s="1818"/>
      <c r="G380" s="1818"/>
      <c r="H380" s="1783"/>
      <c r="I380" s="1783"/>
      <c r="J380" s="1783"/>
      <c r="K380" s="1783"/>
      <c r="L380" s="1783"/>
      <c r="M380" s="1783"/>
      <c r="N380" s="1783"/>
      <c r="O380" s="1783"/>
      <c r="P380" s="1783"/>
      <c r="Q380" s="1783"/>
      <c r="R380" s="1783"/>
      <c r="S380" s="1783"/>
      <c r="T380" s="1783"/>
      <c r="U380" s="1783"/>
      <c r="V380" s="1783"/>
      <c r="W380" s="1783"/>
      <c r="X380" s="1783"/>
      <c r="Y380" s="1783"/>
      <c r="Z380" s="1783"/>
      <c r="AA380" s="1783"/>
      <c r="AB380" s="1783"/>
      <c r="AC380" s="1783"/>
      <c r="AD380" s="1783"/>
      <c r="AE380" s="1783"/>
      <c r="AF380" s="1783"/>
      <c r="AG380" s="1783"/>
      <c r="AH380" s="1783"/>
      <c r="AI380" s="1783"/>
      <c r="AJ380" s="1783"/>
      <c r="AK380" s="1783"/>
      <c r="AL380" s="1783"/>
      <c r="AM380" s="1783"/>
      <c r="AN380" s="1783"/>
      <c r="AO380" s="1783"/>
      <c r="AP380" s="1783"/>
      <c r="AQ380" s="1783"/>
      <c r="AR380" s="1783"/>
      <c r="AS380" s="1783"/>
      <c r="AT380" s="1783"/>
      <c r="AU380" s="1783"/>
      <c r="AV380" s="1783"/>
      <c r="AW380" s="1783"/>
      <c r="AX380" s="1783"/>
      <c r="AY380" s="1783"/>
      <c r="AZ380" s="1783"/>
      <c r="BA380" s="1783"/>
      <c r="BB380" s="1783"/>
      <c r="BC380" s="1783"/>
      <c r="BD380" s="1783"/>
      <c r="BE380" s="1783"/>
      <c r="BF380" s="1783"/>
      <c r="BG380" s="1783"/>
      <c r="BH380" s="1783"/>
      <c r="BI380" s="1783"/>
    </row>
    <row r="381" spans="1:61">
      <c r="A381" s="1819"/>
      <c r="B381" s="1818"/>
      <c r="C381" s="1818"/>
      <c r="D381" s="1818"/>
      <c r="E381" s="1818"/>
      <c r="F381" s="1818"/>
      <c r="G381" s="1818"/>
      <c r="H381" s="1783"/>
      <c r="I381" s="1783"/>
      <c r="J381" s="1783"/>
      <c r="K381" s="1783"/>
      <c r="L381" s="1783"/>
      <c r="M381" s="1783"/>
      <c r="N381" s="1783"/>
      <c r="O381" s="1783"/>
      <c r="P381" s="1783"/>
      <c r="Q381" s="1783"/>
      <c r="R381" s="1783"/>
      <c r="S381" s="1783"/>
      <c r="T381" s="1783"/>
      <c r="U381" s="1783"/>
      <c r="V381" s="1783"/>
      <c r="W381" s="1783"/>
      <c r="X381" s="1783"/>
      <c r="Y381" s="1783"/>
      <c r="Z381" s="1783"/>
      <c r="AA381" s="1783"/>
      <c r="AB381" s="1783"/>
      <c r="AC381" s="1783"/>
      <c r="AD381" s="1783"/>
      <c r="AE381" s="1783"/>
      <c r="AF381" s="1783"/>
      <c r="AG381" s="1783"/>
      <c r="AH381" s="1783"/>
      <c r="AI381" s="1783"/>
      <c r="AJ381" s="1783"/>
      <c r="AK381" s="1783"/>
      <c r="AL381" s="1783"/>
      <c r="AM381" s="1783"/>
      <c r="AN381" s="1783"/>
      <c r="AO381" s="1783"/>
      <c r="AP381" s="1783"/>
      <c r="AQ381" s="1783"/>
      <c r="AR381" s="1783"/>
      <c r="AS381" s="1783"/>
      <c r="AT381" s="1783"/>
      <c r="AU381" s="1783"/>
      <c r="AV381" s="1783"/>
      <c r="AW381" s="1783"/>
      <c r="AX381" s="1783"/>
      <c r="AY381" s="1783"/>
      <c r="AZ381" s="1783"/>
      <c r="BA381" s="1783"/>
      <c r="BB381" s="1783"/>
      <c r="BC381" s="1783"/>
      <c r="BD381" s="1783"/>
      <c r="BE381" s="1783"/>
      <c r="BF381" s="1783"/>
      <c r="BG381" s="1783"/>
      <c r="BH381" s="1783"/>
      <c r="BI381" s="1783"/>
    </row>
    <row r="382" spans="1:61">
      <c r="A382" s="1819"/>
      <c r="B382" s="1818"/>
      <c r="C382" s="1818"/>
      <c r="D382" s="1818"/>
      <c r="E382" s="1818"/>
      <c r="F382" s="1818"/>
      <c r="G382" s="1818"/>
      <c r="H382" s="1783"/>
      <c r="I382" s="1783"/>
      <c r="J382" s="1783"/>
      <c r="K382" s="1783"/>
      <c r="L382" s="1783"/>
      <c r="M382" s="1783"/>
      <c r="N382" s="1783"/>
      <c r="O382" s="1783"/>
      <c r="P382" s="1783"/>
      <c r="Q382" s="1783"/>
      <c r="R382" s="1783"/>
      <c r="S382" s="1783"/>
      <c r="T382" s="1783"/>
      <c r="U382" s="1783"/>
      <c r="V382" s="1783"/>
      <c r="W382" s="1783"/>
      <c r="X382" s="1783"/>
      <c r="Y382" s="1783"/>
      <c r="Z382" s="1783"/>
      <c r="AA382" s="1783"/>
      <c r="AB382" s="1783"/>
      <c r="AC382" s="1783"/>
      <c r="AD382" s="1783"/>
      <c r="AE382" s="1783"/>
      <c r="AF382" s="1783"/>
      <c r="AG382" s="1783"/>
      <c r="AH382" s="1783"/>
      <c r="AI382" s="1783"/>
      <c r="AJ382" s="1783"/>
      <c r="AK382" s="1783"/>
      <c r="AL382" s="1783"/>
      <c r="AM382" s="1783"/>
      <c r="AN382" s="1783"/>
      <c r="AO382" s="1783"/>
      <c r="AP382" s="1783"/>
      <c r="AQ382" s="1783"/>
      <c r="AR382" s="1783"/>
      <c r="AS382" s="1783"/>
      <c r="AT382" s="1783"/>
      <c r="AU382" s="1783"/>
      <c r="AV382" s="1783"/>
      <c r="AW382" s="1783"/>
      <c r="AX382" s="1783"/>
      <c r="AY382" s="1783"/>
      <c r="AZ382" s="1783"/>
      <c r="BA382" s="1783"/>
      <c r="BB382" s="1783"/>
      <c r="BC382" s="1783"/>
      <c r="BD382" s="1783"/>
      <c r="BE382" s="1783"/>
      <c r="BF382" s="1783"/>
      <c r="BG382" s="1783"/>
      <c r="BH382" s="1783"/>
      <c r="BI382" s="1783"/>
    </row>
    <row r="383" spans="1:61">
      <c r="A383" s="1819"/>
      <c r="B383" s="1818"/>
      <c r="C383" s="1818"/>
      <c r="D383" s="1818"/>
      <c r="E383" s="1818"/>
      <c r="F383" s="1818"/>
      <c r="G383" s="1818"/>
      <c r="H383" s="1783"/>
      <c r="I383" s="1783"/>
      <c r="J383" s="1783"/>
      <c r="K383" s="1783"/>
      <c r="L383" s="1783"/>
      <c r="M383" s="1783"/>
      <c r="N383" s="1783"/>
      <c r="O383" s="1783"/>
      <c r="P383" s="1783"/>
      <c r="Q383" s="1783"/>
      <c r="R383" s="1783"/>
      <c r="S383" s="1783"/>
      <c r="T383" s="1783"/>
      <c r="U383" s="1783"/>
      <c r="V383" s="1783"/>
      <c r="W383" s="1783"/>
      <c r="X383" s="1783"/>
      <c r="Y383" s="1783"/>
      <c r="Z383" s="1783"/>
      <c r="AA383" s="1783"/>
      <c r="AB383" s="1783"/>
      <c r="AC383" s="1783"/>
      <c r="AD383" s="1783"/>
      <c r="AE383" s="1783"/>
      <c r="AF383" s="1783"/>
      <c r="AG383" s="1783"/>
      <c r="AH383" s="1783"/>
      <c r="AI383" s="1783"/>
      <c r="AJ383" s="1783"/>
      <c r="AK383" s="1783"/>
      <c r="AL383" s="1783"/>
      <c r="AM383" s="1783"/>
      <c r="AN383" s="1783"/>
      <c r="AO383" s="1783"/>
      <c r="AP383" s="1783"/>
      <c r="AQ383" s="1783"/>
      <c r="AR383" s="1783"/>
      <c r="AS383" s="1783"/>
      <c r="AT383" s="1783"/>
      <c r="AU383" s="1783"/>
      <c r="AV383" s="1783"/>
      <c r="AW383" s="1783"/>
      <c r="AX383" s="1783"/>
      <c r="AY383" s="1783"/>
      <c r="AZ383" s="1783"/>
      <c r="BA383" s="1783"/>
      <c r="BB383" s="1783"/>
      <c r="BC383" s="1783"/>
      <c r="BD383" s="1783"/>
      <c r="BE383" s="1783"/>
      <c r="BF383" s="1783"/>
      <c r="BG383" s="1783"/>
      <c r="BH383" s="1783"/>
      <c r="BI383" s="1783"/>
    </row>
    <row r="384" spans="1:61">
      <c r="A384" s="1819"/>
      <c r="B384" s="1818"/>
      <c r="C384" s="1818"/>
      <c r="D384" s="1818"/>
      <c r="E384" s="1818"/>
      <c r="F384" s="1818"/>
      <c r="G384" s="1818"/>
      <c r="H384" s="1783"/>
      <c r="I384" s="1783"/>
      <c r="J384" s="1783"/>
      <c r="K384" s="1783"/>
      <c r="L384" s="1783"/>
      <c r="M384" s="1783"/>
      <c r="N384" s="1783"/>
      <c r="O384" s="1783"/>
      <c r="P384" s="1783"/>
      <c r="Q384" s="1783"/>
      <c r="R384" s="1783"/>
      <c r="S384" s="1783"/>
      <c r="T384" s="1783"/>
      <c r="U384" s="1783"/>
      <c r="V384" s="1783"/>
      <c r="W384" s="1783"/>
      <c r="X384" s="1783"/>
      <c r="Y384" s="1783"/>
      <c r="Z384" s="1783"/>
      <c r="AA384" s="1783"/>
      <c r="AB384" s="1783"/>
      <c r="AC384" s="1783"/>
      <c r="AD384" s="1783"/>
      <c r="AE384" s="1783"/>
      <c r="AF384" s="1783"/>
      <c r="AG384" s="1783"/>
      <c r="AH384" s="1783"/>
      <c r="AI384" s="1783"/>
      <c r="AJ384" s="1783"/>
      <c r="AK384" s="1783"/>
      <c r="AL384" s="1783"/>
      <c r="AM384" s="1783"/>
      <c r="AN384" s="1783"/>
      <c r="AO384" s="1783"/>
      <c r="AP384" s="1783"/>
      <c r="AQ384" s="1783"/>
      <c r="AR384" s="1783"/>
      <c r="AS384" s="1783"/>
      <c r="AT384" s="1783"/>
      <c r="AU384" s="1783"/>
      <c r="AV384" s="1783"/>
      <c r="AW384" s="1783"/>
      <c r="AX384" s="1783"/>
      <c r="AY384" s="1783"/>
      <c r="AZ384" s="1783"/>
      <c r="BA384" s="1783"/>
      <c r="BB384" s="1783"/>
      <c r="BC384" s="1783"/>
      <c r="BD384" s="1783"/>
      <c r="BE384" s="1783"/>
      <c r="BF384" s="1783"/>
      <c r="BG384" s="1783"/>
      <c r="BH384" s="1783"/>
      <c r="BI384" s="1783"/>
    </row>
    <row r="385" spans="1:61">
      <c r="A385" s="1819"/>
      <c r="B385" s="1818"/>
      <c r="C385" s="1818"/>
      <c r="D385" s="1818"/>
      <c r="E385" s="1818"/>
      <c r="F385" s="1818"/>
      <c r="G385" s="1818"/>
      <c r="H385" s="1783"/>
      <c r="I385" s="1783"/>
      <c r="J385" s="1783"/>
      <c r="K385" s="1783"/>
      <c r="L385" s="1783"/>
      <c r="M385" s="1783"/>
      <c r="N385" s="1783"/>
      <c r="O385" s="1783"/>
      <c r="P385" s="1783"/>
      <c r="Q385" s="1783"/>
      <c r="R385" s="1783"/>
      <c r="S385" s="1783"/>
      <c r="T385" s="1783"/>
      <c r="U385" s="1783"/>
      <c r="V385" s="1783"/>
      <c r="W385" s="1783"/>
      <c r="X385" s="1783"/>
      <c r="Y385" s="1783"/>
      <c r="Z385" s="1783"/>
      <c r="AA385" s="1783"/>
      <c r="AB385" s="1783"/>
      <c r="AC385" s="1783"/>
      <c r="AD385" s="1783"/>
      <c r="AE385" s="1783"/>
      <c r="AF385" s="1783"/>
      <c r="AG385" s="1783"/>
      <c r="AH385" s="1783"/>
      <c r="AI385" s="1783"/>
      <c r="AJ385" s="1783"/>
      <c r="AK385" s="1783"/>
      <c r="AL385" s="1783"/>
      <c r="AM385" s="1783"/>
      <c r="AN385" s="1783"/>
      <c r="AO385" s="1783"/>
      <c r="AP385" s="1783"/>
      <c r="AQ385" s="1783"/>
      <c r="AR385" s="1783"/>
      <c r="AS385" s="1783"/>
      <c r="AT385" s="1783"/>
      <c r="AU385" s="1783"/>
      <c r="AV385" s="1783"/>
      <c r="AW385" s="1783"/>
      <c r="AX385" s="1783"/>
      <c r="AY385" s="1783"/>
      <c r="AZ385" s="1783"/>
      <c r="BA385" s="1783"/>
      <c r="BB385" s="1783"/>
      <c r="BC385" s="1783"/>
      <c r="BD385" s="1783"/>
      <c r="BE385" s="1783"/>
      <c r="BF385" s="1783"/>
      <c r="BG385" s="1783"/>
      <c r="BH385" s="1783"/>
      <c r="BI385" s="1783"/>
    </row>
    <row r="386" spans="1:61">
      <c r="A386" s="1819"/>
      <c r="B386" s="1818"/>
      <c r="C386" s="1818"/>
      <c r="D386" s="1818"/>
      <c r="E386" s="1818"/>
      <c r="F386" s="1818"/>
      <c r="G386" s="1818"/>
      <c r="H386" s="1783"/>
      <c r="I386" s="1783"/>
      <c r="J386" s="1783"/>
      <c r="K386" s="1783"/>
      <c r="L386" s="1783"/>
      <c r="M386" s="1783"/>
      <c r="N386" s="1783"/>
      <c r="O386" s="1783"/>
      <c r="P386" s="1783"/>
      <c r="Q386" s="1783"/>
      <c r="R386" s="1783"/>
      <c r="S386" s="1783"/>
      <c r="T386" s="1783"/>
      <c r="U386" s="1783"/>
      <c r="V386" s="1783"/>
      <c r="W386" s="1783"/>
      <c r="X386" s="1783"/>
      <c r="Y386" s="1783"/>
      <c r="Z386" s="1783"/>
      <c r="AA386" s="1783"/>
      <c r="AB386" s="1783"/>
      <c r="AC386" s="1783"/>
      <c r="AD386" s="1783"/>
      <c r="AE386" s="1783"/>
      <c r="AF386" s="1783"/>
      <c r="AG386" s="1783"/>
      <c r="AH386" s="1783"/>
      <c r="AI386" s="1783"/>
      <c r="AJ386" s="1783"/>
      <c r="AK386" s="1783"/>
      <c r="AL386" s="1783"/>
      <c r="AM386" s="1783"/>
      <c r="AN386" s="1783"/>
      <c r="AO386" s="1783"/>
      <c r="AP386" s="1783"/>
      <c r="AQ386" s="1783"/>
      <c r="AR386" s="1783"/>
      <c r="AS386" s="1783"/>
      <c r="AT386" s="1783"/>
      <c r="AU386" s="1783"/>
      <c r="AV386" s="1783"/>
      <c r="AW386" s="1783"/>
      <c r="AX386" s="1783"/>
      <c r="AY386" s="1783"/>
      <c r="AZ386" s="1783"/>
      <c r="BA386" s="1783"/>
      <c r="BB386" s="1783"/>
      <c r="BC386" s="1783"/>
      <c r="BD386" s="1783"/>
      <c r="BE386" s="1783"/>
      <c r="BF386" s="1783"/>
      <c r="BG386" s="1783"/>
      <c r="BH386" s="1783"/>
      <c r="BI386" s="1783"/>
    </row>
    <row r="387" spans="1:61">
      <c r="A387" s="1819"/>
      <c r="B387" s="1818"/>
      <c r="C387" s="1818"/>
      <c r="D387" s="1818"/>
      <c r="E387" s="1818"/>
      <c r="F387" s="1818"/>
      <c r="G387" s="1818"/>
      <c r="H387" s="1783"/>
      <c r="I387" s="1783"/>
      <c r="J387" s="1783"/>
      <c r="K387" s="1783"/>
      <c r="L387" s="1783"/>
      <c r="M387" s="1783"/>
      <c r="N387" s="1783"/>
      <c r="O387" s="1783"/>
      <c r="P387" s="1783"/>
      <c r="Q387" s="1783"/>
      <c r="R387" s="1783"/>
      <c r="S387" s="1783"/>
      <c r="T387" s="1783"/>
      <c r="U387" s="1783"/>
      <c r="V387" s="1783"/>
      <c r="W387" s="1783"/>
      <c r="X387" s="1783"/>
      <c r="Y387" s="1783"/>
      <c r="Z387" s="1783"/>
      <c r="AA387" s="1783"/>
      <c r="AB387" s="1783"/>
      <c r="AC387" s="1783"/>
      <c r="AD387" s="1783"/>
      <c r="AE387" s="1783"/>
      <c r="AF387" s="1783"/>
      <c r="AG387" s="1783"/>
      <c r="AH387" s="1783"/>
      <c r="AI387" s="1783"/>
      <c r="AJ387" s="1783"/>
      <c r="AK387" s="1783"/>
      <c r="AL387" s="1783"/>
      <c r="AM387" s="1783"/>
      <c r="AN387" s="1783"/>
      <c r="AO387" s="1783"/>
      <c r="AP387" s="1783"/>
      <c r="AQ387" s="1783"/>
      <c r="AR387" s="1783"/>
      <c r="AS387" s="1783"/>
      <c r="AT387" s="1783"/>
      <c r="AU387" s="1783"/>
      <c r="AV387" s="1783"/>
      <c r="AW387" s="1783"/>
      <c r="AX387" s="1783"/>
      <c r="AY387" s="1783"/>
      <c r="AZ387" s="1783"/>
      <c r="BA387" s="1783"/>
      <c r="BB387" s="1783"/>
      <c r="BC387" s="1783"/>
      <c r="BD387" s="1783"/>
      <c r="BE387" s="1783"/>
      <c r="BF387" s="1783"/>
      <c r="BG387" s="1783"/>
      <c r="BH387" s="1783"/>
      <c r="BI387" s="1783"/>
    </row>
    <row r="388" spans="1:61">
      <c r="A388" s="1819"/>
      <c r="B388" s="1818"/>
      <c r="C388" s="1818"/>
      <c r="D388" s="1818"/>
      <c r="E388" s="1818"/>
      <c r="F388" s="1818"/>
      <c r="G388" s="1818"/>
      <c r="H388" s="1783"/>
      <c r="I388" s="1783"/>
      <c r="J388" s="1783"/>
      <c r="K388" s="1783"/>
      <c r="L388" s="1783"/>
      <c r="M388" s="1783"/>
      <c r="N388" s="1783"/>
      <c r="O388" s="1783"/>
      <c r="P388" s="1783"/>
      <c r="Q388" s="1783"/>
      <c r="R388" s="1783"/>
      <c r="S388" s="1783"/>
      <c r="T388" s="1783"/>
      <c r="U388" s="1783"/>
      <c r="V388" s="1783"/>
      <c r="W388" s="1783"/>
      <c r="X388" s="1783"/>
      <c r="Y388" s="1783"/>
      <c r="Z388" s="1783"/>
      <c r="AA388" s="1783"/>
      <c r="AB388" s="1783"/>
      <c r="AC388" s="1783"/>
      <c r="AD388" s="1783"/>
      <c r="AE388" s="1783"/>
      <c r="AF388" s="1783"/>
      <c r="AG388" s="1783"/>
      <c r="AH388" s="1783"/>
      <c r="AI388" s="1783"/>
      <c r="AJ388" s="1783"/>
      <c r="AK388" s="1783"/>
      <c r="AL388" s="1783"/>
      <c r="AM388" s="1783"/>
      <c r="AN388" s="1783"/>
      <c r="AO388" s="1783"/>
      <c r="AP388" s="1783"/>
      <c r="AQ388" s="1783"/>
      <c r="AR388" s="1783"/>
      <c r="AS388" s="1783"/>
      <c r="AT388" s="1783"/>
      <c r="AU388" s="1783"/>
      <c r="AV388" s="1783"/>
      <c r="AW388" s="1783"/>
      <c r="AX388" s="1783"/>
      <c r="AY388" s="1783"/>
      <c r="AZ388" s="1783"/>
      <c r="BA388" s="1783"/>
      <c r="BB388" s="1783"/>
      <c r="BC388" s="1783"/>
      <c r="BD388" s="1783"/>
      <c r="BE388" s="1783"/>
      <c r="BF388" s="1783"/>
      <c r="BG388" s="1783"/>
      <c r="BH388" s="1783"/>
      <c r="BI388" s="1783"/>
    </row>
    <row r="389" spans="1:61">
      <c r="A389" s="1819"/>
      <c r="B389" s="1818"/>
      <c r="C389" s="1818"/>
      <c r="D389" s="1818"/>
      <c r="E389" s="1818"/>
      <c r="F389" s="1818"/>
      <c r="G389" s="1818"/>
      <c r="H389" s="1783"/>
      <c r="I389" s="1783"/>
      <c r="J389" s="1783"/>
      <c r="K389" s="1783"/>
      <c r="L389" s="1783"/>
      <c r="M389" s="1783"/>
      <c r="N389" s="1783"/>
      <c r="O389" s="1783"/>
      <c r="P389" s="1783"/>
      <c r="Q389" s="1783"/>
      <c r="R389" s="1783"/>
      <c r="S389" s="1783"/>
      <c r="T389" s="1783"/>
      <c r="U389" s="1783"/>
      <c r="V389" s="1783"/>
      <c r="W389" s="1783"/>
      <c r="X389" s="1783"/>
      <c r="Y389" s="1783"/>
      <c r="Z389" s="1783"/>
      <c r="AA389" s="1783"/>
      <c r="AB389" s="1783"/>
      <c r="AC389" s="1783"/>
      <c r="AD389" s="1783"/>
      <c r="AE389" s="1783"/>
      <c r="AF389" s="1783"/>
      <c r="AG389" s="1783"/>
      <c r="AH389" s="1783"/>
      <c r="AI389" s="1783"/>
      <c r="AJ389" s="1783"/>
      <c r="AK389" s="1783"/>
      <c r="AL389" s="1783"/>
      <c r="AM389" s="1783"/>
      <c r="AN389" s="1783"/>
      <c r="AO389" s="1783"/>
      <c r="AP389" s="1783"/>
      <c r="AQ389" s="1783"/>
      <c r="AR389" s="1783"/>
      <c r="AS389" s="1783"/>
      <c r="AT389" s="1783"/>
      <c r="AU389" s="1783"/>
      <c r="AV389" s="1783"/>
      <c r="AW389" s="1783"/>
      <c r="AX389" s="1783"/>
      <c r="AY389" s="1783"/>
      <c r="AZ389" s="1783"/>
      <c r="BA389" s="1783"/>
      <c r="BB389" s="1783"/>
      <c r="BC389" s="1783"/>
      <c r="BD389" s="1783"/>
      <c r="BE389" s="1783"/>
      <c r="BF389" s="1783"/>
      <c r="BG389" s="1783"/>
      <c r="BH389" s="1783"/>
      <c r="BI389" s="1783"/>
    </row>
    <row r="390" spans="1:61">
      <c r="A390" s="1819"/>
      <c r="B390" s="1818"/>
      <c r="C390" s="1818"/>
      <c r="D390" s="1818"/>
      <c r="E390" s="1818"/>
      <c r="F390" s="1818"/>
      <c r="G390" s="1818"/>
      <c r="H390" s="1783"/>
      <c r="I390" s="1783"/>
      <c r="J390" s="1783"/>
      <c r="K390" s="1783"/>
      <c r="L390" s="1783"/>
      <c r="M390" s="1783"/>
      <c r="N390" s="1783"/>
      <c r="O390" s="1783"/>
      <c r="P390" s="1783"/>
      <c r="Q390" s="1783"/>
      <c r="R390" s="1783"/>
      <c r="S390" s="1783"/>
      <c r="T390" s="1783"/>
      <c r="U390" s="1783"/>
      <c r="V390" s="1783"/>
      <c r="W390" s="1783"/>
      <c r="X390" s="1783"/>
      <c r="Y390" s="1783"/>
      <c r="Z390" s="1783"/>
      <c r="AA390" s="1783"/>
      <c r="AB390" s="1783"/>
      <c r="AC390" s="1783"/>
      <c r="AD390" s="1783"/>
      <c r="AE390" s="1783"/>
      <c r="AF390" s="1783"/>
      <c r="AG390" s="1783"/>
      <c r="AH390" s="1783"/>
      <c r="AI390" s="1783"/>
      <c r="AJ390" s="1783"/>
      <c r="AK390" s="1783"/>
      <c r="AL390" s="1783"/>
      <c r="AM390" s="1783"/>
      <c r="AN390" s="1783"/>
      <c r="AO390" s="1783"/>
      <c r="AP390" s="1783"/>
      <c r="AQ390" s="1783"/>
      <c r="AR390" s="1783"/>
      <c r="AS390" s="1783"/>
      <c r="AT390" s="1783"/>
      <c r="AU390" s="1783"/>
      <c r="AV390" s="1783"/>
      <c r="AW390" s="1783"/>
      <c r="AX390" s="1783"/>
      <c r="AY390" s="1783"/>
      <c r="AZ390" s="1783"/>
      <c r="BA390" s="1783"/>
      <c r="BB390" s="1783"/>
      <c r="BC390" s="1783"/>
      <c r="BD390" s="1783"/>
      <c r="BE390" s="1783"/>
      <c r="BF390" s="1783"/>
      <c r="BG390" s="1783"/>
      <c r="BH390" s="1783"/>
      <c r="BI390" s="1783"/>
    </row>
    <row r="391" spans="1:61">
      <c r="A391" s="1819"/>
      <c r="B391" s="1818"/>
      <c r="C391" s="1818"/>
      <c r="D391" s="1818"/>
      <c r="E391" s="1818"/>
      <c r="F391" s="1818"/>
      <c r="G391" s="1818"/>
      <c r="H391" s="1783"/>
      <c r="I391" s="1783"/>
      <c r="J391" s="1783"/>
      <c r="K391" s="1783"/>
      <c r="L391" s="1783"/>
      <c r="M391" s="1783"/>
      <c r="N391" s="1783"/>
      <c r="O391" s="1783"/>
      <c r="P391" s="1783"/>
      <c r="Q391" s="1783"/>
      <c r="R391" s="1783"/>
      <c r="S391" s="1783"/>
      <c r="T391" s="1783"/>
      <c r="U391" s="1783"/>
      <c r="V391" s="1783"/>
      <c r="W391" s="1783"/>
      <c r="X391" s="1783"/>
      <c r="Y391" s="1783"/>
      <c r="Z391" s="1783"/>
      <c r="AA391" s="1783"/>
      <c r="AB391" s="1783"/>
      <c r="AC391" s="1783"/>
      <c r="AD391" s="1783"/>
      <c r="AE391" s="1783"/>
      <c r="AF391" s="1783"/>
      <c r="AG391" s="1783"/>
      <c r="AH391" s="1783"/>
      <c r="AI391" s="1783"/>
      <c r="AJ391" s="1783"/>
      <c r="AK391" s="1783"/>
      <c r="AL391" s="1783"/>
      <c r="AM391" s="1783"/>
      <c r="AN391" s="1783"/>
      <c r="AO391" s="1783"/>
      <c r="AP391" s="1783"/>
      <c r="AQ391" s="1783"/>
      <c r="AR391" s="1783"/>
      <c r="AS391" s="1783"/>
      <c r="AT391" s="1783"/>
      <c r="AU391" s="1783"/>
      <c r="AV391" s="1783"/>
      <c r="AW391" s="1783"/>
      <c r="AX391" s="1783"/>
      <c r="AY391" s="1783"/>
      <c r="AZ391" s="1783"/>
      <c r="BA391" s="1783"/>
      <c r="BB391" s="1783"/>
      <c r="BC391" s="1783"/>
      <c r="BD391" s="1783"/>
      <c r="BE391" s="1783"/>
      <c r="BF391" s="1783"/>
      <c r="BG391" s="1783"/>
      <c r="BH391" s="1783"/>
      <c r="BI391" s="1783"/>
    </row>
    <row r="392" spans="1:61">
      <c r="A392" s="1819"/>
      <c r="B392" s="1818"/>
      <c r="C392" s="1818"/>
      <c r="D392" s="1818"/>
      <c r="E392" s="1818"/>
      <c r="F392" s="1818"/>
      <c r="G392" s="1818"/>
      <c r="H392" s="1783"/>
      <c r="I392" s="1783"/>
      <c r="J392" s="1783"/>
      <c r="K392" s="1783"/>
      <c r="L392" s="1783"/>
      <c r="M392" s="1783"/>
      <c r="N392" s="1783"/>
      <c r="O392" s="1783"/>
      <c r="P392" s="1783"/>
      <c r="Q392" s="1783"/>
      <c r="R392" s="1783"/>
      <c r="S392" s="1783"/>
      <c r="T392" s="1783"/>
      <c r="U392" s="1783"/>
      <c r="V392" s="1783"/>
      <c r="W392" s="1783"/>
      <c r="X392" s="1783"/>
      <c r="Y392" s="1783"/>
      <c r="Z392" s="1783"/>
      <c r="AA392" s="1783"/>
      <c r="AB392" s="1783"/>
      <c r="AC392" s="1783"/>
      <c r="AD392" s="1783"/>
      <c r="AE392" s="1783"/>
      <c r="AF392" s="1783"/>
      <c r="AG392" s="1783"/>
      <c r="AH392" s="1783"/>
      <c r="AI392" s="1783"/>
      <c r="AJ392" s="1783"/>
      <c r="AK392" s="1783"/>
      <c r="AL392" s="1783"/>
      <c r="AM392" s="1783"/>
      <c r="AN392" s="1783"/>
      <c r="AO392" s="1783"/>
      <c r="AP392" s="1783"/>
      <c r="AQ392" s="1783"/>
      <c r="AR392" s="1783"/>
      <c r="AS392" s="1783"/>
      <c r="AT392" s="1783"/>
      <c r="AU392" s="1783"/>
      <c r="AV392" s="1783"/>
      <c r="AW392" s="1783"/>
      <c r="AX392" s="1783"/>
      <c r="AY392" s="1783"/>
      <c r="AZ392" s="1783"/>
      <c r="BA392" s="1783"/>
      <c r="BB392" s="1783"/>
      <c r="BC392" s="1783"/>
      <c r="BD392" s="1783"/>
      <c r="BE392" s="1783"/>
      <c r="BF392" s="1783"/>
      <c r="BG392" s="1783"/>
      <c r="BH392" s="1783"/>
      <c r="BI392" s="1783"/>
    </row>
    <row r="393" spans="1:61">
      <c r="A393" s="1819"/>
      <c r="B393" s="1818"/>
      <c r="C393" s="1818"/>
      <c r="D393" s="1818"/>
      <c r="E393" s="1818"/>
      <c r="F393" s="1818"/>
      <c r="G393" s="1818"/>
      <c r="H393" s="1783"/>
      <c r="I393" s="1783"/>
      <c r="J393" s="1783"/>
      <c r="K393" s="1783"/>
      <c r="L393" s="1783"/>
      <c r="M393" s="1783"/>
      <c r="N393" s="1783"/>
      <c r="O393" s="1783"/>
      <c r="P393" s="1783"/>
      <c r="Q393" s="1783"/>
      <c r="R393" s="1783"/>
      <c r="S393" s="1783"/>
      <c r="T393" s="1783"/>
      <c r="U393" s="1783"/>
      <c r="V393" s="1783"/>
      <c r="W393" s="1783"/>
      <c r="X393" s="1783"/>
      <c r="Y393" s="1783"/>
      <c r="Z393" s="1783"/>
      <c r="AA393" s="1783"/>
      <c r="AB393" s="1783"/>
      <c r="AC393" s="1783"/>
      <c r="AD393" s="1783"/>
      <c r="AE393" s="1783"/>
      <c r="AF393" s="1783"/>
      <c r="AG393" s="1783"/>
      <c r="AH393" s="1783"/>
      <c r="AI393" s="1783"/>
      <c r="AJ393" s="1783"/>
      <c r="AK393" s="1783"/>
      <c r="AL393" s="1783"/>
      <c r="AM393" s="1783"/>
      <c r="AN393" s="1783"/>
      <c r="AO393" s="1783"/>
      <c r="AP393" s="1783"/>
      <c r="AQ393" s="1783"/>
      <c r="AR393" s="1783"/>
      <c r="AS393" s="1783"/>
      <c r="AT393" s="1783"/>
      <c r="AU393" s="1783"/>
      <c r="AV393" s="1783"/>
      <c r="AW393" s="1783"/>
      <c r="AX393" s="1783"/>
      <c r="AY393" s="1783"/>
      <c r="AZ393" s="1783"/>
      <c r="BA393" s="1783"/>
      <c r="BB393" s="1783"/>
      <c r="BC393" s="1783"/>
      <c r="BD393" s="1783"/>
      <c r="BE393" s="1783"/>
      <c r="BF393" s="1783"/>
      <c r="BG393" s="1783"/>
      <c r="BH393" s="1783"/>
      <c r="BI393" s="1783"/>
    </row>
    <row r="394" spans="1:61">
      <c r="A394" s="1819"/>
      <c r="B394" s="1818"/>
      <c r="C394" s="1818"/>
      <c r="D394" s="1818"/>
      <c r="E394" s="1818"/>
      <c r="F394" s="1818"/>
      <c r="G394" s="1818"/>
      <c r="H394" s="1783"/>
      <c r="I394" s="1783"/>
      <c r="J394" s="1783"/>
      <c r="K394" s="1783"/>
      <c r="L394" s="1783"/>
      <c r="M394" s="1783"/>
      <c r="N394" s="1783"/>
      <c r="O394" s="1783"/>
      <c r="P394" s="1783"/>
      <c r="Q394" s="1783"/>
      <c r="R394" s="1783"/>
      <c r="S394" s="1783"/>
      <c r="T394" s="1783"/>
      <c r="U394" s="1783"/>
      <c r="V394" s="1783"/>
      <c r="W394" s="1783"/>
      <c r="X394" s="1783"/>
      <c r="Y394" s="1783"/>
      <c r="Z394" s="1783"/>
      <c r="AA394" s="1783"/>
      <c r="AB394" s="1783"/>
      <c r="AC394" s="1783"/>
      <c r="AD394" s="1783"/>
      <c r="AE394" s="1783"/>
      <c r="AF394" s="1783"/>
      <c r="AG394" s="1783"/>
      <c r="AH394" s="1783"/>
      <c r="AI394" s="1783"/>
      <c r="AJ394" s="1783"/>
      <c r="AK394" s="1783"/>
      <c r="AL394" s="1783"/>
      <c r="AM394" s="1783"/>
      <c r="AN394" s="1783"/>
      <c r="AO394" s="1783"/>
      <c r="AP394" s="1783"/>
      <c r="AQ394" s="1783"/>
      <c r="AR394" s="1783"/>
      <c r="AS394" s="1783"/>
      <c r="AT394" s="1783"/>
      <c r="AU394" s="1783"/>
      <c r="AV394" s="1783"/>
      <c r="AW394" s="1783"/>
      <c r="AX394" s="1783"/>
      <c r="AY394" s="1783"/>
      <c r="AZ394" s="1783"/>
      <c r="BA394" s="1783"/>
      <c r="BB394" s="1783"/>
      <c r="BC394" s="1783"/>
      <c r="BD394" s="1783"/>
      <c r="BE394" s="1783"/>
      <c r="BF394" s="1783"/>
      <c r="BG394" s="1783"/>
      <c r="BH394" s="1783"/>
      <c r="BI394" s="1783"/>
    </row>
    <row r="395" spans="1:61">
      <c r="A395" s="1819"/>
      <c r="B395" s="1818"/>
      <c r="C395" s="1818"/>
      <c r="D395" s="1818"/>
      <c r="E395" s="1818"/>
      <c r="F395" s="1818"/>
      <c r="G395" s="1818"/>
      <c r="H395" s="1783"/>
      <c r="I395" s="1783"/>
      <c r="J395" s="1783"/>
      <c r="K395" s="1783"/>
      <c r="L395" s="1783"/>
      <c r="M395" s="1783"/>
      <c r="N395" s="1783"/>
      <c r="O395" s="1783"/>
      <c r="P395" s="1783"/>
      <c r="Q395" s="1783"/>
      <c r="R395" s="1783"/>
      <c r="S395" s="1783"/>
      <c r="T395" s="1783"/>
      <c r="U395" s="1783"/>
      <c r="V395" s="1783"/>
      <c r="W395" s="1783"/>
      <c r="X395" s="1783"/>
      <c r="Y395" s="1783"/>
      <c r="Z395" s="1783"/>
      <c r="AA395" s="1783"/>
      <c r="AB395" s="1783"/>
      <c r="AC395" s="1783"/>
      <c r="AD395" s="1783"/>
      <c r="AE395" s="1783"/>
      <c r="AF395" s="1783"/>
      <c r="AG395" s="1783"/>
      <c r="AH395" s="1783"/>
      <c r="AI395" s="1783"/>
      <c r="AJ395" s="1783"/>
      <c r="AK395" s="1783"/>
      <c r="AL395" s="1783"/>
      <c r="AM395" s="1783"/>
      <c r="AN395" s="1783"/>
      <c r="AO395" s="1783"/>
      <c r="AP395" s="1783"/>
      <c r="AQ395" s="1783"/>
      <c r="AR395" s="1783"/>
      <c r="AS395" s="1783"/>
      <c r="AT395" s="1783"/>
      <c r="AU395" s="1783"/>
      <c r="AV395" s="1783"/>
      <c r="AW395" s="1783"/>
      <c r="AX395" s="1783"/>
      <c r="AY395" s="1783"/>
      <c r="AZ395" s="1783"/>
      <c r="BA395" s="1783"/>
      <c r="BB395" s="1783"/>
      <c r="BC395" s="1783"/>
      <c r="BD395" s="1783"/>
      <c r="BE395" s="1783"/>
      <c r="BF395" s="1783"/>
      <c r="BG395" s="1783"/>
      <c r="BH395" s="1783"/>
      <c r="BI395" s="1783"/>
    </row>
    <row r="396" spans="1:61">
      <c r="A396" s="1819"/>
      <c r="B396" s="1818"/>
      <c r="C396" s="1818"/>
      <c r="D396" s="1818"/>
      <c r="E396" s="1818"/>
      <c r="F396" s="1818"/>
      <c r="G396" s="1818"/>
      <c r="H396" s="1783"/>
      <c r="I396" s="1783"/>
      <c r="J396" s="1783"/>
      <c r="K396" s="1783"/>
      <c r="L396" s="1783"/>
      <c r="M396" s="1783"/>
      <c r="N396" s="1783"/>
      <c r="O396" s="1783"/>
      <c r="P396" s="1783"/>
      <c r="Q396" s="1783"/>
      <c r="R396" s="1783"/>
      <c r="S396" s="1783"/>
      <c r="T396" s="1783"/>
      <c r="U396" s="1783"/>
      <c r="V396" s="1783"/>
      <c r="W396" s="1783"/>
      <c r="X396" s="1783"/>
      <c r="Y396" s="1783"/>
      <c r="Z396" s="1783"/>
      <c r="AA396" s="1783"/>
      <c r="AB396" s="1783"/>
      <c r="AC396" s="1783"/>
      <c r="AD396" s="1783"/>
      <c r="AE396" s="1783"/>
      <c r="AF396" s="1783"/>
      <c r="AG396" s="1783"/>
      <c r="AH396" s="1783"/>
      <c r="AI396" s="1783"/>
      <c r="AJ396" s="1783"/>
      <c r="AK396" s="1783"/>
      <c r="AL396" s="1783"/>
      <c r="AM396" s="1783"/>
      <c r="AN396" s="1783"/>
      <c r="AO396" s="1783"/>
      <c r="AP396" s="1783"/>
      <c r="AQ396" s="1783"/>
      <c r="AR396" s="1783"/>
      <c r="AS396" s="1783"/>
      <c r="AT396" s="1783"/>
      <c r="AU396" s="1783"/>
      <c r="AV396" s="1783"/>
      <c r="AW396" s="1783"/>
      <c r="AX396" s="1783"/>
      <c r="AY396" s="1783"/>
      <c r="AZ396" s="1783"/>
      <c r="BA396" s="1783"/>
      <c r="BB396" s="1783"/>
      <c r="BC396" s="1783"/>
      <c r="BD396" s="1783"/>
      <c r="BE396" s="1783"/>
      <c r="BF396" s="1783"/>
      <c r="BG396" s="1783"/>
      <c r="BH396" s="1783"/>
      <c r="BI396" s="1783"/>
    </row>
    <row r="397" spans="1:61">
      <c r="A397" s="1819"/>
      <c r="B397" s="1818"/>
      <c r="C397" s="1818"/>
      <c r="D397" s="1818"/>
      <c r="E397" s="1818"/>
      <c r="F397" s="1818"/>
      <c r="G397" s="1818"/>
      <c r="H397" s="1783"/>
      <c r="I397" s="1783"/>
      <c r="J397" s="1783"/>
      <c r="K397" s="1783"/>
      <c r="L397" s="1783"/>
      <c r="M397" s="1783"/>
      <c r="N397" s="1783"/>
      <c r="O397" s="1783"/>
      <c r="P397" s="1783"/>
      <c r="Q397" s="1783"/>
      <c r="R397" s="1783"/>
      <c r="S397" s="1783"/>
      <c r="T397" s="1783"/>
      <c r="U397" s="1783"/>
      <c r="V397" s="1783"/>
      <c r="W397" s="1783"/>
      <c r="X397" s="1783"/>
      <c r="Y397" s="1783"/>
      <c r="Z397" s="1783"/>
      <c r="AA397" s="1783"/>
      <c r="AB397" s="1783"/>
      <c r="AC397" s="1783"/>
      <c r="AD397" s="1783"/>
      <c r="AE397" s="1783"/>
      <c r="AF397" s="1783"/>
      <c r="AG397" s="1783"/>
      <c r="AH397" s="1783"/>
      <c r="AI397" s="1783"/>
      <c r="AJ397" s="1783"/>
      <c r="AK397" s="1783"/>
      <c r="AL397" s="1783"/>
      <c r="AM397" s="1783"/>
      <c r="AN397" s="1783"/>
      <c r="AO397" s="1783"/>
      <c r="AP397" s="1783"/>
      <c r="AQ397" s="1783"/>
      <c r="AR397" s="1783"/>
      <c r="AS397" s="1783"/>
      <c r="AT397" s="1783"/>
      <c r="AU397" s="1783"/>
      <c r="AV397" s="1783"/>
      <c r="AW397" s="1783"/>
      <c r="AX397" s="1783"/>
      <c r="AY397" s="1783"/>
      <c r="AZ397" s="1783"/>
      <c r="BA397" s="1783"/>
      <c r="BB397" s="1783"/>
      <c r="BC397" s="1783"/>
      <c r="BD397" s="1783"/>
      <c r="BE397" s="1783"/>
      <c r="BF397" s="1783"/>
      <c r="BG397" s="1783"/>
      <c r="BH397" s="1783"/>
      <c r="BI397" s="1783"/>
    </row>
    <row r="398" spans="1:61">
      <c r="A398" s="1819"/>
      <c r="B398" s="1818"/>
      <c r="C398" s="1818"/>
      <c r="D398" s="1818"/>
      <c r="E398" s="1818"/>
      <c r="F398" s="1818"/>
      <c r="G398" s="1818"/>
      <c r="H398" s="1783"/>
      <c r="I398" s="1783"/>
      <c r="J398" s="1783"/>
      <c r="K398" s="1783"/>
      <c r="L398" s="1783"/>
      <c r="M398" s="1783"/>
      <c r="N398" s="1783"/>
      <c r="O398" s="1783"/>
      <c r="P398" s="1783"/>
      <c r="Q398" s="1783"/>
      <c r="R398" s="1783"/>
      <c r="S398" s="1783"/>
      <c r="T398" s="1783"/>
      <c r="U398" s="1783"/>
      <c r="V398" s="1783"/>
      <c r="W398" s="1783"/>
      <c r="X398" s="1783"/>
      <c r="Y398" s="1783"/>
      <c r="Z398" s="1783"/>
      <c r="AA398" s="1783"/>
      <c r="AB398" s="1783"/>
      <c r="AC398" s="1783"/>
      <c r="AD398" s="1783"/>
      <c r="AE398" s="1783"/>
      <c r="AF398" s="1783"/>
      <c r="AG398" s="1783"/>
      <c r="AH398" s="1783"/>
      <c r="AI398" s="1783"/>
      <c r="AJ398" s="1783"/>
      <c r="AK398" s="1783"/>
      <c r="AL398" s="1783"/>
      <c r="AM398" s="1783"/>
      <c r="AN398" s="1783"/>
      <c r="AO398" s="1783"/>
      <c r="AP398" s="1783"/>
      <c r="AQ398" s="1783"/>
      <c r="AR398" s="1783"/>
      <c r="AS398" s="1783"/>
      <c r="AT398" s="1783"/>
      <c r="AU398" s="1783"/>
      <c r="AV398" s="1783"/>
      <c r="AW398" s="1783"/>
      <c r="AX398" s="1783"/>
      <c r="AY398" s="1783"/>
      <c r="AZ398" s="1783"/>
      <c r="BA398" s="1783"/>
      <c r="BB398" s="1783"/>
      <c r="BC398" s="1783"/>
      <c r="BD398" s="1783"/>
      <c r="BE398" s="1783"/>
      <c r="BF398" s="1783"/>
      <c r="BG398" s="1783"/>
      <c r="BH398" s="1783"/>
      <c r="BI398" s="1783"/>
    </row>
    <row r="399" spans="1:61">
      <c r="A399" s="1819"/>
      <c r="B399" s="1818"/>
      <c r="C399" s="1818"/>
      <c r="D399" s="1818"/>
      <c r="E399" s="1818"/>
      <c r="F399" s="1818"/>
      <c r="G399" s="1818"/>
      <c r="H399" s="1783"/>
      <c r="I399" s="1783"/>
      <c r="J399" s="1783"/>
      <c r="K399" s="1783"/>
      <c r="L399" s="1783"/>
      <c r="M399" s="1783"/>
      <c r="N399" s="1783"/>
      <c r="O399" s="1783"/>
      <c r="P399" s="1783"/>
      <c r="Q399" s="1783"/>
      <c r="R399" s="1783"/>
      <c r="S399" s="1783"/>
      <c r="T399" s="1783"/>
      <c r="U399" s="1783"/>
      <c r="V399" s="1783"/>
      <c r="W399" s="1783"/>
      <c r="X399" s="1783"/>
      <c r="Y399" s="1783"/>
      <c r="Z399" s="1783"/>
      <c r="AA399" s="1783"/>
      <c r="AB399" s="1783"/>
      <c r="AC399" s="1783"/>
      <c r="AD399" s="1783"/>
      <c r="AE399" s="1783"/>
      <c r="AF399" s="1783"/>
      <c r="AG399" s="1783"/>
      <c r="AH399" s="1783"/>
      <c r="AI399" s="1783"/>
      <c r="AJ399" s="1783"/>
      <c r="AK399" s="1783"/>
      <c r="AL399" s="1783"/>
      <c r="AM399" s="1783"/>
      <c r="AN399" s="1783"/>
      <c r="AO399" s="1783"/>
      <c r="AP399" s="1783"/>
      <c r="AQ399" s="1783"/>
      <c r="AR399" s="1783"/>
      <c r="AS399" s="1783"/>
      <c r="AT399" s="1783"/>
      <c r="AU399" s="1783"/>
      <c r="AV399" s="1783"/>
      <c r="AW399" s="1783"/>
      <c r="AX399" s="1783"/>
      <c r="AY399" s="1783"/>
      <c r="AZ399" s="1783"/>
      <c r="BA399" s="1783"/>
      <c r="BB399" s="1783"/>
      <c r="BC399" s="1783"/>
      <c r="BD399" s="1783"/>
      <c r="BE399" s="1783"/>
      <c r="BF399" s="1783"/>
      <c r="BG399" s="1783"/>
      <c r="BH399" s="1783"/>
      <c r="BI399" s="1783"/>
    </row>
    <row r="400" spans="1:61">
      <c r="A400" s="1819"/>
      <c r="B400" s="1818"/>
      <c r="C400" s="1818"/>
      <c r="D400" s="1818"/>
      <c r="E400" s="1818"/>
      <c r="F400" s="1818"/>
      <c r="G400" s="1818"/>
      <c r="H400" s="1783"/>
      <c r="I400" s="1783"/>
      <c r="J400" s="1783"/>
      <c r="K400" s="1783"/>
      <c r="L400" s="1783"/>
      <c r="M400" s="1783"/>
      <c r="N400" s="1783"/>
      <c r="O400" s="1783"/>
      <c r="P400" s="1783"/>
      <c r="Q400" s="1783"/>
      <c r="R400" s="1783"/>
      <c r="S400" s="1783"/>
      <c r="T400" s="1783"/>
      <c r="U400" s="1783"/>
      <c r="V400" s="1783"/>
      <c r="W400" s="1783"/>
      <c r="X400" s="1783"/>
      <c r="Y400" s="1783"/>
      <c r="Z400" s="1783"/>
      <c r="AA400" s="1783"/>
      <c r="AB400" s="1783"/>
      <c r="AC400" s="1783"/>
      <c r="AD400" s="1783"/>
      <c r="AE400" s="1783"/>
      <c r="AF400" s="1783"/>
      <c r="AG400" s="1783"/>
      <c r="AH400" s="1783"/>
      <c r="AI400" s="1783"/>
      <c r="AJ400" s="1783"/>
      <c r="AK400" s="1783"/>
      <c r="AL400" s="1783"/>
      <c r="AM400" s="1783"/>
      <c r="AN400" s="1783"/>
      <c r="AO400" s="1783"/>
      <c r="AP400" s="1783"/>
      <c r="AQ400" s="1783"/>
      <c r="AR400" s="1783"/>
      <c r="AS400" s="1783"/>
      <c r="AT400" s="1783"/>
      <c r="AU400" s="1783"/>
      <c r="AV400" s="1783"/>
      <c r="AW400" s="1783"/>
      <c r="AX400" s="1783"/>
      <c r="AY400" s="1783"/>
      <c r="AZ400" s="1783"/>
      <c r="BA400" s="1783"/>
      <c r="BB400" s="1783"/>
      <c r="BC400" s="1783"/>
      <c r="BD400" s="1783"/>
      <c r="BE400" s="1783"/>
      <c r="BF400" s="1783"/>
      <c r="BG400" s="1783"/>
      <c r="BH400" s="1783"/>
      <c r="BI400" s="1783"/>
    </row>
    <row r="401" spans="1:61">
      <c r="A401" s="1819"/>
      <c r="B401" s="1818"/>
      <c r="C401" s="1818"/>
      <c r="D401" s="1818"/>
      <c r="E401" s="1818"/>
      <c r="F401" s="1818"/>
      <c r="G401" s="1818"/>
      <c r="H401" s="1783"/>
      <c r="I401" s="1783"/>
      <c r="J401" s="1783"/>
      <c r="K401" s="1783"/>
      <c r="L401" s="1783"/>
      <c r="M401" s="1783"/>
      <c r="N401" s="1783"/>
      <c r="O401" s="1783"/>
      <c r="P401" s="1783"/>
      <c r="Q401" s="1783"/>
      <c r="R401" s="1783"/>
      <c r="S401" s="1783"/>
      <c r="T401" s="1783"/>
      <c r="U401" s="1783"/>
      <c r="V401" s="1783"/>
      <c r="W401" s="1783"/>
      <c r="X401" s="1783"/>
      <c r="Y401" s="1783"/>
      <c r="Z401" s="1783"/>
      <c r="AA401" s="1783"/>
      <c r="AB401" s="1783"/>
      <c r="AC401" s="1783"/>
      <c r="AD401" s="1783"/>
      <c r="AE401" s="1783"/>
      <c r="AF401" s="1783"/>
      <c r="AG401" s="1783"/>
      <c r="AH401" s="1783"/>
      <c r="AI401" s="1783"/>
      <c r="AJ401" s="1783"/>
      <c r="AK401" s="1783"/>
      <c r="AL401" s="1783"/>
      <c r="AM401" s="1783"/>
      <c r="AN401" s="1783"/>
      <c r="AO401" s="1783"/>
      <c r="AP401" s="1783"/>
      <c r="AQ401" s="1783"/>
      <c r="AR401" s="1783"/>
      <c r="AS401" s="1783"/>
      <c r="AT401" s="1783"/>
      <c r="AU401" s="1783"/>
      <c r="AV401" s="1783"/>
      <c r="AW401" s="1783"/>
      <c r="AX401" s="1783"/>
      <c r="AY401" s="1783"/>
      <c r="AZ401" s="1783"/>
      <c r="BA401" s="1783"/>
      <c r="BB401" s="1783"/>
      <c r="BC401" s="1783"/>
      <c r="BD401" s="1783"/>
      <c r="BE401" s="1783"/>
      <c r="BF401" s="1783"/>
      <c r="BG401" s="1783"/>
      <c r="BH401" s="1783"/>
      <c r="BI401" s="1783"/>
    </row>
    <row r="402" spans="1:61">
      <c r="A402" s="1819"/>
      <c r="B402" s="1818"/>
      <c r="C402" s="1818"/>
      <c r="D402" s="1818"/>
      <c r="E402" s="1818"/>
      <c r="F402" s="1818"/>
      <c r="G402" s="1818"/>
      <c r="H402" s="1783"/>
      <c r="I402" s="1783"/>
      <c r="J402" s="1783"/>
      <c r="K402" s="1783"/>
      <c r="L402" s="1783"/>
      <c r="M402" s="1783"/>
      <c r="N402" s="1783"/>
      <c r="O402" s="1783"/>
      <c r="P402" s="1783"/>
      <c r="Q402" s="1783"/>
      <c r="R402" s="1783"/>
      <c r="S402" s="1783"/>
      <c r="T402" s="1783"/>
      <c r="U402" s="1783"/>
      <c r="V402" s="1783"/>
      <c r="W402" s="1783"/>
      <c r="X402" s="1783"/>
      <c r="Y402" s="1783"/>
      <c r="Z402" s="1783"/>
      <c r="AA402" s="1783"/>
      <c r="AB402" s="1783"/>
      <c r="AC402" s="1783"/>
      <c r="AD402" s="1783"/>
      <c r="AE402" s="1783"/>
      <c r="AF402" s="1783"/>
      <c r="AG402" s="1783"/>
      <c r="AH402" s="1783"/>
      <c r="AI402" s="1783"/>
      <c r="AJ402" s="1783"/>
      <c r="AK402" s="1783"/>
      <c r="AL402" s="1783"/>
      <c r="AM402" s="1783"/>
      <c r="AN402" s="1783"/>
      <c r="AO402" s="1783"/>
      <c r="AP402" s="1783"/>
      <c r="AQ402" s="1783"/>
      <c r="AR402" s="1783"/>
      <c r="AS402" s="1783"/>
      <c r="AT402" s="1783"/>
      <c r="AU402" s="1783"/>
      <c r="AV402" s="1783"/>
      <c r="AW402" s="1783"/>
      <c r="AX402" s="1783"/>
      <c r="AY402" s="1783"/>
      <c r="AZ402" s="1783"/>
      <c r="BA402" s="1783"/>
      <c r="BB402" s="1783"/>
      <c r="BC402" s="1783"/>
      <c r="BD402" s="1783"/>
      <c r="BE402" s="1783"/>
      <c r="BF402" s="1783"/>
      <c r="BG402" s="1783"/>
      <c r="BH402" s="1783"/>
      <c r="BI402" s="1783"/>
    </row>
    <row r="403" spans="1:61">
      <c r="A403" s="1819"/>
      <c r="B403" s="1818"/>
      <c r="C403" s="1818"/>
      <c r="D403" s="1818"/>
      <c r="E403" s="1818"/>
      <c r="F403" s="1818"/>
      <c r="G403" s="1818"/>
      <c r="H403" s="1783"/>
      <c r="I403" s="1783"/>
      <c r="J403" s="1783"/>
      <c r="K403" s="1783"/>
      <c r="L403" s="1783"/>
      <c r="M403" s="1783"/>
      <c r="N403" s="1783"/>
      <c r="O403" s="1783"/>
      <c r="P403" s="1783"/>
      <c r="Q403" s="1783"/>
      <c r="R403" s="1783"/>
      <c r="S403" s="1783"/>
      <c r="T403" s="1783"/>
      <c r="U403" s="1783"/>
      <c r="V403" s="1783"/>
      <c r="W403" s="1783"/>
      <c r="X403" s="1783"/>
      <c r="Y403" s="1783"/>
      <c r="Z403" s="1783"/>
      <c r="AA403" s="1783"/>
      <c r="AB403" s="1783"/>
      <c r="AC403" s="1783"/>
      <c r="AD403" s="1783"/>
      <c r="AE403" s="1783"/>
      <c r="AF403" s="1783"/>
      <c r="AG403" s="1783"/>
      <c r="AH403" s="1783"/>
      <c r="AI403" s="1783"/>
      <c r="AJ403" s="1783"/>
      <c r="AK403" s="1783"/>
      <c r="AL403" s="1783"/>
      <c r="AM403" s="1783"/>
      <c r="AN403" s="1783"/>
      <c r="AO403" s="1783"/>
      <c r="AP403" s="1783"/>
      <c r="AQ403" s="1783"/>
      <c r="AR403" s="1783"/>
      <c r="AS403" s="1783"/>
      <c r="AT403" s="1783"/>
      <c r="AU403" s="1783"/>
      <c r="AV403" s="1783"/>
      <c r="AW403" s="1783"/>
      <c r="AX403" s="1783"/>
      <c r="AY403" s="1783"/>
      <c r="AZ403" s="1783"/>
      <c r="BA403" s="1783"/>
      <c r="BB403" s="1783"/>
      <c r="BC403" s="1783"/>
      <c r="BD403" s="1783"/>
      <c r="BE403" s="1783"/>
      <c r="BF403" s="1783"/>
      <c r="BG403" s="1783"/>
      <c r="BH403" s="1783"/>
      <c r="BI403" s="1783"/>
    </row>
    <row r="404" spans="1:61">
      <c r="A404" s="1819"/>
      <c r="B404" s="1818"/>
      <c r="C404" s="1818"/>
      <c r="D404" s="1818"/>
      <c r="E404" s="1818"/>
      <c r="F404" s="1818"/>
      <c r="G404" s="1818"/>
      <c r="H404" s="1783"/>
      <c r="I404" s="1783"/>
      <c r="J404" s="1783"/>
      <c r="K404" s="1783"/>
      <c r="L404" s="1783"/>
      <c r="M404" s="1783"/>
      <c r="N404" s="1783"/>
      <c r="O404" s="1783"/>
      <c r="P404" s="1783"/>
      <c r="Q404" s="1783"/>
      <c r="R404" s="1783"/>
      <c r="S404" s="1783"/>
      <c r="T404" s="1783"/>
      <c r="U404" s="1783"/>
      <c r="V404" s="1783"/>
      <c r="W404" s="1783"/>
      <c r="X404" s="1783"/>
      <c r="Y404" s="1783"/>
      <c r="Z404" s="1783"/>
      <c r="AA404" s="1783"/>
      <c r="AB404" s="1783"/>
      <c r="AC404" s="1783"/>
      <c r="AD404" s="1783"/>
      <c r="AE404" s="1783"/>
      <c r="AF404" s="1783"/>
      <c r="AG404" s="1783"/>
      <c r="AH404" s="1783"/>
      <c r="AI404" s="1783"/>
      <c r="AJ404" s="1783"/>
      <c r="AK404" s="1783"/>
      <c r="AL404" s="1783"/>
      <c r="AM404" s="1783"/>
      <c r="AN404" s="1783"/>
      <c r="AO404" s="1783"/>
      <c r="AP404" s="1783"/>
      <c r="AQ404" s="1783"/>
      <c r="AR404" s="1783"/>
      <c r="AS404" s="1783"/>
      <c r="AT404" s="1783"/>
      <c r="AU404" s="1783"/>
      <c r="AV404" s="1783"/>
      <c r="AW404" s="1783"/>
      <c r="AX404" s="1783"/>
      <c r="AY404" s="1783"/>
      <c r="AZ404" s="1783"/>
      <c r="BA404" s="1783"/>
      <c r="BB404" s="1783"/>
      <c r="BC404" s="1783"/>
      <c r="BD404" s="1783"/>
      <c r="BE404" s="1783"/>
      <c r="BF404" s="1783"/>
      <c r="BG404" s="1783"/>
      <c r="BH404" s="1783"/>
      <c r="BI404" s="1783"/>
    </row>
    <row r="405" spans="1:61">
      <c r="A405" s="1819"/>
      <c r="B405" s="1818"/>
      <c r="C405" s="1818"/>
      <c r="D405" s="1818"/>
      <c r="E405" s="1818"/>
      <c r="F405" s="1818"/>
      <c r="G405" s="1818"/>
      <c r="H405" s="1783"/>
      <c r="I405" s="1783"/>
      <c r="J405" s="1783"/>
      <c r="K405" s="1783"/>
      <c r="L405" s="1783"/>
      <c r="M405" s="1783"/>
      <c r="N405" s="1783"/>
      <c r="O405" s="1783"/>
      <c r="P405" s="1783"/>
      <c r="Q405" s="1783"/>
      <c r="R405" s="1783"/>
      <c r="S405" s="1783"/>
      <c r="T405" s="1783"/>
      <c r="U405" s="1783"/>
      <c r="V405" s="1783"/>
      <c r="W405" s="1783"/>
      <c r="X405" s="1783"/>
      <c r="Y405" s="1783"/>
      <c r="Z405" s="1783"/>
      <c r="AA405" s="1783"/>
      <c r="AB405" s="1783"/>
      <c r="AC405" s="1783"/>
      <c r="AD405" s="1783"/>
      <c r="AE405" s="1783"/>
      <c r="AF405" s="1783"/>
      <c r="AG405" s="1783"/>
      <c r="AH405" s="1783"/>
      <c r="AI405" s="1783"/>
      <c r="AJ405" s="1783"/>
      <c r="AK405" s="1783"/>
      <c r="AL405" s="1783"/>
      <c r="AM405" s="1783"/>
      <c r="AN405" s="1783"/>
      <c r="AO405" s="1783"/>
      <c r="AP405" s="1783"/>
      <c r="AQ405" s="1783"/>
      <c r="AR405" s="1783"/>
      <c r="AS405" s="1783"/>
      <c r="AT405" s="1783"/>
      <c r="AU405" s="1783"/>
      <c r="AV405" s="1783"/>
      <c r="AW405" s="1783"/>
      <c r="AX405" s="1783"/>
      <c r="AY405" s="1783"/>
      <c r="AZ405" s="1783"/>
      <c r="BA405" s="1783"/>
      <c r="BB405" s="1783"/>
      <c r="BC405" s="1783"/>
      <c r="BD405" s="1783"/>
      <c r="BE405" s="1783"/>
      <c r="BF405" s="1783"/>
      <c r="BG405" s="1783"/>
      <c r="BH405" s="1783"/>
      <c r="BI405" s="1783"/>
    </row>
    <row r="406" spans="1:61">
      <c r="A406" s="1819"/>
      <c r="B406" s="1818"/>
      <c r="C406" s="1818"/>
      <c r="D406" s="1818"/>
      <c r="E406" s="1818"/>
      <c r="F406" s="1818"/>
      <c r="G406" s="1818"/>
      <c r="H406" s="1783"/>
      <c r="I406" s="1783"/>
      <c r="J406" s="1783"/>
      <c r="K406" s="1783"/>
      <c r="L406" s="1783"/>
      <c r="M406" s="1783"/>
      <c r="N406" s="1783"/>
      <c r="O406" s="1783"/>
      <c r="P406" s="1783"/>
      <c r="Q406" s="1783"/>
      <c r="R406" s="1783"/>
      <c r="S406" s="1783"/>
      <c r="T406" s="1783"/>
      <c r="U406" s="1783"/>
      <c r="V406" s="1783"/>
      <c r="W406" s="1783"/>
      <c r="X406" s="1783"/>
      <c r="Y406" s="1783"/>
      <c r="Z406" s="1783"/>
      <c r="AA406" s="1783"/>
      <c r="AB406" s="1783"/>
      <c r="AC406" s="1783"/>
      <c r="AD406" s="1783"/>
      <c r="AE406" s="1783"/>
      <c r="AF406" s="1783"/>
      <c r="AG406" s="1783"/>
      <c r="AH406" s="1783"/>
      <c r="AI406" s="1783"/>
      <c r="AJ406" s="1783"/>
      <c r="AK406" s="1783"/>
      <c r="AL406" s="1783"/>
      <c r="AM406" s="1783"/>
      <c r="AN406" s="1783"/>
      <c r="AO406" s="1783"/>
      <c r="AP406" s="1783"/>
      <c r="AQ406" s="1783"/>
      <c r="AR406" s="1783"/>
      <c r="AS406" s="1783"/>
      <c r="AT406" s="1783"/>
      <c r="AU406" s="1783"/>
      <c r="AV406" s="1783"/>
      <c r="AW406" s="1783"/>
      <c r="AX406" s="1783"/>
      <c r="AY406" s="1783"/>
      <c r="AZ406" s="1783"/>
      <c r="BA406" s="1783"/>
      <c r="BB406" s="1783"/>
      <c r="BC406" s="1783"/>
      <c r="BD406" s="1783"/>
      <c r="BE406" s="1783"/>
      <c r="BF406" s="1783"/>
      <c r="BG406" s="1783"/>
      <c r="BH406" s="1783"/>
      <c r="BI406" s="1783"/>
    </row>
    <row r="407" spans="1:61">
      <c r="A407" s="1819"/>
      <c r="B407" s="1818"/>
      <c r="C407" s="1818"/>
      <c r="D407" s="1818"/>
      <c r="E407" s="1818"/>
      <c r="F407" s="1818"/>
      <c r="G407" s="1818"/>
      <c r="H407" s="1783"/>
      <c r="I407" s="1783"/>
      <c r="J407" s="1783"/>
      <c r="K407" s="1783"/>
      <c r="L407" s="1783"/>
      <c r="M407" s="1783"/>
      <c r="N407" s="1783"/>
      <c r="O407" s="1783"/>
      <c r="P407" s="1783"/>
      <c r="Q407" s="1783"/>
      <c r="R407" s="1783"/>
      <c r="S407" s="1783"/>
      <c r="T407" s="1783"/>
      <c r="U407" s="1783"/>
      <c r="V407" s="1783"/>
      <c r="W407" s="1783"/>
      <c r="X407" s="1783"/>
      <c r="Y407" s="1783"/>
      <c r="Z407" s="1783"/>
      <c r="AA407" s="1783"/>
      <c r="AB407" s="1783"/>
      <c r="AC407" s="1783"/>
      <c r="AD407" s="1783"/>
      <c r="AE407" s="1783"/>
      <c r="AF407" s="1783"/>
      <c r="AG407" s="1783"/>
      <c r="AH407" s="1783"/>
      <c r="AI407" s="1783"/>
      <c r="AJ407" s="1783"/>
      <c r="AK407" s="1783"/>
      <c r="AL407" s="1783"/>
      <c r="AM407" s="1783"/>
      <c r="AN407" s="1783"/>
      <c r="AO407" s="1783"/>
      <c r="AP407" s="1783"/>
      <c r="AQ407" s="1783"/>
      <c r="AR407" s="1783"/>
      <c r="AS407" s="1783"/>
      <c r="AT407" s="1783"/>
      <c r="AU407" s="1783"/>
      <c r="AV407" s="1783"/>
      <c r="AW407" s="1783"/>
      <c r="AX407" s="1783"/>
      <c r="AY407" s="1783"/>
      <c r="AZ407" s="1783"/>
      <c r="BA407" s="1783"/>
      <c r="BB407" s="1783"/>
      <c r="BC407" s="1783"/>
      <c r="BD407" s="1783"/>
      <c r="BE407" s="1783"/>
      <c r="BF407" s="1783"/>
      <c r="BG407" s="1783"/>
      <c r="BH407" s="1783"/>
      <c r="BI407" s="1783"/>
    </row>
    <row r="408" spans="1:61">
      <c r="A408" s="1819"/>
      <c r="B408" s="1818"/>
      <c r="C408" s="1818"/>
      <c r="D408" s="1818"/>
      <c r="E408" s="1818"/>
      <c r="F408" s="1818"/>
      <c r="G408" s="1818"/>
      <c r="H408" s="1783"/>
      <c r="I408" s="1783"/>
      <c r="J408" s="1783"/>
      <c r="K408" s="1783"/>
      <c r="L408" s="1783"/>
      <c r="M408" s="1783"/>
      <c r="N408" s="1783"/>
      <c r="O408" s="1783"/>
      <c r="P408" s="1783"/>
      <c r="Q408" s="1783"/>
      <c r="R408" s="1783"/>
      <c r="S408" s="1783"/>
      <c r="T408" s="1783"/>
      <c r="U408" s="1783"/>
      <c r="V408" s="1783"/>
      <c r="W408" s="1783"/>
      <c r="X408" s="1783"/>
      <c r="Y408" s="1783"/>
      <c r="Z408" s="1783"/>
      <c r="AA408" s="1783"/>
      <c r="AB408" s="1783"/>
      <c r="AC408" s="1783"/>
      <c r="AD408" s="1783"/>
      <c r="AE408" s="1783"/>
      <c r="AF408" s="1783"/>
      <c r="AG408" s="1783"/>
      <c r="AH408" s="1783"/>
      <c r="AI408" s="1783"/>
      <c r="AJ408" s="1783"/>
      <c r="AK408" s="1783"/>
      <c r="AL408" s="1783"/>
      <c r="AM408" s="1783"/>
      <c r="AN408" s="1783"/>
      <c r="AO408" s="1783"/>
      <c r="AP408" s="1783"/>
      <c r="AQ408" s="1783"/>
      <c r="AR408" s="1783"/>
      <c r="AS408" s="1783"/>
      <c r="AT408" s="1783"/>
      <c r="AU408" s="1783"/>
      <c r="AV408" s="1783"/>
      <c r="AW408" s="1783"/>
      <c r="AX408" s="1783"/>
      <c r="AY408" s="1783"/>
      <c r="AZ408" s="1783"/>
      <c r="BA408" s="1783"/>
      <c r="BB408" s="1783"/>
      <c r="BC408" s="1783"/>
      <c r="BD408" s="1783"/>
      <c r="BE408" s="1783"/>
      <c r="BF408" s="1783"/>
      <c r="BG408" s="1783"/>
      <c r="BH408" s="1783"/>
      <c r="BI408" s="1783"/>
    </row>
    <row r="409" spans="1:61">
      <c r="A409" s="1819"/>
      <c r="B409" s="1818"/>
      <c r="C409" s="1818"/>
      <c r="D409" s="1818"/>
      <c r="E409" s="1818"/>
      <c r="F409" s="1818"/>
      <c r="G409" s="1818"/>
      <c r="H409" s="1783"/>
      <c r="I409" s="1783"/>
      <c r="J409" s="1783"/>
      <c r="K409" s="1783"/>
      <c r="L409" s="1783"/>
      <c r="M409" s="1783"/>
      <c r="N409" s="1783"/>
      <c r="O409" s="1783"/>
      <c r="P409" s="1783"/>
      <c r="Q409" s="1783"/>
      <c r="R409" s="1783"/>
      <c r="S409" s="1783"/>
      <c r="T409" s="1783"/>
      <c r="U409" s="1783"/>
      <c r="V409" s="1783"/>
      <c r="W409" s="1783"/>
      <c r="X409" s="1783"/>
      <c r="Y409" s="1783"/>
      <c r="Z409" s="1783"/>
      <c r="AA409" s="1783"/>
      <c r="AB409" s="1783"/>
      <c r="AC409" s="1783"/>
      <c r="AD409" s="1783"/>
      <c r="AE409" s="1783"/>
      <c r="AF409" s="1783"/>
      <c r="AG409" s="1783"/>
      <c r="AH409" s="1783"/>
      <c r="AI409" s="1783"/>
      <c r="AJ409" s="1783"/>
      <c r="AK409" s="1783"/>
      <c r="AL409" s="1783"/>
      <c r="AM409" s="1783"/>
      <c r="AN409" s="1783"/>
      <c r="AO409" s="1783"/>
      <c r="AP409" s="1783"/>
      <c r="AQ409" s="1783"/>
      <c r="AR409" s="1783"/>
      <c r="AS409" s="1783"/>
      <c r="AT409" s="1783"/>
      <c r="AU409" s="1783"/>
      <c r="AV409" s="1783"/>
      <c r="AW409" s="1783"/>
      <c r="AX409" s="1783"/>
      <c r="AY409" s="1783"/>
      <c r="AZ409" s="1783"/>
      <c r="BA409" s="1783"/>
      <c r="BB409" s="1783"/>
      <c r="BC409" s="1783"/>
      <c r="BD409" s="1783"/>
      <c r="BE409" s="1783"/>
      <c r="BF409" s="1783"/>
      <c r="BG409" s="1783"/>
      <c r="BH409" s="1783"/>
      <c r="BI409" s="1783"/>
    </row>
    <row r="410" spans="1:61">
      <c r="A410" s="1819"/>
      <c r="B410" s="1818"/>
      <c r="C410" s="1818"/>
      <c r="D410" s="1818"/>
      <c r="E410" s="1818"/>
      <c r="F410" s="1818"/>
      <c r="G410" s="1818"/>
      <c r="H410" s="1783"/>
      <c r="I410" s="1783"/>
      <c r="J410" s="1783"/>
      <c r="K410" s="1783"/>
      <c r="L410" s="1783"/>
      <c r="M410" s="1783"/>
      <c r="N410" s="1783"/>
      <c r="O410" s="1783"/>
      <c r="P410" s="1783"/>
      <c r="Q410" s="1783"/>
      <c r="R410" s="1783"/>
      <c r="S410" s="1783"/>
      <c r="T410" s="1783"/>
      <c r="U410" s="1783"/>
      <c r="V410" s="1783"/>
      <c r="W410" s="1783"/>
      <c r="X410" s="1783"/>
      <c r="Y410" s="1783"/>
      <c r="Z410" s="1783"/>
      <c r="AA410" s="1783"/>
      <c r="AB410" s="1783"/>
      <c r="AC410" s="1783"/>
      <c r="AD410" s="1783"/>
      <c r="AE410" s="1783"/>
      <c r="AF410" s="1783"/>
      <c r="AG410" s="1783"/>
      <c r="AH410" s="1783"/>
      <c r="AI410" s="1783"/>
      <c r="AJ410" s="1783"/>
      <c r="AK410" s="1783"/>
      <c r="AL410" s="1783"/>
      <c r="AM410" s="1783"/>
      <c r="AN410" s="1783"/>
      <c r="AO410" s="1783"/>
      <c r="AP410" s="1783"/>
      <c r="AQ410" s="1783"/>
      <c r="AR410" s="1783"/>
      <c r="AS410" s="1783"/>
      <c r="AT410" s="1783"/>
      <c r="AU410" s="1783"/>
      <c r="AV410" s="1783"/>
      <c r="AW410" s="1783"/>
      <c r="AX410" s="1783"/>
      <c r="AY410" s="1783"/>
      <c r="AZ410" s="1783"/>
      <c r="BA410" s="1783"/>
      <c r="BB410" s="1783"/>
      <c r="BC410" s="1783"/>
      <c r="BD410" s="1783"/>
      <c r="BE410" s="1783"/>
      <c r="BF410" s="1783"/>
      <c r="BG410" s="1783"/>
      <c r="BH410" s="1783"/>
      <c r="BI410" s="1783"/>
    </row>
    <row r="411" spans="1:61">
      <c r="A411" s="1819"/>
      <c r="B411" s="1818"/>
      <c r="C411" s="1818"/>
      <c r="D411" s="1818"/>
      <c r="E411" s="1818"/>
      <c r="F411" s="1818"/>
      <c r="G411" s="1818"/>
      <c r="H411" s="1783"/>
      <c r="I411" s="1783"/>
      <c r="J411" s="1783"/>
      <c r="K411" s="1783"/>
      <c r="L411" s="1783"/>
      <c r="M411" s="1783"/>
      <c r="N411" s="1783"/>
      <c r="O411" s="1783"/>
      <c r="P411" s="1783"/>
      <c r="Q411" s="1783"/>
      <c r="R411" s="1783"/>
      <c r="S411" s="1783"/>
      <c r="T411" s="1783"/>
      <c r="U411" s="1783"/>
      <c r="V411" s="1783"/>
      <c r="W411" s="1783"/>
      <c r="X411" s="1783"/>
      <c r="Y411" s="1783"/>
      <c r="Z411" s="1783"/>
      <c r="AA411" s="1783"/>
      <c r="AB411" s="1783"/>
      <c r="AC411" s="1783"/>
      <c r="AD411" s="1783"/>
      <c r="AE411" s="1783"/>
      <c r="AF411" s="1783"/>
      <c r="AG411" s="1783"/>
      <c r="AH411" s="1783"/>
      <c r="AI411" s="1783"/>
      <c r="AJ411" s="1783"/>
      <c r="AK411" s="1783"/>
      <c r="AL411" s="1783"/>
      <c r="AM411" s="1783"/>
      <c r="AN411" s="1783"/>
      <c r="AO411" s="1783"/>
      <c r="AP411" s="1783"/>
      <c r="AQ411" s="1783"/>
      <c r="AR411" s="1783"/>
      <c r="AS411" s="1783"/>
      <c r="AT411" s="1783"/>
      <c r="AU411" s="1783"/>
      <c r="AV411" s="1783"/>
      <c r="AW411" s="1783"/>
      <c r="AX411" s="1783"/>
      <c r="AY411" s="1783"/>
      <c r="AZ411" s="1783"/>
      <c r="BA411" s="1783"/>
      <c r="BB411" s="1783"/>
      <c r="BC411" s="1783"/>
      <c r="BD411" s="1783"/>
      <c r="BE411" s="1783"/>
      <c r="BF411" s="1783"/>
      <c r="BG411" s="1783"/>
      <c r="BH411" s="1783"/>
      <c r="BI411" s="1783"/>
    </row>
    <row r="412" spans="1:61">
      <c r="A412" s="1819"/>
      <c r="B412" s="1818"/>
      <c r="C412" s="1818"/>
      <c r="D412" s="1818"/>
      <c r="E412" s="1818"/>
      <c r="F412" s="1818"/>
      <c r="G412" s="1818"/>
      <c r="H412" s="1783"/>
      <c r="I412" s="1783"/>
      <c r="J412" s="1783"/>
      <c r="K412" s="1783"/>
      <c r="L412" s="1783"/>
      <c r="M412" s="1783"/>
      <c r="N412" s="1783"/>
      <c r="O412" s="1783"/>
      <c r="P412" s="1783"/>
      <c r="Q412" s="1783"/>
      <c r="R412" s="1783"/>
      <c r="S412" s="1783"/>
      <c r="T412" s="1783"/>
      <c r="U412" s="1783"/>
      <c r="V412" s="1783"/>
      <c r="W412" s="1783"/>
      <c r="X412" s="1783"/>
      <c r="Y412" s="1783"/>
      <c r="Z412" s="1783"/>
      <c r="AA412" s="1783"/>
      <c r="AB412" s="1783"/>
      <c r="AC412" s="1783"/>
      <c r="AD412" s="1783"/>
      <c r="AE412" s="1783"/>
      <c r="AF412" s="1783"/>
      <c r="AG412" s="1783"/>
      <c r="AH412" s="1783"/>
      <c r="AI412" s="1783"/>
      <c r="AJ412" s="1783"/>
      <c r="AK412" s="1783"/>
      <c r="AL412" s="1783"/>
      <c r="AM412" s="1783"/>
      <c r="AN412" s="1783"/>
      <c r="AO412" s="1783"/>
      <c r="AP412" s="1783"/>
      <c r="AQ412" s="1783"/>
      <c r="AR412" s="1783"/>
      <c r="AS412" s="1783"/>
      <c r="AT412" s="1783"/>
      <c r="AU412" s="1783"/>
      <c r="AV412" s="1783"/>
      <c r="AW412" s="1783"/>
      <c r="AX412" s="1783"/>
      <c r="AY412" s="1783"/>
      <c r="AZ412" s="1783"/>
      <c r="BA412" s="1783"/>
      <c r="BB412" s="1783"/>
      <c r="BC412" s="1783"/>
      <c r="BD412" s="1783"/>
      <c r="BE412" s="1783"/>
      <c r="BF412" s="1783"/>
      <c r="BG412" s="1783"/>
      <c r="BH412" s="1783"/>
      <c r="BI412" s="1783"/>
    </row>
    <row r="413" spans="1:61">
      <c r="A413" s="1819"/>
      <c r="B413" s="1818"/>
      <c r="C413" s="1818"/>
      <c r="D413" s="1818"/>
      <c r="E413" s="1818"/>
      <c r="F413" s="1818"/>
      <c r="G413" s="1818"/>
      <c r="H413" s="1783"/>
      <c r="I413" s="1783"/>
      <c r="J413" s="1783"/>
      <c r="K413" s="1783"/>
      <c r="L413" s="1783"/>
      <c r="M413" s="1783"/>
      <c r="N413" s="1783"/>
      <c r="O413" s="1783"/>
      <c r="P413" s="1783"/>
      <c r="Q413" s="1783"/>
      <c r="R413" s="1783"/>
      <c r="S413" s="1783"/>
      <c r="T413" s="1783"/>
      <c r="U413" s="1783"/>
      <c r="V413" s="1783"/>
      <c r="W413" s="1783"/>
      <c r="X413" s="1783"/>
      <c r="Y413" s="1783"/>
      <c r="Z413" s="1783"/>
      <c r="AA413" s="1783"/>
      <c r="AB413" s="1783"/>
      <c r="AC413" s="1783"/>
      <c r="AD413" s="1783"/>
      <c r="AE413" s="1783"/>
      <c r="AF413" s="1783"/>
      <c r="AG413" s="1783"/>
      <c r="AH413" s="1783"/>
      <c r="AI413" s="1783"/>
      <c r="AJ413" s="1783"/>
      <c r="AK413" s="1783"/>
      <c r="AL413" s="1783"/>
      <c r="AM413" s="1783"/>
      <c r="AN413" s="1783"/>
      <c r="AO413" s="1783"/>
      <c r="AP413" s="1783"/>
      <c r="AQ413" s="1783"/>
      <c r="AR413" s="1783"/>
      <c r="AS413" s="1783"/>
      <c r="AT413" s="1783"/>
      <c r="AU413" s="1783"/>
      <c r="AV413" s="1783"/>
      <c r="AW413" s="1783"/>
      <c r="AX413" s="1783"/>
      <c r="AY413" s="1783"/>
      <c r="AZ413" s="1783"/>
      <c r="BA413" s="1783"/>
      <c r="BB413" s="1783"/>
      <c r="BC413" s="1783"/>
      <c r="BD413" s="1783"/>
      <c r="BE413" s="1783"/>
      <c r="BF413" s="1783"/>
      <c r="BG413" s="1783"/>
      <c r="BH413" s="1783"/>
      <c r="BI413" s="1783"/>
    </row>
    <row r="414" spans="1:61">
      <c r="A414" s="1819"/>
      <c r="B414" s="1818"/>
      <c r="C414" s="1818"/>
      <c r="D414" s="1818"/>
      <c r="E414" s="1818"/>
      <c r="F414" s="1818"/>
      <c r="G414" s="1818"/>
      <c r="H414" s="1783"/>
      <c r="I414" s="1783"/>
      <c r="J414" s="1783"/>
      <c r="K414" s="1783"/>
      <c r="L414" s="1783"/>
      <c r="M414" s="1783"/>
      <c r="N414" s="1783"/>
      <c r="O414" s="1783"/>
      <c r="P414" s="1783"/>
      <c r="Q414" s="1783"/>
      <c r="R414" s="1783"/>
      <c r="S414" s="1783"/>
      <c r="T414" s="1783"/>
      <c r="U414" s="1783"/>
      <c r="V414" s="1783"/>
      <c r="W414" s="1783"/>
      <c r="X414" s="1783"/>
      <c r="Y414" s="1783"/>
      <c r="Z414" s="1783"/>
      <c r="AA414" s="1783"/>
      <c r="AB414" s="1783"/>
      <c r="AC414" s="1783"/>
      <c r="AD414" s="1783"/>
      <c r="AE414" s="1783"/>
      <c r="AF414" s="1783"/>
      <c r="AG414" s="1783"/>
      <c r="AH414" s="1783"/>
      <c r="AI414" s="1783"/>
      <c r="AJ414" s="1783"/>
      <c r="AK414" s="1783"/>
      <c r="AL414" s="1783"/>
      <c r="AM414" s="1783"/>
      <c r="AN414" s="1783"/>
      <c r="AO414" s="1783"/>
      <c r="AP414" s="1783"/>
      <c r="AQ414" s="1783"/>
      <c r="AR414" s="1783"/>
      <c r="AS414" s="1783"/>
      <c r="AT414" s="1783"/>
      <c r="AU414" s="1783"/>
      <c r="AV414" s="1783"/>
      <c r="AW414" s="1783"/>
      <c r="AX414" s="1783"/>
      <c r="AY414" s="1783"/>
      <c r="AZ414" s="1783"/>
      <c r="BA414" s="1783"/>
      <c r="BB414" s="1783"/>
      <c r="BC414" s="1783"/>
      <c r="BD414" s="1783"/>
      <c r="BE414" s="1783"/>
      <c r="BF414" s="1783"/>
      <c r="BG414" s="1783"/>
      <c r="BH414" s="1783"/>
      <c r="BI414" s="1783"/>
    </row>
    <row r="415" spans="1:61">
      <c r="A415" s="1819"/>
      <c r="B415" s="1818"/>
      <c r="C415" s="1818"/>
      <c r="D415" s="1818"/>
      <c r="E415" s="1818"/>
      <c r="F415" s="1818"/>
      <c r="G415" s="1818"/>
      <c r="H415" s="1783"/>
      <c r="I415" s="1783"/>
      <c r="J415" s="1783"/>
      <c r="K415" s="1783"/>
      <c r="L415" s="1783"/>
      <c r="M415" s="1783"/>
      <c r="N415" s="1783"/>
      <c r="O415" s="1783"/>
      <c r="P415" s="1783"/>
      <c r="Q415" s="1783"/>
      <c r="R415" s="1783"/>
      <c r="S415" s="1783"/>
      <c r="T415" s="1783"/>
      <c r="U415" s="1783"/>
      <c r="V415" s="1783"/>
      <c r="W415" s="1783"/>
      <c r="X415" s="1783"/>
      <c r="Y415" s="1783"/>
      <c r="Z415" s="1783"/>
      <c r="AA415" s="1783"/>
      <c r="AB415" s="1783"/>
      <c r="AC415" s="1783"/>
      <c r="AD415" s="1783"/>
      <c r="AE415" s="1783"/>
      <c r="AF415" s="1783"/>
      <c r="AG415" s="1783"/>
      <c r="AH415" s="1783"/>
      <c r="AI415" s="1783"/>
      <c r="AJ415" s="1783"/>
      <c r="AK415" s="1783"/>
      <c r="AL415" s="1783"/>
      <c r="AM415" s="1783"/>
      <c r="AN415" s="1783"/>
      <c r="AO415" s="1783"/>
      <c r="AP415" s="1783"/>
      <c r="AQ415" s="1783"/>
      <c r="AR415" s="1783"/>
      <c r="AS415" s="1783"/>
      <c r="AT415" s="1783"/>
      <c r="AU415" s="1783"/>
      <c r="AV415" s="1783"/>
      <c r="AW415" s="1783"/>
      <c r="AX415" s="1783"/>
      <c r="AY415" s="1783"/>
      <c r="AZ415" s="1783"/>
      <c r="BA415" s="1783"/>
      <c r="BB415" s="1783"/>
      <c r="BC415" s="1783"/>
      <c r="BD415" s="1783"/>
      <c r="BE415" s="1783"/>
      <c r="BF415" s="1783"/>
      <c r="BG415" s="1783"/>
      <c r="BH415" s="1783"/>
      <c r="BI415" s="1783"/>
    </row>
    <row r="416" spans="1:61">
      <c r="A416" s="1819"/>
      <c r="B416" s="1818"/>
      <c r="C416" s="1818"/>
      <c r="D416" s="1818"/>
      <c r="E416" s="1818"/>
      <c r="F416" s="1818"/>
      <c r="G416" s="1818"/>
      <c r="H416" s="1783"/>
      <c r="I416" s="1783"/>
      <c r="J416" s="1783"/>
      <c r="K416" s="1783"/>
      <c r="L416" s="1783"/>
      <c r="M416" s="1783"/>
      <c r="N416" s="1783"/>
      <c r="O416" s="1783"/>
      <c r="P416" s="1783"/>
      <c r="Q416" s="1783"/>
      <c r="R416" s="1783"/>
      <c r="S416" s="1783"/>
      <c r="T416" s="1783"/>
      <c r="U416" s="1783"/>
      <c r="V416" s="1783"/>
      <c r="W416" s="1783"/>
      <c r="X416" s="1783"/>
      <c r="Y416" s="1783"/>
      <c r="Z416" s="1783"/>
      <c r="AA416" s="1783"/>
      <c r="AB416" s="1783"/>
      <c r="AC416" s="1783"/>
      <c r="AD416" s="1783"/>
      <c r="AE416" s="1783"/>
      <c r="AF416" s="1783"/>
      <c r="AG416" s="1783"/>
      <c r="AH416" s="1783"/>
      <c r="AI416" s="1783"/>
      <c r="AJ416" s="1783"/>
      <c r="AK416" s="1783"/>
      <c r="AL416" s="1783"/>
      <c r="AM416" s="1783"/>
      <c r="AN416" s="1783"/>
      <c r="AO416" s="1783"/>
      <c r="AP416" s="1783"/>
      <c r="AQ416" s="1783"/>
      <c r="AR416" s="1783"/>
      <c r="AS416" s="1783"/>
      <c r="AT416" s="1783"/>
      <c r="AU416" s="1783"/>
      <c r="AV416" s="1783"/>
      <c r="AW416" s="1783"/>
      <c r="AX416" s="1783"/>
      <c r="AY416" s="1783"/>
      <c r="AZ416" s="1783"/>
      <c r="BA416" s="1783"/>
      <c r="BB416" s="1783"/>
      <c r="BC416" s="1783"/>
      <c r="BD416" s="1783"/>
      <c r="BE416" s="1783"/>
      <c r="BF416" s="1783"/>
      <c r="BG416" s="1783"/>
      <c r="BH416" s="1783"/>
      <c r="BI416" s="1783"/>
    </row>
    <row r="417" spans="1:61">
      <c r="A417" s="1819"/>
      <c r="B417" s="1818"/>
      <c r="C417" s="1818"/>
      <c r="D417" s="1818"/>
      <c r="E417" s="1818"/>
      <c r="F417" s="1818"/>
      <c r="G417" s="1818"/>
      <c r="H417" s="1783"/>
      <c r="I417" s="1783"/>
      <c r="J417" s="1783"/>
      <c r="K417" s="1783"/>
      <c r="L417" s="1783"/>
      <c r="M417" s="1783"/>
      <c r="N417" s="1783"/>
      <c r="O417" s="1783"/>
      <c r="P417" s="1783"/>
      <c r="Q417" s="1783"/>
      <c r="R417" s="1783"/>
      <c r="S417" s="1783"/>
      <c r="T417" s="1783"/>
      <c r="U417" s="1783"/>
      <c r="V417" s="1783"/>
      <c r="W417" s="1783"/>
      <c r="X417" s="1783"/>
      <c r="Y417" s="1783"/>
      <c r="Z417" s="1783"/>
      <c r="AA417" s="1783"/>
      <c r="AB417" s="1783"/>
      <c r="AC417" s="1783"/>
      <c r="AD417" s="1783"/>
      <c r="AE417" s="1783"/>
      <c r="AF417" s="1783"/>
      <c r="AG417" s="1783"/>
      <c r="AH417" s="1783"/>
      <c r="AI417" s="1783"/>
      <c r="AJ417" s="1783"/>
      <c r="AK417" s="1783"/>
      <c r="AL417" s="1783"/>
      <c r="AM417" s="1783"/>
      <c r="AN417" s="1783"/>
      <c r="AO417" s="1783"/>
      <c r="AP417" s="1783"/>
      <c r="AQ417" s="1783"/>
      <c r="AR417" s="1783"/>
      <c r="AS417" s="1783"/>
      <c r="AT417" s="1783"/>
      <c r="AU417" s="1783"/>
      <c r="AV417" s="1783"/>
      <c r="AW417" s="1783"/>
      <c r="AX417" s="1783"/>
      <c r="AY417" s="1783"/>
      <c r="AZ417" s="1783"/>
      <c r="BA417" s="1783"/>
      <c r="BB417" s="1783"/>
      <c r="BC417" s="1783"/>
      <c r="BD417" s="1783"/>
      <c r="BE417" s="1783"/>
      <c r="BF417" s="1783"/>
      <c r="BG417" s="1783"/>
      <c r="BH417" s="1783"/>
      <c r="BI417" s="1783"/>
    </row>
    <row r="418" spans="1:61">
      <c r="A418" s="1819"/>
      <c r="B418" s="1818"/>
      <c r="C418" s="1818"/>
      <c r="D418" s="1818"/>
      <c r="E418" s="1818"/>
      <c r="F418" s="1818"/>
      <c r="G418" s="1818"/>
      <c r="H418" s="1783"/>
      <c r="I418" s="1783"/>
      <c r="J418" s="1783"/>
      <c r="K418" s="1783"/>
      <c r="L418" s="1783"/>
      <c r="M418" s="1783"/>
      <c r="N418" s="1783"/>
      <c r="O418" s="1783"/>
      <c r="P418" s="1783"/>
      <c r="Q418" s="1783"/>
      <c r="R418" s="1783"/>
      <c r="S418" s="1783"/>
      <c r="T418" s="1783"/>
      <c r="U418" s="1783"/>
      <c r="V418" s="1783"/>
      <c r="W418" s="1783"/>
      <c r="X418" s="1783"/>
      <c r="Y418" s="1783"/>
      <c r="Z418" s="1783"/>
      <c r="AA418" s="1783"/>
      <c r="AB418" s="1783"/>
      <c r="AC418" s="1783"/>
      <c r="AD418" s="1783"/>
      <c r="AE418" s="1783"/>
      <c r="AF418" s="1783"/>
      <c r="AG418" s="1783"/>
      <c r="AH418" s="1783"/>
      <c r="AI418" s="1783"/>
      <c r="AJ418" s="1783"/>
      <c r="AK418" s="1783"/>
      <c r="AL418" s="1783"/>
      <c r="AM418" s="1783"/>
      <c r="AN418" s="1783"/>
      <c r="AO418" s="1783"/>
      <c r="AP418" s="1783"/>
      <c r="AQ418" s="1783"/>
      <c r="AR418" s="1783"/>
      <c r="AS418" s="1783"/>
      <c r="AT418" s="1783"/>
      <c r="AU418" s="1783"/>
      <c r="AV418" s="1783"/>
      <c r="AW418" s="1783"/>
      <c r="AX418" s="1783"/>
      <c r="AY418" s="1783"/>
      <c r="AZ418" s="1783"/>
      <c r="BA418" s="1783"/>
      <c r="BB418" s="1783"/>
      <c r="BC418" s="1783"/>
      <c r="BD418" s="1783"/>
      <c r="BE418" s="1783"/>
      <c r="BF418" s="1783"/>
      <c r="BG418" s="1783"/>
      <c r="BH418" s="1783"/>
      <c r="BI418" s="1783"/>
    </row>
    <row r="419" spans="1:61">
      <c r="A419" s="1819"/>
      <c r="B419" s="1818"/>
      <c r="C419" s="1818"/>
      <c r="D419" s="1818"/>
      <c r="E419" s="1818"/>
      <c r="F419" s="1818"/>
      <c r="G419" s="1818"/>
      <c r="H419" s="1783"/>
      <c r="I419" s="1783"/>
      <c r="J419" s="1783"/>
      <c r="K419" s="1783"/>
      <c r="L419" s="1783"/>
      <c r="M419" s="1783"/>
      <c r="N419" s="1783"/>
      <c r="O419" s="1783"/>
      <c r="P419" s="1783"/>
      <c r="Q419" s="1783"/>
      <c r="R419" s="1783"/>
      <c r="S419" s="1783"/>
      <c r="T419" s="1783"/>
      <c r="U419" s="1783"/>
      <c r="V419" s="1783"/>
      <c r="W419" s="1783"/>
      <c r="X419" s="1783"/>
      <c r="Y419" s="1783"/>
      <c r="Z419" s="1783"/>
      <c r="AA419" s="1783"/>
      <c r="AB419" s="1783"/>
      <c r="AC419" s="1783"/>
      <c r="AD419" s="1783"/>
      <c r="AE419" s="1783"/>
      <c r="AF419" s="1783"/>
      <c r="AG419" s="1783"/>
      <c r="AH419" s="1783"/>
      <c r="AI419" s="1783"/>
      <c r="AJ419" s="1783"/>
      <c r="AK419" s="1783"/>
      <c r="AL419" s="1783"/>
      <c r="AM419" s="1783"/>
      <c r="AN419" s="1783"/>
      <c r="AO419" s="1783"/>
      <c r="AP419" s="1783"/>
      <c r="AQ419" s="1783"/>
      <c r="AR419" s="1783"/>
      <c r="AS419" s="1783"/>
      <c r="AT419" s="1783"/>
      <c r="AU419" s="1783"/>
      <c r="AV419" s="1783"/>
      <c r="AW419" s="1783"/>
      <c r="AX419" s="1783"/>
      <c r="AY419" s="1783"/>
      <c r="AZ419" s="1783"/>
      <c r="BA419" s="1783"/>
      <c r="BB419" s="1783"/>
      <c r="BC419" s="1783"/>
      <c r="BD419" s="1783"/>
      <c r="BE419" s="1783"/>
      <c r="BF419" s="1783"/>
      <c r="BG419" s="1783"/>
      <c r="BH419" s="1783"/>
      <c r="BI419" s="1783"/>
    </row>
    <row r="420" spans="1:61">
      <c r="A420" s="1819"/>
      <c r="B420" s="1818"/>
      <c r="C420" s="1818"/>
      <c r="D420" s="1818"/>
      <c r="E420" s="1818"/>
      <c r="F420" s="1818"/>
      <c r="G420" s="1818"/>
      <c r="H420" s="1783"/>
      <c r="I420" s="1783"/>
      <c r="J420" s="1783"/>
      <c r="K420" s="1783"/>
      <c r="L420" s="1783"/>
      <c r="M420" s="1783"/>
      <c r="N420" s="1783"/>
      <c r="O420" s="1783"/>
      <c r="P420" s="1783"/>
      <c r="Q420" s="1783"/>
      <c r="R420" s="1783"/>
      <c r="S420" s="1783"/>
      <c r="T420" s="1783"/>
      <c r="U420" s="1783"/>
      <c r="V420" s="1783"/>
      <c r="W420" s="1783"/>
      <c r="X420" s="1783"/>
      <c r="Y420" s="1783"/>
      <c r="Z420" s="1783"/>
      <c r="AA420" s="1783"/>
      <c r="AB420" s="1783"/>
      <c r="AC420" s="1783"/>
      <c r="AD420" s="1783"/>
      <c r="AE420" s="1783"/>
      <c r="AF420" s="1783"/>
      <c r="AG420" s="1783"/>
      <c r="AH420" s="1783"/>
      <c r="AI420" s="1783"/>
      <c r="AJ420" s="1783"/>
      <c r="AK420" s="1783"/>
      <c r="AL420" s="1783"/>
      <c r="AM420" s="1783"/>
      <c r="AN420" s="1783"/>
      <c r="AO420" s="1783"/>
      <c r="AP420" s="1783"/>
      <c r="AQ420" s="1783"/>
      <c r="AR420" s="1783"/>
      <c r="AS420" s="1783"/>
      <c r="AT420" s="1783"/>
      <c r="AU420" s="1783"/>
      <c r="AV420" s="1783"/>
      <c r="AW420" s="1783"/>
      <c r="AX420" s="1783"/>
      <c r="AY420" s="1783"/>
      <c r="AZ420" s="1783"/>
      <c r="BA420" s="1783"/>
      <c r="BB420" s="1783"/>
      <c r="BC420" s="1783"/>
      <c r="BD420" s="1783"/>
      <c r="BE420" s="1783"/>
      <c r="BF420" s="1783"/>
      <c r="BG420" s="1783"/>
      <c r="BH420" s="1783"/>
      <c r="BI420" s="1783"/>
    </row>
    <row r="421" spans="1:61">
      <c r="A421" s="1819"/>
      <c r="B421" s="1818"/>
      <c r="C421" s="1818"/>
      <c r="D421" s="1818"/>
      <c r="E421" s="1818"/>
      <c r="F421" s="1818"/>
      <c r="G421" s="1818"/>
      <c r="H421" s="1783"/>
      <c r="I421" s="1783"/>
      <c r="J421" s="1783"/>
      <c r="K421" s="1783"/>
      <c r="L421" s="1783"/>
      <c r="M421" s="1783"/>
      <c r="N421" s="1783"/>
      <c r="O421" s="1783"/>
      <c r="P421" s="1783"/>
      <c r="Q421" s="1783"/>
      <c r="R421" s="1783"/>
      <c r="S421" s="1783"/>
      <c r="T421" s="1783"/>
      <c r="U421" s="1783"/>
      <c r="V421" s="1783"/>
      <c r="W421" s="1783"/>
      <c r="X421" s="1783"/>
      <c r="Y421" s="1783"/>
      <c r="Z421" s="1783"/>
      <c r="AA421" s="1783"/>
      <c r="AB421" s="1783"/>
      <c r="AC421" s="1783"/>
      <c r="AD421" s="1783"/>
      <c r="AE421" s="1783"/>
      <c r="AF421" s="1783"/>
      <c r="AG421" s="1783"/>
      <c r="AH421" s="1783"/>
      <c r="AI421" s="1783"/>
      <c r="AJ421" s="1783"/>
      <c r="AK421" s="1783"/>
      <c r="AL421" s="1783"/>
      <c r="AM421" s="1783"/>
      <c r="AN421" s="1783"/>
      <c r="AO421" s="1783"/>
      <c r="AP421" s="1783"/>
      <c r="AQ421" s="1783"/>
      <c r="AR421" s="1783"/>
      <c r="AS421" s="1783"/>
      <c r="AT421" s="1783"/>
      <c r="AU421" s="1783"/>
      <c r="AV421" s="1783"/>
      <c r="AW421" s="1783"/>
      <c r="AX421" s="1783"/>
      <c r="AY421" s="1783"/>
      <c r="AZ421" s="1783"/>
      <c r="BA421" s="1783"/>
      <c r="BB421" s="1783"/>
      <c r="BC421" s="1783"/>
      <c r="BD421" s="1783"/>
      <c r="BE421" s="1783"/>
      <c r="BF421" s="1783"/>
      <c r="BG421" s="1783"/>
      <c r="BH421" s="1783"/>
      <c r="BI421" s="1783"/>
    </row>
    <row r="422" spans="1:61">
      <c r="A422" s="1819"/>
      <c r="B422" s="1818"/>
      <c r="C422" s="1818"/>
      <c r="D422" s="1818"/>
      <c r="E422" s="1818"/>
      <c r="F422" s="1818"/>
      <c r="G422" s="1818"/>
      <c r="H422" s="1783"/>
      <c r="I422" s="1783"/>
      <c r="J422" s="1783"/>
      <c r="K422" s="1783"/>
      <c r="L422" s="1783"/>
      <c r="M422" s="1783"/>
      <c r="N422" s="1783"/>
      <c r="O422" s="1783"/>
      <c r="P422" s="1783"/>
      <c r="Q422" s="1783"/>
      <c r="R422" s="1783"/>
      <c r="S422" s="1783"/>
      <c r="T422" s="1783"/>
      <c r="U422" s="1783"/>
      <c r="V422" s="1783"/>
      <c r="W422" s="1783"/>
      <c r="X422" s="1783"/>
      <c r="Y422" s="1783"/>
      <c r="Z422" s="1783"/>
      <c r="AA422" s="1783"/>
      <c r="AB422" s="1783"/>
      <c r="AC422" s="1783"/>
      <c r="AD422" s="1783"/>
      <c r="AE422" s="1783"/>
      <c r="AF422" s="1783"/>
      <c r="AG422" s="1783"/>
      <c r="AH422" s="1783"/>
      <c r="AI422" s="1783"/>
      <c r="AJ422" s="1783"/>
      <c r="AK422" s="1783"/>
      <c r="AL422" s="1783"/>
      <c r="AM422" s="1783"/>
      <c r="AN422" s="1783"/>
      <c r="AO422" s="1783"/>
      <c r="AP422" s="1783"/>
      <c r="AQ422" s="1783"/>
      <c r="AR422" s="1783"/>
      <c r="AS422" s="1783"/>
      <c r="AT422" s="1783"/>
      <c r="AU422" s="1783"/>
      <c r="AV422" s="1783"/>
      <c r="AW422" s="1783"/>
      <c r="AX422" s="1783"/>
      <c r="AY422" s="1783"/>
      <c r="AZ422" s="1783"/>
      <c r="BA422" s="1783"/>
      <c r="BB422" s="1783"/>
      <c r="BC422" s="1783"/>
      <c r="BD422" s="1783"/>
      <c r="BE422" s="1783"/>
      <c r="BF422" s="1783"/>
      <c r="BG422" s="1783"/>
      <c r="BH422" s="1783"/>
      <c r="BI422" s="1783"/>
    </row>
    <row r="423" spans="1:61">
      <c r="A423" s="1819"/>
      <c r="B423" s="1818"/>
      <c r="C423" s="1818"/>
      <c r="D423" s="1818"/>
      <c r="E423" s="1818"/>
      <c r="F423" s="1818"/>
      <c r="G423" s="1818"/>
      <c r="H423" s="1783"/>
      <c r="I423" s="1783"/>
      <c r="J423" s="1783"/>
      <c r="K423" s="1783"/>
      <c r="L423" s="1783"/>
      <c r="M423" s="1783"/>
      <c r="N423" s="1783"/>
      <c r="O423" s="1783"/>
      <c r="P423" s="1783"/>
      <c r="Q423" s="1783"/>
      <c r="R423" s="1783"/>
      <c r="S423" s="1783"/>
      <c r="T423" s="1783"/>
      <c r="U423" s="1783"/>
      <c r="V423" s="1783"/>
      <c r="W423" s="1783"/>
      <c r="X423" s="1783"/>
      <c r="Y423" s="1783"/>
      <c r="Z423" s="1783"/>
      <c r="AA423" s="1783"/>
      <c r="AB423" s="1783"/>
      <c r="AC423" s="1783"/>
      <c r="AD423" s="1783"/>
      <c r="AE423" s="1783"/>
      <c r="AF423" s="1783"/>
      <c r="AG423" s="1783"/>
      <c r="AH423" s="1783"/>
      <c r="AI423" s="1783"/>
      <c r="AJ423" s="1783"/>
      <c r="AK423" s="1783"/>
      <c r="AL423" s="1783"/>
      <c r="AM423" s="1783"/>
      <c r="AN423" s="1783"/>
      <c r="AO423" s="1783"/>
      <c r="AP423" s="1783"/>
      <c r="AQ423" s="1783"/>
      <c r="AR423" s="1783"/>
      <c r="AS423" s="1783"/>
      <c r="AT423" s="1783"/>
      <c r="AU423" s="1783"/>
      <c r="AV423" s="1783"/>
      <c r="AW423" s="1783"/>
      <c r="AX423" s="1783"/>
      <c r="AY423" s="1783"/>
      <c r="AZ423" s="1783"/>
      <c r="BA423" s="1783"/>
      <c r="BB423" s="1783"/>
      <c r="BC423" s="1783"/>
      <c r="BD423" s="1783"/>
      <c r="BE423" s="1783"/>
      <c r="BF423" s="1783"/>
      <c r="BG423" s="1783"/>
      <c r="BH423" s="1783"/>
      <c r="BI423" s="1783"/>
    </row>
    <row r="424" spans="1:61">
      <c r="A424" s="1819"/>
      <c r="B424" s="1818"/>
      <c r="C424" s="1818"/>
      <c r="D424" s="1818"/>
      <c r="E424" s="1818"/>
      <c r="F424" s="1818"/>
      <c r="G424" s="1818"/>
      <c r="H424" s="1783"/>
      <c r="I424" s="1783"/>
      <c r="J424" s="1783"/>
      <c r="K424" s="1783"/>
      <c r="L424" s="1783"/>
      <c r="M424" s="1783"/>
      <c r="N424" s="1783"/>
      <c r="O424" s="1783"/>
      <c r="P424" s="1783"/>
      <c r="Q424" s="1783"/>
      <c r="R424" s="1783"/>
      <c r="S424" s="1783"/>
      <c r="T424" s="1783"/>
      <c r="U424" s="1783"/>
      <c r="V424" s="1783"/>
      <c r="W424" s="1783"/>
      <c r="X424" s="1783"/>
      <c r="Y424" s="1783"/>
      <c r="Z424" s="1783"/>
      <c r="AA424" s="1783"/>
      <c r="AB424" s="1783"/>
      <c r="AC424" s="1783"/>
      <c r="AD424" s="1783"/>
      <c r="AE424" s="1783"/>
      <c r="AF424" s="1783"/>
      <c r="AG424" s="1783"/>
      <c r="AH424" s="1783"/>
      <c r="AI424" s="1783"/>
      <c r="AJ424" s="1783"/>
      <c r="AK424" s="1783"/>
      <c r="AL424" s="1783"/>
      <c r="AM424" s="1783"/>
      <c r="AN424" s="1783"/>
      <c r="AO424" s="1783"/>
      <c r="AP424" s="1783"/>
      <c r="AQ424" s="1783"/>
      <c r="AR424" s="1783"/>
      <c r="AS424" s="1783"/>
      <c r="AT424" s="1783"/>
      <c r="AU424" s="1783"/>
      <c r="AV424" s="1783"/>
      <c r="AW424" s="1783"/>
      <c r="AX424" s="1783"/>
      <c r="AY424" s="1783"/>
      <c r="AZ424" s="1783"/>
      <c r="BA424" s="1783"/>
      <c r="BB424" s="1783"/>
      <c r="BC424" s="1783"/>
      <c r="BD424" s="1783"/>
      <c r="BE424" s="1783"/>
      <c r="BF424" s="1783"/>
      <c r="BG424" s="1783"/>
      <c r="BH424" s="1783"/>
      <c r="BI424" s="1783"/>
    </row>
    <row r="425" spans="1:61">
      <c r="A425" s="1819"/>
      <c r="B425" s="1818"/>
      <c r="C425" s="1818"/>
      <c r="D425" s="1818"/>
      <c r="E425" s="1818"/>
      <c r="F425" s="1818"/>
      <c r="G425" s="1818"/>
      <c r="H425" s="1783"/>
      <c r="I425" s="1783"/>
      <c r="J425" s="1783"/>
      <c r="K425" s="1783"/>
      <c r="L425" s="1783"/>
      <c r="M425" s="1783"/>
      <c r="N425" s="1783"/>
      <c r="O425" s="1783"/>
      <c r="P425" s="1783"/>
      <c r="Q425" s="1783"/>
      <c r="R425" s="1783"/>
      <c r="S425" s="1783"/>
      <c r="T425" s="1783"/>
      <c r="U425" s="1783"/>
      <c r="V425" s="1783"/>
      <c r="W425" s="1783"/>
      <c r="X425" s="1783"/>
      <c r="Y425" s="1783"/>
      <c r="Z425" s="1783"/>
      <c r="AA425" s="1783"/>
      <c r="AB425" s="1783"/>
      <c r="AC425" s="1783"/>
      <c r="AD425" s="1783"/>
      <c r="AE425" s="1783"/>
      <c r="AF425" s="1783"/>
      <c r="AG425" s="1783"/>
      <c r="AH425" s="1783"/>
      <c r="AI425" s="1783"/>
      <c r="AJ425" s="1783"/>
      <c r="AK425" s="1783"/>
      <c r="AL425" s="1783"/>
      <c r="AM425" s="1783"/>
      <c r="AN425" s="1783"/>
      <c r="AO425" s="1783"/>
      <c r="AP425" s="1783"/>
      <c r="AQ425" s="1783"/>
      <c r="AR425" s="1783"/>
      <c r="AS425" s="1783"/>
      <c r="AT425" s="1783"/>
      <c r="AU425" s="1783"/>
      <c r="AV425" s="1783"/>
      <c r="AW425" s="1783"/>
      <c r="AX425" s="1783"/>
      <c r="AY425" s="1783"/>
      <c r="AZ425" s="1783"/>
      <c r="BA425" s="1783"/>
      <c r="BB425" s="1783"/>
      <c r="BC425" s="1783"/>
      <c r="BD425" s="1783"/>
      <c r="BE425" s="1783"/>
      <c r="BF425" s="1783"/>
      <c r="BG425" s="1783"/>
      <c r="BH425" s="1783"/>
      <c r="BI425" s="1783"/>
    </row>
    <row r="426" spans="1:61">
      <c r="A426" s="1819"/>
      <c r="B426" s="1818"/>
      <c r="C426" s="1818"/>
      <c r="D426" s="1818"/>
      <c r="E426" s="1818"/>
      <c r="F426" s="1818"/>
      <c r="G426" s="1818"/>
      <c r="H426" s="1783"/>
      <c r="I426" s="1783"/>
      <c r="J426" s="1783"/>
      <c r="K426" s="1783"/>
      <c r="L426" s="1783"/>
      <c r="M426" s="1783"/>
      <c r="N426" s="1783"/>
      <c r="O426" s="1783"/>
      <c r="P426" s="1783"/>
      <c r="Q426" s="1783"/>
      <c r="R426" s="1783"/>
      <c r="S426" s="1783"/>
      <c r="T426" s="1783"/>
      <c r="U426" s="1783"/>
      <c r="V426" s="1783"/>
      <c r="W426" s="1783"/>
      <c r="X426" s="1783"/>
      <c r="Y426" s="1783"/>
      <c r="Z426" s="1783"/>
      <c r="AA426" s="1783"/>
      <c r="AB426" s="1783"/>
      <c r="AC426" s="1783"/>
      <c r="AD426" s="1783"/>
      <c r="AE426" s="1783"/>
      <c r="AF426" s="1783"/>
      <c r="AG426" s="1783"/>
      <c r="AH426" s="1783"/>
      <c r="AI426" s="1783"/>
      <c r="AJ426" s="1783"/>
      <c r="AK426" s="1783"/>
      <c r="AL426" s="1783"/>
      <c r="AM426" s="1783"/>
      <c r="AN426" s="1783"/>
      <c r="AO426" s="1783"/>
      <c r="AP426" s="1783"/>
      <c r="AQ426" s="1783"/>
      <c r="AR426" s="1783"/>
      <c r="AS426" s="1783"/>
      <c r="AT426" s="1783"/>
      <c r="AU426" s="1783"/>
      <c r="AV426" s="1783"/>
      <c r="AW426" s="1783"/>
      <c r="AX426" s="1783"/>
      <c r="AY426" s="1783"/>
      <c r="AZ426" s="1783"/>
      <c r="BA426" s="1783"/>
      <c r="BB426" s="1783"/>
      <c r="BC426" s="1783"/>
      <c r="BD426" s="1783"/>
      <c r="BE426" s="1783"/>
      <c r="BF426" s="1783"/>
      <c r="BG426" s="1783"/>
      <c r="BH426" s="1783"/>
      <c r="BI426" s="1783"/>
    </row>
    <row r="427" spans="1:61">
      <c r="A427" s="1819"/>
      <c r="B427" s="1818"/>
      <c r="C427" s="1818"/>
      <c r="D427" s="1818"/>
      <c r="E427" s="1818"/>
      <c r="F427" s="1818"/>
      <c r="G427" s="1818"/>
      <c r="H427" s="1783"/>
      <c r="I427" s="1783"/>
      <c r="J427" s="1783"/>
      <c r="K427" s="1783"/>
      <c r="L427" s="1783"/>
      <c r="M427" s="1783"/>
      <c r="N427" s="1783"/>
      <c r="O427" s="1783"/>
      <c r="P427" s="1783"/>
      <c r="Q427" s="1783"/>
      <c r="R427" s="1783"/>
      <c r="S427" s="1783"/>
      <c r="T427" s="1783"/>
      <c r="U427" s="1783"/>
      <c r="V427" s="1783"/>
      <c r="W427" s="1783"/>
      <c r="X427" s="1783"/>
      <c r="Y427" s="1783"/>
      <c r="Z427" s="1783"/>
      <c r="AA427" s="1783"/>
      <c r="AB427" s="1783"/>
      <c r="AC427" s="1783"/>
      <c r="AD427" s="1783"/>
      <c r="AE427" s="1783"/>
      <c r="AF427" s="1783"/>
      <c r="AG427" s="1783"/>
      <c r="AH427" s="1783"/>
      <c r="AI427" s="1783"/>
      <c r="AJ427" s="1783"/>
      <c r="AK427" s="1783"/>
      <c r="AL427" s="1783"/>
      <c r="AM427" s="1783"/>
      <c r="AN427" s="1783"/>
      <c r="AO427" s="1783"/>
      <c r="AP427" s="1783"/>
      <c r="AQ427" s="1783"/>
      <c r="AR427" s="1783"/>
      <c r="AS427" s="1783"/>
      <c r="AT427" s="1783"/>
      <c r="AU427" s="1783"/>
      <c r="AV427" s="1783"/>
      <c r="AW427" s="1783"/>
      <c r="AX427" s="1783"/>
      <c r="AY427" s="1783"/>
      <c r="AZ427" s="1783"/>
      <c r="BA427" s="1783"/>
      <c r="BB427" s="1783"/>
      <c r="BC427" s="1783"/>
      <c r="BD427" s="1783"/>
      <c r="BE427" s="1783"/>
      <c r="BF427" s="1783"/>
      <c r="BG427" s="1783"/>
      <c r="BH427" s="1783"/>
      <c r="BI427" s="1783"/>
    </row>
    <row r="428" spans="1:61">
      <c r="A428" s="1819"/>
      <c r="B428" s="1818"/>
      <c r="C428" s="1818"/>
      <c r="D428" s="1818"/>
      <c r="E428" s="1818"/>
      <c r="F428" s="1818"/>
      <c r="G428" s="1818"/>
      <c r="H428" s="1783"/>
      <c r="I428" s="1783"/>
      <c r="J428" s="1783"/>
      <c r="K428" s="1783"/>
      <c r="L428" s="1783"/>
      <c r="M428" s="1783"/>
      <c r="N428" s="1783"/>
      <c r="O428" s="1783"/>
      <c r="P428" s="1783"/>
      <c r="Q428" s="1783"/>
      <c r="R428" s="1783"/>
      <c r="S428" s="1783"/>
      <c r="T428" s="1783"/>
      <c r="U428" s="1783"/>
      <c r="V428" s="1783"/>
      <c r="W428" s="1783"/>
      <c r="X428" s="1783"/>
      <c r="Y428" s="1783"/>
      <c r="Z428" s="1783"/>
      <c r="AA428" s="1783"/>
      <c r="AB428" s="1783"/>
      <c r="AC428" s="1783"/>
      <c r="AD428" s="1783"/>
      <c r="AE428" s="1783"/>
      <c r="AF428" s="1783"/>
      <c r="AG428" s="1783"/>
      <c r="AH428" s="1783"/>
      <c r="AI428" s="1783"/>
      <c r="AJ428" s="1783"/>
      <c r="AK428" s="1783"/>
      <c r="AL428" s="1783"/>
      <c r="AM428" s="1783"/>
      <c r="AN428" s="1783"/>
      <c r="AO428" s="1783"/>
      <c r="AP428" s="1783"/>
      <c r="AQ428" s="1783"/>
      <c r="AR428" s="1783"/>
      <c r="AS428" s="1783"/>
      <c r="AT428" s="1783"/>
      <c r="AU428" s="1783"/>
      <c r="AV428" s="1783"/>
      <c r="AW428" s="1783"/>
      <c r="AX428" s="1783"/>
      <c r="AY428" s="1783"/>
      <c r="AZ428" s="1783"/>
      <c r="BA428" s="1783"/>
      <c r="BB428" s="1783"/>
      <c r="BC428" s="1783"/>
      <c r="BD428" s="1783"/>
      <c r="BE428" s="1783"/>
      <c r="BF428" s="1783"/>
      <c r="BG428" s="1783"/>
      <c r="BH428" s="1783"/>
      <c r="BI428" s="1783"/>
    </row>
    <row r="429" spans="1:61">
      <c r="A429" s="1819"/>
      <c r="B429" s="1818"/>
      <c r="C429" s="1818"/>
      <c r="D429" s="1818"/>
      <c r="E429" s="1818"/>
      <c r="F429" s="1818"/>
      <c r="G429" s="1818"/>
      <c r="H429" s="1783"/>
      <c r="I429" s="1783"/>
      <c r="J429" s="1783"/>
      <c r="K429" s="1783"/>
      <c r="L429" s="1783"/>
      <c r="M429" s="1783"/>
      <c r="N429" s="1783"/>
      <c r="O429" s="1783"/>
      <c r="P429" s="1783"/>
      <c r="Q429" s="1783"/>
      <c r="R429" s="1783"/>
      <c r="S429" s="1783"/>
      <c r="T429" s="1783"/>
      <c r="U429" s="1783"/>
      <c r="V429" s="1783"/>
      <c r="W429" s="1783"/>
      <c r="X429" s="1783"/>
      <c r="Y429" s="1783"/>
      <c r="Z429" s="1783"/>
      <c r="AA429" s="1783"/>
      <c r="AB429" s="1783"/>
      <c r="AC429" s="1783"/>
      <c r="AD429" s="1783"/>
      <c r="AE429" s="1783"/>
      <c r="AF429" s="1783"/>
      <c r="AG429" s="1783"/>
      <c r="AH429" s="1783"/>
      <c r="AI429" s="1783"/>
      <c r="AJ429" s="1783"/>
      <c r="AK429" s="1783"/>
      <c r="AL429" s="1783"/>
      <c r="AM429" s="1783"/>
      <c r="AN429" s="1783"/>
      <c r="AO429" s="1783"/>
      <c r="AP429" s="1783"/>
      <c r="AQ429" s="1783"/>
      <c r="AR429" s="1783"/>
      <c r="AS429" s="1783"/>
      <c r="AT429" s="1783"/>
      <c r="AU429" s="1783"/>
      <c r="AV429" s="1783"/>
      <c r="AW429" s="1783"/>
      <c r="AX429" s="1783"/>
      <c r="AY429" s="1783"/>
      <c r="AZ429" s="1783"/>
      <c r="BA429" s="1783"/>
      <c r="BB429" s="1783"/>
      <c r="BC429" s="1783"/>
      <c r="BD429" s="1783"/>
      <c r="BE429" s="1783"/>
      <c r="BF429" s="1783"/>
      <c r="BG429" s="1783"/>
      <c r="BH429" s="1783"/>
      <c r="BI429" s="1783"/>
    </row>
    <row r="430" spans="1:61">
      <c r="A430" s="1819"/>
      <c r="B430" s="1818"/>
      <c r="C430" s="1818"/>
      <c r="D430" s="1818"/>
      <c r="E430" s="1818"/>
      <c r="F430" s="1818"/>
      <c r="G430" s="1818"/>
      <c r="H430" s="1783"/>
      <c r="I430" s="1783"/>
      <c r="J430" s="1783"/>
      <c r="K430" s="1783"/>
      <c r="L430" s="1783"/>
      <c r="M430" s="1783"/>
      <c r="N430" s="1783"/>
      <c r="O430" s="1783"/>
      <c r="P430" s="1783"/>
      <c r="Q430" s="1783"/>
      <c r="R430" s="1783"/>
      <c r="S430" s="1783"/>
      <c r="T430" s="1783"/>
      <c r="U430" s="1783"/>
      <c r="V430" s="1783"/>
      <c r="W430" s="1783"/>
      <c r="X430" s="1783"/>
      <c r="Y430" s="1783"/>
      <c r="Z430" s="1783"/>
      <c r="AA430" s="1783"/>
      <c r="AB430" s="1783"/>
      <c r="AC430" s="1783"/>
      <c r="AD430" s="1783"/>
      <c r="AE430" s="1783"/>
      <c r="AF430" s="1783"/>
      <c r="AG430" s="1783"/>
      <c r="AH430" s="1783"/>
      <c r="AI430" s="1783"/>
      <c r="AJ430" s="1783"/>
      <c r="AK430" s="1783"/>
      <c r="AL430" s="1783"/>
      <c r="AM430" s="1783"/>
      <c r="AN430" s="1783"/>
      <c r="AO430" s="1783"/>
      <c r="AP430" s="1783"/>
      <c r="AQ430" s="1783"/>
      <c r="AR430" s="1783"/>
      <c r="AS430" s="1783"/>
      <c r="AT430" s="1783"/>
      <c r="AU430" s="1783"/>
      <c r="AV430" s="1783"/>
      <c r="AW430" s="1783"/>
      <c r="AX430" s="1783"/>
      <c r="AY430" s="1783"/>
      <c r="AZ430" s="1783"/>
      <c r="BA430" s="1783"/>
      <c r="BB430" s="1783"/>
      <c r="BC430" s="1783"/>
      <c r="BD430" s="1783"/>
      <c r="BE430" s="1783"/>
      <c r="BF430" s="1783"/>
      <c r="BG430" s="1783"/>
      <c r="BH430" s="1783"/>
      <c r="BI430" s="1783"/>
    </row>
    <row r="431" spans="1:61">
      <c r="A431" s="1819"/>
      <c r="B431" s="1818"/>
      <c r="C431" s="1818"/>
      <c r="D431" s="1818"/>
      <c r="E431" s="1818"/>
      <c r="F431" s="1818"/>
      <c r="G431" s="1818"/>
      <c r="H431" s="1783"/>
      <c r="I431" s="1783"/>
      <c r="J431" s="1783"/>
      <c r="K431" s="1783"/>
      <c r="L431" s="1783"/>
      <c r="M431" s="1783"/>
      <c r="N431" s="1783"/>
      <c r="O431" s="1783"/>
      <c r="P431" s="1783"/>
      <c r="Q431" s="1783"/>
      <c r="R431" s="1783"/>
      <c r="S431" s="1783"/>
      <c r="T431" s="1783"/>
      <c r="U431" s="1783"/>
      <c r="V431" s="1783"/>
      <c r="W431" s="1783"/>
      <c r="X431" s="1783"/>
      <c r="Y431" s="1783"/>
      <c r="Z431" s="1783"/>
      <c r="AA431" s="1783"/>
      <c r="AB431" s="1783"/>
      <c r="AC431" s="1783"/>
      <c r="AD431" s="1783"/>
      <c r="AE431" s="1783"/>
      <c r="AF431" s="1783"/>
      <c r="AG431" s="1783"/>
      <c r="AH431" s="1783"/>
      <c r="AI431" s="1783"/>
      <c r="AJ431" s="1783"/>
      <c r="AK431" s="1783"/>
      <c r="AL431" s="1783"/>
      <c r="AM431" s="1783"/>
      <c r="AN431" s="1783"/>
      <c r="AO431" s="1783"/>
      <c r="AP431" s="1783"/>
      <c r="AQ431" s="1783"/>
      <c r="AR431" s="1783"/>
      <c r="AS431" s="1783"/>
      <c r="AT431" s="1783"/>
      <c r="AU431" s="1783"/>
      <c r="AV431" s="1783"/>
      <c r="AW431" s="1783"/>
      <c r="AX431" s="1783"/>
      <c r="AY431" s="1783"/>
      <c r="AZ431" s="1783"/>
      <c r="BA431" s="1783"/>
      <c r="BB431" s="1783"/>
      <c r="BC431" s="1783"/>
      <c r="BD431" s="1783"/>
      <c r="BE431" s="1783"/>
      <c r="BF431" s="1783"/>
      <c r="BG431" s="1783"/>
      <c r="BH431" s="1783"/>
      <c r="BI431" s="1783"/>
    </row>
    <row r="432" spans="1:61">
      <c r="A432" s="1819"/>
      <c r="B432" s="1818"/>
      <c r="C432" s="1818"/>
      <c r="D432" s="1818"/>
      <c r="E432" s="1818"/>
      <c r="F432" s="1818"/>
      <c r="G432" s="1818"/>
      <c r="H432" s="1783"/>
      <c r="I432" s="1783"/>
      <c r="J432" s="1783"/>
      <c r="K432" s="1783"/>
      <c r="L432" s="1783"/>
      <c r="M432" s="1783"/>
      <c r="N432" s="1783"/>
      <c r="O432" s="1783"/>
      <c r="P432" s="1783"/>
      <c r="Q432" s="1783"/>
      <c r="R432" s="1783"/>
      <c r="S432" s="1783"/>
      <c r="T432" s="1783"/>
      <c r="U432" s="1783"/>
      <c r="V432" s="1783"/>
      <c r="W432" s="1783"/>
      <c r="X432" s="1783"/>
      <c r="Y432" s="1783"/>
      <c r="Z432" s="1783"/>
      <c r="AA432" s="1783"/>
      <c r="AB432" s="1783"/>
      <c r="AC432" s="1783"/>
      <c r="AD432" s="1783"/>
      <c r="AE432" s="1783"/>
      <c r="AF432" s="1783"/>
      <c r="AG432" s="1783"/>
      <c r="AH432" s="1783"/>
      <c r="AI432" s="1783"/>
      <c r="AJ432" s="1783"/>
      <c r="AK432" s="1783"/>
      <c r="AL432" s="1783"/>
      <c r="AM432" s="1783"/>
      <c r="AN432" s="1783"/>
      <c r="AO432" s="1783"/>
      <c r="AP432" s="1783"/>
      <c r="AQ432" s="1783"/>
      <c r="AR432" s="1783"/>
      <c r="AS432" s="1783"/>
      <c r="AT432" s="1783"/>
      <c r="AU432" s="1783"/>
      <c r="AV432" s="1783"/>
      <c r="AW432" s="1783"/>
      <c r="AX432" s="1783"/>
      <c r="AY432" s="1783"/>
      <c r="AZ432" s="1783"/>
      <c r="BA432" s="1783"/>
      <c r="BB432" s="1783"/>
      <c r="BC432" s="1783"/>
      <c r="BD432" s="1783"/>
      <c r="BE432" s="1783"/>
      <c r="BF432" s="1783"/>
      <c r="BG432" s="1783"/>
      <c r="BH432" s="1783"/>
      <c r="BI432" s="1783"/>
    </row>
    <row r="433" spans="1:61">
      <c r="A433" s="1819"/>
      <c r="B433" s="1818"/>
      <c r="C433" s="1818"/>
      <c r="D433" s="1818"/>
      <c r="E433" s="1818"/>
      <c r="F433" s="1818"/>
      <c r="G433" s="1818"/>
      <c r="H433" s="1783"/>
      <c r="I433" s="1783"/>
      <c r="J433" s="1783"/>
      <c r="K433" s="1783"/>
      <c r="L433" s="1783"/>
      <c r="M433" s="1783"/>
      <c r="N433" s="1783"/>
      <c r="O433" s="1783"/>
      <c r="P433" s="1783"/>
      <c r="Q433" s="1783"/>
      <c r="R433" s="1783"/>
      <c r="S433" s="1783"/>
      <c r="T433" s="1783"/>
      <c r="U433" s="1783"/>
      <c r="V433" s="1783"/>
      <c r="W433" s="1783"/>
      <c r="X433" s="1783"/>
      <c r="Y433" s="1783"/>
      <c r="Z433" s="1783"/>
      <c r="AA433" s="1783"/>
      <c r="AB433" s="1783"/>
      <c r="AC433" s="1783"/>
      <c r="AD433" s="1783"/>
      <c r="AE433" s="1783"/>
      <c r="AF433" s="1783"/>
      <c r="AG433" s="1783"/>
      <c r="AH433" s="1783"/>
      <c r="AI433" s="1783"/>
      <c r="AJ433" s="1783"/>
      <c r="AK433" s="1783"/>
      <c r="AL433" s="1783"/>
      <c r="AM433" s="1783"/>
      <c r="AN433" s="1783"/>
      <c r="AO433" s="1783"/>
      <c r="AP433" s="1783"/>
      <c r="AQ433" s="1783"/>
      <c r="AR433" s="1783"/>
      <c r="AS433" s="1783"/>
      <c r="AT433" s="1783"/>
      <c r="AU433" s="1783"/>
      <c r="AV433" s="1783"/>
      <c r="AW433" s="1783"/>
      <c r="AX433" s="1783"/>
      <c r="AY433" s="1783"/>
      <c r="AZ433" s="1783"/>
      <c r="BA433" s="1783"/>
      <c r="BB433" s="1783"/>
      <c r="BC433" s="1783"/>
      <c r="BD433" s="1783"/>
      <c r="BE433" s="1783"/>
      <c r="BF433" s="1783"/>
      <c r="BG433" s="1783"/>
      <c r="BH433" s="1783"/>
      <c r="BI433" s="1783"/>
    </row>
    <row r="434" spans="1:61">
      <c r="A434" s="1819"/>
      <c r="B434" s="1818"/>
      <c r="C434" s="1818"/>
      <c r="D434" s="1818"/>
      <c r="E434" s="1818"/>
      <c r="F434" s="1818"/>
      <c r="G434" s="1818"/>
      <c r="H434" s="1783"/>
      <c r="I434" s="1783"/>
      <c r="J434" s="1783"/>
      <c r="K434" s="1783"/>
      <c r="L434" s="1783"/>
      <c r="M434" s="1783"/>
      <c r="N434" s="1783"/>
      <c r="O434" s="1783"/>
      <c r="P434" s="1783"/>
      <c r="Q434" s="1783"/>
      <c r="R434" s="1783"/>
      <c r="S434" s="1783"/>
      <c r="T434" s="1783"/>
      <c r="U434" s="1783"/>
      <c r="V434" s="1783"/>
      <c r="W434" s="1783"/>
      <c r="X434" s="1783"/>
      <c r="Y434" s="1783"/>
      <c r="Z434" s="1783"/>
      <c r="AA434" s="1783"/>
      <c r="AB434" s="1783"/>
      <c r="AC434" s="1783"/>
      <c r="AD434" s="1783"/>
      <c r="AE434" s="1783"/>
      <c r="AF434" s="1783"/>
      <c r="AG434" s="1783"/>
      <c r="AH434" s="1783"/>
      <c r="AI434" s="1783"/>
      <c r="AJ434" s="1783"/>
      <c r="AK434" s="1783"/>
      <c r="AL434" s="1783"/>
      <c r="AM434" s="1783"/>
      <c r="AN434" s="1783"/>
      <c r="AO434" s="1783"/>
      <c r="AP434" s="1783"/>
      <c r="AQ434" s="1783"/>
      <c r="AR434" s="1783"/>
      <c r="AS434" s="1783"/>
      <c r="AT434" s="1783"/>
      <c r="AU434" s="1783"/>
      <c r="AV434" s="1783"/>
      <c r="AW434" s="1783"/>
      <c r="AX434" s="1783"/>
      <c r="AY434" s="1783"/>
      <c r="AZ434" s="1783"/>
      <c r="BA434" s="1783"/>
      <c r="BB434" s="1783"/>
      <c r="BC434" s="1783"/>
      <c r="BD434" s="1783"/>
      <c r="BE434" s="1783"/>
      <c r="BF434" s="1783"/>
      <c r="BG434" s="1783"/>
      <c r="BH434" s="1783"/>
      <c r="BI434" s="1783"/>
    </row>
    <row r="435" spans="1:61">
      <c r="A435" s="1819"/>
      <c r="B435" s="1818"/>
      <c r="C435" s="1818"/>
      <c r="D435" s="1818"/>
      <c r="E435" s="1818"/>
      <c r="F435" s="1818"/>
      <c r="G435" s="1818"/>
      <c r="H435" s="1783"/>
      <c r="I435" s="1783"/>
      <c r="J435" s="1783"/>
      <c r="K435" s="1783"/>
      <c r="L435" s="1783"/>
      <c r="M435" s="1783"/>
      <c r="N435" s="1783"/>
      <c r="O435" s="1783"/>
      <c r="P435" s="1783"/>
      <c r="Q435" s="1783"/>
      <c r="R435" s="1783"/>
      <c r="S435" s="1783"/>
      <c r="T435" s="1783"/>
      <c r="U435" s="1783"/>
      <c r="V435" s="1783"/>
      <c r="W435" s="1783"/>
      <c r="X435" s="1783"/>
      <c r="Y435" s="1783"/>
      <c r="Z435" s="1783"/>
      <c r="AA435" s="1783"/>
      <c r="AB435" s="1783"/>
      <c r="AC435" s="1783"/>
      <c r="AD435" s="1783"/>
      <c r="AE435" s="1783"/>
      <c r="AF435" s="1783"/>
      <c r="AG435" s="1783"/>
      <c r="AH435" s="1783"/>
      <c r="AI435" s="1783"/>
      <c r="AJ435" s="1783"/>
      <c r="AK435" s="1783"/>
      <c r="AL435" s="1783"/>
      <c r="AM435" s="1783"/>
      <c r="AN435" s="1783"/>
      <c r="AO435" s="1783"/>
      <c r="AP435" s="1783"/>
      <c r="AQ435" s="1783"/>
      <c r="AR435" s="1783"/>
      <c r="AS435" s="1783"/>
      <c r="AT435" s="1783"/>
      <c r="AU435" s="1783"/>
      <c r="AV435" s="1783"/>
      <c r="AW435" s="1783"/>
      <c r="AX435" s="1783"/>
      <c r="AY435" s="1783"/>
      <c r="AZ435" s="1783"/>
      <c r="BA435" s="1783"/>
      <c r="BB435" s="1783"/>
      <c r="BC435" s="1783"/>
      <c r="BD435" s="1783"/>
      <c r="BE435" s="1783"/>
      <c r="BF435" s="1783"/>
      <c r="BG435" s="1783"/>
      <c r="BH435" s="1783"/>
      <c r="BI435" s="1783"/>
    </row>
    <row r="436" spans="1:61">
      <c r="A436" s="1819"/>
      <c r="B436" s="1818"/>
      <c r="C436" s="1818"/>
      <c r="D436" s="1818"/>
      <c r="E436" s="1818"/>
      <c r="F436" s="1818"/>
      <c r="G436" s="1818"/>
      <c r="H436" s="1783"/>
      <c r="I436" s="1783"/>
      <c r="J436" s="1783"/>
      <c r="K436" s="1783"/>
      <c r="L436" s="1783"/>
      <c r="M436" s="1783"/>
      <c r="N436" s="1783"/>
      <c r="O436" s="1783"/>
      <c r="P436" s="1783"/>
      <c r="Q436" s="1783"/>
      <c r="R436" s="1783"/>
      <c r="S436" s="1783"/>
      <c r="T436" s="1783"/>
      <c r="U436" s="1783"/>
      <c r="V436" s="1783"/>
      <c r="W436" s="1783"/>
      <c r="X436" s="1783"/>
      <c r="Y436" s="1783"/>
      <c r="Z436" s="1783"/>
      <c r="AA436" s="1783"/>
      <c r="AB436" s="1783"/>
      <c r="AC436" s="1783"/>
      <c r="AD436" s="1783"/>
      <c r="AE436" s="1783"/>
      <c r="AF436" s="1783"/>
      <c r="AG436" s="1783"/>
      <c r="AH436" s="1783"/>
      <c r="AI436" s="1783"/>
      <c r="AJ436" s="1783"/>
      <c r="AK436" s="1783"/>
      <c r="AL436" s="1783"/>
      <c r="AM436" s="1783"/>
      <c r="AN436" s="1783"/>
      <c r="AO436" s="1783"/>
      <c r="AP436" s="1783"/>
      <c r="AQ436" s="1783"/>
      <c r="AR436" s="1783"/>
      <c r="AS436" s="1783"/>
      <c r="AT436" s="1783"/>
      <c r="AU436" s="1783"/>
      <c r="AV436" s="1783"/>
      <c r="AW436" s="1783"/>
      <c r="AX436" s="1783"/>
      <c r="AY436" s="1783"/>
      <c r="AZ436" s="1783"/>
      <c r="BA436" s="1783"/>
      <c r="BB436" s="1783"/>
      <c r="BC436" s="1783"/>
      <c r="BD436" s="1783"/>
      <c r="BE436" s="1783"/>
      <c r="BF436" s="1783"/>
      <c r="BG436" s="1783"/>
      <c r="BH436" s="1783"/>
      <c r="BI436" s="1783"/>
    </row>
    <row r="437" spans="1:61">
      <c r="A437" s="1819"/>
      <c r="B437" s="1818"/>
      <c r="C437" s="1818"/>
      <c r="D437" s="1818"/>
      <c r="E437" s="1818"/>
      <c r="F437" s="1818"/>
      <c r="G437" s="1818"/>
      <c r="H437" s="1783"/>
      <c r="I437" s="1783"/>
      <c r="J437" s="1783"/>
      <c r="K437" s="1783"/>
      <c r="L437" s="1783"/>
      <c r="M437" s="1783"/>
      <c r="N437" s="1783"/>
      <c r="O437" s="1783"/>
      <c r="P437" s="1783"/>
      <c r="Q437" s="1783"/>
      <c r="R437" s="1783"/>
      <c r="S437" s="1783"/>
      <c r="T437" s="1783"/>
      <c r="U437" s="1783"/>
      <c r="V437" s="1783"/>
      <c r="W437" s="1783"/>
      <c r="X437" s="1783"/>
      <c r="Y437" s="1783"/>
      <c r="Z437" s="1783"/>
      <c r="AA437" s="1783"/>
      <c r="AB437" s="1783"/>
      <c r="AC437" s="1783"/>
      <c r="AD437" s="1783"/>
      <c r="AE437" s="1783"/>
      <c r="AF437" s="1783"/>
      <c r="AG437" s="1783"/>
      <c r="AH437" s="1783"/>
      <c r="AI437" s="1783"/>
      <c r="AJ437" s="1783"/>
      <c r="AK437" s="1783"/>
      <c r="AL437" s="1783"/>
      <c r="AM437" s="1783"/>
      <c r="AN437" s="1783"/>
      <c r="AO437" s="1783"/>
      <c r="AP437" s="1783"/>
      <c r="AQ437" s="1783"/>
      <c r="AR437" s="1783"/>
      <c r="AS437" s="1783"/>
      <c r="AT437" s="1783"/>
      <c r="AU437" s="1783"/>
      <c r="AV437" s="1783"/>
      <c r="AW437" s="1783"/>
      <c r="AX437" s="1783"/>
      <c r="AY437" s="1783"/>
      <c r="AZ437" s="1783"/>
      <c r="BA437" s="1783"/>
      <c r="BB437" s="1783"/>
      <c r="BC437" s="1783"/>
      <c r="BD437" s="1783"/>
      <c r="BE437" s="1783"/>
      <c r="BF437" s="1783"/>
      <c r="BG437" s="1783"/>
      <c r="BH437" s="1783"/>
      <c r="BI437" s="1783"/>
    </row>
    <row r="438" spans="1:61">
      <c r="A438" s="1819"/>
      <c r="B438" s="1818"/>
      <c r="C438" s="1818"/>
      <c r="D438" s="1818"/>
      <c r="E438" s="1818"/>
      <c r="F438" s="1818"/>
      <c r="G438" s="1818"/>
      <c r="H438" s="1783"/>
      <c r="I438" s="1783"/>
      <c r="J438" s="1783"/>
      <c r="K438" s="1783"/>
      <c r="L438" s="1783"/>
      <c r="M438" s="1783"/>
      <c r="N438" s="1783"/>
      <c r="O438" s="1783"/>
      <c r="P438" s="1783"/>
      <c r="Q438" s="1783"/>
      <c r="R438" s="1783"/>
      <c r="S438" s="1783"/>
      <c r="T438" s="1783"/>
      <c r="U438" s="1783"/>
      <c r="V438" s="1783"/>
      <c r="W438" s="1783"/>
      <c r="X438" s="1783"/>
      <c r="Y438" s="1783"/>
      <c r="Z438" s="1783"/>
      <c r="AA438" s="1783"/>
      <c r="AB438" s="1783"/>
      <c r="AC438" s="1783"/>
      <c r="AD438" s="1783"/>
      <c r="AE438" s="1783"/>
      <c r="AF438" s="1783"/>
      <c r="AG438" s="1783"/>
      <c r="AH438" s="1783"/>
      <c r="AI438" s="1783"/>
      <c r="AJ438" s="1783"/>
      <c r="AK438" s="1783"/>
      <c r="AL438" s="1783"/>
      <c r="AM438" s="1783"/>
      <c r="AN438" s="1783"/>
      <c r="AO438" s="1783"/>
      <c r="AP438" s="1783"/>
      <c r="AQ438" s="1783"/>
      <c r="AR438" s="1783"/>
      <c r="AS438" s="1783"/>
      <c r="AT438" s="1783"/>
      <c r="AU438" s="1783"/>
      <c r="AV438" s="1783"/>
      <c r="AW438" s="1783"/>
      <c r="AX438" s="1783"/>
      <c r="AY438" s="1783"/>
      <c r="AZ438" s="1783"/>
      <c r="BA438" s="1783"/>
      <c r="BB438" s="1783"/>
      <c r="BC438" s="1783"/>
      <c r="BD438" s="1783"/>
      <c r="BE438" s="1783"/>
      <c r="BF438" s="1783"/>
      <c r="BG438" s="1783"/>
      <c r="BH438" s="1783"/>
      <c r="BI438" s="1783"/>
    </row>
    <row r="439" spans="1:61">
      <c r="A439" s="1819"/>
      <c r="B439" s="1818"/>
      <c r="C439" s="1818"/>
      <c r="D439" s="1818"/>
      <c r="E439" s="1818"/>
      <c r="F439" s="1818"/>
      <c r="G439" s="1818"/>
      <c r="H439" s="1783"/>
      <c r="I439" s="1783"/>
      <c r="J439" s="1783"/>
      <c r="K439" s="1783"/>
      <c r="L439" s="1783"/>
      <c r="M439" s="1783"/>
      <c r="N439" s="1783"/>
      <c r="O439" s="1783"/>
      <c r="P439" s="1783"/>
      <c r="Q439" s="1783"/>
      <c r="R439" s="1783"/>
      <c r="S439" s="1783"/>
      <c r="T439" s="1783"/>
      <c r="U439" s="1783"/>
      <c r="V439" s="1783"/>
      <c r="W439" s="1783"/>
      <c r="X439" s="1783"/>
      <c r="Y439" s="1783"/>
      <c r="Z439" s="1783"/>
      <c r="AA439" s="1783"/>
      <c r="AB439" s="1783"/>
      <c r="AC439" s="1783"/>
      <c r="AD439" s="1783"/>
      <c r="AE439" s="1783"/>
      <c r="AF439" s="1783"/>
      <c r="AG439" s="1783"/>
      <c r="AH439" s="1783"/>
      <c r="AI439" s="1783"/>
      <c r="AJ439" s="1783"/>
      <c r="AK439" s="1783"/>
      <c r="AL439" s="1783"/>
      <c r="AM439" s="1783"/>
      <c r="AN439" s="1783"/>
      <c r="AO439" s="1783"/>
      <c r="AP439" s="1783"/>
      <c r="AQ439" s="1783"/>
      <c r="AR439" s="1783"/>
      <c r="AS439" s="1783"/>
      <c r="AT439" s="1783"/>
      <c r="AU439" s="1783"/>
      <c r="AV439" s="1783"/>
      <c r="AW439" s="1783"/>
      <c r="AX439" s="1783"/>
      <c r="AY439" s="1783"/>
      <c r="AZ439" s="1783"/>
      <c r="BA439" s="1783"/>
      <c r="BB439" s="1783"/>
      <c r="BC439" s="1783"/>
      <c r="BD439" s="1783"/>
      <c r="BE439" s="1783"/>
      <c r="BF439" s="1783"/>
      <c r="BG439" s="1783"/>
      <c r="BH439" s="1783"/>
      <c r="BI439" s="1783"/>
    </row>
    <row r="440" spans="1:61">
      <c r="A440" s="1819"/>
      <c r="B440" s="1818"/>
      <c r="C440" s="1818"/>
      <c r="D440" s="1818"/>
      <c r="E440" s="1818"/>
      <c r="F440" s="1818"/>
      <c r="G440" s="1818"/>
      <c r="H440" s="1783"/>
      <c r="I440" s="1783"/>
      <c r="J440" s="1783"/>
      <c r="K440" s="1783"/>
      <c r="L440" s="1783"/>
      <c r="M440" s="1783"/>
      <c r="N440" s="1783"/>
      <c r="O440" s="1783"/>
      <c r="P440" s="1783"/>
      <c r="Q440" s="1783"/>
      <c r="R440" s="1783"/>
      <c r="S440" s="1783"/>
      <c r="T440" s="1783"/>
      <c r="U440" s="1783"/>
      <c r="V440" s="1783"/>
      <c r="W440" s="1783"/>
      <c r="X440" s="1783"/>
      <c r="Y440" s="1783"/>
      <c r="Z440" s="1783"/>
      <c r="AA440" s="1783"/>
      <c r="AB440" s="1783"/>
      <c r="AC440" s="1783"/>
      <c r="AD440" s="1783"/>
      <c r="AE440" s="1783"/>
      <c r="AF440" s="1783"/>
      <c r="AG440" s="1783"/>
      <c r="AH440" s="1783"/>
      <c r="AI440" s="1783"/>
      <c r="AJ440" s="1783"/>
      <c r="AK440" s="1783"/>
      <c r="AL440" s="1783"/>
      <c r="AM440" s="1783"/>
      <c r="AN440" s="1783"/>
      <c r="AO440" s="1783"/>
      <c r="AP440" s="1783"/>
      <c r="AQ440" s="1783"/>
      <c r="AR440" s="1783"/>
      <c r="AS440" s="1783"/>
      <c r="AT440" s="1783"/>
      <c r="AU440" s="1783"/>
      <c r="AV440" s="1783"/>
      <c r="AW440" s="1783"/>
      <c r="AX440" s="1783"/>
      <c r="AY440" s="1783"/>
      <c r="AZ440" s="1783"/>
      <c r="BA440" s="1783"/>
      <c r="BB440" s="1783"/>
      <c r="BC440" s="1783"/>
      <c r="BD440" s="1783"/>
      <c r="BE440" s="1783"/>
      <c r="BF440" s="1783"/>
      <c r="BG440" s="1783"/>
      <c r="BH440" s="1783"/>
      <c r="BI440" s="1783"/>
    </row>
    <row r="441" spans="1:61">
      <c r="A441" s="1819"/>
      <c r="B441" s="1818"/>
      <c r="C441" s="1818"/>
      <c r="D441" s="1818"/>
      <c r="E441" s="1818"/>
      <c r="F441" s="1818"/>
      <c r="G441" s="1818"/>
      <c r="H441" s="1783"/>
      <c r="I441" s="1783"/>
      <c r="J441" s="1783"/>
      <c r="K441" s="1783"/>
      <c r="L441" s="1783"/>
      <c r="M441" s="1783"/>
      <c r="N441" s="1783"/>
      <c r="O441" s="1783"/>
      <c r="P441" s="1783"/>
      <c r="Q441" s="1783"/>
      <c r="R441" s="1783"/>
      <c r="S441" s="1783"/>
      <c r="T441" s="1783"/>
      <c r="U441" s="1783"/>
      <c r="V441" s="1783"/>
      <c r="W441" s="1783"/>
      <c r="X441" s="1783"/>
      <c r="Y441" s="1783"/>
      <c r="Z441" s="1783"/>
      <c r="AA441" s="1783"/>
      <c r="AB441" s="1783"/>
      <c r="AC441" s="1783"/>
      <c r="AD441" s="1783"/>
      <c r="AE441" s="1783"/>
      <c r="AF441" s="1783"/>
      <c r="AG441" s="1783"/>
      <c r="AH441" s="1783"/>
      <c r="AI441" s="1783"/>
      <c r="AJ441" s="1783"/>
      <c r="AK441" s="1783"/>
      <c r="AL441" s="1783"/>
      <c r="AM441" s="1783"/>
      <c r="AN441" s="1783"/>
      <c r="AO441" s="1783"/>
      <c r="AP441" s="1783"/>
      <c r="AQ441" s="1783"/>
      <c r="AR441" s="1783"/>
      <c r="AS441" s="1783"/>
      <c r="AT441" s="1783"/>
      <c r="AU441" s="1783"/>
      <c r="AV441" s="1783"/>
      <c r="AW441" s="1783"/>
      <c r="AX441" s="1783"/>
      <c r="AY441" s="1783"/>
      <c r="AZ441" s="1783"/>
      <c r="BA441" s="1783"/>
      <c r="BB441" s="1783"/>
      <c r="BC441" s="1783"/>
      <c r="BD441" s="1783"/>
      <c r="BE441" s="1783"/>
      <c r="BF441" s="1783"/>
      <c r="BG441" s="1783"/>
      <c r="BH441" s="1783"/>
      <c r="BI441" s="1783"/>
    </row>
    <row r="442" spans="1:61">
      <c r="A442" s="1819"/>
      <c r="B442" s="1818"/>
      <c r="C442" s="1818"/>
      <c r="D442" s="1818"/>
      <c r="E442" s="1818"/>
      <c r="F442" s="1818"/>
      <c r="G442" s="1818"/>
      <c r="H442" s="1783"/>
      <c r="I442" s="1783"/>
      <c r="J442" s="1783"/>
      <c r="K442" s="1783"/>
      <c r="L442" s="1783"/>
      <c r="M442" s="1783"/>
      <c r="N442" s="1783"/>
      <c r="O442" s="1783"/>
      <c r="P442" s="1783"/>
      <c r="Q442" s="1783"/>
      <c r="R442" s="1783"/>
      <c r="S442" s="1783"/>
      <c r="T442" s="1783"/>
      <c r="U442" s="1783"/>
      <c r="V442" s="1783"/>
      <c r="W442" s="1783"/>
      <c r="X442" s="1783"/>
      <c r="Y442" s="1783"/>
      <c r="Z442" s="1783"/>
      <c r="AA442" s="1783"/>
      <c r="AB442" s="1783"/>
      <c r="AC442" s="1783"/>
      <c r="AD442" s="1783"/>
      <c r="AE442" s="1783"/>
      <c r="AF442" s="1783"/>
      <c r="AG442" s="1783"/>
      <c r="AH442" s="1783"/>
      <c r="AI442" s="1783"/>
      <c r="AJ442" s="1783"/>
      <c r="AK442" s="1783"/>
      <c r="AL442" s="1783"/>
      <c r="AM442" s="1783"/>
      <c r="AN442" s="1783"/>
      <c r="AO442" s="1783"/>
      <c r="AP442" s="1783"/>
      <c r="AQ442" s="1783"/>
      <c r="AR442" s="1783"/>
      <c r="AS442" s="1783"/>
      <c r="AT442" s="1783"/>
      <c r="AU442" s="1783"/>
      <c r="AV442" s="1783"/>
      <c r="AW442" s="1783"/>
      <c r="AX442" s="1783"/>
      <c r="AY442" s="1783"/>
      <c r="AZ442" s="1783"/>
      <c r="BA442" s="1783"/>
      <c r="BB442" s="1783"/>
      <c r="BC442" s="1783"/>
      <c r="BD442" s="1783"/>
      <c r="BE442" s="1783"/>
      <c r="BF442" s="1783"/>
      <c r="BG442" s="1783"/>
      <c r="BH442" s="1783"/>
      <c r="BI442" s="1783"/>
    </row>
    <row r="443" spans="1:61">
      <c r="A443" s="1819"/>
      <c r="B443" s="1818"/>
      <c r="C443" s="1818"/>
      <c r="D443" s="1818"/>
      <c r="E443" s="1818"/>
      <c r="F443" s="1818"/>
      <c r="G443" s="1818"/>
      <c r="H443" s="1783"/>
      <c r="I443" s="1783"/>
      <c r="J443" s="1783"/>
      <c r="K443" s="1783"/>
      <c r="L443" s="1783"/>
      <c r="M443" s="1783"/>
      <c r="N443" s="1783"/>
      <c r="O443" s="1783"/>
      <c r="P443" s="1783"/>
      <c r="Q443" s="1783"/>
      <c r="R443" s="1783"/>
      <c r="S443" s="1783"/>
      <c r="T443" s="1783"/>
      <c r="U443" s="1783"/>
      <c r="V443" s="1783"/>
      <c r="W443" s="1783"/>
      <c r="X443" s="1783"/>
      <c r="Y443" s="1783"/>
      <c r="Z443" s="1783"/>
      <c r="AA443" s="1783"/>
      <c r="AB443" s="1783"/>
      <c r="AC443" s="1783"/>
      <c r="AD443" s="1783"/>
      <c r="AE443" s="1783"/>
      <c r="AF443" s="1783"/>
      <c r="AG443" s="1783"/>
      <c r="AH443" s="1783"/>
      <c r="AI443" s="1783"/>
      <c r="AJ443" s="1783"/>
      <c r="AK443" s="1783"/>
      <c r="AL443" s="1783"/>
      <c r="AM443" s="1783"/>
      <c r="AN443" s="1783"/>
      <c r="AO443" s="1783"/>
      <c r="AP443" s="1783"/>
      <c r="AQ443" s="1783"/>
      <c r="AR443" s="1783"/>
      <c r="AS443" s="1783"/>
      <c r="AT443" s="1783"/>
      <c r="AU443" s="1783"/>
      <c r="AV443" s="1783"/>
      <c r="AW443" s="1783"/>
      <c r="AX443" s="1783"/>
      <c r="AY443" s="1783"/>
      <c r="AZ443" s="1783"/>
      <c r="BA443" s="1783"/>
      <c r="BB443" s="1783"/>
      <c r="BC443" s="1783"/>
      <c r="BD443" s="1783"/>
      <c r="BE443" s="1783"/>
      <c r="BF443" s="1783"/>
      <c r="BG443" s="1783"/>
      <c r="BH443" s="1783"/>
      <c r="BI443" s="1783"/>
    </row>
    <row r="444" spans="1:61">
      <c r="A444" s="1819"/>
      <c r="B444" s="1818"/>
      <c r="C444" s="1818"/>
      <c r="D444" s="1818"/>
      <c r="E444" s="1818"/>
      <c r="F444" s="1818"/>
      <c r="G444" s="1818"/>
      <c r="H444" s="1783"/>
      <c r="I444" s="1783"/>
      <c r="J444" s="1783"/>
      <c r="K444" s="1783"/>
      <c r="L444" s="1783"/>
      <c r="M444" s="1783"/>
      <c r="N444" s="1783"/>
      <c r="O444" s="1783"/>
      <c r="P444" s="1783"/>
      <c r="Q444" s="1783"/>
      <c r="R444" s="1783"/>
      <c r="S444" s="1783"/>
      <c r="T444" s="1783"/>
      <c r="U444" s="1783"/>
      <c r="V444" s="1783"/>
      <c r="W444" s="1783"/>
      <c r="X444" s="1783"/>
      <c r="Y444" s="1783"/>
      <c r="Z444" s="1783"/>
      <c r="AA444" s="1783"/>
      <c r="AB444" s="1783"/>
      <c r="AC444" s="1783"/>
      <c r="AD444" s="1783"/>
      <c r="AE444" s="1783"/>
      <c r="AF444" s="1783"/>
      <c r="AG444" s="1783"/>
      <c r="AH444" s="1783"/>
      <c r="AI444" s="1783"/>
      <c r="AJ444" s="1783"/>
      <c r="AK444" s="1783"/>
      <c r="AL444" s="1783"/>
      <c r="AM444" s="1783"/>
      <c r="AN444" s="1783"/>
      <c r="AO444" s="1783"/>
      <c r="AP444" s="1783"/>
      <c r="AQ444" s="1783"/>
      <c r="AR444" s="1783"/>
      <c r="AS444" s="1783"/>
      <c r="AT444" s="1783"/>
      <c r="AU444" s="1783"/>
      <c r="AV444" s="1783"/>
      <c r="AW444" s="1783"/>
      <c r="AX444" s="1783"/>
      <c r="AY444" s="1783"/>
      <c r="AZ444" s="1783"/>
      <c r="BA444" s="1783"/>
      <c r="BB444" s="1783"/>
      <c r="BC444" s="1783"/>
      <c r="BD444" s="1783"/>
      <c r="BE444" s="1783"/>
      <c r="BF444" s="1783"/>
      <c r="BG444" s="1783"/>
      <c r="BH444" s="1783"/>
      <c r="BI444" s="1783"/>
    </row>
    <row r="445" spans="1:61">
      <c r="A445" s="1819"/>
      <c r="B445" s="1818"/>
      <c r="C445" s="1818"/>
      <c r="D445" s="1818"/>
      <c r="E445" s="1818"/>
      <c r="F445" s="1818"/>
      <c r="G445" s="1818"/>
      <c r="H445" s="1783"/>
      <c r="I445" s="1783"/>
      <c r="J445" s="1783"/>
      <c r="K445" s="1783"/>
      <c r="L445" s="1783"/>
      <c r="M445" s="1783"/>
      <c r="N445" s="1783"/>
      <c r="O445" s="1783"/>
      <c r="P445" s="1783"/>
      <c r="Q445" s="1783"/>
      <c r="R445" s="1783"/>
      <c r="S445" s="1783"/>
      <c r="T445" s="1783"/>
      <c r="U445" s="1783"/>
      <c r="V445" s="1783"/>
      <c r="W445" s="1783"/>
      <c r="X445" s="1783"/>
      <c r="Y445" s="1783"/>
      <c r="Z445" s="1783"/>
      <c r="AA445" s="1783"/>
      <c r="AB445" s="1783"/>
      <c r="AC445" s="1783"/>
      <c r="AD445" s="1783"/>
      <c r="AE445" s="1783"/>
      <c r="AF445" s="1783"/>
      <c r="AG445" s="1783"/>
      <c r="AH445" s="1783"/>
      <c r="AI445" s="1783"/>
      <c r="AJ445" s="1783"/>
      <c r="AK445" s="1783"/>
      <c r="AL445" s="1783"/>
      <c r="AM445" s="1783"/>
      <c r="AN445" s="1783"/>
      <c r="AO445" s="1783"/>
      <c r="AP445" s="1783"/>
      <c r="AQ445" s="1783"/>
      <c r="AR445" s="1783"/>
      <c r="AS445" s="1783"/>
      <c r="AT445" s="1783"/>
      <c r="AU445" s="1783"/>
      <c r="AV445" s="1783"/>
      <c r="AW445" s="1783"/>
      <c r="AX445" s="1783"/>
      <c r="AY445" s="1783"/>
      <c r="AZ445" s="1783"/>
      <c r="BA445" s="1783"/>
      <c r="BB445" s="1783"/>
      <c r="BC445" s="1783"/>
      <c r="BD445" s="1783"/>
      <c r="BE445" s="1783"/>
      <c r="BF445" s="1783"/>
      <c r="BG445" s="1783"/>
      <c r="BH445" s="1783"/>
      <c r="BI445" s="1783"/>
    </row>
    <row r="446" spans="1:61">
      <c r="A446" s="1819"/>
      <c r="B446" s="1818"/>
      <c r="C446" s="1818"/>
      <c r="D446" s="1818"/>
      <c r="E446" s="1818"/>
      <c r="F446" s="1818"/>
      <c r="G446" s="1818"/>
      <c r="H446" s="1783"/>
      <c r="I446" s="1783"/>
      <c r="J446" s="1783"/>
      <c r="K446" s="1783"/>
      <c r="L446" s="1783"/>
      <c r="M446" s="1783"/>
      <c r="N446" s="1783"/>
      <c r="O446" s="1783"/>
      <c r="P446" s="1783"/>
      <c r="Q446" s="1783"/>
      <c r="R446" s="1783"/>
      <c r="S446" s="1783"/>
      <c r="T446" s="1783"/>
      <c r="U446" s="1783"/>
      <c r="V446" s="1783"/>
      <c r="W446" s="1783"/>
      <c r="X446" s="1783"/>
      <c r="Y446" s="1783"/>
      <c r="Z446" s="1783"/>
      <c r="AA446" s="1783"/>
      <c r="AB446" s="1783"/>
      <c r="AC446" s="1783"/>
      <c r="AD446" s="1783"/>
      <c r="AE446" s="1783"/>
      <c r="AF446" s="1783"/>
      <c r="AG446" s="1783"/>
      <c r="AH446" s="1783"/>
      <c r="AI446" s="1783"/>
      <c r="AJ446" s="1783"/>
      <c r="AK446" s="1783"/>
      <c r="AL446" s="1783"/>
      <c r="AM446" s="1783"/>
      <c r="AN446" s="1783"/>
      <c r="AO446" s="1783"/>
      <c r="AP446" s="1783"/>
      <c r="AQ446" s="1783"/>
      <c r="AR446" s="1783"/>
      <c r="AS446" s="1783"/>
      <c r="AT446" s="1783"/>
      <c r="AU446" s="1783"/>
      <c r="AV446" s="1783"/>
      <c r="AW446" s="1783"/>
      <c r="AX446" s="1783"/>
      <c r="AY446" s="1783"/>
      <c r="AZ446" s="1783"/>
      <c r="BA446" s="1783"/>
      <c r="BB446" s="1783"/>
      <c r="BC446" s="1783"/>
      <c r="BD446" s="1783"/>
      <c r="BE446" s="1783"/>
      <c r="BF446" s="1783"/>
      <c r="BG446" s="1783"/>
      <c r="BH446" s="1783"/>
      <c r="BI446" s="1783"/>
    </row>
    <row r="447" spans="1:61">
      <c r="A447" s="1819"/>
      <c r="B447" s="1818"/>
      <c r="C447" s="1818"/>
      <c r="D447" s="1818"/>
      <c r="E447" s="1818"/>
      <c r="F447" s="1818"/>
      <c r="G447" s="1818"/>
      <c r="H447" s="1783"/>
      <c r="I447" s="1783"/>
      <c r="J447" s="1783"/>
      <c r="K447" s="1783"/>
      <c r="L447" s="1783"/>
      <c r="M447" s="1783"/>
      <c r="N447" s="1783"/>
      <c r="O447" s="1783"/>
      <c r="P447" s="1783"/>
      <c r="Q447" s="1783"/>
      <c r="R447" s="1783"/>
      <c r="S447" s="1783"/>
      <c r="T447" s="1783"/>
      <c r="U447" s="1783"/>
      <c r="V447" s="1783"/>
      <c r="W447" s="1783"/>
      <c r="X447" s="1783"/>
      <c r="Y447" s="1783"/>
      <c r="Z447" s="1783"/>
      <c r="AA447" s="1783"/>
      <c r="AB447" s="1783"/>
      <c r="AC447" s="1783"/>
      <c r="AD447" s="1783"/>
      <c r="AE447" s="1783"/>
      <c r="AF447" s="1783"/>
      <c r="AG447" s="1783"/>
      <c r="AH447" s="1783"/>
      <c r="AI447" s="1783"/>
      <c r="AJ447" s="1783"/>
      <c r="AK447" s="1783"/>
      <c r="AL447" s="1783"/>
      <c r="AM447" s="1783"/>
      <c r="AN447" s="1783"/>
      <c r="AO447" s="1783"/>
      <c r="AP447" s="1783"/>
      <c r="AQ447" s="1783"/>
      <c r="AR447" s="1783"/>
      <c r="AS447" s="1783"/>
      <c r="AT447" s="1783"/>
      <c r="AU447" s="1783"/>
      <c r="AV447" s="1783"/>
      <c r="AW447" s="1783"/>
      <c r="AX447" s="1783"/>
      <c r="AY447" s="1783"/>
      <c r="AZ447" s="1783"/>
      <c r="BA447" s="1783"/>
      <c r="BB447" s="1783"/>
      <c r="BC447" s="1783"/>
      <c r="BD447" s="1783"/>
      <c r="BE447" s="1783"/>
      <c r="BF447" s="1783"/>
      <c r="BG447" s="1783"/>
      <c r="BH447" s="1783"/>
      <c r="BI447" s="1783"/>
    </row>
    <row r="448" spans="1:61">
      <c r="A448" s="1819"/>
      <c r="B448" s="1818"/>
      <c r="C448" s="1818"/>
      <c r="D448" s="1818"/>
      <c r="E448" s="1818"/>
      <c r="F448" s="1818"/>
      <c r="G448" s="1818"/>
      <c r="H448" s="1783"/>
      <c r="I448" s="1783"/>
      <c r="J448" s="1783"/>
      <c r="K448" s="1783"/>
      <c r="L448" s="1783"/>
      <c r="M448" s="1783"/>
      <c r="N448" s="1783"/>
      <c r="O448" s="1783"/>
      <c r="P448" s="1783"/>
      <c r="Q448" s="1783"/>
      <c r="R448" s="1783"/>
      <c r="S448" s="1783"/>
      <c r="T448" s="1783"/>
      <c r="U448" s="1783"/>
      <c r="V448" s="1783"/>
      <c r="W448" s="1783"/>
      <c r="X448" s="1783"/>
      <c r="Y448" s="1783"/>
      <c r="Z448" s="1783"/>
      <c r="AA448" s="1783"/>
      <c r="AB448" s="1783"/>
      <c r="AC448" s="1783"/>
      <c r="AD448" s="1783"/>
      <c r="AE448" s="1783"/>
      <c r="AF448" s="1783"/>
      <c r="AG448" s="1783"/>
      <c r="AH448" s="1783"/>
      <c r="AI448" s="1783"/>
      <c r="AJ448" s="1783"/>
      <c r="AK448" s="1783"/>
      <c r="AL448" s="1783"/>
      <c r="AM448" s="1783"/>
      <c r="AN448" s="1783"/>
      <c r="AO448" s="1783"/>
      <c r="AP448" s="1783"/>
      <c r="AQ448" s="1783"/>
      <c r="AR448" s="1783"/>
      <c r="AS448" s="1783"/>
      <c r="AT448" s="1783"/>
      <c r="AU448" s="1783"/>
      <c r="AV448" s="1783"/>
      <c r="AW448" s="1783"/>
      <c r="AX448" s="1783"/>
      <c r="AY448" s="1783"/>
      <c r="AZ448" s="1783"/>
      <c r="BA448" s="1783"/>
      <c r="BB448" s="1783"/>
      <c r="BC448" s="1783"/>
      <c r="BD448" s="1783"/>
      <c r="BE448" s="1783"/>
      <c r="BF448" s="1783"/>
      <c r="BG448" s="1783"/>
      <c r="BH448" s="1783"/>
      <c r="BI448" s="1783"/>
    </row>
    <row r="449" spans="1:61">
      <c r="A449" s="1819"/>
      <c r="B449" s="1818"/>
      <c r="C449" s="1818"/>
      <c r="D449" s="1818"/>
      <c r="E449" s="1818"/>
      <c r="F449" s="1818"/>
      <c r="G449" s="1818"/>
      <c r="H449" s="1783"/>
      <c r="I449" s="1783"/>
      <c r="J449" s="1783"/>
      <c r="K449" s="1783"/>
      <c r="L449" s="1783"/>
      <c r="M449" s="1783"/>
      <c r="N449" s="1783"/>
      <c r="O449" s="1783"/>
      <c r="P449" s="1783"/>
      <c r="Q449" s="1783"/>
      <c r="R449" s="1783"/>
      <c r="S449" s="1783"/>
      <c r="T449" s="1783"/>
      <c r="U449" s="1783"/>
      <c r="V449" s="1783"/>
      <c r="W449" s="1783"/>
      <c r="X449" s="1783"/>
      <c r="Y449" s="1783"/>
      <c r="Z449" s="1783"/>
      <c r="AA449" s="1783"/>
      <c r="AB449" s="1783"/>
      <c r="AC449" s="1783"/>
      <c r="AD449" s="1783"/>
      <c r="AE449" s="1783"/>
      <c r="AF449" s="1783"/>
      <c r="AG449" s="1783"/>
      <c r="AH449" s="1783"/>
      <c r="AI449" s="1783"/>
      <c r="AJ449" s="1783"/>
      <c r="AK449" s="1783"/>
      <c r="AL449" s="1783"/>
      <c r="AM449" s="1783"/>
      <c r="AN449" s="1783"/>
      <c r="AO449" s="1783"/>
      <c r="AP449" s="1783"/>
      <c r="AQ449" s="1783"/>
      <c r="AR449" s="1783"/>
      <c r="AS449" s="1783"/>
      <c r="AT449" s="1783"/>
      <c r="AU449" s="1783"/>
      <c r="AV449" s="1783"/>
      <c r="AW449" s="1783"/>
      <c r="AX449" s="1783"/>
      <c r="AY449" s="1783"/>
      <c r="AZ449" s="1783"/>
      <c r="BA449" s="1783"/>
      <c r="BB449" s="1783"/>
      <c r="BC449" s="1783"/>
      <c r="BD449" s="1783"/>
      <c r="BE449" s="1783"/>
      <c r="BF449" s="1783"/>
      <c r="BG449" s="1783"/>
      <c r="BH449" s="1783"/>
      <c r="BI449" s="1783"/>
    </row>
    <row r="450" spans="1:61">
      <c r="A450" s="1819"/>
      <c r="B450" s="1818"/>
      <c r="C450" s="1818"/>
      <c r="D450" s="1818"/>
      <c r="E450" s="1818"/>
      <c r="F450" s="1818"/>
      <c r="G450" s="1818"/>
      <c r="H450" s="1783"/>
      <c r="I450" s="1783"/>
      <c r="J450" s="1783"/>
      <c r="K450" s="1783"/>
      <c r="L450" s="1783"/>
      <c r="M450" s="1783"/>
      <c r="N450" s="1783"/>
      <c r="O450" s="1783"/>
      <c r="P450" s="1783"/>
      <c r="Q450" s="1783"/>
      <c r="R450" s="1783"/>
      <c r="S450" s="1783"/>
      <c r="T450" s="1783"/>
      <c r="U450" s="1783"/>
      <c r="V450" s="1783"/>
      <c r="W450" s="1783"/>
      <c r="X450" s="1783"/>
      <c r="Y450" s="1783"/>
      <c r="Z450" s="1783"/>
      <c r="AA450" s="1783"/>
      <c r="AB450" s="1783"/>
      <c r="AC450" s="1783"/>
      <c r="AD450" s="1783"/>
      <c r="AE450" s="1783"/>
      <c r="AF450" s="1783"/>
      <c r="AG450" s="1783"/>
      <c r="AH450" s="1783"/>
      <c r="AI450" s="1783"/>
      <c r="AJ450" s="1783"/>
      <c r="AK450" s="1783"/>
      <c r="AL450" s="1783"/>
      <c r="AM450" s="1783"/>
      <c r="AN450" s="1783"/>
      <c r="AO450" s="1783"/>
      <c r="AP450" s="1783"/>
      <c r="AQ450" s="1783"/>
      <c r="AR450" s="1783"/>
      <c r="AS450" s="1783"/>
      <c r="AT450" s="1783"/>
      <c r="AU450" s="1783"/>
      <c r="AV450" s="1783"/>
      <c r="AW450" s="1783"/>
      <c r="AX450" s="1783"/>
      <c r="AY450" s="1783"/>
      <c r="AZ450" s="1783"/>
      <c r="BA450" s="1783"/>
      <c r="BB450" s="1783"/>
      <c r="BC450" s="1783"/>
      <c r="BD450" s="1783"/>
      <c r="BE450" s="1783"/>
      <c r="BF450" s="1783"/>
      <c r="BG450" s="1783"/>
      <c r="BH450" s="1783"/>
      <c r="BI450" s="1783"/>
    </row>
    <row r="451" spans="1:61">
      <c r="A451" s="1819"/>
      <c r="B451" s="1818"/>
      <c r="C451" s="1818"/>
      <c r="D451" s="1818"/>
      <c r="E451" s="1818"/>
      <c r="F451" s="1818"/>
      <c r="G451" s="1818"/>
      <c r="H451" s="1783"/>
      <c r="I451" s="1783"/>
      <c r="J451" s="1783"/>
      <c r="K451" s="1783"/>
      <c r="L451" s="1783"/>
      <c r="M451" s="1783"/>
      <c r="N451" s="1783"/>
      <c r="O451" s="1783"/>
      <c r="P451" s="1783"/>
      <c r="Q451" s="1783"/>
      <c r="R451" s="1783"/>
      <c r="S451" s="1783"/>
      <c r="T451" s="1783"/>
      <c r="U451" s="1783"/>
      <c r="V451" s="1783"/>
      <c r="W451" s="1783"/>
      <c r="X451" s="1783"/>
      <c r="Y451" s="1783"/>
      <c r="Z451" s="1783"/>
      <c r="AA451" s="1783"/>
      <c r="AB451" s="1783"/>
      <c r="AC451" s="1783"/>
      <c r="AD451" s="1783"/>
      <c r="AE451" s="1783"/>
      <c r="AF451" s="1783"/>
      <c r="AG451" s="1783"/>
      <c r="AH451" s="1783"/>
      <c r="AI451" s="1783"/>
      <c r="AJ451" s="1783"/>
      <c r="AK451" s="1783"/>
      <c r="AL451" s="1783"/>
      <c r="AM451" s="1783"/>
      <c r="AN451" s="1783"/>
      <c r="AO451" s="1783"/>
      <c r="AP451" s="1783"/>
      <c r="AQ451" s="1783"/>
      <c r="AR451" s="1783"/>
      <c r="AS451" s="1783"/>
      <c r="AT451" s="1783"/>
      <c r="AU451" s="1783"/>
      <c r="AV451" s="1783"/>
      <c r="AW451" s="1783"/>
      <c r="AX451" s="1783"/>
      <c r="AY451" s="1783"/>
      <c r="AZ451" s="1783"/>
      <c r="BA451" s="1783"/>
      <c r="BB451" s="1783"/>
      <c r="BC451" s="1783"/>
      <c r="BD451" s="1783"/>
      <c r="BE451" s="1783"/>
      <c r="BF451" s="1783"/>
      <c r="BG451" s="1783"/>
      <c r="BH451" s="1783"/>
      <c r="BI451" s="1783"/>
    </row>
    <row r="452" spans="1:61">
      <c r="A452" s="1819"/>
      <c r="B452" s="1818"/>
      <c r="C452" s="1818"/>
      <c r="D452" s="1818"/>
      <c r="E452" s="1818"/>
      <c r="F452" s="1818"/>
      <c r="G452" s="1818"/>
      <c r="H452" s="1783"/>
      <c r="I452" s="1783"/>
      <c r="J452" s="1783"/>
      <c r="K452" s="1783"/>
      <c r="L452" s="1783"/>
      <c r="M452" s="1783"/>
      <c r="N452" s="1783"/>
      <c r="O452" s="1783"/>
      <c r="P452" s="1783"/>
      <c r="Q452" s="1783"/>
      <c r="R452" s="1783"/>
      <c r="S452" s="1783"/>
      <c r="T452" s="1783"/>
      <c r="U452" s="1783"/>
      <c r="V452" s="1783"/>
      <c r="W452" s="1783"/>
      <c r="X452" s="1783"/>
      <c r="Y452" s="1783"/>
      <c r="Z452" s="1783"/>
      <c r="AA452" s="1783"/>
      <c r="AB452" s="1783"/>
      <c r="AC452" s="1783"/>
      <c r="AD452" s="1783"/>
      <c r="AE452" s="1783"/>
      <c r="AF452" s="1783"/>
      <c r="AG452" s="1783"/>
      <c r="AH452" s="1783"/>
      <c r="AI452" s="1783"/>
      <c r="AJ452" s="1783"/>
      <c r="AK452" s="1783"/>
      <c r="AL452" s="1783"/>
      <c r="AM452" s="1783"/>
      <c r="AN452" s="1783"/>
      <c r="AO452" s="1783"/>
      <c r="AP452" s="1783"/>
      <c r="AQ452" s="1783"/>
      <c r="AR452" s="1783"/>
      <c r="AS452" s="1783"/>
      <c r="AT452" s="1783"/>
      <c r="AU452" s="1783"/>
      <c r="AV452" s="1783"/>
      <c r="AW452" s="1783"/>
      <c r="AX452" s="1783"/>
      <c r="AY452" s="1783"/>
      <c r="AZ452" s="1783"/>
      <c r="BA452" s="1783"/>
      <c r="BB452" s="1783"/>
      <c r="BC452" s="1783"/>
      <c r="BD452" s="1783"/>
      <c r="BE452" s="1783"/>
      <c r="BF452" s="1783"/>
      <c r="BG452" s="1783"/>
      <c r="BH452" s="1783"/>
      <c r="BI452" s="1783"/>
    </row>
    <row r="453" spans="1:61">
      <c r="A453" s="1819"/>
      <c r="B453" s="1818"/>
      <c r="C453" s="1818"/>
      <c r="D453" s="1818"/>
      <c r="E453" s="1818"/>
      <c r="F453" s="1818"/>
      <c r="G453" s="1818"/>
      <c r="H453" s="1783"/>
      <c r="I453" s="1783"/>
      <c r="J453" s="1783"/>
      <c r="K453" s="1783"/>
      <c r="L453" s="1783"/>
      <c r="M453" s="1783"/>
      <c r="N453" s="1783"/>
      <c r="O453" s="1783"/>
      <c r="P453" s="1783"/>
      <c r="Q453" s="1783"/>
      <c r="R453" s="1783"/>
      <c r="S453" s="1783"/>
      <c r="T453" s="1783"/>
      <c r="U453" s="1783"/>
      <c r="V453" s="1783"/>
      <c r="W453" s="1783"/>
      <c r="X453" s="1783"/>
      <c r="Y453" s="1783"/>
      <c r="Z453" s="1783"/>
      <c r="AA453" s="1783"/>
      <c r="AB453" s="1783"/>
      <c r="AC453" s="1783"/>
      <c r="AD453" s="1783"/>
      <c r="AE453" s="1783"/>
      <c r="AF453" s="1783"/>
      <c r="AG453" s="1783"/>
      <c r="AH453" s="1783"/>
      <c r="AI453" s="1783"/>
      <c r="AJ453" s="1783"/>
      <c r="AK453" s="1783"/>
      <c r="AL453" s="1783"/>
      <c r="AM453" s="1783"/>
      <c r="AN453" s="1783"/>
      <c r="AO453" s="1783"/>
      <c r="AP453" s="1783"/>
      <c r="AQ453" s="1783"/>
      <c r="AR453" s="1783"/>
      <c r="AS453" s="1783"/>
      <c r="AT453" s="1783"/>
      <c r="AU453" s="1783"/>
      <c r="AV453" s="1783"/>
      <c r="AW453" s="1783"/>
      <c r="AX453" s="1783"/>
      <c r="AY453" s="1783"/>
      <c r="AZ453" s="1783"/>
      <c r="BA453" s="1783"/>
      <c r="BB453" s="1783"/>
      <c r="BC453" s="1783"/>
      <c r="BD453" s="1783"/>
      <c r="BE453" s="1783"/>
      <c r="BF453" s="1783"/>
      <c r="BG453" s="1783"/>
      <c r="BH453" s="1783"/>
      <c r="BI453" s="1783"/>
    </row>
    <row r="454" spans="1:61">
      <c r="A454" s="1819"/>
      <c r="B454" s="1818"/>
      <c r="C454" s="1818"/>
      <c r="D454" s="1818"/>
      <c r="E454" s="1818"/>
      <c r="F454" s="1818"/>
      <c r="G454" s="1818"/>
      <c r="H454" s="1783"/>
      <c r="I454" s="1783"/>
      <c r="J454" s="1783"/>
      <c r="K454" s="1783"/>
      <c r="L454" s="1783"/>
      <c r="M454" s="1783"/>
      <c r="N454" s="1783"/>
      <c r="O454" s="1783"/>
      <c r="P454" s="1783"/>
      <c r="Q454" s="1783"/>
      <c r="R454" s="1783"/>
      <c r="S454" s="1783"/>
      <c r="T454" s="1783"/>
      <c r="U454" s="1783"/>
      <c r="V454" s="1783"/>
      <c r="W454" s="1783"/>
      <c r="X454" s="1783"/>
      <c r="Y454" s="1783"/>
      <c r="Z454" s="1783"/>
      <c r="AA454" s="1783"/>
      <c r="AB454" s="1783"/>
      <c r="AC454" s="1783"/>
      <c r="AD454" s="1783"/>
      <c r="AE454" s="1783"/>
      <c r="AF454" s="1783"/>
      <c r="AG454" s="1783"/>
      <c r="AH454" s="1783"/>
      <c r="AI454" s="1783"/>
      <c r="AJ454" s="1783"/>
      <c r="AK454" s="1783"/>
      <c r="AL454" s="1783"/>
      <c r="AM454" s="1783"/>
      <c r="AN454" s="1783"/>
      <c r="AO454" s="1783"/>
      <c r="AP454" s="1783"/>
      <c r="AQ454" s="1783"/>
      <c r="AR454" s="1783"/>
      <c r="AS454" s="1783"/>
      <c r="AT454" s="1783"/>
      <c r="AU454" s="1783"/>
      <c r="AV454" s="1783"/>
      <c r="AW454" s="1783"/>
      <c r="AX454" s="1783"/>
      <c r="AY454" s="1783"/>
      <c r="AZ454" s="1783"/>
      <c r="BA454" s="1783"/>
      <c r="BB454" s="1783"/>
      <c r="BC454" s="1783"/>
      <c r="BD454" s="1783"/>
      <c r="BE454" s="1783"/>
      <c r="BF454" s="1783"/>
      <c r="BG454" s="1783"/>
      <c r="BH454" s="1783"/>
      <c r="BI454" s="1783"/>
    </row>
    <row r="455" spans="1:61">
      <c r="A455" s="1819"/>
      <c r="B455" s="1818"/>
      <c r="C455" s="1818"/>
      <c r="D455" s="1818"/>
      <c r="E455" s="1818"/>
      <c r="F455" s="1818"/>
      <c r="G455" s="1818"/>
      <c r="H455" s="1783"/>
      <c r="I455" s="1783"/>
      <c r="J455" s="1783"/>
      <c r="K455" s="1783"/>
      <c r="L455" s="1783"/>
      <c r="M455" s="1783"/>
      <c r="N455" s="1783"/>
      <c r="O455" s="1783"/>
      <c r="P455" s="1783"/>
      <c r="Q455" s="1783"/>
      <c r="R455" s="1783"/>
      <c r="S455" s="1783"/>
      <c r="T455" s="1783"/>
      <c r="U455" s="1783"/>
      <c r="V455" s="1783"/>
      <c r="W455" s="1783"/>
      <c r="X455" s="1783"/>
      <c r="Y455" s="1783"/>
      <c r="Z455" s="1783"/>
      <c r="AA455" s="1783"/>
      <c r="AB455" s="1783"/>
      <c r="AC455" s="1783"/>
      <c r="AD455" s="1783"/>
      <c r="AE455" s="1783"/>
      <c r="AF455" s="1783"/>
      <c r="AG455" s="1783"/>
      <c r="AH455" s="1783"/>
      <c r="AI455" s="1783"/>
      <c r="AJ455" s="1783"/>
      <c r="AK455" s="1783"/>
      <c r="AL455" s="1783"/>
      <c r="AM455" s="1783"/>
      <c r="AN455" s="1783"/>
      <c r="AO455" s="1783"/>
      <c r="AP455" s="1783"/>
      <c r="AQ455" s="1783"/>
      <c r="AR455" s="1783"/>
      <c r="AS455" s="1783"/>
      <c r="AT455" s="1783"/>
      <c r="AU455" s="1783"/>
      <c r="AV455" s="1783"/>
      <c r="AW455" s="1783"/>
      <c r="AX455" s="1783"/>
      <c r="AY455" s="1783"/>
      <c r="AZ455" s="1783"/>
      <c r="BA455" s="1783"/>
      <c r="BB455" s="1783"/>
      <c r="BC455" s="1783"/>
      <c r="BD455" s="1783"/>
      <c r="BE455" s="1783"/>
      <c r="BF455" s="1783"/>
      <c r="BG455" s="1783"/>
      <c r="BH455" s="1783"/>
      <c r="BI455" s="1783"/>
    </row>
    <row r="456" spans="1:61">
      <c r="A456" s="1819"/>
      <c r="B456" s="1818"/>
      <c r="C456" s="1818"/>
      <c r="D456" s="1818"/>
      <c r="E456" s="1818"/>
      <c r="F456" s="1818"/>
      <c r="G456" s="1818"/>
      <c r="H456" s="1783"/>
      <c r="I456" s="1783"/>
      <c r="J456" s="1783"/>
      <c r="K456" s="1783"/>
      <c r="L456" s="1783"/>
      <c r="M456" s="1783"/>
      <c r="N456" s="1783"/>
      <c r="O456" s="1783"/>
      <c r="P456" s="1783"/>
      <c r="Q456" s="1783"/>
      <c r="R456" s="1783"/>
      <c r="S456" s="1783"/>
      <c r="T456" s="1783"/>
      <c r="U456" s="1783"/>
      <c r="V456" s="1783"/>
      <c r="W456" s="1783"/>
      <c r="X456" s="1783"/>
      <c r="Y456" s="1783"/>
      <c r="Z456" s="1783"/>
      <c r="AA456" s="1783"/>
      <c r="AB456" s="1783"/>
      <c r="AC456" s="1783"/>
      <c r="AD456" s="1783"/>
      <c r="AE456" s="1783"/>
      <c r="AF456" s="1783"/>
      <c r="AG456" s="1783"/>
      <c r="AH456" s="1783"/>
      <c r="AI456" s="1783"/>
      <c r="AJ456" s="1783"/>
      <c r="AK456" s="1783"/>
      <c r="AL456" s="1783"/>
      <c r="AM456" s="1783"/>
      <c r="AN456" s="1783"/>
      <c r="AO456" s="1783"/>
      <c r="AP456" s="1783"/>
      <c r="AQ456" s="1783"/>
      <c r="AR456" s="1783"/>
      <c r="AS456" s="1783"/>
      <c r="AT456" s="1783"/>
      <c r="AU456" s="1783"/>
      <c r="AV456" s="1783"/>
      <c r="AW456" s="1783"/>
      <c r="AX456" s="1783"/>
      <c r="AY456" s="1783"/>
      <c r="AZ456" s="1783"/>
      <c r="BA456" s="1783"/>
      <c r="BB456" s="1783"/>
      <c r="BC456" s="1783"/>
      <c r="BD456" s="1783"/>
      <c r="BE456" s="1783"/>
      <c r="BF456" s="1783"/>
      <c r="BG456" s="1783"/>
      <c r="BH456" s="1783"/>
      <c r="BI456" s="1783"/>
    </row>
    <row r="457" spans="1:61">
      <c r="A457" s="1819"/>
      <c r="B457" s="1818"/>
      <c r="C457" s="1818"/>
      <c r="D457" s="1818"/>
      <c r="E457" s="1818"/>
      <c r="F457" s="1818"/>
      <c r="G457" s="1818"/>
      <c r="H457" s="1783"/>
      <c r="I457" s="1783"/>
      <c r="J457" s="1783"/>
      <c r="K457" s="1783"/>
      <c r="L457" s="1783"/>
      <c r="M457" s="1783"/>
      <c r="N457" s="1783"/>
      <c r="O457" s="1783"/>
      <c r="P457" s="1783"/>
      <c r="Q457" s="1783"/>
      <c r="R457" s="1783"/>
      <c r="S457" s="1783"/>
      <c r="T457" s="1783"/>
      <c r="U457" s="1783"/>
      <c r="V457" s="1783"/>
      <c r="W457" s="1783"/>
      <c r="X457" s="1783"/>
      <c r="Y457" s="1783"/>
      <c r="Z457" s="1783"/>
      <c r="AA457" s="1783"/>
      <c r="AB457" s="1783"/>
      <c r="AC457" s="1783"/>
      <c r="AD457" s="1783"/>
      <c r="AE457" s="1783"/>
      <c r="AF457" s="1783"/>
      <c r="AG457" s="1783"/>
      <c r="AH457" s="1783"/>
      <c r="AI457" s="1783"/>
      <c r="AJ457" s="1783"/>
      <c r="AK457" s="1783"/>
      <c r="AL457" s="1783"/>
      <c r="AM457" s="1783"/>
      <c r="AN457" s="1783"/>
      <c r="AO457" s="1783"/>
      <c r="AP457" s="1783"/>
      <c r="AQ457" s="1783"/>
      <c r="AR457" s="1783"/>
      <c r="AS457" s="1783"/>
      <c r="AT457" s="1783"/>
      <c r="AU457" s="1783"/>
      <c r="AV457" s="1783"/>
      <c r="AW457" s="1783"/>
      <c r="AX457" s="1783"/>
      <c r="AY457" s="1783"/>
      <c r="AZ457" s="1783"/>
      <c r="BA457" s="1783"/>
      <c r="BB457" s="1783"/>
      <c r="BC457" s="1783"/>
      <c r="BD457" s="1783"/>
      <c r="BE457" s="1783"/>
      <c r="BF457" s="1783"/>
      <c r="BG457" s="1783"/>
      <c r="BH457" s="1783"/>
      <c r="BI457" s="1783"/>
    </row>
    <row r="458" spans="1:61">
      <c r="A458" s="1819"/>
      <c r="B458" s="1818"/>
      <c r="C458" s="1818"/>
      <c r="D458" s="1818"/>
      <c r="E458" s="1818"/>
      <c r="F458" s="1818"/>
      <c r="G458" s="1818"/>
      <c r="H458" s="1783"/>
      <c r="I458" s="1783"/>
      <c r="J458" s="1783"/>
      <c r="K458" s="1783"/>
      <c r="L458" s="1783"/>
      <c r="M458" s="1783"/>
      <c r="N458" s="1783"/>
      <c r="O458" s="1783"/>
      <c r="P458" s="1783"/>
      <c r="Q458" s="1783"/>
      <c r="R458" s="1783"/>
      <c r="S458" s="1783"/>
      <c r="T458" s="1783"/>
      <c r="U458" s="1783"/>
      <c r="V458" s="1783"/>
      <c r="W458" s="1783"/>
      <c r="X458" s="1783"/>
      <c r="Y458" s="1783"/>
      <c r="Z458" s="1783"/>
      <c r="AA458" s="1783"/>
      <c r="AB458" s="1783"/>
      <c r="AC458" s="1783"/>
      <c r="AD458" s="1783"/>
      <c r="AE458" s="1783"/>
      <c r="AF458" s="1783"/>
      <c r="AG458" s="1783"/>
      <c r="AH458" s="1783"/>
      <c r="AI458" s="1783"/>
      <c r="AJ458" s="1783"/>
      <c r="AK458" s="1783"/>
      <c r="AL458" s="1783"/>
      <c r="AM458" s="1783"/>
      <c r="AN458" s="1783"/>
      <c r="AO458" s="1783"/>
      <c r="AP458" s="1783"/>
      <c r="AQ458" s="1783"/>
      <c r="AR458" s="1783"/>
      <c r="AS458" s="1783"/>
      <c r="AT458" s="1783"/>
      <c r="AU458" s="1783"/>
      <c r="AV458" s="1783"/>
      <c r="AW458" s="1783"/>
      <c r="AX458" s="1783"/>
      <c r="AY458" s="1783"/>
      <c r="AZ458" s="1783"/>
      <c r="BA458" s="1783"/>
      <c r="BB458" s="1783"/>
      <c r="BC458" s="1783"/>
      <c r="BD458" s="1783"/>
      <c r="BE458" s="1783"/>
      <c r="BF458" s="1783"/>
      <c r="BG458" s="1783"/>
      <c r="BH458" s="1783"/>
      <c r="BI458" s="1783"/>
    </row>
    <row r="459" spans="1:61">
      <c r="A459" s="1819"/>
      <c r="B459" s="1818"/>
      <c r="C459" s="1818"/>
      <c r="D459" s="1818"/>
      <c r="E459" s="1818"/>
      <c r="F459" s="1818"/>
      <c r="G459" s="1818"/>
      <c r="H459" s="1783"/>
      <c r="I459" s="1783"/>
      <c r="J459" s="1783"/>
      <c r="K459" s="1783"/>
      <c r="L459" s="1783"/>
      <c r="M459" s="1783"/>
      <c r="N459" s="1783"/>
      <c r="O459" s="1783"/>
      <c r="P459" s="1783"/>
      <c r="Q459" s="1783"/>
      <c r="R459" s="1783"/>
      <c r="S459" s="1783"/>
      <c r="T459" s="1783"/>
      <c r="U459" s="1783"/>
      <c r="V459" s="1783"/>
      <c r="W459" s="1783"/>
      <c r="X459" s="1783"/>
      <c r="Y459" s="1783"/>
      <c r="Z459" s="1783"/>
      <c r="AA459" s="1783"/>
      <c r="AB459" s="1783"/>
      <c r="AC459" s="1783"/>
      <c r="AD459" s="1783"/>
      <c r="AE459" s="1783"/>
      <c r="AF459" s="1783"/>
      <c r="AG459" s="1783"/>
      <c r="AH459" s="1783"/>
      <c r="AI459" s="1783"/>
      <c r="AJ459" s="1783"/>
      <c r="AK459" s="1783"/>
      <c r="AL459" s="1783"/>
      <c r="AM459" s="1783"/>
      <c r="AN459" s="1783"/>
      <c r="AO459" s="1783"/>
      <c r="AP459" s="1783"/>
      <c r="AQ459" s="1783"/>
      <c r="AR459" s="1783"/>
      <c r="AS459" s="1783"/>
      <c r="AT459" s="1783"/>
      <c r="AU459" s="1783"/>
      <c r="AV459" s="1783"/>
      <c r="AW459" s="1783"/>
      <c r="AX459" s="1783"/>
      <c r="AY459" s="1783"/>
      <c r="AZ459" s="1783"/>
      <c r="BA459" s="1783"/>
      <c r="BB459" s="1783"/>
      <c r="BC459" s="1783"/>
      <c r="BD459" s="1783"/>
      <c r="BE459" s="1783"/>
      <c r="BF459" s="1783"/>
      <c r="BG459" s="1783"/>
      <c r="BH459" s="1783"/>
      <c r="BI459" s="1783"/>
    </row>
    <row r="460" spans="1:61">
      <c r="A460" s="1819"/>
      <c r="B460" s="1818"/>
      <c r="C460" s="1818"/>
      <c r="D460" s="1818"/>
      <c r="E460" s="1818"/>
      <c r="F460" s="1818"/>
      <c r="G460" s="1818"/>
      <c r="H460" s="1783"/>
      <c r="I460" s="1783"/>
      <c r="J460" s="1783"/>
      <c r="K460" s="1783"/>
      <c r="L460" s="1783"/>
      <c r="M460" s="1783"/>
      <c r="N460" s="1783"/>
      <c r="O460" s="1783"/>
      <c r="P460" s="1783"/>
      <c r="Q460" s="1783"/>
      <c r="R460" s="1783"/>
      <c r="S460" s="1783"/>
      <c r="T460" s="1783"/>
      <c r="U460" s="1783"/>
      <c r="V460" s="1783"/>
      <c r="W460" s="1783"/>
      <c r="X460" s="1783"/>
      <c r="Y460" s="1783"/>
      <c r="Z460" s="1783"/>
      <c r="AA460" s="1783"/>
      <c r="AB460" s="1783"/>
      <c r="AC460" s="1783"/>
      <c r="AD460" s="1783"/>
      <c r="AE460" s="1783"/>
      <c r="AF460" s="1783"/>
      <c r="AG460" s="1783"/>
      <c r="AH460" s="1783"/>
      <c r="AI460" s="1783"/>
      <c r="AJ460" s="1783"/>
      <c r="AK460" s="1783"/>
      <c r="AL460" s="1783"/>
      <c r="AM460" s="1783"/>
      <c r="AN460" s="1783"/>
      <c r="AO460" s="1783"/>
      <c r="AP460" s="1783"/>
      <c r="AQ460" s="1783"/>
      <c r="AR460" s="1783"/>
      <c r="AS460" s="1783"/>
      <c r="AT460" s="1783"/>
      <c r="AU460" s="1783"/>
      <c r="AV460" s="1783"/>
      <c r="AW460" s="1783"/>
      <c r="AX460" s="1783"/>
      <c r="AY460" s="1783"/>
      <c r="AZ460" s="1783"/>
      <c r="BA460" s="1783"/>
      <c r="BB460" s="1783"/>
      <c r="BC460" s="1783"/>
      <c r="BD460" s="1783"/>
      <c r="BE460" s="1783"/>
      <c r="BF460" s="1783"/>
      <c r="BG460" s="1783"/>
      <c r="BH460" s="1783"/>
      <c r="BI460" s="1783"/>
    </row>
    <row r="461" spans="1:61">
      <c r="A461" s="1819"/>
      <c r="B461" s="1818"/>
      <c r="C461" s="1818"/>
      <c r="D461" s="1818"/>
      <c r="E461" s="1818"/>
      <c r="F461" s="1818"/>
      <c r="G461" s="1818"/>
      <c r="H461" s="1783"/>
      <c r="I461" s="1783"/>
      <c r="J461" s="1783"/>
      <c r="K461" s="1783"/>
      <c r="L461" s="1783"/>
      <c r="M461" s="1783"/>
      <c r="N461" s="1783"/>
      <c r="O461" s="1783"/>
      <c r="P461" s="1783"/>
      <c r="Q461" s="1783"/>
      <c r="R461" s="1783"/>
      <c r="S461" s="1783"/>
      <c r="T461" s="1783"/>
      <c r="U461" s="1783"/>
      <c r="V461" s="1783"/>
      <c r="W461" s="1783"/>
      <c r="X461" s="1783"/>
      <c r="Y461" s="1783"/>
      <c r="Z461" s="1783"/>
      <c r="AA461" s="1783"/>
      <c r="AB461" s="1783"/>
      <c r="AC461" s="1783"/>
      <c r="AD461" s="1783"/>
      <c r="AE461" s="1783"/>
      <c r="AF461" s="1783"/>
      <c r="AG461" s="1783"/>
      <c r="AH461" s="1783"/>
      <c r="AI461" s="1783"/>
      <c r="AJ461" s="1783"/>
      <c r="AK461" s="1783"/>
      <c r="AL461" s="1783"/>
      <c r="AM461" s="1783"/>
      <c r="AN461" s="1783"/>
      <c r="AO461" s="1783"/>
      <c r="AP461" s="1783"/>
      <c r="AQ461" s="1783"/>
      <c r="AR461" s="1783"/>
      <c r="AS461" s="1783"/>
      <c r="AT461" s="1783"/>
      <c r="AU461" s="1783"/>
      <c r="AV461" s="1783"/>
      <c r="AW461" s="1783"/>
      <c r="AX461" s="1783"/>
      <c r="AY461" s="1783"/>
      <c r="AZ461" s="1783"/>
      <c r="BA461" s="1783"/>
      <c r="BB461" s="1783"/>
      <c r="BC461" s="1783"/>
      <c r="BD461" s="1783"/>
      <c r="BE461" s="1783"/>
      <c r="BF461" s="1783"/>
      <c r="BG461" s="1783"/>
      <c r="BH461" s="1783"/>
      <c r="BI461" s="1783"/>
    </row>
    <row r="462" spans="1:61">
      <c r="A462" s="1819"/>
      <c r="B462" s="1818"/>
      <c r="C462" s="1818"/>
      <c r="D462" s="1818"/>
      <c r="E462" s="1818"/>
      <c r="F462" s="1818"/>
      <c r="G462" s="1818"/>
      <c r="H462" s="1783"/>
      <c r="I462" s="1783"/>
      <c r="J462" s="1783"/>
      <c r="K462" s="1783"/>
      <c r="L462" s="1783"/>
      <c r="M462" s="1783"/>
      <c r="N462" s="1783"/>
      <c r="O462" s="1783"/>
      <c r="P462" s="1783"/>
      <c r="Q462" s="1783"/>
      <c r="R462" s="1783"/>
      <c r="S462" s="1783"/>
      <c r="T462" s="1783"/>
      <c r="U462" s="1783"/>
      <c r="V462" s="1783"/>
      <c r="W462" s="1783"/>
      <c r="X462" s="1783"/>
      <c r="Y462" s="1783"/>
      <c r="Z462" s="1783"/>
      <c r="AA462" s="1783"/>
      <c r="AB462" s="1783"/>
      <c r="AC462" s="1783"/>
      <c r="AD462" s="1783"/>
      <c r="AE462" s="1783"/>
      <c r="AF462" s="1783"/>
      <c r="AG462" s="1783"/>
      <c r="AH462" s="1783"/>
      <c r="AI462" s="1783"/>
      <c r="AJ462" s="1783"/>
      <c r="AK462" s="1783"/>
      <c r="AL462" s="1783"/>
      <c r="AM462" s="1783"/>
      <c r="AN462" s="1783"/>
      <c r="AO462" s="1783"/>
      <c r="AP462" s="1783"/>
      <c r="AQ462" s="1783"/>
      <c r="AR462" s="1783"/>
      <c r="AS462" s="1783"/>
      <c r="AT462" s="1783"/>
      <c r="AU462" s="1783"/>
      <c r="AV462" s="1783"/>
      <c r="AW462" s="1783"/>
      <c r="AX462" s="1783"/>
      <c r="AY462" s="1783"/>
      <c r="AZ462" s="1783"/>
      <c r="BA462" s="1783"/>
      <c r="BB462" s="1783"/>
      <c r="BC462" s="1783"/>
      <c r="BD462" s="1783"/>
      <c r="BE462" s="1783"/>
      <c r="BF462" s="1783"/>
      <c r="BG462" s="1783"/>
      <c r="BH462" s="1783"/>
      <c r="BI462" s="1783"/>
    </row>
    <row r="463" spans="1:61">
      <c r="A463" s="1819"/>
      <c r="B463" s="1818"/>
      <c r="C463" s="1818"/>
      <c r="D463" s="1818"/>
      <c r="E463" s="1818"/>
      <c r="F463" s="1818"/>
      <c r="G463" s="1818"/>
      <c r="H463" s="1783"/>
      <c r="I463" s="1783"/>
      <c r="J463" s="1783"/>
      <c r="K463" s="1783"/>
      <c r="L463" s="1783"/>
      <c r="M463" s="1783"/>
      <c r="N463" s="1783"/>
      <c r="O463" s="1783"/>
      <c r="P463" s="1783"/>
      <c r="Q463" s="1783"/>
      <c r="R463" s="1783"/>
      <c r="S463" s="1783"/>
      <c r="T463" s="1783"/>
      <c r="U463" s="1783"/>
      <c r="V463" s="1783"/>
      <c r="W463" s="1783"/>
      <c r="X463" s="1783"/>
      <c r="Y463" s="1783"/>
      <c r="Z463" s="1783"/>
      <c r="AA463" s="1783"/>
      <c r="AB463" s="1783"/>
      <c r="AC463" s="1783"/>
      <c r="AD463" s="1783"/>
      <c r="AE463" s="1783"/>
      <c r="AF463" s="1783"/>
      <c r="AG463" s="1783"/>
      <c r="AH463" s="1783"/>
      <c r="AI463" s="1783"/>
      <c r="AJ463" s="1783"/>
      <c r="AK463" s="1783"/>
      <c r="AL463" s="1783"/>
      <c r="AM463" s="1783"/>
      <c r="AN463" s="1783"/>
      <c r="AO463" s="1783"/>
      <c r="AP463" s="1783"/>
      <c r="AQ463" s="1783"/>
      <c r="AR463" s="1783"/>
      <c r="AS463" s="1783"/>
      <c r="AT463" s="1783"/>
      <c r="AU463" s="1783"/>
      <c r="AV463" s="1783"/>
      <c r="AW463" s="1783"/>
      <c r="AX463" s="1783"/>
      <c r="AY463" s="1783"/>
      <c r="AZ463" s="1783"/>
      <c r="BA463" s="1783"/>
      <c r="BB463" s="1783"/>
      <c r="BC463" s="1783"/>
      <c r="BD463" s="1783"/>
      <c r="BE463" s="1783"/>
      <c r="BF463" s="1783"/>
      <c r="BG463" s="1783"/>
      <c r="BH463" s="1783"/>
      <c r="BI463" s="1783"/>
    </row>
    <row r="464" spans="1:61">
      <c r="A464" s="1819"/>
      <c r="B464" s="1818"/>
      <c r="C464" s="1818"/>
      <c r="D464" s="1818"/>
      <c r="E464" s="1818"/>
      <c r="F464" s="1818"/>
      <c r="G464" s="1818"/>
      <c r="H464" s="1783"/>
      <c r="I464" s="1783"/>
      <c r="J464" s="1783"/>
      <c r="K464" s="1783"/>
      <c r="L464" s="1783"/>
      <c r="M464" s="1783"/>
      <c r="N464" s="1783"/>
      <c r="O464" s="1783"/>
      <c r="P464" s="1783"/>
      <c r="Q464" s="1783"/>
      <c r="R464" s="1783"/>
      <c r="S464" s="1783"/>
      <c r="T464" s="1783"/>
      <c r="U464" s="1783"/>
      <c r="V464" s="1783"/>
      <c r="W464" s="1783"/>
      <c r="X464" s="1783"/>
      <c r="Y464" s="1783"/>
      <c r="Z464" s="1783"/>
      <c r="AA464" s="1783"/>
      <c r="AB464" s="1783"/>
      <c r="AC464" s="1783"/>
      <c r="AD464" s="1783"/>
      <c r="AE464" s="1783"/>
      <c r="AF464" s="1783"/>
      <c r="AG464" s="1783"/>
      <c r="AH464" s="1783"/>
      <c r="AI464" s="1783"/>
      <c r="AJ464" s="1783"/>
      <c r="AK464" s="1783"/>
      <c r="AL464" s="1783"/>
      <c r="AM464" s="1783"/>
      <c r="AN464" s="1783"/>
      <c r="AO464" s="1783"/>
      <c r="AP464" s="1783"/>
      <c r="AQ464" s="1783"/>
      <c r="AR464" s="1783"/>
      <c r="AS464" s="1783"/>
      <c r="AT464" s="1783"/>
      <c r="AU464" s="1783"/>
      <c r="AV464" s="1783"/>
      <c r="AW464" s="1783"/>
      <c r="AX464" s="1783"/>
      <c r="AY464" s="1783"/>
      <c r="AZ464" s="1783"/>
      <c r="BA464" s="1783"/>
      <c r="BB464" s="1783"/>
      <c r="BC464" s="1783"/>
      <c r="BD464" s="1783"/>
      <c r="BE464" s="1783"/>
      <c r="BF464" s="1783"/>
      <c r="BG464" s="1783"/>
      <c r="BH464" s="1783"/>
      <c r="BI464" s="1783"/>
    </row>
    <row r="465" spans="1:61">
      <c r="A465" s="1819"/>
      <c r="B465" s="1818"/>
      <c r="C465" s="1818"/>
      <c r="D465" s="1818"/>
      <c r="E465" s="1818"/>
      <c r="F465" s="1818"/>
      <c r="G465" s="1818"/>
      <c r="H465" s="1783"/>
      <c r="I465" s="1783"/>
      <c r="J465" s="1783"/>
      <c r="K465" s="1783"/>
      <c r="L465" s="1783"/>
      <c r="M465" s="1783"/>
      <c r="N465" s="1783"/>
      <c r="O465" s="1783"/>
      <c r="P465" s="1783"/>
      <c r="Q465" s="1783"/>
      <c r="R465" s="1783"/>
      <c r="S465" s="1783"/>
      <c r="T465" s="1783"/>
      <c r="U465" s="1783"/>
      <c r="V465" s="1783"/>
      <c r="W465" s="1783"/>
      <c r="X465" s="1783"/>
      <c r="Y465" s="1783"/>
      <c r="Z465" s="1783"/>
      <c r="AA465" s="1783"/>
      <c r="AB465" s="1783"/>
      <c r="AC465" s="1783"/>
      <c r="AD465" s="1783"/>
      <c r="AE465" s="1783"/>
      <c r="AF465" s="1783"/>
      <c r="AG465" s="1783"/>
      <c r="AH465" s="1783"/>
      <c r="AI465" s="1783"/>
      <c r="AJ465" s="1783"/>
      <c r="AK465" s="1783"/>
      <c r="AL465" s="1783"/>
      <c r="AM465" s="1783"/>
      <c r="AN465" s="1783"/>
      <c r="AO465" s="1783"/>
      <c r="AP465" s="1783"/>
      <c r="AQ465" s="1783"/>
      <c r="AR465" s="1783"/>
      <c r="AS465" s="1783"/>
      <c r="AT465" s="1783"/>
      <c r="AU465" s="1783"/>
      <c r="AV465" s="1783"/>
      <c r="AW465" s="1783"/>
      <c r="AX465" s="1783"/>
      <c r="AY465" s="1783"/>
      <c r="AZ465" s="1783"/>
      <c r="BA465" s="1783"/>
      <c r="BB465" s="1783"/>
      <c r="BC465" s="1783"/>
      <c r="BD465" s="1783"/>
      <c r="BE465" s="1783"/>
      <c r="BF465" s="1783"/>
      <c r="BG465" s="1783"/>
      <c r="BH465" s="1783"/>
      <c r="BI465" s="1783"/>
    </row>
    <row r="466" spans="1:61">
      <c r="A466" s="1819"/>
      <c r="B466" s="1818"/>
      <c r="C466" s="1818"/>
      <c r="D466" s="1818"/>
      <c r="E466" s="1818"/>
      <c r="F466" s="1818"/>
      <c r="G466" s="1818"/>
      <c r="H466" s="1783"/>
      <c r="I466" s="1783"/>
      <c r="J466" s="1783"/>
      <c r="K466" s="1783"/>
      <c r="L466" s="1783"/>
      <c r="M466" s="1783"/>
      <c r="N466" s="1783"/>
      <c r="O466" s="1783"/>
      <c r="P466" s="1783"/>
      <c r="Q466" s="1783"/>
      <c r="R466" s="1783"/>
      <c r="S466" s="1783"/>
      <c r="T466" s="1783"/>
      <c r="U466" s="1783"/>
      <c r="V466" s="1783"/>
      <c r="W466" s="1783"/>
      <c r="X466" s="1783"/>
      <c r="Y466" s="1783"/>
      <c r="Z466" s="1783"/>
      <c r="AA466" s="1783"/>
      <c r="AB466" s="1783"/>
      <c r="AC466" s="1783"/>
      <c r="AD466" s="1783"/>
      <c r="AE466" s="1783"/>
      <c r="AF466" s="1783"/>
      <c r="AG466" s="1783"/>
      <c r="AH466" s="1783"/>
      <c r="AI466" s="1783"/>
      <c r="AJ466" s="1783"/>
      <c r="AK466" s="1783"/>
      <c r="AL466" s="1783"/>
      <c r="AM466" s="1783"/>
      <c r="AN466" s="1783"/>
      <c r="AO466" s="1783"/>
      <c r="AP466" s="1783"/>
      <c r="AQ466" s="1783"/>
      <c r="AR466" s="1783"/>
      <c r="AS466" s="1783"/>
      <c r="AT466" s="1783"/>
      <c r="AU466" s="1783"/>
      <c r="AV466" s="1783"/>
      <c r="AW466" s="1783"/>
      <c r="AX466" s="1783"/>
      <c r="AY466" s="1783"/>
      <c r="AZ466" s="1783"/>
      <c r="BA466" s="1783"/>
      <c r="BB466" s="1783"/>
      <c r="BC466" s="1783"/>
      <c r="BD466" s="1783"/>
      <c r="BE466" s="1783"/>
      <c r="BF466" s="1783"/>
      <c r="BG466" s="1783"/>
      <c r="BH466" s="1783"/>
      <c r="BI466" s="1783"/>
    </row>
    <row r="467" spans="1:61">
      <c r="A467" s="1819"/>
      <c r="B467" s="1818"/>
      <c r="C467" s="1818"/>
      <c r="D467" s="1818"/>
      <c r="E467" s="1818"/>
      <c r="F467" s="1818"/>
      <c r="G467" s="1818"/>
      <c r="H467" s="1783"/>
      <c r="I467" s="1783"/>
      <c r="J467" s="1783"/>
      <c r="K467" s="1783"/>
      <c r="L467" s="1783"/>
      <c r="M467" s="1783"/>
      <c r="N467" s="1783"/>
      <c r="O467" s="1783"/>
      <c r="P467" s="1783"/>
      <c r="Q467" s="1783"/>
      <c r="R467" s="1783"/>
      <c r="S467" s="1783"/>
      <c r="T467" s="1783"/>
      <c r="U467" s="1783"/>
      <c r="V467" s="1783"/>
      <c r="W467" s="1783"/>
      <c r="X467" s="1783"/>
      <c r="Y467" s="1783"/>
      <c r="Z467" s="1783"/>
      <c r="AA467" s="1783"/>
      <c r="AB467" s="1783"/>
      <c r="AC467" s="1783"/>
      <c r="AD467" s="1783"/>
      <c r="AE467" s="1783"/>
      <c r="AF467" s="1783"/>
      <c r="AG467" s="1783"/>
      <c r="AH467" s="1783"/>
      <c r="AI467" s="1783"/>
      <c r="AJ467" s="1783"/>
      <c r="AK467" s="1783"/>
      <c r="AL467" s="1783"/>
      <c r="AM467" s="1783"/>
      <c r="AN467" s="1783"/>
      <c r="AO467" s="1783"/>
      <c r="AP467" s="1783"/>
      <c r="AQ467" s="1783"/>
      <c r="AR467" s="1783"/>
      <c r="AS467" s="1783"/>
      <c r="AT467" s="1783"/>
      <c r="AU467" s="1783"/>
      <c r="AV467" s="1783"/>
      <c r="AW467" s="1783"/>
      <c r="AX467" s="1783"/>
      <c r="AY467" s="1783"/>
      <c r="AZ467" s="1783"/>
      <c r="BA467" s="1783"/>
      <c r="BB467" s="1783"/>
      <c r="BC467" s="1783"/>
      <c r="BD467" s="1783"/>
      <c r="BE467" s="1783"/>
      <c r="BF467" s="1783"/>
      <c r="BG467" s="1783"/>
      <c r="BH467" s="1783"/>
      <c r="BI467" s="1783"/>
    </row>
    <row r="468" spans="1:61">
      <c r="A468" s="1819"/>
      <c r="B468" s="1818"/>
      <c r="C468" s="1818"/>
      <c r="D468" s="1818"/>
      <c r="E468" s="1818"/>
      <c r="F468" s="1818"/>
      <c r="G468" s="1818"/>
      <c r="H468" s="1783"/>
      <c r="I468" s="1783"/>
      <c r="J468" s="1783"/>
      <c r="K468" s="1783"/>
      <c r="L468" s="1783"/>
      <c r="M468" s="1783"/>
      <c r="N468" s="1783"/>
      <c r="O468" s="1783"/>
      <c r="P468" s="1783"/>
      <c r="Q468" s="1783"/>
      <c r="R468" s="1783"/>
      <c r="S468" s="1783"/>
      <c r="T468" s="1783"/>
      <c r="U468" s="1783"/>
      <c r="V468" s="1783"/>
      <c r="W468" s="1783"/>
      <c r="X468" s="1783"/>
      <c r="Y468" s="1783"/>
      <c r="Z468" s="1783"/>
      <c r="AA468" s="1783"/>
      <c r="AB468" s="1783"/>
      <c r="AC468" s="1783"/>
      <c r="AD468" s="1783"/>
      <c r="AE468" s="1783"/>
      <c r="AF468" s="1783"/>
      <c r="AG468" s="1783"/>
      <c r="AH468" s="1783"/>
      <c r="AI468" s="1783"/>
      <c r="AJ468" s="1783"/>
      <c r="AK468" s="1783"/>
      <c r="AL468" s="1783"/>
      <c r="AM468" s="1783"/>
      <c r="AN468" s="1783"/>
      <c r="AO468" s="1783"/>
      <c r="AP468" s="1783"/>
      <c r="AQ468" s="1783"/>
      <c r="AR468" s="1783"/>
      <c r="AS468" s="1783"/>
      <c r="AT468" s="1783"/>
      <c r="AU468" s="1783"/>
      <c r="AV468" s="1783"/>
      <c r="AW468" s="1783"/>
      <c r="AX468" s="1783"/>
      <c r="AY468" s="1783"/>
      <c r="AZ468" s="1783"/>
      <c r="BA468" s="1783"/>
      <c r="BB468" s="1783"/>
      <c r="BC468" s="1783"/>
      <c r="BD468" s="1783"/>
      <c r="BE468" s="1783"/>
      <c r="BF468" s="1783"/>
      <c r="BG468" s="1783"/>
      <c r="BH468" s="1783"/>
      <c r="BI468" s="1783"/>
    </row>
    <row r="469" spans="1:61">
      <c r="A469" s="1819"/>
      <c r="B469" s="1818"/>
      <c r="C469" s="1818"/>
      <c r="D469" s="1818"/>
      <c r="E469" s="1818"/>
      <c r="F469" s="1818"/>
      <c r="G469" s="1818"/>
      <c r="H469" s="1783"/>
      <c r="I469" s="1783"/>
      <c r="J469" s="1783"/>
      <c r="K469" s="1783"/>
      <c r="L469" s="1783"/>
      <c r="M469" s="1783"/>
      <c r="N469" s="1783"/>
      <c r="O469" s="1783"/>
      <c r="P469" s="1783"/>
      <c r="Q469" s="1783"/>
      <c r="R469" s="1783"/>
      <c r="S469" s="1783"/>
      <c r="T469" s="1783"/>
      <c r="U469" s="1783"/>
      <c r="V469" s="1783"/>
      <c r="W469" s="1783"/>
      <c r="X469" s="1783"/>
      <c r="Y469" s="1783"/>
      <c r="Z469" s="1783"/>
      <c r="AA469" s="1783"/>
      <c r="AB469" s="1783"/>
      <c r="AC469" s="1783"/>
      <c r="AD469" s="1783"/>
      <c r="AE469" s="1783"/>
      <c r="AF469" s="1783"/>
      <c r="AG469" s="1783"/>
      <c r="AH469" s="1783"/>
      <c r="AI469" s="1783"/>
      <c r="AJ469" s="1783"/>
      <c r="AK469" s="1783"/>
      <c r="AL469" s="1783"/>
      <c r="AM469" s="1783"/>
      <c r="AN469" s="1783"/>
      <c r="AO469" s="1783"/>
      <c r="AP469" s="1783"/>
      <c r="AQ469" s="1783"/>
      <c r="AR469" s="1783"/>
      <c r="AS469" s="1783"/>
      <c r="AT469" s="1783"/>
      <c r="AU469" s="1783"/>
      <c r="AV469" s="1783"/>
      <c r="AW469" s="1783"/>
      <c r="AX469" s="1783"/>
      <c r="AY469" s="1783"/>
      <c r="AZ469" s="1783"/>
      <c r="BA469" s="1783"/>
      <c r="BB469" s="1783"/>
      <c r="BC469" s="1783"/>
      <c r="BD469" s="1783"/>
      <c r="BE469" s="1783"/>
      <c r="BF469" s="1783"/>
      <c r="BG469" s="1783"/>
      <c r="BH469" s="1783"/>
      <c r="BI469" s="1783"/>
    </row>
    <row r="470" spans="1:61">
      <c r="A470" s="1819"/>
      <c r="B470" s="1818"/>
      <c r="C470" s="1818"/>
      <c r="D470" s="1818"/>
      <c r="E470" s="1818"/>
      <c r="F470" s="1818"/>
      <c r="G470" s="1818"/>
      <c r="H470" s="1783"/>
      <c r="I470" s="1783"/>
      <c r="J470" s="1783"/>
      <c r="K470" s="1783"/>
      <c r="L470" s="1783"/>
      <c r="M470" s="1783"/>
      <c r="N470" s="1783"/>
      <c r="O470" s="1783"/>
      <c r="P470" s="1783"/>
      <c r="Q470" s="1783"/>
      <c r="R470" s="1783"/>
      <c r="S470" s="1783"/>
      <c r="T470" s="1783"/>
      <c r="U470" s="1783"/>
      <c r="V470" s="1783"/>
      <c r="W470" s="1783"/>
      <c r="X470" s="1783"/>
      <c r="Y470" s="1783"/>
      <c r="Z470" s="1783"/>
      <c r="AA470" s="1783"/>
      <c r="AB470" s="1783"/>
      <c r="AC470" s="1783"/>
      <c r="AD470" s="1783"/>
      <c r="AE470" s="1783"/>
      <c r="AF470" s="1783"/>
      <c r="AG470" s="1783"/>
      <c r="AH470" s="1783"/>
      <c r="AI470" s="1783"/>
      <c r="AJ470" s="1783"/>
      <c r="AK470" s="1783"/>
      <c r="AL470" s="1783"/>
      <c r="AM470" s="1783"/>
      <c r="AN470" s="1783"/>
      <c r="AO470" s="1783"/>
      <c r="AP470" s="1783"/>
      <c r="AQ470" s="1783"/>
      <c r="AR470" s="1783"/>
      <c r="AS470" s="1783"/>
      <c r="AT470" s="1783"/>
      <c r="AU470" s="1783"/>
      <c r="AV470" s="1783"/>
      <c r="AW470" s="1783"/>
      <c r="AX470" s="1783"/>
      <c r="AY470" s="1783"/>
      <c r="AZ470" s="1783"/>
      <c r="BA470" s="1783"/>
      <c r="BB470" s="1783"/>
      <c r="BC470" s="1783"/>
      <c r="BD470" s="1783"/>
      <c r="BE470" s="1783"/>
      <c r="BF470" s="1783"/>
      <c r="BG470" s="1783"/>
      <c r="BH470" s="1783"/>
      <c r="BI470" s="1783"/>
    </row>
    <row r="471" spans="1:61">
      <c r="A471" s="1819"/>
      <c r="B471" s="1818"/>
      <c r="C471" s="1818"/>
      <c r="D471" s="1818"/>
      <c r="E471" s="1818"/>
      <c r="F471" s="1818"/>
      <c r="G471" s="1818"/>
      <c r="H471" s="1783"/>
      <c r="I471" s="1783"/>
      <c r="J471" s="1783"/>
      <c r="K471" s="1783"/>
      <c r="L471" s="1783"/>
      <c r="M471" s="1783"/>
      <c r="N471" s="1783"/>
      <c r="O471" s="1783"/>
      <c r="P471" s="1783"/>
      <c r="Q471" s="1783"/>
      <c r="R471" s="1783"/>
      <c r="S471" s="1783"/>
      <c r="T471" s="1783"/>
      <c r="U471" s="1783"/>
      <c r="V471" s="1783"/>
      <c r="W471" s="1783"/>
      <c r="X471" s="1783"/>
      <c r="Y471" s="1783"/>
      <c r="Z471" s="1783"/>
      <c r="AA471" s="1783"/>
      <c r="AB471" s="1783"/>
      <c r="AC471" s="1783"/>
      <c r="AD471" s="1783"/>
      <c r="AE471" s="1783"/>
      <c r="AF471" s="1783"/>
      <c r="AG471" s="1783"/>
      <c r="AH471" s="1783"/>
      <c r="AI471" s="1783"/>
      <c r="AJ471" s="1783"/>
      <c r="AK471" s="1783"/>
      <c r="AL471" s="1783"/>
      <c r="AM471" s="1783"/>
      <c r="AN471" s="1783"/>
      <c r="AO471" s="1783"/>
      <c r="AP471" s="1783"/>
      <c r="AQ471" s="1783"/>
      <c r="AR471" s="1783"/>
      <c r="AS471" s="1783"/>
      <c r="AT471" s="1783"/>
      <c r="AU471" s="1783"/>
      <c r="AV471" s="1783"/>
      <c r="AW471" s="1783"/>
      <c r="AX471" s="1783"/>
      <c r="AY471" s="1783"/>
      <c r="AZ471" s="1783"/>
      <c r="BA471" s="1783"/>
      <c r="BB471" s="1783"/>
      <c r="BC471" s="1783"/>
      <c r="BD471" s="1783"/>
      <c r="BE471" s="1783"/>
      <c r="BF471" s="1783"/>
      <c r="BG471" s="1783"/>
      <c r="BH471" s="1783"/>
      <c r="BI471" s="1783"/>
    </row>
    <row r="472" spans="1:61">
      <c r="A472" s="1819"/>
      <c r="B472" s="1818"/>
      <c r="C472" s="1818"/>
      <c r="D472" s="1818"/>
      <c r="E472" s="1818"/>
      <c r="F472" s="1818"/>
      <c r="G472" s="1818"/>
      <c r="H472" s="1783"/>
      <c r="I472" s="1783"/>
      <c r="J472" s="1783"/>
      <c r="K472" s="1783"/>
      <c r="L472" s="1783"/>
      <c r="M472" s="1783"/>
      <c r="N472" s="1783"/>
      <c r="O472" s="1783"/>
      <c r="P472" s="1783"/>
      <c r="Q472" s="1783"/>
      <c r="R472" s="1783"/>
      <c r="S472" s="1783"/>
      <c r="T472" s="1783"/>
      <c r="U472" s="1783"/>
      <c r="V472" s="1783"/>
      <c r="W472" s="1783"/>
      <c r="X472" s="1783"/>
      <c r="Y472" s="1783"/>
      <c r="Z472" s="1783"/>
      <c r="AA472" s="1783"/>
      <c r="AB472" s="1783"/>
      <c r="AC472" s="1783"/>
      <c r="AD472" s="1783"/>
      <c r="AE472" s="1783"/>
      <c r="AF472" s="1783"/>
      <c r="AG472" s="1783"/>
      <c r="AH472" s="1783"/>
      <c r="AI472" s="1783"/>
      <c r="AJ472" s="1783"/>
      <c r="AK472" s="1783"/>
      <c r="AL472" s="1783"/>
      <c r="AM472" s="1783"/>
      <c r="AN472" s="1783"/>
      <c r="AO472" s="1783"/>
      <c r="AP472" s="1783"/>
      <c r="AQ472" s="1783"/>
      <c r="AR472" s="1783"/>
      <c r="AS472" s="1783"/>
      <c r="AT472" s="1783"/>
      <c r="AU472" s="1783"/>
      <c r="AV472" s="1783"/>
      <c r="AW472" s="1783"/>
      <c r="AX472" s="1783"/>
      <c r="AY472" s="1783"/>
      <c r="AZ472" s="1783"/>
      <c r="BA472" s="1783"/>
      <c r="BB472" s="1783"/>
      <c r="BC472" s="1783"/>
      <c r="BD472" s="1783"/>
      <c r="BE472" s="1783"/>
      <c r="BF472" s="1783"/>
      <c r="BG472" s="1783"/>
      <c r="BH472" s="1783"/>
      <c r="BI472" s="1783"/>
    </row>
    <row r="473" spans="1:61">
      <c r="A473" s="1819"/>
      <c r="B473" s="1818"/>
      <c r="C473" s="1818"/>
      <c r="D473" s="1818"/>
      <c r="E473" s="1818"/>
      <c r="F473" s="1818"/>
      <c r="G473" s="1818"/>
      <c r="H473" s="1783"/>
      <c r="I473" s="1783"/>
      <c r="J473" s="1783"/>
      <c r="K473" s="1783"/>
      <c r="L473" s="1783"/>
      <c r="M473" s="1783"/>
      <c r="N473" s="1783"/>
      <c r="O473" s="1783"/>
      <c r="P473" s="1783"/>
      <c r="Q473" s="1783"/>
      <c r="R473" s="1783"/>
      <c r="S473" s="1783"/>
      <c r="T473" s="1783"/>
      <c r="U473" s="1783"/>
      <c r="V473" s="1783"/>
      <c r="W473" s="1783"/>
      <c r="X473" s="1783"/>
      <c r="Y473" s="1783"/>
      <c r="Z473" s="1783"/>
      <c r="AA473" s="1783"/>
      <c r="AB473" s="1783"/>
      <c r="AC473" s="1783"/>
      <c r="AD473" s="1783"/>
      <c r="AE473" s="1783"/>
      <c r="AF473" s="1783"/>
      <c r="AG473" s="1783"/>
      <c r="AH473" s="1783"/>
      <c r="AI473" s="1783"/>
      <c r="AJ473" s="1783"/>
      <c r="AK473" s="1783"/>
      <c r="AL473" s="1783"/>
      <c r="AM473" s="1783"/>
      <c r="AN473" s="1783"/>
      <c r="AO473" s="1783"/>
      <c r="AP473" s="1783"/>
      <c r="AQ473" s="1783"/>
      <c r="AR473" s="1783"/>
      <c r="AS473" s="1783"/>
      <c r="AT473" s="1783"/>
      <c r="AU473" s="1783"/>
      <c r="AV473" s="1783"/>
      <c r="AW473" s="1783"/>
      <c r="AX473" s="1783"/>
      <c r="AY473" s="1783"/>
      <c r="AZ473" s="1783"/>
      <c r="BA473" s="1783"/>
      <c r="BB473" s="1783"/>
      <c r="BC473" s="1783"/>
      <c r="BD473" s="1783"/>
      <c r="BE473" s="1783"/>
      <c r="BF473" s="1783"/>
      <c r="BG473" s="1783"/>
      <c r="BH473" s="1783"/>
      <c r="BI473" s="1783"/>
    </row>
    <row r="474" spans="1:61">
      <c r="A474" s="1819"/>
      <c r="B474" s="1818"/>
      <c r="C474" s="1818"/>
      <c r="D474" s="1818"/>
      <c r="E474" s="1818"/>
      <c r="F474" s="1818"/>
      <c r="G474" s="1818"/>
      <c r="H474" s="1783"/>
      <c r="I474" s="1783"/>
      <c r="J474" s="1783"/>
      <c r="K474" s="1783"/>
      <c r="L474" s="1783"/>
      <c r="M474" s="1783"/>
      <c r="N474" s="1783"/>
      <c r="O474" s="1783"/>
      <c r="P474" s="1783"/>
      <c r="Q474" s="1783"/>
      <c r="R474" s="1783"/>
      <c r="S474" s="1783"/>
      <c r="T474" s="1783"/>
      <c r="U474" s="1783"/>
      <c r="V474" s="1783"/>
      <c r="W474" s="1783"/>
      <c r="X474" s="1783"/>
      <c r="Y474" s="1783"/>
      <c r="Z474" s="1783"/>
      <c r="AA474" s="1783"/>
      <c r="AB474" s="1783"/>
      <c r="AC474" s="1783"/>
      <c r="AD474" s="1783"/>
      <c r="AE474" s="1783"/>
      <c r="AF474" s="1783"/>
      <c r="AG474" s="1783"/>
      <c r="AH474" s="1783"/>
      <c r="AI474" s="1783"/>
      <c r="AJ474" s="1783"/>
      <c r="AK474" s="1783"/>
      <c r="AL474" s="1783"/>
      <c r="AM474" s="1783"/>
      <c r="AN474" s="1783"/>
      <c r="AO474" s="1783"/>
      <c r="AP474" s="1783"/>
      <c r="AQ474" s="1783"/>
      <c r="AR474" s="1783"/>
      <c r="AS474" s="1783"/>
      <c r="AT474" s="1783"/>
      <c r="AU474" s="1783"/>
      <c r="AV474" s="1783"/>
      <c r="AW474" s="1783"/>
      <c r="AX474" s="1783"/>
      <c r="AY474" s="1783"/>
      <c r="AZ474" s="1783"/>
      <c r="BA474" s="1783"/>
      <c r="BB474" s="1783"/>
      <c r="BC474" s="1783"/>
      <c r="BD474" s="1783"/>
      <c r="BE474" s="1783"/>
      <c r="BF474" s="1783"/>
      <c r="BG474" s="1783"/>
      <c r="BH474" s="1783"/>
      <c r="BI474" s="1783"/>
    </row>
    <row r="475" spans="1:61">
      <c r="A475" s="1819"/>
      <c r="B475" s="1818"/>
      <c r="C475" s="1818"/>
      <c r="D475" s="1818"/>
      <c r="E475" s="1818"/>
      <c r="F475" s="1818"/>
      <c r="G475" s="1818"/>
      <c r="H475" s="1783"/>
      <c r="I475" s="1783"/>
      <c r="J475" s="1783"/>
      <c r="K475" s="1783"/>
      <c r="L475" s="1783"/>
      <c r="M475" s="1783"/>
      <c r="N475" s="1783"/>
      <c r="O475" s="1783"/>
      <c r="P475" s="1783"/>
      <c r="Q475" s="1783"/>
      <c r="R475" s="1783"/>
      <c r="S475" s="1783"/>
      <c r="T475" s="1783"/>
      <c r="U475" s="1783"/>
      <c r="V475" s="1783"/>
      <c r="W475" s="1783"/>
      <c r="X475" s="1783"/>
      <c r="Y475" s="1783"/>
      <c r="Z475" s="1783"/>
      <c r="AA475" s="1783"/>
      <c r="AB475" s="1783"/>
      <c r="AC475" s="1783"/>
      <c r="AD475" s="1783"/>
      <c r="AE475" s="1783"/>
      <c r="AF475" s="1783"/>
      <c r="AG475" s="1783"/>
      <c r="AH475" s="1783"/>
      <c r="AI475" s="1783"/>
      <c r="AJ475" s="1783"/>
      <c r="AK475" s="1783"/>
      <c r="AL475" s="1783"/>
      <c r="AM475" s="1783"/>
      <c r="AN475" s="1783"/>
      <c r="AO475" s="1783"/>
      <c r="AP475" s="1783"/>
      <c r="AQ475" s="1783"/>
      <c r="AR475" s="1783"/>
      <c r="AS475" s="1783"/>
      <c r="AT475" s="1783"/>
      <c r="AU475" s="1783"/>
      <c r="AV475" s="1783"/>
      <c r="AW475" s="1783"/>
      <c r="AX475" s="1783"/>
      <c r="AY475" s="1783"/>
      <c r="AZ475" s="1783"/>
      <c r="BA475" s="1783"/>
      <c r="BB475" s="1783"/>
      <c r="BC475" s="1783"/>
      <c r="BD475" s="1783"/>
      <c r="BE475" s="1783"/>
      <c r="BF475" s="1783"/>
      <c r="BG475" s="1783"/>
      <c r="BH475" s="1783"/>
      <c r="BI475" s="1783"/>
    </row>
    <row r="476" spans="1:61">
      <c r="A476" s="1819"/>
      <c r="B476" s="1818"/>
      <c r="C476" s="1818"/>
      <c r="D476" s="1818"/>
      <c r="E476" s="1818"/>
      <c r="F476" s="1818"/>
      <c r="G476" s="1818"/>
      <c r="H476" s="1783"/>
      <c r="I476" s="1783"/>
      <c r="J476" s="1783"/>
      <c r="K476" s="1783"/>
      <c r="L476" s="1783"/>
      <c r="M476" s="1783"/>
      <c r="N476" s="1783"/>
      <c r="O476" s="1783"/>
      <c r="P476" s="1783"/>
      <c r="Q476" s="1783"/>
      <c r="R476" s="1783"/>
      <c r="S476" s="1783"/>
      <c r="T476" s="1783"/>
      <c r="U476" s="1783"/>
      <c r="V476" s="1783"/>
      <c r="W476" s="1783"/>
      <c r="X476" s="1783"/>
      <c r="Y476" s="1783"/>
      <c r="Z476" s="1783"/>
      <c r="AA476" s="1783"/>
      <c r="AB476" s="1783"/>
      <c r="AC476" s="1783"/>
      <c r="AD476" s="1783"/>
      <c r="AE476" s="1783"/>
      <c r="AF476" s="1783"/>
      <c r="AG476" s="1783"/>
      <c r="AH476" s="1783"/>
      <c r="AI476" s="1783"/>
      <c r="AJ476" s="1783"/>
      <c r="AK476" s="1783"/>
      <c r="AL476" s="1783"/>
      <c r="AM476" s="1783"/>
      <c r="AN476" s="1783"/>
      <c r="AO476" s="1783"/>
      <c r="AP476" s="1783"/>
      <c r="AQ476" s="1783"/>
      <c r="AR476" s="1783"/>
      <c r="AS476" s="1783"/>
      <c r="AT476" s="1783"/>
      <c r="AU476" s="1783"/>
      <c r="AV476" s="1783"/>
      <c r="AW476" s="1783"/>
      <c r="AX476" s="1783"/>
      <c r="AY476" s="1783"/>
      <c r="AZ476" s="1783"/>
      <c r="BA476" s="1783"/>
      <c r="BB476" s="1783"/>
      <c r="BC476" s="1783"/>
      <c r="BD476" s="1783"/>
      <c r="BE476" s="1783"/>
      <c r="BF476" s="1783"/>
      <c r="BG476" s="1783"/>
      <c r="BH476" s="1783"/>
      <c r="BI476" s="1783"/>
    </row>
    <row r="477" spans="1:61">
      <c r="A477" s="1819"/>
      <c r="B477" s="1818"/>
      <c r="C477" s="1818"/>
      <c r="D477" s="1818"/>
      <c r="E477" s="1818"/>
      <c r="F477" s="1818"/>
      <c r="G477" s="1818"/>
      <c r="H477" s="1783"/>
      <c r="I477" s="1783"/>
      <c r="J477" s="1783"/>
      <c r="K477" s="1783"/>
      <c r="L477" s="1783"/>
      <c r="M477" s="1783"/>
      <c r="N477" s="1783"/>
      <c r="O477" s="1783"/>
      <c r="P477" s="1783"/>
      <c r="Q477" s="1783"/>
      <c r="R477" s="1783"/>
      <c r="S477" s="1783"/>
      <c r="T477" s="1783"/>
      <c r="U477" s="1783"/>
      <c r="V477" s="1783"/>
      <c r="W477" s="1783"/>
      <c r="X477" s="1783"/>
      <c r="Y477" s="1783"/>
      <c r="Z477" s="1783"/>
      <c r="AA477" s="1783"/>
      <c r="AB477" s="1783"/>
      <c r="AC477" s="1783"/>
      <c r="AD477" s="1783"/>
      <c r="AE477" s="1783"/>
      <c r="AF477" s="1783"/>
      <c r="AG477" s="1783"/>
      <c r="AH477" s="1783"/>
      <c r="AI477" s="1783"/>
      <c r="AJ477" s="1783"/>
      <c r="AK477" s="1783"/>
      <c r="AL477" s="1783"/>
      <c r="AM477" s="1783"/>
      <c r="AN477" s="1783"/>
      <c r="AO477" s="1783"/>
      <c r="AP477" s="1783"/>
      <c r="AQ477" s="1783"/>
      <c r="AR477" s="1783"/>
      <c r="AS477" s="1783"/>
      <c r="AT477" s="1783"/>
      <c r="AU477" s="1783"/>
      <c r="AV477" s="1783"/>
      <c r="AW477" s="1783"/>
      <c r="AX477" s="1783"/>
      <c r="AY477" s="1783"/>
      <c r="AZ477" s="1783"/>
      <c r="BA477" s="1783"/>
      <c r="BB477" s="1783"/>
      <c r="BC477" s="1783"/>
      <c r="BD477" s="1783"/>
      <c r="BE477" s="1783"/>
      <c r="BF477" s="1783"/>
      <c r="BG477" s="1783"/>
      <c r="BH477" s="1783"/>
      <c r="BI477" s="1783"/>
    </row>
    <row r="478" spans="1:61">
      <c r="A478" s="1819"/>
      <c r="B478" s="1818"/>
      <c r="C478" s="1818"/>
      <c r="D478" s="1818"/>
      <c r="E478" s="1818"/>
      <c r="F478" s="1818"/>
      <c r="G478" s="1818"/>
      <c r="H478" s="1783"/>
      <c r="I478" s="1783"/>
      <c r="J478" s="1783"/>
      <c r="K478" s="1783"/>
      <c r="L478" s="1783"/>
      <c r="M478" s="1783"/>
      <c r="N478" s="1783"/>
      <c r="O478" s="1783"/>
      <c r="P478" s="1783"/>
      <c r="Q478" s="1783"/>
      <c r="R478" s="1783"/>
      <c r="S478" s="1783"/>
      <c r="T478" s="1783"/>
      <c r="U478" s="1783"/>
      <c r="V478" s="1783"/>
      <c r="W478" s="1783"/>
      <c r="X478" s="1783"/>
      <c r="Y478" s="1783"/>
      <c r="Z478" s="1783"/>
      <c r="AA478" s="1783"/>
      <c r="AB478" s="1783"/>
      <c r="AC478" s="1783"/>
      <c r="AD478" s="1783"/>
      <c r="AE478" s="1783"/>
      <c r="AF478" s="1783"/>
      <c r="AG478" s="1783"/>
      <c r="AH478" s="1783"/>
      <c r="AI478" s="1783"/>
      <c r="AJ478" s="1783"/>
      <c r="AK478" s="1783"/>
      <c r="AL478" s="1783"/>
      <c r="AM478" s="1783"/>
      <c r="AN478" s="1783"/>
      <c r="AO478" s="1783"/>
      <c r="AP478" s="1783"/>
      <c r="AQ478" s="1783"/>
      <c r="AR478" s="1783"/>
      <c r="AS478" s="1783"/>
      <c r="AT478" s="1783"/>
      <c r="AU478" s="1783"/>
      <c r="AV478" s="1783"/>
      <c r="AW478" s="1783"/>
      <c r="AX478" s="1783"/>
      <c r="AY478" s="1783"/>
      <c r="AZ478" s="1783"/>
      <c r="BA478" s="1783"/>
      <c r="BB478" s="1783"/>
      <c r="BC478" s="1783"/>
      <c r="BD478" s="1783"/>
      <c r="BE478" s="1783"/>
      <c r="BF478" s="1783"/>
      <c r="BG478" s="1783"/>
      <c r="BH478" s="1783"/>
      <c r="BI478" s="1783"/>
    </row>
    <row r="479" spans="1:61">
      <c r="A479" s="1819"/>
      <c r="B479" s="1818"/>
      <c r="C479" s="1818"/>
      <c r="D479" s="1818"/>
      <c r="E479" s="1818"/>
      <c r="F479" s="1818"/>
      <c r="G479" s="1818"/>
      <c r="H479" s="1783"/>
      <c r="I479" s="1783"/>
      <c r="J479" s="1783"/>
      <c r="K479" s="1783"/>
      <c r="L479" s="1783"/>
      <c r="M479" s="1783"/>
      <c r="N479" s="1783"/>
      <c r="O479" s="1783"/>
      <c r="P479" s="1783"/>
      <c r="Q479" s="1783"/>
      <c r="R479" s="1783"/>
      <c r="S479" s="1783"/>
      <c r="T479" s="1783"/>
      <c r="U479" s="1783"/>
      <c r="V479" s="1783"/>
      <c r="W479" s="1783"/>
      <c r="X479" s="1783"/>
      <c r="Y479" s="1783"/>
      <c r="Z479" s="1783"/>
      <c r="AA479" s="1783"/>
      <c r="AB479" s="1783"/>
      <c r="AC479" s="1783"/>
      <c r="AD479" s="1783"/>
      <c r="AE479" s="1783"/>
      <c r="AF479" s="1783"/>
      <c r="AG479" s="1783"/>
      <c r="AH479" s="1783"/>
      <c r="AI479" s="1783"/>
      <c r="AJ479" s="1783"/>
      <c r="AK479" s="1783"/>
      <c r="AL479" s="1783"/>
      <c r="AM479" s="1783"/>
      <c r="AN479" s="1783"/>
      <c r="AO479" s="1783"/>
      <c r="AP479" s="1783"/>
      <c r="AQ479" s="1783"/>
      <c r="AR479" s="1783"/>
      <c r="AS479" s="1783"/>
      <c r="AT479" s="1783"/>
      <c r="AU479" s="1783"/>
      <c r="AV479" s="1783"/>
      <c r="AW479" s="1783"/>
      <c r="AX479" s="1783"/>
      <c r="AY479" s="1783"/>
      <c r="AZ479" s="1783"/>
      <c r="BA479" s="1783"/>
      <c r="BB479" s="1783"/>
      <c r="BC479" s="1783"/>
      <c r="BD479" s="1783"/>
      <c r="BE479" s="1783"/>
      <c r="BF479" s="1783"/>
      <c r="BG479" s="1783"/>
      <c r="BH479" s="1783"/>
      <c r="BI479" s="1783"/>
    </row>
    <row r="480" spans="1:61">
      <c r="A480" s="1819"/>
      <c r="B480" s="1818"/>
      <c r="C480" s="1818"/>
      <c r="D480" s="1818"/>
      <c r="E480" s="1818"/>
      <c r="F480" s="1818"/>
      <c r="G480" s="1818"/>
      <c r="H480" s="1783"/>
      <c r="I480" s="1783"/>
      <c r="J480" s="1783"/>
      <c r="K480" s="1783"/>
      <c r="L480" s="1783"/>
      <c r="M480" s="1783"/>
      <c r="N480" s="1783"/>
      <c r="O480" s="1783"/>
      <c r="P480" s="1783"/>
      <c r="Q480" s="1783"/>
      <c r="R480" s="1783"/>
      <c r="S480" s="1783"/>
      <c r="T480" s="1783"/>
      <c r="U480" s="1783"/>
      <c r="V480" s="1783"/>
      <c r="W480" s="1783"/>
      <c r="X480" s="1783"/>
      <c r="Y480" s="1783"/>
      <c r="Z480" s="1783"/>
      <c r="AA480" s="1783"/>
      <c r="AB480" s="1783"/>
      <c r="AC480" s="1783"/>
      <c r="AD480" s="1783"/>
      <c r="AE480" s="1783"/>
      <c r="AF480" s="1783"/>
      <c r="AG480" s="1783"/>
      <c r="AH480" s="1783"/>
      <c r="AI480" s="1783"/>
      <c r="AJ480" s="1783"/>
      <c r="AK480" s="1783"/>
      <c r="AL480" s="1783"/>
      <c r="AM480" s="1783"/>
      <c r="AN480" s="1783"/>
      <c r="AO480" s="1783"/>
      <c r="AP480" s="1783"/>
      <c r="AQ480" s="1783"/>
      <c r="AR480" s="1783"/>
      <c r="AS480" s="1783"/>
      <c r="AT480" s="1783"/>
      <c r="AU480" s="1783"/>
      <c r="AV480" s="1783"/>
      <c r="AW480" s="1783"/>
      <c r="AX480" s="1783"/>
      <c r="AY480" s="1783"/>
      <c r="AZ480" s="1783"/>
      <c r="BA480" s="1783"/>
      <c r="BB480" s="1783"/>
      <c r="BC480" s="1783"/>
      <c r="BD480" s="1783"/>
      <c r="BE480" s="1783"/>
      <c r="BF480" s="1783"/>
      <c r="BG480" s="1783"/>
      <c r="BH480" s="1783"/>
      <c r="BI480" s="1783"/>
    </row>
    <row r="481" spans="1:61">
      <c r="A481" s="1819"/>
      <c r="B481" s="1818"/>
      <c r="C481" s="1818"/>
      <c r="D481" s="1818"/>
      <c r="E481" s="1818"/>
      <c r="F481" s="1818"/>
      <c r="G481" s="1818"/>
      <c r="H481" s="1783"/>
      <c r="I481" s="1783"/>
      <c r="J481" s="1783"/>
      <c r="K481" s="1783"/>
      <c r="L481" s="1783"/>
      <c r="M481" s="1783"/>
      <c r="N481" s="1783"/>
      <c r="O481" s="1783"/>
      <c r="P481" s="1783"/>
      <c r="Q481" s="1783"/>
      <c r="R481" s="1783"/>
      <c r="S481" s="1783"/>
      <c r="T481" s="1783"/>
      <c r="U481" s="1783"/>
      <c r="V481" s="1783"/>
      <c r="W481" s="1783"/>
      <c r="X481" s="1783"/>
      <c r="Y481" s="1783"/>
      <c r="Z481" s="1783"/>
      <c r="AA481" s="1783"/>
      <c r="AB481" s="1783"/>
      <c r="AC481" s="1783"/>
      <c r="AD481" s="1783"/>
      <c r="AE481" s="1783"/>
      <c r="AF481" s="1783"/>
      <c r="AG481" s="1783"/>
      <c r="AH481" s="1783"/>
      <c r="AI481" s="1783"/>
      <c r="AJ481" s="1783"/>
      <c r="AK481" s="1783"/>
      <c r="AL481" s="1783"/>
      <c r="AM481" s="1783"/>
      <c r="AN481" s="1783"/>
      <c r="AO481" s="1783"/>
      <c r="AP481" s="1783"/>
      <c r="AQ481" s="1783"/>
      <c r="AR481" s="1783"/>
      <c r="AS481" s="1783"/>
      <c r="AT481" s="1783"/>
      <c r="AU481" s="1783"/>
      <c r="AV481" s="1783"/>
      <c r="AW481" s="1783"/>
      <c r="AX481" s="1783"/>
      <c r="AY481" s="1783"/>
      <c r="AZ481" s="1783"/>
      <c r="BA481" s="1783"/>
      <c r="BB481" s="1783"/>
      <c r="BC481" s="1783"/>
      <c r="BD481" s="1783"/>
      <c r="BE481" s="1783"/>
      <c r="BF481" s="1783"/>
      <c r="BG481" s="1783"/>
      <c r="BH481" s="1783"/>
      <c r="BI481" s="1783"/>
    </row>
    <row r="482" spans="1:61">
      <c r="A482" s="1819"/>
      <c r="B482" s="1818"/>
      <c r="C482" s="1818"/>
      <c r="D482" s="1818"/>
      <c r="E482" s="1818"/>
      <c r="F482" s="1818"/>
      <c r="G482" s="1818"/>
      <c r="H482" s="1783"/>
      <c r="I482" s="1783"/>
      <c r="J482" s="1783"/>
      <c r="K482" s="1783"/>
      <c r="L482" s="1783"/>
      <c r="M482" s="1783"/>
      <c r="N482" s="1783"/>
      <c r="O482" s="1783"/>
      <c r="P482" s="1783"/>
      <c r="Q482" s="1783"/>
      <c r="R482" s="1783"/>
      <c r="S482" s="1783"/>
      <c r="T482" s="1783"/>
      <c r="U482" s="1783"/>
      <c r="V482" s="1783"/>
      <c r="W482" s="1783"/>
      <c r="X482" s="1783"/>
      <c r="Y482" s="1783"/>
      <c r="Z482" s="1783"/>
      <c r="AA482" s="1783"/>
      <c r="AB482" s="1783"/>
      <c r="AC482" s="1783"/>
      <c r="AD482" s="1783"/>
      <c r="AE482" s="1783"/>
      <c r="AF482" s="1783"/>
      <c r="AG482" s="1783"/>
      <c r="AH482" s="1783"/>
      <c r="AI482" s="1783"/>
      <c r="AJ482" s="1783"/>
      <c r="AK482" s="1783"/>
      <c r="AL482" s="1783"/>
      <c r="AM482" s="1783"/>
      <c r="AN482" s="1783"/>
      <c r="AO482" s="1783"/>
      <c r="AP482" s="1783"/>
      <c r="AQ482" s="1783"/>
      <c r="AR482" s="1783"/>
      <c r="AS482" s="1783"/>
      <c r="AT482" s="1783"/>
      <c r="AU482" s="1783"/>
      <c r="AV482" s="1783"/>
      <c r="AW482" s="1783"/>
      <c r="AX482" s="1783"/>
      <c r="AY482" s="1783"/>
      <c r="AZ482" s="1783"/>
      <c r="BA482" s="1783"/>
      <c r="BB482" s="1783"/>
      <c r="BC482" s="1783"/>
      <c r="BD482" s="1783"/>
      <c r="BE482" s="1783"/>
      <c r="BF482" s="1783"/>
      <c r="BG482" s="1783"/>
      <c r="BH482" s="1783"/>
      <c r="BI482" s="1783"/>
    </row>
    <row r="483" spans="1:61">
      <c r="A483" s="1819"/>
      <c r="B483" s="1818"/>
      <c r="C483" s="1818"/>
      <c r="D483" s="1818"/>
      <c r="E483" s="1818"/>
      <c r="F483" s="1818"/>
      <c r="G483" s="1818"/>
      <c r="H483" s="1783"/>
      <c r="I483" s="1783"/>
      <c r="J483" s="1783"/>
      <c r="K483" s="1783"/>
      <c r="L483" s="1783"/>
      <c r="M483" s="1783"/>
      <c r="N483" s="1783"/>
      <c r="O483" s="1783"/>
      <c r="P483" s="1783"/>
      <c r="Q483" s="1783"/>
      <c r="R483" s="1783"/>
      <c r="S483" s="1783"/>
      <c r="T483" s="1783"/>
      <c r="U483" s="1783"/>
      <c r="V483" s="1783"/>
      <c r="W483" s="1783"/>
      <c r="X483" s="1783"/>
      <c r="Y483" s="1783"/>
      <c r="Z483" s="1783"/>
      <c r="AA483" s="1783"/>
      <c r="AB483" s="1783"/>
      <c r="AC483" s="1783"/>
      <c r="AD483" s="1783"/>
      <c r="AE483" s="1783"/>
      <c r="AF483" s="1783"/>
      <c r="AG483" s="1783"/>
      <c r="AH483" s="1783"/>
      <c r="AI483" s="1783"/>
      <c r="AJ483" s="1783"/>
      <c r="AK483" s="1783"/>
      <c r="AL483" s="1783"/>
      <c r="AM483" s="1783"/>
      <c r="AN483" s="1783"/>
      <c r="AO483" s="1783"/>
      <c r="AP483" s="1783"/>
      <c r="AQ483" s="1783"/>
      <c r="AR483" s="1783"/>
      <c r="AS483" s="1783"/>
      <c r="AT483" s="1783"/>
      <c r="AU483" s="1783"/>
      <c r="AV483" s="1783"/>
      <c r="AW483" s="1783"/>
      <c r="AX483" s="1783"/>
      <c r="AY483" s="1783"/>
      <c r="AZ483" s="1783"/>
      <c r="BA483" s="1783"/>
      <c r="BB483" s="1783"/>
      <c r="BC483" s="1783"/>
      <c r="BD483" s="1783"/>
      <c r="BE483" s="1783"/>
      <c r="BF483" s="1783"/>
      <c r="BG483" s="1783"/>
      <c r="BH483" s="1783"/>
      <c r="BI483" s="1783"/>
    </row>
    <row r="484" spans="1:61">
      <c r="A484" s="1819"/>
      <c r="B484" s="1818"/>
      <c r="C484" s="1818"/>
      <c r="D484" s="1818"/>
      <c r="E484" s="1818"/>
      <c r="F484" s="1818"/>
      <c r="G484" s="1818"/>
      <c r="H484" s="1783"/>
      <c r="I484" s="1783"/>
      <c r="J484" s="1783"/>
      <c r="K484" s="1783"/>
      <c r="L484" s="1783"/>
      <c r="M484" s="1783"/>
      <c r="N484" s="1783"/>
      <c r="O484" s="1783"/>
      <c r="P484" s="1783"/>
      <c r="Q484" s="1783"/>
      <c r="R484" s="1783"/>
      <c r="S484" s="1783"/>
      <c r="T484" s="1783"/>
      <c r="U484" s="1783"/>
      <c r="V484" s="1783"/>
      <c r="W484" s="1783"/>
      <c r="X484" s="1783"/>
      <c r="Y484" s="1783"/>
      <c r="Z484" s="1783"/>
      <c r="AA484" s="1783"/>
      <c r="AB484" s="1783"/>
      <c r="AC484" s="1783"/>
      <c r="AD484" s="1783"/>
      <c r="AE484" s="1783"/>
      <c r="AF484" s="1783"/>
      <c r="AG484" s="1783"/>
      <c r="AH484" s="1783"/>
      <c r="AI484" s="1783"/>
      <c r="AJ484" s="1783"/>
      <c r="AK484" s="1783"/>
      <c r="AL484" s="1783"/>
      <c r="AM484" s="1783"/>
      <c r="AN484" s="1783"/>
      <c r="AO484" s="1783"/>
      <c r="AP484" s="1783"/>
      <c r="AQ484" s="1783"/>
      <c r="AR484" s="1783"/>
      <c r="AS484" s="1783"/>
      <c r="AT484" s="1783"/>
      <c r="AU484" s="1783"/>
      <c r="AV484" s="1783"/>
      <c r="AW484" s="1783"/>
      <c r="AX484" s="1783"/>
      <c r="AY484" s="1783"/>
      <c r="AZ484" s="1783"/>
      <c r="BA484" s="1783"/>
      <c r="BB484" s="1783"/>
      <c r="BC484" s="1783"/>
      <c r="BD484" s="1783"/>
      <c r="BE484" s="1783"/>
      <c r="BF484" s="1783"/>
      <c r="BG484" s="1783"/>
      <c r="BH484" s="1783"/>
      <c r="BI484" s="1783"/>
    </row>
    <row r="485" spans="1:61">
      <c r="A485" s="1819"/>
      <c r="B485" s="1818"/>
      <c r="C485" s="1818"/>
      <c r="D485" s="1818"/>
      <c r="E485" s="1818"/>
      <c r="F485" s="1818"/>
      <c r="G485" s="1818"/>
      <c r="H485" s="1783"/>
      <c r="I485" s="1783"/>
      <c r="J485" s="1783"/>
      <c r="K485" s="1783"/>
      <c r="L485" s="1783"/>
      <c r="M485" s="1783"/>
      <c r="N485" s="1783"/>
      <c r="O485" s="1783"/>
      <c r="P485" s="1783"/>
      <c r="Q485" s="1783"/>
      <c r="R485" s="1783"/>
      <c r="S485" s="1783"/>
      <c r="T485" s="1783"/>
      <c r="U485" s="1783"/>
      <c r="V485" s="1783"/>
      <c r="W485" s="1783"/>
      <c r="X485" s="1783"/>
      <c r="Y485" s="1783"/>
      <c r="Z485" s="1783"/>
      <c r="AA485" s="1783"/>
      <c r="AB485" s="1783"/>
      <c r="AC485" s="1783"/>
      <c r="AD485" s="1783"/>
      <c r="AE485" s="1783"/>
      <c r="AF485" s="1783"/>
      <c r="AG485" s="1783"/>
      <c r="AH485" s="1783"/>
      <c r="AI485" s="1783"/>
      <c r="AJ485" s="1783"/>
      <c r="AK485" s="1783"/>
      <c r="AL485" s="1783"/>
      <c r="AM485" s="1783"/>
      <c r="AN485" s="1783"/>
      <c r="AO485" s="1783"/>
      <c r="AP485" s="1783"/>
      <c r="AQ485" s="1783"/>
      <c r="AR485" s="1783"/>
      <c r="AS485" s="1783"/>
      <c r="AT485" s="1783"/>
      <c r="AU485" s="1783"/>
      <c r="AV485" s="1783"/>
      <c r="AW485" s="1783"/>
      <c r="AX485" s="1783"/>
      <c r="AY485" s="1783"/>
      <c r="AZ485" s="1783"/>
      <c r="BA485" s="1783"/>
      <c r="BB485" s="1783"/>
      <c r="BC485" s="1783"/>
      <c r="BD485" s="1783"/>
      <c r="BE485" s="1783"/>
      <c r="BF485" s="1783"/>
      <c r="BG485" s="1783"/>
      <c r="BH485" s="1783"/>
      <c r="BI485" s="1783"/>
    </row>
    <row r="486" spans="1:61">
      <c r="A486" s="1819"/>
      <c r="B486" s="1818"/>
      <c r="C486" s="1818"/>
      <c r="D486" s="1818"/>
      <c r="E486" s="1818"/>
      <c r="F486" s="1818"/>
      <c r="G486" s="1818"/>
      <c r="H486" s="1783"/>
      <c r="I486" s="1783"/>
      <c r="J486" s="1783"/>
      <c r="K486" s="1783"/>
      <c r="L486" s="1783"/>
      <c r="M486" s="1783"/>
      <c r="N486" s="1783"/>
      <c r="O486" s="1783"/>
      <c r="P486" s="1783"/>
      <c r="Q486" s="1783"/>
      <c r="R486" s="1783"/>
      <c r="S486" s="1783"/>
      <c r="T486" s="1783"/>
      <c r="U486" s="1783"/>
      <c r="V486" s="1783"/>
      <c r="W486" s="1783"/>
      <c r="X486" s="1783"/>
      <c r="Y486" s="1783"/>
      <c r="Z486" s="1783"/>
      <c r="AA486" s="1783"/>
      <c r="AB486" s="1783"/>
      <c r="AC486" s="1783"/>
      <c r="AD486" s="1783"/>
      <c r="AE486" s="1783"/>
      <c r="AF486" s="1783"/>
      <c r="AG486" s="1783"/>
      <c r="AH486" s="1783"/>
      <c r="AI486" s="1783"/>
      <c r="AJ486" s="1783"/>
      <c r="AK486" s="1783"/>
      <c r="AL486" s="1783"/>
      <c r="AM486" s="1783"/>
      <c r="AN486" s="1783"/>
      <c r="AO486" s="1783"/>
      <c r="AP486" s="1783"/>
      <c r="AQ486" s="1783"/>
      <c r="AR486" s="1783"/>
      <c r="AS486" s="1783"/>
      <c r="AT486" s="1783"/>
      <c r="AU486" s="1783"/>
      <c r="AV486" s="1783"/>
      <c r="AW486" s="1783"/>
      <c r="AX486" s="1783"/>
      <c r="AY486" s="1783"/>
      <c r="AZ486" s="1783"/>
      <c r="BA486" s="1783"/>
      <c r="BB486" s="1783"/>
      <c r="BC486" s="1783"/>
      <c r="BD486" s="1783"/>
      <c r="BE486" s="1783"/>
      <c r="BF486" s="1783"/>
      <c r="BG486" s="1783"/>
      <c r="BH486" s="1783"/>
      <c r="BI486" s="1783"/>
    </row>
    <row r="487" spans="1:61">
      <c r="A487" s="1819"/>
      <c r="B487" s="1818"/>
      <c r="C487" s="1818"/>
      <c r="D487" s="1818"/>
      <c r="E487" s="1818"/>
      <c r="F487" s="1818"/>
      <c r="G487" s="1818"/>
      <c r="H487" s="1783"/>
      <c r="I487" s="1783"/>
      <c r="J487" s="1783"/>
      <c r="K487" s="1783"/>
      <c r="L487" s="1783"/>
      <c r="M487" s="1783"/>
      <c r="N487" s="1783"/>
      <c r="O487" s="1783"/>
      <c r="P487" s="1783"/>
      <c r="Q487" s="1783"/>
      <c r="R487" s="1783"/>
      <c r="S487" s="1783"/>
      <c r="T487" s="1783"/>
      <c r="U487" s="1783"/>
      <c r="V487" s="1783"/>
      <c r="W487" s="1783"/>
      <c r="X487" s="1783"/>
      <c r="Y487" s="1783"/>
      <c r="Z487" s="1783"/>
      <c r="AA487" s="1783"/>
      <c r="AB487" s="1783"/>
      <c r="AC487" s="1783"/>
      <c r="AD487" s="1783"/>
      <c r="AE487" s="1783"/>
      <c r="AF487" s="1783"/>
      <c r="AG487" s="1783"/>
      <c r="AH487" s="1783"/>
      <c r="AI487" s="1783"/>
      <c r="AJ487" s="1783"/>
      <c r="AK487" s="1783"/>
      <c r="AL487" s="1783"/>
      <c r="AM487" s="1783"/>
      <c r="AN487" s="1783"/>
      <c r="AO487" s="1783"/>
      <c r="AP487" s="1783"/>
      <c r="AQ487" s="1783"/>
      <c r="AR487" s="1783"/>
      <c r="AS487" s="1783"/>
      <c r="AT487" s="1783"/>
      <c r="AU487" s="1783"/>
      <c r="AV487" s="1783"/>
      <c r="AW487" s="1783"/>
      <c r="AX487" s="1783"/>
      <c r="AY487" s="1783"/>
      <c r="AZ487" s="1783"/>
      <c r="BA487" s="1783"/>
      <c r="BB487" s="1783"/>
      <c r="BC487" s="1783"/>
      <c r="BD487" s="1783"/>
      <c r="BE487" s="1783"/>
      <c r="BF487" s="1783"/>
      <c r="BG487" s="1783"/>
      <c r="BH487" s="1783"/>
      <c r="BI487" s="1783"/>
    </row>
    <row r="488" spans="1:61">
      <c r="A488" s="1819"/>
      <c r="B488" s="1818"/>
      <c r="C488" s="1818"/>
      <c r="D488" s="1818"/>
      <c r="E488" s="1818"/>
      <c r="F488" s="1818"/>
      <c r="G488" s="1818"/>
      <c r="H488" s="1783"/>
      <c r="I488" s="1783"/>
      <c r="J488" s="1783"/>
      <c r="K488" s="1783"/>
      <c r="L488" s="1783"/>
      <c r="M488" s="1783"/>
      <c r="N488" s="1783"/>
      <c r="O488" s="1783"/>
      <c r="P488" s="1783"/>
      <c r="Q488" s="1783"/>
      <c r="R488" s="1783"/>
      <c r="S488" s="1783"/>
      <c r="T488" s="1783"/>
      <c r="U488" s="1783"/>
      <c r="V488" s="1783"/>
      <c r="W488" s="1783"/>
      <c r="X488" s="1783"/>
      <c r="Y488" s="1783"/>
      <c r="Z488" s="1783"/>
      <c r="AA488" s="1783"/>
      <c r="AB488" s="1783"/>
      <c r="AC488" s="1783"/>
      <c r="AD488" s="1783"/>
      <c r="AE488" s="1783"/>
      <c r="AF488" s="1783"/>
      <c r="AG488" s="1783"/>
      <c r="AH488" s="1783"/>
      <c r="AI488" s="1783"/>
      <c r="AJ488" s="1783"/>
      <c r="AK488" s="1783"/>
      <c r="AL488" s="1783"/>
      <c r="AM488" s="1783"/>
      <c r="AN488" s="1783"/>
      <c r="AO488" s="1783"/>
      <c r="AP488" s="1783"/>
      <c r="AQ488" s="1783"/>
      <c r="AR488" s="1783"/>
      <c r="AS488" s="1783"/>
      <c r="AT488" s="1783"/>
      <c r="AU488" s="1783"/>
      <c r="AV488" s="1783"/>
      <c r="AW488" s="1783"/>
      <c r="AX488" s="1783"/>
      <c r="AY488" s="1783"/>
      <c r="AZ488" s="1783"/>
      <c r="BA488" s="1783"/>
      <c r="BB488" s="1783"/>
      <c r="BC488" s="1783"/>
      <c r="BD488" s="1783"/>
      <c r="BE488" s="1783"/>
      <c r="BF488" s="1783"/>
      <c r="BG488" s="1783"/>
      <c r="BH488" s="1783"/>
      <c r="BI488" s="1783"/>
    </row>
    <row r="489" spans="1:61">
      <c r="A489" s="1819"/>
      <c r="B489" s="1818"/>
      <c r="C489" s="1818"/>
      <c r="D489" s="1818"/>
      <c r="E489" s="1818"/>
      <c r="F489" s="1818"/>
      <c r="G489" s="1818"/>
      <c r="H489" s="1783"/>
      <c r="I489" s="1783"/>
      <c r="J489" s="1783"/>
      <c r="K489" s="1783"/>
      <c r="L489" s="1783"/>
      <c r="M489" s="1783"/>
      <c r="N489" s="1783"/>
      <c r="O489" s="1783"/>
      <c r="P489" s="1783"/>
      <c r="Q489" s="1783"/>
      <c r="R489" s="1783"/>
      <c r="S489" s="1783"/>
      <c r="T489" s="1783"/>
      <c r="U489" s="1783"/>
      <c r="V489" s="1783"/>
      <c r="W489" s="1783"/>
      <c r="X489" s="1783"/>
      <c r="Y489" s="1783"/>
      <c r="Z489" s="1783"/>
      <c r="AA489" s="1783"/>
      <c r="AB489" s="1783"/>
      <c r="AC489" s="1783"/>
      <c r="AD489" s="1783"/>
      <c r="AE489" s="1783"/>
      <c r="AF489" s="1783"/>
      <c r="AG489" s="1783"/>
      <c r="AH489" s="1783"/>
      <c r="AI489" s="1783"/>
      <c r="AJ489" s="1783"/>
      <c r="AK489" s="1783"/>
      <c r="AL489" s="1783"/>
      <c r="AM489" s="1783"/>
      <c r="AN489" s="1783"/>
      <c r="AO489" s="1783"/>
      <c r="AP489" s="1783"/>
      <c r="AQ489" s="1783"/>
      <c r="AR489" s="1783"/>
      <c r="AS489" s="1783"/>
      <c r="AT489" s="1783"/>
      <c r="AU489" s="1783"/>
      <c r="AV489" s="1783"/>
      <c r="AW489" s="1783"/>
      <c r="AX489" s="1783"/>
      <c r="AY489" s="1783"/>
      <c r="AZ489" s="1783"/>
      <c r="BA489" s="1783"/>
      <c r="BB489" s="1783"/>
      <c r="BC489" s="1783"/>
      <c r="BD489" s="1783"/>
      <c r="BE489" s="1783"/>
      <c r="BF489" s="1783"/>
      <c r="BG489" s="1783"/>
      <c r="BH489" s="1783"/>
      <c r="BI489" s="1783"/>
    </row>
    <row r="490" spans="1:61">
      <c r="A490" s="1819"/>
      <c r="B490" s="1818"/>
      <c r="C490" s="1818"/>
      <c r="D490" s="1818"/>
      <c r="E490" s="1818"/>
      <c r="F490" s="1818"/>
      <c r="G490" s="1818"/>
      <c r="H490" s="1783"/>
      <c r="I490" s="1783"/>
      <c r="J490" s="1783"/>
      <c r="K490" s="1783"/>
      <c r="L490" s="1783"/>
      <c r="M490" s="1783"/>
      <c r="N490" s="1783"/>
      <c r="O490" s="1783"/>
      <c r="P490" s="1783"/>
      <c r="Q490" s="1783"/>
      <c r="R490" s="1783"/>
      <c r="S490" s="1783"/>
      <c r="T490" s="1783"/>
      <c r="U490" s="1783"/>
      <c r="V490" s="1783"/>
      <c r="W490" s="1783"/>
      <c r="X490" s="1783"/>
      <c r="Y490" s="1783"/>
      <c r="Z490" s="1783"/>
      <c r="AA490" s="1783"/>
      <c r="AB490" s="1783"/>
      <c r="AC490" s="1783"/>
      <c r="AD490" s="1783"/>
      <c r="AE490" s="1783"/>
      <c r="AF490" s="1783"/>
      <c r="AG490" s="1783"/>
      <c r="AH490" s="1783"/>
      <c r="AI490" s="1783"/>
      <c r="AJ490" s="1783"/>
      <c r="AK490" s="1783"/>
      <c r="AL490" s="1783"/>
      <c r="AM490" s="1783"/>
      <c r="AN490" s="1783"/>
      <c r="AO490" s="1783"/>
      <c r="AP490" s="1783"/>
      <c r="AQ490" s="1783"/>
      <c r="AR490" s="1783"/>
      <c r="AS490" s="1783"/>
      <c r="AT490" s="1783"/>
      <c r="AU490" s="1783"/>
      <c r="AV490" s="1783"/>
      <c r="AW490" s="1783"/>
      <c r="AX490" s="1783"/>
      <c r="AY490" s="1783"/>
      <c r="AZ490" s="1783"/>
      <c r="BA490" s="1783"/>
      <c r="BB490" s="1783"/>
      <c r="BC490" s="1783"/>
      <c r="BD490" s="1783"/>
      <c r="BE490" s="1783"/>
      <c r="BF490" s="1783"/>
      <c r="BG490" s="1783"/>
      <c r="BH490" s="1783"/>
      <c r="BI490" s="1783"/>
    </row>
    <row r="491" spans="1:61">
      <c r="A491" s="1819"/>
      <c r="B491" s="1818"/>
      <c r="C491" s="1818"/>
      <c r="D491" s="1818"/>
      <c r="E491" s="1818"/>
      <c r="F491" s="1818"/>
      <c r="G491" s="1818"/>
      <c r="H491" s="1783"/>
      <c r="I491" s="1783"/>
      <c r="J491" s="1783"/>
      <c r="K491" s="1783"/>
      <c r="L491" s="1783"/>
      <c r="M491" s="1783"/>
      <c r="N491" s="1783"/>
      <c r="O491" s="1783"/>
      <c r="P491" s="1783"/>
      <c r="Q491" s="1783"/>
      <c r="R491" s="1783"/>
      <c r="S491" s="1783"/>
      <c r="T491" s="1783"/>
      <c r="U491" s="1783"/>
      <c r="V491" s="1783"/>
      <c r="W491" s="1783"/>
      <c r="X491" s="1783"/>
      <c r="Y491" s="1783"/>
      <c r="Z491" s="1783"/>
      <c r="AA491" s="1783"/>
      <c r="AB491" s="1783"/>
      <c r="AC491" s="1783"/>
      <c r="AD491" s="1783"/>
      <c r="AE491" s="1783"/>
      <c r="AF491" s="1783"/>
      <c r="AG491" s="1783"/>
      <c r="AH491" s="1783"/>
      <c r="AI491" s="1783"/>
      <c r="AJ491" s="1783"/>
      <c r="AK491" s="1783"/>
      <c r="AL491" s="1783"/>
      <c r="AM491" s="1783"/>
      <c r="AN491" s="1783"/>
      <c r="AO491" s="1783"/>
      <c r="AP491" s="1783"/>
      <c r="AQ491" s="1783"/>
      <c r="AR491" s="1783"/>
      <c r="AS491" s="1783"/>
      <c r="AT491" s="1783"/>
      <c r="AU491" s="1783"/>
      <c r="AV491" s="1783"/>
      <c r="AW491" s="1783"/>
      <c r="AX491" s="1783"/>
      <c r="AY491" s="1783"/>
      <c r="AZ491" s="1783"/>
      <c r="BA491" s="1783"/>
      <c r="BB491" s="1783"/>
      <c r="BC491" s="1783"/>
      <c r="BD491" s="1783"/>
      <c r="BE491" s="1783"/>
      <c r="BF491" s="1783"/>
      <c r="BG491" s="1783"/>
      <c r="BH491" s="1783"/>
      <c r="BI491" s="1783"/>
    </row>
    <row r="492" spans="1:61">
      <c r="A492" s="1819"/>
      <c r="B492" s="1818"/>
      <c r="C492" s="1818"/>
      <c r="D492" s="1818"/>
      <c r="E492" s="1818"/>
      <c r="F492" s="1818"/>
      <c r="G492" s="1818"/>
      <c r="H492" s="1783"/>
      <c r="I492" s="1783"/>
      <c r="J492" s="1783"/>
      <c r="K492" s="1783"/>
      <c r="L492" s="1783"/>
      <c r="M492" s="1783"/>
      <c r="N492" s="1783"/>
      <c r="O492" s="1783"/>
      <c r="P492" s="1783"/>
      <c r="Q492" s="1783"/>
      <c r="R492" s="1783"/>
      <c r="S492" s="1783"/>
      <c r="T492" s="1783"/>
      <c r="U492" s="1783"/>
      <c r="V492" s="1783"/>
      <c r="W492" s="1783"/>
      <c r="X492" s="1783"/>
      <c r="Y492" s="1783"/>
      <c r="Z492" s="1783"/>
      <c r="AA492" s="1783"/>
      <c r="AB492" s="1783"/>
      <c r="AC492" s="1783"/>
      <c r="AD492" s="1783"/>
      <c r="AE492" s="1783"/>
      <c r="AF492" s="1783"/>
      <c r="AG492" s="1783"/>
      <c r="AH492" s="1783"/>
      <c r="AI492" s="1783"/>
      <c r="AJ492" s="1783"/>
      <c r="AK492" s="1783"/>
      <c r="AL492" s="1783"/>
      <c r="AM492" s="1783"/>
      <c r="AN492" s="1783"/>
      <c r="AO492" s="1783"/>
      <c r="AP492" s="1783"/>
      <c r="AQ492" s="1783"/>
      <c r="AR492" s="1783"/>
      <c r="AS492" s="1783"/>
      <c r="AT492" s="1783"/>
      <c r="AU492" s="1783"/>
      <c r="AV492" s="1783"/>
      <c r="AW492" s="1783"/>
      <c r="AX492" s="1783"/>
      <c r="AY492" s="1783"/>
      <c r="AZ492" s="1783"/>
      <c r="BA492" s="1783"/>
      <c r="BB492" s="1783"/>
      <c r="BC492" s="1783"/>
      <c r="BD492" s="1783"/>
      <c r="BE492" s="1783"/>
      <c r="BF492" s="1783"/>
      <c r="BG492" s="1783"/>
      <c r="BH492" s="1783"/>
      <c r="BI492" s="1783"/>
    </row>
    <row r="493" spans="1:61">
      <c r="A493" s="1819"/>
      <c r="B493" s="1818"/>
      <c r="C493" s="1818"/>
      <c r="D493" s="1818"/>
      <c r="E493" s="1818"/>
      <c r="F493" s="1818"/>
      <c r="G493" s="1818"/>
      <c r="H493" s="1783"/>
      <c r="I493" s="1783"/>
      <c r="J493" s="1783"/>
      <c r="K493" s="1783"/>
      <c r="L493" s="1783"/>
      <c r="M493" s="1783"/>
      <c r="N493" s="1783"/>
      <c r="O493" s="1783"/>
      <c r="P493" s="1783"/>
      <c r="Q493" s="1783"/>
      <c r="R493" s="1783"/>
      <c r="S493" s="1783"/>
      <c r="T493" s="1783"/>
      <c r="U493" s="1783"/>
      <c r="V493" s="1783"/>
      <c r="W493" s="1783"/>
      <c r="X493" s="1783"/>
      <c r="Y493" s="1783"/>
      <c r="Z493" s="1783"/>
      <c r="AA493" s="1783"/>
      <c r="AB493" s="1783"/>
      <c r="AC493" s="1783"/>
      <c r="AD493" s="1783"/>
      <c r="AE493" s="1783"/>
      <c r="AF493" s="1783"/>
      <c r="AG493" s="1783"/>
      <c r="AH493" s="1783"/>
      <c r="AI493" s="1783"/>
      <c r="AJ493" s="1783"/>
      <c r="AK493" s="1783"/>
      <c r="AL493" s="1783"/>
      <c r="AM493" s="1783"/>
      <c r="AN493" s="1783"/>
      <c r="AO493" s="1783"/>
      <c r="AP493" s="1783"/>
      <c r="AQ493" s="1783"/>
      <c r="AR493" s="1783"/>
      <c r="AS493" s="1783"/>
      <c r="AT493" s="1783"/>
      <c r="AU493" s="1783"/>
      <c r="AV493" s="1783"/>
      <c r="AW493" s="1783"/>
      <c r="AX493" s="1783"/>
      <c r="AY493" s="1783"/>
      <c r="AZ493" s="1783"/>
      <c r="BA493" s="1783"/>
      <c r="BB493" s="1783"/>
      <c r="BC493" s="1783"/>
      <c r="BD493" s="1783"/>
      <c r="BE493" s="1783"/>
      <c r="BF493" s="1783"/>
      <c r="BG493" s="1783"/>
      <c r="BH493" s="1783"/>
      <c r="BI493" s="1783"/>
    </row>
    <row r="494" spans="1:61">
      <c r="A494" s="1819"/>
      <c r="B494" s="1818"/>
      <c r="C494" s="1818"/>
      <c r="D494" s="1818"/>
      <c r="E494" s="1818"/>
      <c r="F494" s="1818"/>
      <c r="G494" s="1818"/>
      <c r="H494" s="1783"/>
      <c r="I494" s="1783"/>
      <c r="J494" s="1783"/>
      <c r="K494" s="1783"/>
      <c r="L494" s="1783"/>
      <c r="M494" s="1783"/>
      <c r="N494" s="1783"/>
      <c r="O494" s="1783"/>
      <c r="P494" s="1783"/>
      <c r="Q494" s="1783"/>
      <c r="R494" s="1783"/>
      <c r="S494" s="1783"/>
      <c r="T494" s="1783"/>
      <c r="U494" s="1783"/>
      <c r="V494" s="1783"/>
      <c r="W494" s="1783"/>
      <c r="X494" s="1783"/>
      <c r="Y494" s="1783"/>
      <c r="Z494" s="1783"/>
      <c r="AA494" s="1783"/>
      <c r="AB494" s="1783"/>
      <c r="AC494" s="1783"/>
      <c r="AD494" s="1783"/>
      <c r="AE494" s="1783"/>
      <c r="AF494" s="1783"/>
      <c r="AG494" s="1783"/>
      <c r="AH494" s="1783"/>
      <c r="AI494" s="1783"/>
      <c r="AJ494" s="1783"/>
      <c r="AK494" s="1783"/>
      <c r="AL494" s="1783"/>
      <c r="AM494" s="1783"/>
      <c r="AN494" s="1783"/>
      <c r="AO494" s="1783"/>
      <c r="AP494" s="1783"/>
      <c r="AQ494" s="1783"/>
      <c r="AR494" s="1783"/>
      <c r="AS494" s="1783"/>
      <c r="AT494" s="1783"/>
      <c r="AU494" s="1783"/>
      <c r="AV494" s="1783"/>
      <c r="AW494" s="1783"/>
      <c r="AX494" s="1783"/>
      <c r="AY494" s="1783"/>
      <c r="AZ494" s="1783"/>
      <c r="BA494" s="1783"/>
      <c r="BB494" s="1783"/>
      <c r="BC494" s="1783"/>
      <c r="BD494" s="1783"/>
      <c r="BE494" s="1783"/>
      <c r="BF494" s="1783"/>
      <c r="BG494" s="1783"/>
      <c r="BH494" s="1783"/>
      <c r="BI494" s="1783"/>
    </row>
    <row r="495" spans="1:61">
      <c r="A495" s="1819"/>
      <c r="B495" s="1818"/>
      <c r="C495" s="1818"/>
      <c r="D495" s="1818"/>
      <c r="E495" s="1818"/>
      <c r="F495" s="1818"/>
      <c r="G495" s="1818"/>
      <c r="H495" s="1783"/>
      <c r="I495" s="1783"/>
      <c r="J495" s="1783"/>
      <c r="K495" s="1783"/>
      <c r="L495" s="1783"/>
      <c r="M495" s="1783"/>
      <c r="N495" s="1783"/>
      <c r="O495" s="1783"/>
      <c r="P495" s="1783"/>
      <c r="Q495" s="1783"/>
      <c r="R495" s="1783"/>
      <c r="S495" s="1783"/>
      <c r="T495" s="1783"/>
      <c r="U495" s="1783"/>
      <c r="V495" s="1783"/>
      <c r="W495" s="1783"/>
      <c r="X495" s="1783"/>
      <c r="Y495" s="1783"/>
      <c r="Z495" s="1783"/>
      <c r="AA495" s="1783"/>
      <c r="AB495" s="1783"/>
      <c r="AC495" s="1783"/>
      <c r="AD495" s="1783"/>
      <c r="AE495" s="1783"/>
      <c r="AF495" s="1783"/>
      <c r="AG495" s="1783"/>
      <c r="AH495" s="1783"/>
      <c r="AI495" s="1783"/>
      <c r="AJ495" s="1783"/>
      <c r="AK495" s="1783"/>
      <c r="AL495" s="1783"/>
      <c r="AM495" s="1783"/>
      <c r="AN495" s="1783"/>
      <c r="AO495" s="1783"/>
      <c r="AP495" s="1783"/>
      <c r="AQ495" s="1783"/>
      <c r="AR495" s="1783"/>
      <c r="AS495" s="1783"/>
      <c r="AT495" s="1783"/>
      <c r="AU495" s="1783"/>
      <c r="AV495" s="1783"/>
      <c r="AW495" s="1783"/>
      <c r="AX495" s="1783"/>
      <c r="AY495" s="1783"/>
      <c r="AZ495" s="1783"/>
      <c r="BA495" s="1783"/>
      <c r="BB495" s="1783"/>
      <c r="BC495" s="1783"/>
      <c r="BD495" s="1783"/>
      <c r="BE495" s="1783"/>
      <c r="BF495" s="1783"/>
      <c r="BG495" s="1783"/>
      <c r="BH495" s="1783"/>
      <c r="BI495" s="1783"/>
    </row>
    <row r="496" spans="1:61">
      <c r="A496" s="1819"/>
      <c r="B496" s="1818"/>
      <c r="C496" s="1818"/>
      <c r="D496" s="1818"/>
      <c r="E496" s="1818"/>
      <c r="F496" s="1818"/>
      <c r="G496" s="1818"/>
      <c r="H496" s="1783"/>
      <c r="I496" s="1783"/>
      <c r="J496" s="1783"/>
      <c r="K496" s="1783"/>
      <c r="L496" s="1783"/>
      <c r="M496" s="1783"/>
      <c r="N496" s="1783"/>
      <c r="O496" s="1783"/>
      <c r="P496" s="1783"/>
      <c r="Q496" s="1783"/>
      <c r="R496" s="1783"/>
      <c r="S496" s="1783"/>
      <c r="T496" s="1783"/>
      <c r="U496" s="1783"/>
      <c r="V496" s="1783"/>
      <c r="W496" s="1783"/>
      <c r="X496" s="1783"/>
      <c r="Y496" s="1783"/>
      <c r="Z496" s="1783"/>
      <c r="AA496" s="1783"/>
      <c r="AB496" s="1783"/>
      <c r="AC496" s="1783"/>
      <c r="AD496" s="1783"/>
      <c r="AE496" s="1783"/>
      <c r="AF496" s="1783"/>
      <c r="AG496" s="1783"/>
      <c r="AH496" s="1783"/>
      <c r="AI496" s="1783"/>
      <c r="AJ496" s="1783"/>
      <c r="AK496" s="1783"/>
      <c r="AL496" s="1783"/>
      <c r="AM496" s="1783"/>
      <c r="AN496" s="1783"/>
      <c r="AO496" s="1783"/>
      <c r="AP496" s="1783"/>
      <c r="AQ496" s="1783"/>
      <c r="AR496" s="1783"/>
      <c r="AS496" s="1783"/>
      <c r="AT496" s="1783"/>
      <c r="AU496" s="1783"/>
      <c r="AV496" s="1783"/>
      <c r="AW496" s="1783"/>
      <c r="AX496" s="1783"/>
      <c r="AY496" s="1783"/>
      <c r="AZ496" s="1783"/>
      <c r="BA496" s="1783"/>
      <c r="BB496" s="1783"/>
      <c r="BC496" s="1783"/>
      <c r="BD496" s="1783"/>
      <c r="BE496" s="1783"/>
      <c r="BF496" s="1783"/>
      <c r="BG496" s="1783"/>
      <c r="BH496" s="1783"/>
      <c r="BI496" s="1783"/>
    </row>
    <row r="497" spans="1:61">
      <c r="A497" s="1819"/>
      <c r="B497" s="1818"/>
      <c r="C497" s="1818"/>
      <c r="D497" s="1818"/>
      <c r="E497" s="1818"/>
      <c r="F497" s="1818"/>
      <c r="G497" s="1818"/>
      <c r="H497" s="1783"/>
      <c r="I497" s="1783"/>
      <c r="J497" s="1783"/>
      <c r="K497" s="1783"/>
      <c r="L497" s="1783"/>
      <c r="M497" s="1783"/>
      <c r="N497" s="1783"/>
      <c r="O497" s="1783"/>
      <c r="P497" s="1783"/>
      <c r="Q497" s="1783"/>
      <c r="R497" s="1783"/>
      <c r="S497" s="1783"/>
      <c r="T497" s="1783"/>
      <c r="U497" s="1783"/>
      <c r="V497" s="1783"/>
      <c r="W497" s="1783"/>
      <c r="X497" s="1783"/>
      <c r="Y497" s="1783"/>
      <c r="Z497" s="1783"/>
      <c r="AA497" s="1783"/>
      <c r="AB497" s="1783"/>
      <c r="AC497" s="1783"/>
      <c r="AD497" s="1783"/>
      <c r="AE497" s="1783"/>
      <c r="AF497" s="1783"/>
      <c r="AG497" s="1783"/>
      <c r="AH497" s="1783"/>
      <c r="AI497" s="1783"/>
      <c r="AJ497" s="1783"/>
      <c r="AK497" s="1783"/>
      <c r="AL497" s="1783"/>
      <c r="AM497" s="1783"/>
      <c r="AN497" s="1783"/>
      <c r="AO497" s="1783"/>
      <c r="AP497" s="1783"/>
      <c r="AQ497" s="1783"/>
      <c r="AR497" s="1783"/>
      <c r="AS497" s="1783"/>
      <c r="AT497" s="1783"/>
      <c r="AU497" s="1783"/>
      <c r="AV497" s="1783"/>
      <c r="AW497" s="1783"/>
      <c r="AX497" s="1783"/>
      <c r="AY497" s="1783"/>
      <c r="AZ497" s="1783"/>
      <c r="BA497" s="1783"/>
      <c r="BB497" s="1783"/>
      <c r="BC497" s="1783"/>
      <c r="BD497" s="1783"/>
      <c r="BE497" s="1783"/>
      <c r="BF497" s="1783"/>
      <c r="BG497" s="1783"/>
      <c r="BH497" s="1783"/>
      <c r="BI497" s="1783"/>
    </row>
    <row r="498" spans="1:61">
      <c r="A498" s="1819"/>
      <c r="B498" s="1818"/>
      <c r="C498" s="1818"/>
      <c r="D498" s="1818"/>
      <c r="E498" s="1818"/>
      <c r="F498" s="1818"/>
      <c r="G498" s="1818"/>
      <c r="H498" s="1783"/>
      <c r="I498" s="1783"/>
      <c r="J498" s="1783"/>
      <c r="K498" s="1783"/>
      <c r="L498" s="1783"/>
      <c r="M498" s="1783"/>
      <c r="N498" s="1783"/>
      <c r="O498" s="1783"/>
      <c r="P498" s="1783"/>
      <c r="Q498" s="1783"/>
      <c r="R498" s="1783"/>
      <c r="S498" s="1783"/>
      <c r="T498" s="1783"/>
      <c r="U498" s="1783"/>
      <c r="V498" s="1783"/>
      <c r="W498" s="1783"/>
      <c r="X498" s="1783"/>
      <c r="Y498" s="1783"/>
      <c r="Z498" s="1783"/>
      <c r="AA498" s="1783"/>
      <c r="AB498" s="1783"/>
      <c r="AC498" s="1783"/>
      <c r="AD498" s="1783"/>
      <c r="AE498" s="1783"/>
      <c r="AF498" s="1783"/>
      <c r="AG498" s="1783"/>
      <c r="AH498" s="1783"/>
      <c r="AI498" s="1783"/>
      <c r="AJ498" s="1783"/>
      <c r="AK498" s="1783"/>
      <c r="AL498" s="1783"/>
      <c r="AM498" s="1783"/>
      <c r="AN498" s="1783"/>
      <c r="AO498" s="1783"/>
      <c r="AP498" s="1783"/>
      <c r="AQ498" s="1783"/>
      <c r="AR498" s="1783"/>
      <c r="AS498" s="1783"/>
      <c r="AT498" s="1783"/>
      <c r="AU498" s="1783"/>
      <c r="AV498" s="1783"/>
      <c r="AW498" s="1783"/>
      <c r="AX498" s="1783"/>
      <c r="AY498" s="1783"/>
      <c r="AZ498" s="1783"/>
      <c r="BA498" s="1783"/>
      <c r="BB498" s="1783"/>
      <c r="BC498" s="1783"/>
      <c r="BD498" s="1783"/>
      <c r="BE498" s="1783"/>
      <c r="BF498" s="1783"/>
      <c r="BG498" s="1783"/>
      <c r="BH498" s="1783"/>
      <c r="BI498" s="1783"/>
    </row>
    <row r="499" spans="1:61">
      <c r="A499" s="1819"/>
      <c r="B499" s="1818"/>
      <c r="C499" s="1818"/>
      <c r="D499" s="1818"/>
      <c r="E499" s="1818"/>
      <c r="F499" s="1818"/>
      <c r="G499" s="1818"/>
      <c r="H499" s="1783"/>
      <c r="I499" s="1783"/>
      <c r="J499" s="1783"/>
      <c r="K499" s="1783"/>
      <c r="L499" s="1783"/>
      <c r="M499" s="1783"/>
      <c r="N499" s="1783"/>
      <c r="O499" s="1783"/>
      <c r="P499" s="1783"/>
      <c r="Q499" s="1783"/>
      <c r="R499" s="1783"/>
      <c r="S499" s="1783"/>
      <c r="T499" s="1783"/>
      <c r="U499" s="1783"/>
      <c r="V499" s="1783"/>
      <c r="W499" s="1783"/>
      <c r="X499" s="1783"/>
      <c r="Y499" s="1783"/>
      <c r="Z499" s="1783"/>
      <c r="AA499" s="1783"/>
      <c r="AB499" s="1783"/>
      <c r="AC499" s="1783"/>
      <c r="AD499" s="1783"/>
      <c r="AE499" s="1783"/>
      <c r="AF499" s="1783"/>
      <c r="AG499" s="1783"/>
      <c r="AH499" s="1783"/>
      <c r="AI499" s="1783"/>
      <c r="AJ499" s="1783"/>
      <c r="AK499" s="1783"/>
      <c r="AL499" s="1783"/>
      <c r="AM499" s="1783"/>
      <c r="AN499" s="1783"/>
      <c r="AO499" s="1783"/>
      <c r="AP499" s="1783"/>
      <c r="AQ499" s="1783"/>
      <c r="AR499" s="1783"/>
      <c r="AS499" s="1783"/>
      <c r="AT499" s="1783"/>
      <c r="AU499" s="1783"/>
      <c r="AV499" s="1783"/>
      <c r="AW499" s="1783"/>
      <c r="AX499" s="1783"/>
      <c r="AY499" s="1783"/>
      <c r="AZ499" s="1783"/>
      <c r="BA499" s="1783"/>
      <c r="BB499" s="1783"/>
      <c r="BC499" s="1783"/>
      <c r="BD499" s="1783"/>
      <c r="BE499" s="1783"/>
      <c r="BF499" s="1783"/>
      <c r="BG499" s="1783"/>
      <c r="BH499" s="1783"/>
      <c r="BI499" s="1783"/>
    </row>
    <row r="500" spans="1:61">
      <c r="A500" s="1819"/>
      <c r="B500" s="1818"/>
      <c r="C500" s="1818"/>
      <c r="D500" s="1818"/>
      <c r="E500" s="1818"/>
      <c r="F500" s="1818"/>
      <c r="G500" s="1818"/>
      <c r="H500" s="1783"/>
      <c r="I500" s="1783"/>
      <c r="J500" s="1783"/>
      <c r="K500" s="1783"/>
      <c r="L500" s="1783"/>
      <c r="M500" s="1783"/>
      <c r="N500" s="1783"/>
      <c r="O500" s="1783"/>
      <c r="P500" s="1783"/>
      <c r="Q500" s="1783"/>
      <c r="R500" s="1783"/>
      <c r="S500" s="1783"/>
      <c r="T500" s="1783"/>
      <c r="U500" s="1783"/>
      <c r="V500" s="1783"/>
      <c r="W500" s="1783"/>
      <c r="X500" s="1783"/>
      <c r="Y500" s="1783"/>
      <c r="Z500" s="1783"/>
      <c r="AA500" s="1783"/>
      <c r="AB500" s="1783"/>
      <c r="AC500" s="1783"/>
      <c r="AD500" s="1783"/>
      <c r="AE500" s="1783"/>
      <c r="AF500" s="1783"/>
      <c r="AG500" s="1783"/>
      <c r="AH500" s="1783"/>
      <c r="AI500" s="1783"/>
      <c r="AJ500" s="1783"/>
      <c r="AK500" s="1783"/>
      <c r="AL500" s="1783"/>
      <c r="AM500" s="1783"/>
      <c r="AN500" s="1783"/>
      <c r="AO500" s="1783"/>
      <c r="AP500" s="1783"/>
      <c r="AQ500" s="1783"/>
      <c r="AR500" s="1783"/>
      <c r="AS500" s="1783"/>
      <c r="AT500" s="1783"/>
      <c r="AU500" s="1783"/>
      <c r="AV500" s="1783"/>
      <c r="AW500" s="1783"/>
      <c r="AX500" s="1783"/>
      <c r="AY500" s="1783"/>
      <c r="AZ500" s="1783"/>
      <c r="BA500" s="1783"/>
      <c r="BB500" s="1783"/>
      <c r="BC500" s="1783"/>
      <c r="BD500" s="1783"/>
      <c r="BE500" s="1783"/>
      <c r="BF500" s="1783"/>
      <c r="BG500" s="1783"/>
      <c r="BH500" s="1783"/>
      <c r="BI500" s="1783"/>
    </row>
    <row r="501" spans="1:61">
      <c r="A501" s="1819"/>
      <c r="B501" s="1818"/>
      <c r="C501" s="1818"/>
      <c r="D501" s="1818"/>
      <c r="E501" s="1818"/>
      <c r="F501" s="1818"/>
      <c r="G501" s="1818"/>
      <c r="H501" s="1783"/>
      <c r="I501" s="1783"/>
      <c r="J501" s="1783"/>
      <c r="K501" s="1783"/>
      <c r="L501" s="1783"/>
      <c r="M501" s="1783"/>
      <c r="N501" s="1783"/>
      <c r="O501" s="1783"/>
      <c r="P501" s="1783"/>
      <c r="Q501" s="1783"/>
      <c r="R501" s="1783"/>
      <c r="S501" s="1783"/>
      <c r="T501" s="1783"/>
      <c r="U501" s="1783"/>
      <c r="V501" s="1783"/>
      <c r="W501" s="1783"/>
      <c r="X501" s="1783"/>
      <c r="Y501" s="1783"/>
      <c r="Z501" s="1783"/>
      <c r="AA501" s="1783"/>
      <c r="AB501" s="1783"/>
      <c r="AC501" s="1783"/>
      <c r="AD501" s="1783"/>
      <c r="AE501" s="1783"/>
      <c r="AF501" s="1783"/>
      <c r="AG501" s="1783"/>
      <c r="AH501" s="1783"/>
      <c r="AI501" s="1783"/>
      <c r="AJ501" s="1783"/>
      <c r="AK501" s="1783"/>
      <c r="AL501" s="1783"/>
      <c r="AM501" s="1783"/>
      <c r="AN501" s="1783"/>
      <c r="AO501" s="1783"/>
      <c r="AP501" s="1783"/>
      <c r="AQ501" s="1783"/>
      <c r="AR501" s="1783"/>
      <c r="AS501" s="1783"/>
      <c r="AT501" s="1783"/>
      <c r="AU501" s="1783"/>
      <c r="AV501" s="1783"/>
      <c r="AW501" s="1783"/>
      <c r="AX501" s="1783"/>
      <c r="AY501" s="1783"/>
      <c r="AZ501" s="1783"/>
      <c r="BA501" s="1783"/>
      <c r="BB501" s="1783"/>
      <c r="BC501" s="1783"/>
      <c r="BD501" s="1783"/>
      <c r="BE501" s="1783"/>
      <c r="BF501" s="1783"/>
      <c r="BG501" s="1783"/>
      <c r="BH501" s="1783"/>
      <c r="BI501" s="1783"/>
    </row>
    <row r="502" spans="1:61">
      <c r="A502" s="1819"/>
      <c r="B502" s="1818"/>
      <c r="C502" s="1818"/>
      <c r="D502" s="1818"/>
      <c r="E502" s="1818"/>
      <c r="F502" s="1818"/>
      <c r="G502" s="1818"/>
      <c r="H502" s="1783"/>
      <c r="I502" s="1783"/>
      <c r="J502" s="1783"/>
      <c r="K502" s="1783"/>
      <c r="L502" s="1783"/>
      <c r="M502" s="1783"/>
      <c r="N502" s="1783"/>
      <c r="O502" s="1783"/>
      <c r="P502" s="1783"/>
      <c r="Q502" s="1783"/>
      <c r="R502" s="1783"/>
      <c r="S502" s="1783"/>
      <c r="T502" s="1783"/>
      <c r="U502" s="1783"/>
      <c r="V502" s="1783"/>
      <c r="W502" s="1783"/>
      <c r="X502" s="1783"/>
      <c r="Y502" s="1783"/>
      <c r="Z502" s="1783"/>
      <c r="AA502" s="1783"/>
      <c r="AB502" s="1783"/>
      <c r="AC502" s="1783"/>
      <c r="AD502" s="1783"/>
      <c r="AE502" s="1783"/>
      <c r="AF502" s="1783"/>
      <c r="AG502" s="1783"/>
      <c r="AH502" s="1783"/>
      <c r="AI502" s="1783"/>
      <c r="AJ502" s="1783"/>
      <c r="AK502" s="1783"/>
      <c r="AL502" s="1783"/>
      <c r="AM502" s="1783"/>
      <c r="AN502" s="1783"/>
      <c r="AO502" s="1783"/>
      <c r="AP502" s="1783"/>
      <c r="AQ502" s="1783"/>
      <c r="AR502" s="1783"/>
      <c r="AS502" s="1783"/>
      <c r="AT502" s="1783"/>
      <c r="AU502" s="1783"/>
      <c r="AV502" s="1783"/>
      <c r="AW502" s="1783"/>
      <c r="AX502" s="1783"/>
      <c r="AY502" s="1783"/>
      <c r="AZ502" s="1783"/>
      <c r="BA502" s="1783"/>
      <c r="BB502" s="1783"/>
      <c r="BC502" s="1783"/>
      <c r="BD502" s="1783"/>
      <c r="BE502" s="1783"/>
      <c r="BF502" s="1783"/>
      <c r="BG502" s="1783"/>
      <c r="BH502" s="1783"/>
      <c r="BI502" s="1783"/>
    </row>
    <row r="503" spans="1:61">
      <c r="A503" s="1819"/>
      <c r="B503" s="1818"/>
      <c r="C503" s="1818"/>
      <c r="D503" s="1818"/>
      <c r="E503" s="1818"/>
      <c r="F503" s="1818"/>
      <c r="G503" s="1818"/>
      <c r="H503" s="1783"/>
      <c r="I503" s="1783"/>
      <c r="J503" s="1783"/>
      <c r="K503" s="1783"/>
      <c r="L503" s="1783"/>
      <c r="M503" s="1783"/>
      <c r="N503" s="1783"/>
      <c r="O503" s="1783"/>
      <c r="P503" s="1783"/>
      <c r="Q503" s="1783"/>
      <c r="R503" s="1783"/>
      <c r="S503" s="1783"/>
      <c r="T503" s="1783"/>
      <c r="U503" s="1783"/>
      <c r="V503" s="1783"/>
      <c r="W503" s="1783"/>
      <c r="X503" s="1783"/>
      <c r="Y503" s="1783"/>
      <c r="Z503" s="1783"/>
      <c r="AA503" s="1783"/>
      <c r="AB503" s="1783"/>
      <c r="AC503" s="1783"/>
      <c r="AD503" s="1783"/>
      <c r="AE503" s="1783"/>
      <c r="AF503" s="1783"/>
      <c r="AG503" s="1783"/>
      <c r="AH503" s="1783"/>
      <c r="AI503" s="1783"/>
      <c r="AJ503" s="1783"/>
      <c r="AK503" s="1783"/>
      <c r="AL503" s="1783"/>
      <c r="AM503" s="1783"/>
      <c r="AN503" s="1783"/>
      <c r="AO503" s="1783"/>
      <c r="AP503" s="1783"/>
      <c r="AQ503" s="1783"/>
      <c r="AR503" s="1783"/>
      <c r="AS503" s="1783"/>
      <c r="AT503" s="1783"/>
      <c r="AU503" s="1783"/>
      <c r="AV503" s="1783"/>
      <c r="AW503" s="1783"/>
      <c r="AX503" s="1783"/>
      <c r="AY503" s="1783"/>
      <c r="AZ503" s="1783"/>
      <c r="BA503" s="1783"/>
      <c r="BB503" s="1783"/>
      <c r="BC503" s="1783"/>
      <c r="BD503" s="1783"/>
      <c r="BE503" s="1783"/>
      <c r="BF503" s="1783"/>
      <c r="BG503" s="1783"/>
      <c r="BH503" s="1783"/>
      <c r="BI503" s="1783"/>
    </row>
    <row r="504" spans="1:61">
      <c r="A504" s="1819"/>
      <c r="B504" s="1818"/>
      <c r="C504" s="1818"/>
      <c r="D504" s="1818"/>
      <c r="E504" s="1818"/>
      <c r="F504" s="1818"/>
      <c r="G504" s="1818"/>
      <c r="H504" s="1783"/>
      <c r="I504" s="1783"/>
      <c r="J504" s="1783"/>
      <c r="K504" s="1783"/>
      <c r="L504" s="1783"/>
      <c r="M504" s="1783"/>
      <c r="N504" s="1783"/>
      <c r="O504" s="1783"/>
      <c r="P504" s="1783"/>
      <c r="Q504" s="1783"/>
      <c r="R504" s="1783"/>
      <c r="S504" s="1783"/>
      <c r="T504" s="1783"/>
      <c r="U504" s="1783"/>
      <c r="V504" s="1783"/>
      <c r="W504" s="1783"/>
      <c r="X504" s="1783"/>
      <c r="Y504" s="1783"/>
      <c r="Z504" s="1783"/>
      <c r="AA504" s="1783"/>
      <c r="AB504" s="1783"/>
      <c r="AC504" s="1783"/>
      <c r="AD504" s="1783"/>
      <c r="AE504" s="1783"/>
      <c r="AF504" s="1783"/>
      <c r="AG504" s="1783"/>
      <c r="AH504" s="1783"/>
      <c r="AI504" s="1783"/>
      <c r="AJ504" s="1783"/>
      <c r="AK504" s="1783"/>
      <c r="AL504" s="1783"/>
      <c r="AM504" s="1783"/>
      <c r="AN504" s="1783"/>
      <c r="AO504" s="1783"/>
      <c r="AP504" s="1783"/>
      <c r="AQ504" s="1783"/>
      <c r="AR504" s="1783"/>
      <c r="AS504" s="1783"/>
      <c r="AT504" s="1783"/>
      <c r="AU504" s="1783"/>
      <c r="AV504" s="1783"/>
      <c r="AW504" s="1783"/>
      <c r="AX504" s="1783"/>
      <c r="AY504" s="1783"/>
      <c r="AZ504" s="1783"/>
      <c r="BA504" s="1783"/>
      <c r="BB504" s="1783"/>
      <c r="BC504" s="1783"/>
      <c r="BD504" s="1783"/>
      <c r="BE504" s="1783"/>
      <c r="BF504" s="1783"/>
      <c r="BG504" s="1783"/>
      <c r="BH504" s="1783"/>
      <c r="BI504" s="1783"/>
    </row>
    <row r="505" spans="1:61">
      <c r="A505" s="1819"/>
      <c r="B505" s="1818"/>
      <c r="C505" s="1818"/>
      <c r="D505" s="1818"/>
      <c r="E505" s="1818"/>
      <c r="F505" s="1818"/>
      <c r="G505" s="1818"/>
      <c r="H505" s="1783"/>
      <c r="I505" s="1783"/>
      <c r="J505" s="1783"/>
      <c r="K505" s="1783"/>
      <c r="L505" s="1783"/>
      <c r="M505" s="1783"/>
      <c r="N505" s="1783"/>
      <c r="O505" s="1783"/>
      <c r="P505" s="1783"/>
      <c r="Q505" s="1783"/>
      <c r="R505" s="1783"/>
      <c r="S505" s="1783"/>
      <c r="T505" s="1783"/>
      <c r="U505" s="1783"/>
      <c r="V505" s="1783"/>
      <c r="W505" s="1783"/>
      <c r="X505" s="1783"/>
      <c r="Y505" s="1783"/>
      <c r="Z505" s="1783"/>
      <c r="AA505" s="1783"/>
      <c r="AB505" s="1783"/>
      <c r="AC505" s="1783"/>
      <c r="AD505" s="1783"/>
      <c r="AE505" s="1783"/>
      <c r="AF505" s="1783"/>
      <c r="AG505" s="1783"/>
      <c r="AH505" s="1783"/>
      <c r="AI505" s="1783"/>
      <c r="AJ505" s="1783"/>
      <c r="AK505" s="1783"/>
      <c r="AL505" s="1783"/>
      <c r="AM505" s="1783"/>
      <c r="AN505" s="1783"/>
      <c r="AO505" s="1783"/>
      <c r="AP505" s="1783"/>
      <c r="AQ505" s="1783"/>
      <c r="AR505" s="1783"/>
      <c r="AS505" s="1783"/>
      <c r="AT505" s="1783"/>
      <c r="AU505" s="1783"/>
      <c r="AV505" s="1783"/>
      <c r="AW505" s="1783"/>
      <c r="AX505" s="1783"/>
      <c r="AY505" s="1783"/>
      <c r="AZ505" s="1783"/>
      <c r="BA505" s="1783"/>
      <c r="BB505" s="1783"/>
      <c r="BC505" s="1783"/>
      <c r="BD505" s="1783"/>
      <c r="BE505" s="1783"/>
      <c r="BF505" s="1783"/>
      <c r="BG505" s="1783"/>
      <c r="BH505" s="1783"/>
      <c r="BI505" s="1783"/>
    </row>
    <row r="506" spans="1:61">
      <c r="A506" s="1819"/>
      <c r="B506" s="1818"/>
      <c r="C506" s="1818"/>
      <c r="D506" s="1818"/>
      <c r="E506" s="1818"/>
      <c r="F506" s="1818"/>
      <c r="G506" s="1818"/>
      <c r="H506" s="1783"/>
      <c r="I506" s="1783"/>
      <c r="J506" s="1783"/>
      <c r="K506" s="1783"/>
      <c r="L506" s="1783"/>
      <c r="M506" s="1783"/>
      <c r="N506" s="1783"/>
      <c r="O506" s="1783"/>
      <c r="P506" s="1783"/>
      <c r="Q506" s="1783"/>
      <c r="R506" s="1783"/>
      <c r="S506" s="1783"/>
      <c r="T506" s="1783"/>
      <c r="U506" s="1783"/>
      <c r="V506" s="1783"/>
      <c r="W506" s="1783"/>
      <c r="X506" s="1783"/>
      <c r="Y506" s="1783"/>
      <c r="Z506" s="1783"/>
      <c r="AA506" s="1783"/>
      <c r="AB506" s="1783"/>
      <c r="AC506" s="1783"/>
      <c r="AD506" s="1783"/>
      <c r="AE506" s="1783"/>
      <c r="AF506" s="1783"/>
      <c r="AG506" s="1783"/>
      <c r="AH506" s="1783"/>
      <c r="AI506" s="1783"/>
      <c r="AJ506" s="1783"/>
      <c r="AK506" s="1783"/>
      <c r="AL506" s="1783"/>
      <c r="AM506" s="1783"/>
      <c r="AN506" s="1783"/>
      <c r="AO506" s="1783"/>
      <c r="AP506" s="1783"/>
      <c r="AQ506" s="1783"/>
      <c r="AR506" s="1783"/>
      <c r="AS506" s="1783"/>
      <c r="AT506" s="1783"/>
      <c r="AU506" s="1783"/>
      <c r="AV506" s="1783"/>
      <c r="AW506" s="1783"/>
      <c r="AX506" s="1783"/>
      <c r="AY506" s="1783"/>
      <c r="AZ506" s="1783"/>
      <c r="BA506" s="1783"/>
      <c r="BB506" s="1783"/>
      <c r="BC506" s="1783"/>
      <c r="BD506" s="1783"/>
      <c r="BE506" s="1783"/>
      <c r="BF506" s="1783"/>
      <c r="BG506" s="1783"/>
      <c r="BH506" s="1783"/>
      <c r="BI506" s="1783"/>
    </row>
    <row r="507" spans="1:61">
      <c r="A507" s="1819"/>
      <c r="B507" s="1818"/>
      <c r="C507" s="1818"/>
      <c r="D507" s="1818"/>
      <c r="E507" s="1818"/>
      <c r="F507" s="1818"/>
      <c r="G507" s="1818"/>
      <c r="H507" s="1783"/>
      <c r="I507" s="1783"/>
      <c r="J507" s="1783"/>
      <c r="K507" s="1783"/>
      <c r="L507" s="1783"/>
      <c r="M507" s="1783"/>
      <c r="N507" s="1783"/>
      <c r="O507" s="1783"/>
      <c r="P507" s="1783"/>
      <c r="Q507" s="1783"/>
      <c r="R507" s="1783"/>
      <c r="S507" s="1783"/>
      <c r="T507" s="1783"/>
      <c r="U507" s="1783"/>
      <c r="V507" s="1783"/>
      <c r="W507" s="1783"/>
      <c r="X507" s="1783"/>
      <c r="Y507" s="1783"/>
      <c r="Z507" s="1783"/>
      <c r="AA507" s="1783"/>
      <c r="AB507" s="1783"/>
      <c r="AC507" s="1783"/>
      <c r="AD507" s="1783"/>
      <c r="AE507" s="1783"/>
      <c r="AF507" s="1783"/>
      <c r="AG507" s="1783"/>
      <c r="AH507" s="1783"/>
      <c r="AI507" s="1783"/>
      <c r="AJ507" s="1783"/>
      <c r="AK507" s="1783"/>
      <c r="AL507" s="1783"/>
      <c r="AM507" s="1783"/>
      <c r="AN507" s="1783"/>
      <c r="AO507" s="1783"/>
      <c r="AP507" s="1783"/>
      <c r="AQ507" s="1783"/>
      <c r="AR507" s="1783"/>
      <c r="AS507" s="1783"/>
      <c r="AT507" s="1783"/>
      <c r="AU507" s="1783"/>
      <c r="AV507" s="1783"/>
      <c r="AW507" s="1783"/>
      <c r="AX507" s="1783"/>
      <c r="AY507" s="1783"/>
      <c r="AZ507" s="1783"/>
      <c r="BA507" s="1783"/>
      <c r="BB507" s="1783"/>
      <c r="BC507" s="1783"/>
      <c r="BD507" s="1783"/>
      <c r="BE507" s="1783"/>
      <c r="BF507" s="1783"/>
      <c r="BG507" s="1783"/>
      <c r="BH507" s="1783"/>
      <c r="BI507" s="1783"/>
    </row>
    <row r="508" spans="1:61">
      <c r="A508" s="1819"/>
      <c r="B508" s="1818"/>
      <c r="C508" s="1818"/>
      <c r="D508" s="1818"/>
      <c r="E508" s="1818"/>
      <c r="F508" s="1818"/>
      <c r="G508" s="1818"/>
      <c r="H508" s="1783"/>
      <c r="I508" s="1783"/>
      <c r="J508" s="1783"/>
      <c r="K508" s="1783"/>
      <c r="L508" s="1783"/>
      <c r="M508" s="1783"/>
      <c r="N508" s="1783"/>
      <c r="O508" s="1783"/>
      <c r="P508" s="1783"/>
      <c r="Q508" s="1783"/>
      <c r="R508" s="1783"/>
      <c r="S508" s="1783"/>
      <c r="T508" s="1783"/>
      <c r="U508" s="1783"/>
      <c r="V508" s="1783"/>
      <c r="W508" s="1783"/>
      <c r="X508" s="1783"/>
      <c r="Y508" s="1783"/>
      <c r="Z508" s="1783"/>
      <c r="AA508" s="1783"/>
      <c r="AB508" s="1783"/>
      <c r="AC508" s="1783"/>
      <c r="AD508" s="1783"/>
      <c r="AE508" s="1783"/>
      <c r="AF508" s="1783"/>
      <c r="AG508" s="1783"/>
      <c r="AH508" s="1783"/>
      <c r="AI508" s="1783"/>
      <c r="AJ508" s="1783"/>
      <c r="AK508" s="1783"/>
      <c r="AL508" s="1783"/>
      <c r="AM508" s="1783"/>
      <c r="AN508" s="1783"/>
      <c r="AO508" s="1783"/>
      <c r="AP508" s="1783"/>
      <c r="AQ508" s="1783"/>
      <c r="AR508" s="1783"/>
      <c r="AS508" s="1783"/>
      <c r="AT508" s="1783"/>
      <c r="AU508" s="1783"/>
      <c r="AV508" s="1783"/>
      <c r="AW508" s="1783"/>
      <c r="AX508" s="1783"/>
      <c r="AY508" s="1783"/>
      <c r="AZ508" s="1783"/>
      <c r="BA508" s="1783"/>
      <c r="BB508" s="1783"/>
      <c r="BC508" s="1783"/>
      <c r="BD508" s="1783"/>
      <c r="BE508" s="1783"/>
      <c r="BF508" s="1783"/>
      <c r="BG508" s="1783"/>
      <c r="BH508" s="1783"/>
      <c r="BI508" s="1783"/>
    </row>
    <row r="509" spans="1:61">
      <c r="A509" s="1819"/>
      <c r="B509" s="1818"/>
      <c r="C509" s="1818"/>
      <c r="D509" s="1818"/>
      <c r="E509" s="1818"/>
      <c r="F509" s="1818"/>
      <c r="G509" s="1818"/>
      <c r="H509" s="1783"/>
      <c r="I509" s="1783"/>
      <c r="J509" s="1783"/>
      <c r="K509" s="1783"/>
      <c r="L509" s="1783"/>
      <c r="M509" s="1783"/>
      <c r="N509" s="1783"/>
      <c r="O509" s="1783"/>
      <c r="P509" s="1783"/>
      <c r="Q509" s="1783"/>
      <c r="R509" s="1783"/>
      <c r="S509" s="1783"/>
      <c r="T509" s="1783"/>
      <c r="U509" s="1783"/>
      <c r="V509" s="1783"/>
      <c r="W509" s="1783"/>
      <c r="X509" s="1783"/>
      <c r="Y509" s="1783"/>
      <c r="Z509" s="1783"/>
      <c r="AA509" s="1783"/>
      <c r="AB509" s="1783"/>
      <c r="AC509" s="1783"/>
      <c r="AD509" s="1783"/>
      <c r="AE509" s="1783"/>
      <c r="AF509" s="1783"/>
      <c r="AG509" s="1783"/>
      <c r="AH509" s="1783"/>
      <c r="AI509" s="1783"/>
      <c r="AJ509" s="1783"/>
      <c r="AK509" s="1783"/>
      <c r="AL509" s="1783"/>
      <c r="AM509" s="1783"/>
      <c r="AN509" s="1783"/>
      <c r="AO509" s="1783"/>
      <c r="AP509" s="1783"/>
      <c r="AQ509" s="1783"/>
      <c r="AR509" s="1783"/>
      <c r="AS509" s="1783"/>
      <c r="AT509" s="1783"/>
      <c r="AU509" s="1783"/>
      <c r="AV509" s="1783"/>
      <c r="AW509" s="1783"/>
      <c r="AX509" s="1783"/>
      <c r="AY509" s="1783"/>
      <c r="AZ509" s="1783"/>
      <c r="BA509" s="1783"/>
      <c r="BB509" s="1783"/>
      <c r="BC509" s="1783"/>
      <c r="BD509" s="1783"/>
      <c r="BE509" s="1783"/>
      <c r="BF509" s="1783"/>
      <c r="BG509" s="1783"/>
      <c r="BH509" s="1783"/>
      <c r="BI509" s="1783"/>
    </row>
    <row r="510" spans="1:61">
      <c r="A510" s="1819"/>
      <c r="B510" s="1818"/>
      <c r="C510" s="1818"/>
      <c r="D510" s="1818"/>
      <c r="E510" s="1818"/>
      <c r="F510" s="1818"/>
      <c r="G510" s="1818"/>
      <c r="H510" s="1783"/>
      <c r="I510" s="1783"/>
      <c r="J510" s="1783"/>
      <c r="K510" s="1783"/>
      <c r="L510" s="1783"/>
      <c r="M510" s="1783"/>
      <c r="N510" s="1783"/>
      <c r="O510" s="1783"/>
      <c r="P510" s="1783"/>
      <c r="Q510" s="1783"/>
      <c r="R510" s="1783"/>
      <c r="S510" s="1783"/>
      <c r="T510" s="1783"/>
      <c r="U510" s="1783"/>
      <c r="V510" s="1783"/>
      <c r="W510" s="1783"/>
      <c r="X510" s="1783"/>
      <c r="Y510" s="1783"/>
      <c r="Z510" s="1783"/>
      <c r="AA510" s="1783"/>
      <c r="AB510" s="1783"/>
      <c r="AC510" s="1783"/>
      <c r="AD510" s="1783"/>
      <c r="AE510" s="1783"/>
      <c r="AF510" s="1783"/>
      <c r="AG510" s="1783"/>
      <c r="AH510" s="1783"/>
      <c r="AI510" s="1783"/>
      <c r="AJ510" s="1783"/>
      <c r="AK510" s="1783"/>
      <c r="AL510" s="1783"/>
      <c r="AM510" s="1783"/>
      <c r="AN510" s="1783"/>
      <c r="AO510" s="1783"/>
      <c r="AP510" s="1783"/>
      <c r="AQ510" s="1783"/>
      <c r="AR510" s="1783"/>
      <c r="AS510" s="1783"/>
      <c r="AT510" s="1783"/>
      <c r="AU510" s="1783"/>
      <c r="AV510" s="1783"/>
      <c r="AW510" s="1783"/>
      <c r="AX510" s="1783"/>
      <c r="AY510" s="1783"/>
      <c r="AZ510" s="1783"/>
      <c r="BA510" s="1783"/>
      <c r="BB510" s="1783"/>
      <c r="BC510" s="1783"/>
      <c r="BD510" s="1783"/>
      <c r="BE510" s="1783"/>
      <c r="BF510" s="1783"/>
      <c r="BG510" s="1783"/>
      <c r="BH510" s="1783"/>
      <c r="BI510" s="1783"/>
    </row>
    <row r="511" spans="1:61">
      <c r="A511" s="1819"/>
      <c r="B511" s="1818"/>
      <c r="C511" s="1818"/>
      <c r="D511" s="1818"/>
      <c r="E511" s="1818"/>
      <c r="F511" s="1818"/>
      <c r="G511" s="1818"/>
      <c r="H511" s="1783"/>
      <c r="I511" s="1783"/>
      <c r="J511" s="1783"/>
      <c r="K511" s="1783"/>
      <c r="L511" s="1783"/>
      <c r="M511" s="1783"/>
      <c r="N511" s="1783"/>
      <c r="O511" s="1783"/>
      <c r="P511" s="1783"/>
      <c r="Q511" s="1783"/>
      <c r="R511" s="1783"/>
      <c r="S511" s="1783"/>
      <c r="T511" s="1783"/>
      <c r="U511" s="1783"/>
      <c r="V511" s="1783"/>
      <c r="W511" s="1783"/>
      <c r="X511" s="1783"/>
      <c r="Y511" s="1783"/>
      <c r="Z511" s="1783"/>
      <c r="AA511" s="1783"/>
      <c r="AB511" s="1783"/>
      <c r="AC511" s="1783"/>
      <c r="AD511" s="1783"/>
      <c r="AE511" s="1783"/>
      <c r="AF511" s="1783"/>
      <c r="AG511" s="1783"/>
      <c r="AH511" s="1783"/>
      <c r="AI511" s="1783"/>
      <c r="AJ511" s="1783"/>
      <c r="AK511" s="1783"/>
      <c r="AL511" s="1783"/>
      <c r="AM511" s="1783"/>
      <c r="AN511" s="1783"/>
      <c r="AO511" s="1783"/>
      <c r="AP511" s="1783"/>
      <c r="AQ511" s="1783"/>
      <c r="AR511" s="1783"/>
      <c r="AS511" s="1783"/>
      <c r="AT511" s="1783"/>
      <c r="AU511" s="1783"/>
      <c r="AV511" s="1783"/>
      <c r="AW511" s="1783"/>
      <c r="AX511" s="1783"/>
      <c r="AY511" s="1783"/>
      <c r="AZ511" s="1783"/>
      <c r="BA511" s="1783"/>
      <c r="BB511" s="1783"/>
      <c r="BC511" s="1783"/>
      <c r="BD511" s="1783"/>
      <c r="BE511" s="1783"/>
      <c r="BF511" s="1783"/>
      <c r="BG511" s="1783"/>
      <c r="BH511" s="1783"/>
      <c r="BI511" s="1783"/>
    </row>
    <row r="512" spans="1:61">
      <c r="A512" s="1819"/>
      <c r="B512" s="1818"/>
      <c r="C512" s="1818"/>
      <c r="D512" s="1818"/>
      <c r="E512" s="1818"/>
      <c r="F512" s="1818"/>
      <c r="G512" s="1818"/>
      <c r="H512" s="1783"/>
      <c r="I512" s="1783"/>
      <c r="J512" s="1783"/>
      <c r="K512" s="1783"/>
      <c r="L512" s="1783"/>
      <c r="M512" s="1783"/>
      <c r="N512" s="1783"/>
      <c r="O512" s="1783"/>
      <c r="P512" s="1783"/>
      <c r="Q512" s="1783"/>
      <c r="R512" s="1783"/>
      <c r="S512" s="1783"/>
      <c r="T512" s="1783"/>
      <c r="U512" s="1783"/>
      <c r="V512" s="1783"/>
      <c r="W512" s="1783"/>
      <c r="X512" s="1783"/>
      <c r="Y512" s="1783"/>
      <c r="Z512" s="1783"/>
      <c r="AA512" s="1783"/>
      <c r="AB512" s="1783"/>
      <c r="AC512" s="1783"/>
      <c r="AD512" s="1783"/>
      <c r="AE512" s="1783"/>
      <c r="AF512" s="1783"/>
      <c r="AG512" s="1783"/>
      <c r="AH512" s="1783"/>
      <c r="AI512" s="1783"/>
      <c r="AJ512" s="1783"/>
      <c r="AK512" s="1783"/>
      <c r="AL512" s="1783"/>
      <c r="AM512" s="1783"/>
      <c r="AN512" s="1783"/>
      <c r="AO512" s="1783"/>
      <c r="AP512" s="1783"/>
      <c r="AQ512" s="1783"/>
      <c r="AR512" s="1783"/>
      <c r="AS512" s="1783"/>
      <c r="AT512" s="1783"/>
      <c r="AU512" s="1783"/>
      <c r="AV512" s="1783"/>
      <c r="AW512" s="1783"/>
      <c r="AX512" s="1783"/>
      <c r="AY512" s="1783"/>
      <c r="AZ512" s="1783"/>
      <c r="BA512" s="1783"/>
      <c r="BB512" s="1783"/>
      <c r="BC512" s="1783"/>
      <c r="BD512" s="1783"/>
      <c r="BE512" s="1783"/>
      <c r="BF512" s="1783"/>
      <c r="BG512" s="1783"/>
      <c r="BH512" s="1783"/>
      <c r="BI512" s="1783"/>
    </row>
    <row r="513" spans="1:61">
      <c r="A513" s="1819"/>
      <c r="B513" s="1818"/>
      <c r="C513" s="1818"/>
      <c r="D513" s="1818"/>
      <c r="E513" s="1818"/>
      <c r="F513" s="1818"/>
      <c r="G513" s="1818"/>
      <c r="H513" s="1783"/>
      <c r="I513" s="1783"/>
      <c r="J513" s="1783"/>
      <c r="K513" s="1783"/>
      <c r="L513" s="1783"/>
      <c r="M513" s="1783"/>
      <c r="N513" s="1783"/>
      <c r="O513" s="1783"/>
      <c r="P513" s="1783"/>
      <c r="Q513" s="1783"/>
      <c r="R513" s="1783"/>
      <c r="S513" s="1783"/>
      <c r="T513" s="1783"/>
      <c r="U513" s="1783"/>
      <c r="V513" s="1783"/>
      <c r="W513" s="1783"/>
      <c r="X513" s="1783"/>
      <c r="Y513" s="1783"/>
      <c r="Z513" s="1783"/>
      <c r="AA513" s="1783"/>
      <c r="AB513" s="1783"/>
      <c r="AC513" s="1783"/>
      <c r="AD513" s="1783"/>
      <c r="AE513" s="1783"/>
      <c r="AF513" s="1783"/>
      <c r="AG513" s="1783"/>
      <c r="AH513" s="1783"/>
      <c r="AI513" s="1783"/>
      <c r="AJ513" s="1783"/>
      <c r="AK513" s="1783"/>
      <c r="AL513" s="1783"/>
      <c r="AM513" s="1783"/>
      <c r="AN513" s="1783"/>
      <c r="AO513" s="1783"/>
      <c r="AP513" s="1783"/>
      <c r="AQ513" s="1783"/>
      <c r="AR513" s="1783"/>
      <c r="AS513" s="1783"/>
      <c r="AT513" s="1783"/>
      <c r="AU513" s="1783"/>
      <c r="AV513" s="1783"/>
      <c r="AW513" s="1783"/>
      <c r="AX513" s="1783"/>
      <c r="AY513" s="1783"/>
      <c r="AZ513" s="1783"/>
      <c r="BA513" s="1783"/>
      <c r="BB513" s="1783"/>
      <c r="BC513" s="1783"/>
      <c r="BD513" s="1783"/>
      <c r="BE513" s="1783"/>
      <c r="BF513" s="1783"/>
      <c r="BG513" s="1783"/>
      <c r="BH513" s="1783"/>
      <c r="BI513" s="1783"/>
    </row>
    <row r="514" spans="1:61">
      <c r="A514" s="1819"/>
      <c r="B514" s="1818"/>
      <c r="C514" s="1818"/>
      <c r="D514" s="1818"/>
      <c r="E514" s="1818"/>
      <c r="F514" s="1818"/>
      <c r="G514" s="1818"/>
      <c r="H514" s="1783"/>
      <c r="I514" s="1783"/>
      <c r="J514" s="1783"/>
      <c r="K514" s="1783"/>
      <c r="L514" s="1783"/>
      <c r="M514" s="1783"/>
      <c r="N514" s="1783"/>
      <c r="O514" s="1783"/>
      <c r="P514" s="1783"/>
      <c r="Q514" s="1783"/>
      <c r="R514" s="1783"/>
      <c r="S514" s="1783"/>
      <c r="T514" s="1783"/>
      <c r="U514" s="1783"/>
      <c r="V514" s="1783"/>
      <c r="W514" s="1783"/>
      <c r="X514" s="1783"/>
      <c r="Y514" s="1783"/>
      <c r="Z514" s="1783"/>
      <c r="AA514" s="1783"/>
      <c r="AB514" s="1783"/>
      <c r="AC514" s="1783"/>
      <c r="AD514" s="1783"/>
      <c r="AE514" s="1783"/>
      <c r="AF514" s="1783"/>
      <c r="AG514" s="1783"/>
      <c r="AH514" s="1783"/>
      <c r="AI514" s="1783"/>
      <c r="AJ514" s="1783"/>
      <c r="AK514" s="1783"/>
      <c r="AL514" s="1783"/>
      <c r="AM514" s="1783"/>
      <c r="AN514" s="1783"/>
      <c r="AO514" s="1783"/>
      <c r="AP514" s="1783"/>
      <c r="AQ514" s="1783"/>
      <c r="AR514" s="1783"/>
      <c r="AS514" s="1783"/>
      <c r="AT514" s="1783"/>
      <c r="AU514" s="1783"/>
      <c r="AV514" s="1783"/>
      <c r="AW514" s="1783"/>
      <c r="AX514" s="1783"/>
      <c r="AY514" s="1783"/>
      <c r="AZ514" s="1783"/>
      <c r="BA514" s="1783"/>
      <c r="BB514" s="1783"/>
      <c r="BC514" s="1783"/>
      <c r="BD514" s="1783"/>
      <c r="BE514" s="1783"/>
      <c r="BF514" s="1783"/>
      <c r="BG514" s="1783"/>
      <c r="BH514" s="1783"/>
      <c r="BI514" s="1783"/>
    </row>
    <row r="515" spans="1:61">
      <c r="A515" s="1819"/>
      <c r="B515" s="1818"/>
      <c r="C515" s="1818"/>
      <c r="D515" s="1818"/>
      <c r="E515" s="1818"/>
      <c r="F515" s="1818"/>
      <c r="G515" s="1818"/>
      <c r="H515" s="1783"/>
      <c r="I515" s="1783"/>
      <c r="J515" s="1783"/>
      <c r="K515" s="1783"/>
      <c r="L515" s="1783"/>
      <c r="M515" s="1783"/>
      <c r="N515" s="1783"/>
      <c r="O515" s="1783"/>
      <c r="P515" s="1783"/>
      <c r="Q515" s="1783"/>
      <c r="R515" s="1783"/>
      <c r="S515" s="1783"/>
      <c r="T515" s="1783"/>
      <c r="U515" s="1783"/>
      <c r="V515" s="1783"/>
      <c r="W515" s="1783"/>
      <c r="X515" s="1783"/>
      <c r="Y515" s="1783"/>
      <c r="Z515" s="1783"/>
      <c r="AA515" s="1783"/>
      <c r="AB515" s="1783"/>
      <c r="AC515" s="1783"/>
      <c r="AD515" s="1783"/>
      <c r="AE515" s="1783"/>
      <c r="AF515" s="1783"/>
      <c r="AG515" s="1783"/>
      <c r="AH515" s="1783"/>
      <c r="AI515" s="1783"/>
      <c r="AJ515" s="1783"/>
      <c r="AK515" s="1783"/>
      <c r="AL515" s="1783"/>
      <c r="AM515" s="1783"/>
      <c r="AN515" s="1783"/>
      <c r="AO515" s="1783"/>
      <c r="AP515" s="1783"/>
      <c r="AQ515" s="1783"/>
      <c r="AR515" s="1783"/>
      <c r="AS515" s="1783"/>
      <c r="AT515" s="1783"/>
      <c r="AU515" s="1783"/>
      <c r="AV515" s="1783"/>
      <c r="AW515" s="1783"/>
      <c r="AX515" s="1783"/>
      <c r="AY515" s="1783"/>
      <c r="AZ515" s="1783"/>
      <c r="BA515" s="1783"/>
      <c r="BB515" s="1783"/>
      <c r="BC515" s="1783"/>
      <c r="BD515" s="1783"/>
      <c r="BE515" s="1783"/>
      <c r="BF515" s="1783"/>
      <c r="BG515" s="1783"/>
      <c r="BH515" s="1783"/>
      <c r="BI515" s="1783"/>
    </row>
    <row r="516" spans="1:61">
      <c r="A516" s="1819"/>
      <c r="B516" s="1818"/>
      <c r="C516" s="1818"/>
      <c r="D516" s="1818"/>
      <c r="E516" s="1818"/>
      <c r="F516" s="1818"/>
      <c r="G516" s="1818"/>
      <c r="H516" s="1783"/>
      <c r="I516" s="1783"/>
      <c r="J516" s="1783"/>
      <c r="K516" s="1783"/>
      <c r="L516" s="1783"/>
      <c r="M516" s="1783"/>
      <c r="N516" s="1783"/>
      <c r="O516" s="1783"/>
      <c r="P516" s="1783"/>
      <c r="Q516" s="1783"/>
      <c r="R516" s="1783"/>
      <c r="S516" s="1783"/>
      <c r="T516" s="1783"/>
      <c r="U516" s="1783"/>
      <c r="V516" s="1783"/>
      <c r="W516" s="1783"/>
      <c r="X516" s="1783"/>
      <c r="Y516" s="1783"/>
      <c r="Z516" s="1783"/>
      <c r="AA516" s="1783"/>
      <c r="AB516" s="1783"/>
      <c r="AC516" s="1783"/>
      <c r="AD516" s="1783"/>
      <c r="AE516" s="1783"/>
      <c r="AF516" s="1783"/>
      <c r="AG516" s="1783"/>
      <c r="AH516" s="1783"/>
      <c r="AI516" s="1783"/>
      <c r="AJ516" s="1783"/>
      <c r="AK516" s="1783"/>
      <c r="AL516" s="1783"/>
      <c r="AM516" s="1783"/>
      <c r="AN516" s="1783"/>
      <c r="AO516" s="1783"/>
      <c r="AP516" s="1783"/>
      <c r="AQ516" s="1783"/>
      <c r="AR516" s="1783"/>
      <c r="AS516" s="1783"/>
      <c r="AT516" s="1783"/>
      <c r="AU516" s="1783"/>
      <c r="AV516" s="1783"/>
      <c r="AW516" s="1783"/>
      <c r="AX516" s="1783"/>
      <c r="AY516" s="1783"/>
      <c r="AZ516" s="1783"/>
      <c r="BA516" s="1783"/>
      <c r="BB516" s="1783"/>
      <c r="BC516" s="1783"/>
      <c r="BD516" s="1783"/>
      <c r="BE516" s="1783"/>
      <c r="BF516" s="1783"/>
      <c r="BG516" s="1783"/>
      <c r="BH516" s="1783"/>
      <c r="BI516" s="1783"/>
    </row>
    <row r="517" spans="1:61">
      <c r="A517" s="1819"/>
      <c r="B517" s="1818"/>
      <c r="C517" s="1818"/>
      <c r="D517" s="1818"/>
      <c r="E517" s="1818"/>
      <c r="F517" s="1818"/>
      <c r="G517" s="1818"/>
      <c r="H517" s="1783"/>
      <c r="I517" s="1783"/>
      <c r="J517" s="1783"/>
      <c r="K517" s="1783"/>
      <c r="L517" s="1783"/>
      <c r="M517" s="1783"/>
      <c r="N517" s="1783"/>
      <c r="O517" s="1783"/>
      <c r="P517" s="1783"/>
      <c r="Q517" s="1783"/>
      <c r="R517" s="1783"/>
      <c r="S517" s="1783"/>
      <c r="T517" s="1783"/>
      <c r="U517" s="1783"/>
      <c r="V517" s="1783"/>
      <c r="W517" s="1783"/>
      <c r="X517" s="1783"/>
      <c r="Y517" s="1783"/>
      <c r="Z517" s="1783"/>
      <c r="AA517" s="1783"/>
      <c r="AB517" s="1783"/>
      <c r="AC517" s="1783"/>
      <c r="AD517" s="1783"/>
      <c r="AE517" s="1783"/>
      <c r="AF517" s="1783"/>
      <c r="AG517" s="1783"/>
      <c r="AH517" s="1783"/>
      <c r="AI517" s="1783"/>
      <c r="AJ517" s="1783"/>
      <c r="AK517" s="1783"/>
      <c r="AL517" s="1783"/>
      <c r="AM517" s="1783"/>
      <c r="AN517" s="1783"/>
      <c r="AO517" s="1783"/>
      <c r="AP517" s="1783"/>
      <c r="AQ517" s="1783"/>
      <c r="AR517" s="1783"/>
      <c r="AS517" s="1783"/>
      <c r="AT517" s="1783"/>
      <c r="AU517" s="1783"/>
      <c r="AV517" s="1783"/>
      <c r="AW517" s="1783"/>
      <c r="AX517" s="1783"/>
      <c r="AY517" s="1783"/>
      <c r="AZ517" s="1783"/>
      <c r="BA517" s="1783"/>
      <c r="BB517" s="1783"/>
      <c r="BC517" s="1783"/>
      <c r="BD517" s="1783"/>
      <c r="BE517" s="1783"/>
      <c r="BF517" s="1783"/>
      <c r="BG517" s="1783"/>
      <c r="BH517" s="1783"/>
      <c r="BI517" s="1783"/>
    </row>
    <row r="518" spans="1:61">
      <c r="A518" s="1819"/>
      <c r="B518" s="1818"/>
      <c r="C518" s="1818"/>
      <c r="D518" s="1818"/>
      <c r="E518" s="1818"/>
      <c r="F518" s="1818"/>
      <c r="G518" s="1818"/>
      <c r="H518" s="1783"/>
      <c r="I518" s="1783"/>
      <c r="J518" s="1783"/>
      <c r="K518" s="1783"/>
      <c r="L518" s="1783"/>
      <c r="M518" s="1783"/>
      <c r="N518" s="1783"/>
      <c r="O518" s="1783"/>
      <c r="P518" s="1783"/>
      <c r="Q518" s="1783"/>
      <c r="R518" s="1783"/>
      <c r="S518" s="1783"/>
      <c r="T518" s="1783"/>
      <c r="U518" s="1783"/>
      <c r="V518" s="1783"/>
      <c r="W518" s="1783"/>
      <c r="X518" s="1783"/>
      <c r="Y518" s="1783"/>
      <c r="Z518" s="1783"/>
      <c r="AA518" s="1783"/>
      <c r="AB518" s="1783"/>
      <c r="AC518" s="1783"/>
      <c r="AD518" s="1783"/>
      <c r="AE518" s="1783"/>
      <c r="AF518" s="1783"/>
      <c r="AG518" s="1783"/>
      <c r="AH518" s="1783"/>
      <c r="AI518" s="1783"/>
      <c r="AJ518" s="1783"/>
      <c r="AK518" s="1783"/>
      <c r="AL518" s="1783"/>
      <c r="AM518" s="1783"/>
      <c r="AN518" s="1783"/>
      <c r="AO518" s="1783"/>
      <c r="AP518" s="1783"/>
      <c r="AQ518" s="1783"/>
      <c r="AR518" s="1783"/>
      <c r="AS518" s="1783"/>
      <c r="AT518" s="1783"/>
      <c r="AU518" s="1783"/>
      <c r="AV518" s="1783"/>
      <c r="AW518" s="1783"/>
      <c r="AX518" s="1783"/>
      <c r="AY518" s="1783"/>
      <c r="AZ518" s="1783"/>
      <c r="BA518" s="1783"/>
      <c r="BB518" s="1783"/>
      <c r="BC518" s="1783"/>
      <c r="BD518" s="1783"/>
      <c r="BE518" s="1783"/>
      <c r="BF518" s="1783"/>
      <c r="BG518" s="1783"/>
      <c r="BH518" s="1783"/>
      <c r="BI518" s="1783"/>
    </row>
    <row r="519" spans="1:61">
      <c r="A519" s="1819"/>
      <c r="B519" s="1818"/>
      <c r="C519" s="1818"/>
      <c r="D519" s="1818"/>
      <c r="E519" s="1818"/>
      <c r="F519" s="1818"/>
      <c r="G519" s="1818"/>
      <c r="H519" s="1783"/>
      <c r="I519" s="1783"/>
      <c r="J519" s="1783"/>
      <c r="K519" s="1783"/>
      <c r="L519" s="1783"/>
      <c r="M519" s="1783"/>
      <c r="N519" s="1783"/>
      <c r="O519" s="1783"/>
      <c r="P519" s="1783"/>
      <c r="Q519" s="1783"/>
      <c r="R519" s="1783"/>
      <c r="S519" s="1783"/>
      <c r="T519" s="1783"/>
      <c r="U519" s="1783"/>
      <c r="V519" s="1783"/>
      <c r="W519" s="1783"/>
      <c r="X519" s="1783"/>
      <c r="Y519" s="1783"/>
      <c r="Z519" s="1783"/>
      <c r="AA519" s="1783"/>
      <c r="AB519" s="1783"/>
      <c r="AC519" s="1783"/>
      <c r="AD519" s="1783"/>
      <c r="AE519" s="1783"/>
      <c r="AF519" s="1783"/>
      <c r="AG519" s="1783"/>
      <c r="AH519" s="1783"/>
      <c r="AI519" s="1783"/>
      <c r="AJ519" s="1783"/>
      <c r="AK519" s="1783"/>
      <c r="AL519" s="1783"/>
      <c r="AM519" s="1783"/>
      <c r="AN519" s="1783"/>
      <c r="AO519" s="1783"/>
      <c r="AP519" s="1783"/>
      <c r="AQ519" s="1783"/>
      <c r="AR519" s="1783"/>
      <c r="AS519" s="1783"/>
      <c r="AT519" s="1783"/>
      <c r="AU519" s="1783"/>
      <c r="AV519" s="1783"/>
      <c r="AW519" s="1783"/>
      <c r="AX519" s="1783"/>
      <c r="AY519" s="1783"/>
      <c r="AZ519" s="1783"/>
      <c r="BA519" s="1783"/>
      <c r="BB519" s="1783"/>
      <c r="BC519" s="1783"/>
      <c r="BD519" s="1783"/>
      <c r="BE519" s="1783"/>
      <c r="BF519" s="1783"/>
      <c r="BG519" s="1783"/>
      <c r="BH519" s="1783"/>
      <c r="BI519" s="1783"/>
    </row>
    <row r="520" spans="1:61">
      <c r="A520" s="1819"/>
      <c r="B520" s="1818"/>
      <c r="C520" s="1818"/>
      <c r="D520" s="1818"/>
      <c r="E520" s="1818"/>
      <c r="F520" s="1818"/>
      <c r="G520" s="1818"/>
      <c r="H520" s="1783"/>
      <c r="I520" s="1783"/>
      <c r="J520" s="1783"/>
      <c r="K520" s="1783"/>
      <c r="L520" s="1783"/>
      <c r="M520" s="1783"/>
      <c r="N520" s="1783"/>
      <c r="O520" s="1783"/>
      <c r="P520" s="1783"/>
      <c r="Q520" s="1783"/>
      <c r="R520" s="1783"/>
      <c r="S520" s="1783"/>
      <c r="T520" s="1783"/>
      <c r="U520" s="1783"/>
      <c r="V520" s="1783"/>
      <c r="W520" s="1783"/>
      <c r="X520" s="1783"/>
      <c r="Y520" s="1783"/>
      <c r="Z520" s="1783"/>
      <c r="AA520" s="1783"/>
      <c r="AB520" s="1783"/>
      <c r="AC520" s="1783"/>
      <c r="AD520" s="1783"/>
      <c r="AE520" s="1783"/>
      <c r="AF520" s="1783"/>
      <c r="AG520" s="1783"/>
      <c r="AH520" s="1783"/>
      <c r="AI520" s="1783"/>
      <c r="AJ520" s="1783"/>
      <c r="AK520" s="1783"/>
      <c r="AL520" s="1783"/>
      <c r="AM520" s="1783"/>
      <c r="AN520" s="1783"/>
      <c r="AO520" s="1783"/>
      <c r="AP520" s="1783"/>
      <c r="AQ520" s="1783"/>
      <c r="AR520" s="1783"/>
      <c r="AS520" s="1783"/>
      <c r="AT520" s="1783"/>
      <c r="AU520" s="1783"/>
      <c r="AV520" s="1783"/>
      <c r="AW520" s="1783"/>
      <c r="AX520" s="1783"/>
      <c r="AY520" s="1783"/>
      <c r="AZ520" s="1783"/>
      <c r="BA520" s="1783"/>
      <c r="BB520" s="1783"/>
      <c r="BC520" s="1783"/>
      <c r="BD520" s="1783"/>
      <c r="BE520" s="1783"/>
      <c r="BF520" s="1783"/>
      <c r="BG520" s="1783"/>
      <c r="BH520" s="1783"/>
      <c r="BI520" s="1783"/>
    </row>
    <row r="521" spans="1:61">
      <c r="A521" s="1819"/>
      <c r="B521" s="1818"/>
      <c r="C521" s="1818"/>
      <c r="D521" s="1818"/>
      <c r="E521" s="1818"/>
      <c r="F521" s="1818"/>
      <c r="G521" s="1818"/>
      <c r="H521" s="1783"/>
      <c r="I521" s="1783"/>
      <c r="J521" s="1783"/>
      <c r="K521" s="1783"/>
      <c r="L521" s="1783"/>
      <c r="M521" s="1783"/>
      <c r="N521" s="1783"/>
      <c r="O521" s="1783"/>
      <c r="P521" s="1783"/>
      <c r="Q521" s="1783"/>
      <c r="R521" s="1783"/>
      <c r="S521" s="1783"/>
      <c r="T521" s="1783"/>
      <c r="U521" s="1783"/>
      <c r="V521" s="1783"/>
      <c r="W521" s="1783"/>
      <c r="X521" s="1783"/>
      <c r="Y521" s="1783"/>
      <c r="Z521" s="1783"/>
      <c r="AA521" s="1783"/>
      <c r="AB521" s="1783"/>
      <c r="AC521" s="1783"/>
      <c r="AD521" s="1783"/>
      <c r="AE521" s="1783"/>
      <c r="AF521" s="1783"/>
      <c r="AG521" s="1783"/>
      <c r="AH521" s="1783"/>
      <c r="AI521" s="1783"/>
      <c r="AJ521" s="1783"/>
      <c r="AK521" s="1783"/>
      <c r="AL521" s="1783"/>
      <c r="AM521" s="1783"/>
      <c r="AN521" s="1783"/>
      <c r="AO521" s="1783"/>
      <c r="AP521" s="1783"/>
      <c r="AQ521" s="1783"/>
      <c r="AR521" s="1783"/>
      <c r="AS521" s="1783"/>
      <c r="AT521" s="1783"/>
      <c r="AU521" s="1783"/>
      <c r="AV521" s="1783"/>
      <c r="AW521" s="1783"/>
      <c r="AX521" s="1783"/>
      <c r="AY521" s="1783"/>
      <c r="AZ521" s="1783"/>
      <c r="BA521" s="1783"/>
      <c r="BB521" s="1783"/>
      <c r="BC521" s="1783"/>
      <c r="BD521" s="1783"/>
      <c r="BE521" s="1783"/>
      <c r="BF521" s="1783"/>
      <c r="BG521" s="1783"/>
      <c r="BH521" s="1783"/>
      <c r="BI521" s="1783"/>
    </row>
    <row r="522" spans="1:61">
      <c r="A522" s="1819"/>
      <c r="B522" s="1818"/>
      <c r="C522" s="1818"/>
      <c r="D522" s="1818"/>
      <c r="E522" s="1818"/>
      <c r="F522" s="1818"/>
      <c r="G522" s="1818"/>
      <c r="H522" s="1783"/>
      <c r="I522" s="1783"/>
      <c r="J522" s="1783"/>
      <c r="K522" s="1783"/>
      <c r="L522" s="1783"/>
      <c r="M522" s="1783"/>
      <c r="N522" s="1783"/>
      <c r="O522" s="1783"/>
      <c r="P522" s="1783"/>
      <c r="Q522" s="1783"/>
      <c r="R522" s="1783"/>
      <c r="S522" s="1783"/>
      <c r="T522" s="1783"/>
      <c r="U522" s="1783"/>
      <c r="V522" s="1783"/>
      <c r="W522" s="1783"/>
      <c r="X522" s="1783"/>
      <c r="Y522" s="1783"/>
      <c r="Z522" s="1783"/>
      <c r="AA522" s="1783"/>
      <c r="AB522" s="1783"/>
      <c r="AC522" s="1783"/>
      <c r="AD522" s="1783"/>
      <c r="AE522" s="1783"/>
      <c r="AF522" s="1783"/>
      <c r="AG522" s="1783"/>
      <c r="AH522" s="1783"/>
      <c r="AI522" s="1783"/>
      <c r="AJ522" s="1783"/>
      <c r="AK522" s="1783"/>
      <c r="AL522" s="1783"/>
      <c r="AM522" s="1783"/>
      <c r="AN522" s="1783"/>
      <c r="AO522" s="1783"/>
      <c r="AP522" s="1783"/>
      <c r="AQ522" s="1783"/>
      <c r="AR522" s="1783"/>
      <c r="AS522" s="1783"/>
      <c r="AT522" s="1783"/>
      <c r="AU522" s="1783"/>
      <c r="AV522" s="1783"/>
      <c r="AW522" s="1783"/>
      <c r="AX522" s="1783"/>
      <c r="AY522" s="1783"/>
      <c r="AZ522" s="1783"/>
      <c r="BA522" s="1783"/>
      <c r="BB522" s="1783"/>
      <c r="BC522" s="1783"/>
      <c r="BD522" s="1783"/>
      <c r="BE522" s="1783"/>
      <c r="BF522" s="1783"/>
      <c r="BG522" s="1783"/>
      <c r="BH522" s="1783"/>
      <c r="BI522" s="1783"/>
    </row>
    <row r="523" spans="1:61">
      <c r="A523" s="1819"/>
      <c r="B523" s="1818"/>
      <c r="C523" s="1818"/>
      <c r="D523" s="1818"/>
      <c r="E523" s="1818"/>
      <c r="F523" s="1818"/>
      <c r="G523" s="1818"/>
      <c r="H523" s="1783"/>
      <c r="I523" s="1783"/>
      <c r="J523" s="1783"/>
      <c r="K523" s="1783"/>
      <c r="L523" s="1783"/>
      <c r="M523" s="1783"/>
      <c r="N523" s="1783"/>
      <c r="O523" s="1783"/>
      <c r="P523" s="1783"/>
      <c r="Q523" s="1783"/>
      <c r="R523" s="1783"/>
      <c r="S523" s="1783"/>
      <c r="T523" s="1783"/>
      <c r="U523" s="1783"/>
      <c r="V523" s="1783"/>
      <c r="W523" s="1783"/>
      <c r="X523" s="1783"/>
      <c r="Y523" s="1783"/>
      <c r="Z523" s="1783"/>
      <c r="AA523" s="1783"/>
      <c r="AB523" s="1783"/>
      <c r="AC523" s="1783"/>
      <c r="AD523" s="1783"/>
      <c r="AE523" s="1783"/>
      <c r="AF523" s="1783"/>
      <c r="AG523" s="1783"/>
      <c r="AH523" s="1783"/>
      <c r="AI523" s="1783"/>
      <c r="AJ523" s="1783"/>
      <c r="AK523" s="1783"/>
      <c r="AL523" s="1783"/>
      <c r="AM523" s="1783"/>
      <c r="AN523" s="1783"/>
      <c r="AO523" s="1783"/>
      <c r="AP523" s="1783"/>
      <c r="AQ523" s="1783"/>
      <c r="AR523" s="1783"/>
      <c r="AS523" s="1783"/>
      <c r="AT523" s="1783"/>
      <c r="AU523" s="1783"/>
      <c r="AV523" s="1783"/>
      <c r="AW523" s="1783"/>
      <c r="AX523" s="1783"/>
      <c r="AY523" s="1783"/>
      <c r="AZ523" s="1783"/>
      <c r="BA523" s="1783"/>
      <c r="BB523" s="1783"/>
      <c r="BC523" s="1783"/>
      <c r="BD523" s="1783"/>
      <c r="BE523" s="1783"/>
      <c r="BF523" s="1783"/>
      <c r="BG523" s="1783"/>
      <c r="BH523" s="1783"/>
      <c r="BI523" s="1783"/>
    </row>
    <row r="524" spans="1:61">
      <c r="A524" s="1819"/>
      <c r="B524" s="1818"/>
      <c r="C524" s="1818"/>
      <c r="D524" s="1818"/>
      <c r="E524" s="1818"/>
      <c r="F524" s="1818"/>
      <c r="G524" s="1818"/>
      <c r="H524" s="1783"/>
      <c r="I524" s="1783"/>
      <c r="J524" s="1783"/>
      <c r="K524" s="1783"/>
      <c r="L524" s="1783"/>
      <c r="M524" s="1783"/>
      <c r="N524" s="1783"/>
      <c r="O524" s="1783"/>
      <c r="P524" s="1783"/>
      <c r="Q524" s="1783"/>
      <c r="R524" s="1783"/>
      <c r="S524" s="1783"/>
      <c r="T524" s="1783"/>
      <c r="U524" s="1783"/>
      <c r="V524" s="1783"/>
      <c r="W524" s="1783"/>
      <c r="X524" s="1783"/>
      <c r="Y524" s="1783"/>
      <c r="Z524" s="1783"/>
      <c r="AA524" s="1783"/>
      <c r="AB524" s="1783"/>
      <c r="AC524" s="1783"/>
      <c r="AD524" s="1783"/>
      <c r="AE524" s="1783"/>
      <c r="AF524" s="1783"/>
      <c r="AG524" s="1783"/>
      <c r="AH524" s="1783"/>
      <c r="AI524" s="1783"/>
      <c r="AJ524" s="1783"/>
      <c r="AK524" s="1783"/>
      <c r="AL524" s="1783"/>
      <c r="AM524" s="1783"/>
      <c r="AN524" s="1783"/>
      <c r="AO524" s="1783"/>
      <c r="AP524" s="1783"/>
      <c r="AQ524" s="1783"/>
      <c r="AR524" s="1783"/>
      <c r="AS524" s="1783"/>
      <c r="AT524" s="1783"/>
      <c r="AU524" s="1783"/>
      <c r="AV524" s="1783"/>
      <c r="AW524" s="1783"/>
      <c r="AX524" s="1783"/>
      <c r="AY524" s="1783"/>
      <c r="AZ524" s="1783"/>
      <c r="BA524" s="1783"/>
      <c r="BB524" s="1783"/>
      <c r="BC524" s="1783"/>
      <c r="BD524" s="1783"/>
      <c r="BE524" s="1783"/>
      <c r="BF524" s="1783"/>
      <c r="BG524" s="1783"/>
      <c r="BH524" s="1783"/>
      <c r="BI524" s="1783"/>
    </row>
    <row r="525" spans="1:61">
      <c r="A525" s="1819"/>
      <c r="B525" s="1818"/>
      <c r="C525" s="1818"/>
      <c r="D525" s="1818"/>
      <c r="E525" s="1818"/>
      <c r="F525" s="1818"/>
      <c r="G525" s="1818"/>
      <c r="H525" s="1783"/>
      <c r="I525" s="1783"/>
      <c r="J525" s="1783"/>
      <c r="K525" s="1783"/>
      <c r="L525" s="1783"/>
      <c r="M525" s="1783"/>
      <c r="N525" s="1783"/>
      <c r="O525" s="1783"/>
      <c r="P525" s="1783"/>
      <c r="Q525" s="1783"/>
      <c r="R525" s="1783"/>
      <c r="S525" s="1783"/>
      <c r="T525" s="1783"/>
      <c r="U525" s="1783"/>
      <c r="V525" s="1783"/>
      <c r="W525" s="1783"/>
      <c r="X525" s="1783"/>
      <c r="Y525" s="1783"/>
      <c r="Z525" s="1783"/>
      <c r="AA525" s="1783"/>
      <c r="AB525" s="1783"/>
      <c r="AC525" s="1783"/>
      <c r="AD525" s="1783"/>
      <c r="AE525" s="1783"/>
      <c r="AF525" s="1783"/>
      <c r="AG525" s="1783"/>
      <c r="AH525" s="1783"/>
      <c r="AI525" s="1783"/>
      <c r="AJ525" s="1783"/>
      <c r="AK525" s="1783"/>
      <c r="AL525" s="1783"/>
      <c r="AM525" s="1783"/>
      <c r="AN525" s="1783"/>
      <c r="AO525" s="1783"/>
      <c r="AP525" s="1783"/>
      <c r="AQ525" s="1783"/>
      <c r="AR525" s="1783"/>
      <c r="AS525" s="1783"/>
      <c r="AT525" s="1783"/>
      <c r="AU525" s="1783"/>
      <c r="AV525" s="1783"/>
      <c r="AW525" s="1783"/>
      <c r="AX525" s="1783"/>
      <c r="AY525" s="1783"/>
      <c r="AZ525" s="1783"/>
      <c r="BA525" s="1783"/>
      <c r="BB525" s="1783"/>
      <c r="BC525" s="1783"/>
      <c r="BD525" s="1783"/>
      <c r="BE525" s="1783"/>
      <c r="BF525" s="1783"/>
      <c r="BG525" s="1783"/>
      <c r="BH525" s="1783"/>
      <c r="BI525" s="1783"/>
    </row>
    <row r="526" spans="1:61">
      <c r="A526" s="1819"/>
      <c r="B526" s="1818"/>
      <c r="C526" s="1818"/>
      <c r="D526" s="1818"/>
      <c r="E526" s="1818"/>
      <c r="F526" s="1818"/>
      <c r="G526" s="1818"/>
      <c r="H526" s="1783"/>
      <c r="I526" s="1783"/>
      <c r="J526" s="1783"/>
      <c r="K526" s="1783"/>
      <c r="L526" s="1783"/>
      <c r="M526" s="1783"/>
      <c r="N526" s="1783"/>
      <c r="O526" s="1783"/>
      <c r="P526" s="1783"/>
      <c r="Q526" s="1783"/>
      <c r="R526" s="1783"/>
      <c r="S526" s="1783"/>
      <c r="T526" s="1783"/>
      <c r="U526" s="1783"/>
      <c r="V526" s="1783"/>
      <c r="W526" s="1783"/>
      <c r="X526" s="1783"/>
      <c r="Y526" s="1783"/>
      <c r="Z526" s="1783"/>
      <c r="AA526" s="1783"/>
      <c r="AB526" s="1783"/>
      <c r="AC526" s="1783"/>
      <c r="AD526" s="1783"/>
      <c r="AE526" s="1783"/>
      <c r="AF526" s="1783"/>
      <c r="AG526" s="1783"/>
      <c r="AH526" s="1783"/>
      <c r="AI526" s="1783"/>
      <c r="AJ526" s="1783"/>
      <c r="AK526" s="1783"/>
      <c r="AL526" s="1783"/>
      <c r="AM526" s="1783"/>
      <c r="AN526" s="1783"/>
      <c r="AO526" s="1783"/>
      <c r="AP526" s="1783"/>
      <c r="AQ526" s="1783"/>
      <c r="AR526" s="1783"/>
      <c r="AS526" s="1783"/>
      <c r="AT526" s="1783"/>
      <c r="AU526" s="1783"/>
      <c r="AV526" s="1783"/>
      <c r="AW526" s="1783"/>
      <c r="AX526" s="1783"/>
      <c r="AY526" s="1783"/>
      <c r="AZ526" s="1783"/>
      <c r="BA526" s="1783"/>
      <c r="BB526" s="1783"/>
      <c r="BC526" s="1783"/>
      <c r="BD526" s="1783"/>
      <c r="BE526" s="1783"/>
      <c r="BF526" s="1783"/>
      <c r="BG526" s="1783"/>
      <c r="BH526" s="1783"/>
      <c r="BI526" s="1783"/>
    </row>
    <row r="527" spans="1:61">
      <c r="A527" s="1819"/>
      <c r="B527" s="1818"/>
      <c r="C527" s="1818"/>
      <c r="D527" s="1818"/>
      <c r="E527" s="1818"/>
      <c r="F527" s="1818"/>
      <c r="G527" s="1818"/>
      <c r="H527" s="1783"/>
      <c r="I527" s="1783"/>
      <c r="J527" s="1783"/>
      <c r="K527" s="1783"/>
      <c r="L527" s="1783"/>
      <c r="M527" s="1783"/>
      <c r="N527" s="1783"/>
      <c r="O527" s="1783"/>
      <c r="P527" s="1783"/>
      <c r="Q527" s="1783"/>
      <c r="R527" s="1783"/>
      <c r="S527" s="1783"/>
      <c r="T527" s="1783"/>
      <c r="U527" s="1783"/>
      <c r="V527" s="1783"/>
      <c r="W527" s="1783"/>
      <c r="X527" s="1783"/>
      <c r="Y527" s="1783"/>
      <c r="Z527" s="1783"/>
      <c r="AA527" s="1783"/>
      <c r="AB527" s="1783"/>
      <c r="AC527" s="1783"/>
      <c r="AD527" s="1783"/>
      <c r="AE527" s="1783"/>
      <c r="AF527" s="1783"/>
      <c r="AG527" s="1783"/>
      <c r="AH527" s="1783"/>
      <c r="AI527" s="1783"/>
      <c r="AJ527" s="1783"/>
      <c r="AK527" s="1783"/>
      <c r="AL527" s="1783"/>
      <c r="AM527" s="1783"/>
      <c r="AN527" s="1783"/>
      <c r="AO527" s="1783"/>
      <c r="AP527" s="1783"/>
      <c r="AQ527" s="1783"/>
      <c r="AR527" s="1783"/>
      <c r="AS527" s="1783"/>
      <c r="AT527" s="1783"/>
      <c r="AU527" s="1783"/>
      <c r="AV527" s="1783"/>
      <c r="AW527" s="1783"/>
      <c r="AX527" s="1783"/>
      <c r="AY527" s="1783"/>
      <c r="AZ527" s="1783"/>
      <c r="BA527" s="1783"/>
      <c r="BB527" s="1783"/>
      <c r="BC527" s="1783"/>
      <c r="BD527" s="1783"/>
      <c r="BE527" s="1783"/>
      <c r="BF527" s="1783"/>
      <c r="BG527" s="1783"/>
      <c r="BH527" s="1783"/>
      <c r="BI527" s="1783"/>
    </row>
    <row r="528" spans="1:61">
      <c r="A528" s="1819"/>
      <c r="B528" s="1818"/>
      <c r="C528" s="1818"/>
      <c r="D528" s="1818"/>
      <c r="E528" s="1818"/>
      <c r="F528" s="1818"/>
      <c r="G528" s="1818"/>
      <c r="H528" s="1783"/>
      <c r="I528" s="1783"/>
      <c r="J528" s="1783"/>
      <c r="K528" s="1783"/>
      <c r="L528" s="1783"/>
      <c r="M528" s="1783"/>
      <c r="N528" s="1783"/>
      <c r="O528" s="1783"/>
      <c r="P528" s="1783"/>
      <c r="Q528" s="1783"/>
      <c r="R528" s="1783"/>
      <c r="S528" s="1783"/>
      <c r="T528" s="1783"/>
      <c r="U528" s="1783"/>
      <c r="V528" s="1783"/>
      <c r="W528" s="1783"/>
      <c r="X528" s="1783"/>
      <c r="Y528" s="1783"/>
      <c r="Z528" s="1783"/>
      <c r="AA528" s="1783"/>
      <c r="AB528" s="1783"/>
      <c r="AC528" s="1783"/>
      <c r="AD528" s="1783"/>
      <c r="AE528" s="1783"/>
      <c r="AF528" s="1783"/>
      <c r="AG528" s="1783"/>
      <c r="AH528" s="1783"/>
      <c r="AI528" s="1783"/>
      <c r="AJ528" s="1783"/>
      <c r="AK528" s="1783"/>
      <c r="AL528" s="1783"/>
      <c r="AM528" s="1783"/>
      <c r="AN528" s="1783"/>
      <c r="AO528" s="1783"/>
      <c r="AP528" s="1783"/>
      <c r="AQ528" s="1783"/>
      <c r="AR528" s="1783"/>
      <c r="AS528" s="1783"/>
      <c r="AT528" s="1783"/>
      <c r="AU528" s="1783"/>
      <c r="AV528" s="1783"/>
      <c r="AW528" s="1783"/>
      <c r="AX528" s="1783"/>
      <c r="AY528" s="1783"/>
      <c r="AZ528" s="1783"/>
      <c r="BA528" s="1783"/>
      <c r="BB528" s="1783"/>
      <c r="BC528" s="1783"/>
      <c r="BD528" s="1783"/>
      <c r="BE528" s="1783"/>
      <c r="BF528" s="1783"/>
      <c r="BG528" s="1783"/>
      <c r="BH528" s="1783"/>
      <c r="BI528" s="1783"/>
    </row>
    <row r="529" spans="1:61">
      <c r="A529" s="1819"/>
      <c r="B529" s="1818"/>
      <c r="C529" s="1818"/>
      <c r="D529" s="1818"/>
      <c r="E529" s="1818"/>
      <c r="F529" s="1818"/>
      <c r="G529" s="1818"/>
      <c r="H529" s="1783"/>
      <c r="I529" s="1783"/>
      <c r="J529" s="1783"/>
      <c r="K529" s="1783"/>
      <c r="L529" s="1783"/>
      <c r="M529" s="1783"/>
      <c r="N529" s="1783"/>
      <c r="O529" s="1783"/>
      <c r="P529" s="1783"/>
      <c r="Q529" s="1783"/>
      <c r="R529" s="1783"/>
      <c r="S529" s="1783"/>
      <c r="T529" s="1783"/>
      <c r="U529" s="1783"/>
      <c r="V529" s="1783"/>
      <c r="W529" s="1783"/>
      <c r="X529" s="1783"/>
      <c r="Y529" s="1783"/>
      <c r="Z529" s="1783"/>
      <c r="AA529" s="1783"/>
      <c r="AB529" s="1783"/>
      <c r="AC529" s="1783"/>
      <c r="AD529" s="1783"/>
      <c r="AE529" s="1783"/>
      <c r="AF529" s="1783"/>
      <c r="AG529" s="1783"/>
      <c r="AH529" s="1783"/>
      <c r="AI529" s="1783"/>
      <c r="AJ529" s="1783"/>
      <c r="AK529" s="1783"/>
      <c r="AL529" s="1783"/>
      <c r="AM529" s="1783"/>
      <c r="AN529" s="1783"/>
      <c r="AO529" s="1783"/>
      <c r="AP529" s="1783"/>
      <c r="AQ529" s="1783"/>
      <c r="AR529" s="1783"/>
      <c r="AS529" s="1783"/>
      <c r="AT529" s="1783"/>
      <c r="AU529" s="1783"/>
      <c r="AV529" s="1783"/>
      <c r="AW529" s="1783"/>
      <c r="AX529" s="1783"/>
      <c r="AY529" s="1783"/>
      <c r="AZ529" s="1783"/>
      <c r="BA529" s="1783"/>
      <c r="BB529" s="1783"/>
      <c r="BC529" s="1783"/>
      <c r="BD529" s="1783"/>
      <c r="BE529" s="1783"/>
      <c r="BF529" s="1783"/>
      <c r="BG529" s="1783"/>
      <c r="BH529" s="1783"/>
      <c r="BI529" s="1783"/>
    </row>
    <row r="530" spans="1:61">
      <c r="A530" s="1819"/>
      <c r="B530" s="1818"/>
      <c r="C530" s="1818"/>
      <c r="D530" s="1818"/>
      <c r="E530" s="1818"/>
      <c r="F530" s="1818"/>
      <c r="G530" s="1818"/>
      <c r="H530" s="1783"/>
      <c r="I530" s="1783"/>
      <c r="J530" s="1783"/>
      <c r="K530" s="1783"/>
      <c r="L530" s="1783"/>
      <c r="M530" s="1783"/>
      <c r="N530" s="1783"/>
      <c r="O530" s="1783"/>
      <c r="P530" s="1783"/>
      <c r="Q530" s="1783"/>
      <c r="R530" s="1783"/>
      <c r="S530" s="1783"/>
      <c r="T530" s="1783"/>
      <c r="U530" s="1783"/>
      <c r="V530" s="1783"/>
      <c r="W530" s="1783"/>
      <c r="X530" s="1783"/>
      <c r="Y530" s="1783"/>
      <c r="Z530" s="1783"/>
      <c r="AA530" s="1783"/>
      <c r="AB530" s="1783"/>
      <c r="AC530" s="1783"/>
      <c r="AD530" s="1783"/>
      <c r="AE530" s="1783"/>
      <c r="AF530" s="1783"/>
      <c r="AG530" s="1783"/>
      <c r="AH530" s="1783"/>
      <c r="AI530" s="1783"/>
      <c r="AJ530" s="1783"/>
      <c r="AK530" s="1783"/>
      <c r="AL530" s="1783"/>
      <c r="AM530" s="1783"/>
      <c r="AN530" s="1783"/>
      <c r="AO530" s="1783"/>
      <c r="AP530" s="1783"/>
      <c r="AQ530" s="1783"/>
      <c r="AR530" s="1783"/>
      <c r="AS530" s="1783"/>
      <c r="AT530" s="1783"/>
      <c r="AU530" s="1783"/>
      <c r="AV530" s="1783"/>
      <c r="AW530" s="1783"/>
      <c r="AX530" s="1783"/>
      <c r="AY530" s="1783"/>
      <c r="AZ530" s="1783"/>
      <c r="BA530" s="1783"/>
      <c r="BB530" s="1783"/>
      <c r="BC530" s="1783"/>
      <c r="BD530" s="1783"/>
      <c r="BE530" s="1783"/>
      <c r="BF530" s="1783"/>
      <c r="BG530" s="1783"/>
      <c r="BH530" s="1783"/>
      <c r="BI530" s="1783"/>
    </row>
    <row r="531" spans="1:61">
      <c r="A531" s="1819"/>
      <c r="B531" s="1818"/>
      <c r="C531" s="1818"/>
      <c r="D531" s="1818"/>
      <c r="E531" s="1818"/>
      <c r="F531" s="1818"/>
      <c r="G531" s="1818"/>
      <c r="H531" s="1783"/>
      <c r="I531" s="1783"/>
      <c r="J531" s="1783"/>
      <c r="K531" s="1783"/>
      <c r="L531" s="1783"/>
      <c r="M531" s="1783"/>
      <c r="N531" s="1783"/>
      <c r="O531" s="1783"/>
      <c r="P531" s="1783"/>
      <c r="Q531" s="1783"/>
      <c r="R531" s="1783"/>
      <c r="S531" s="1783"/>
      <c r="T531" s="1783"/>
      <c r="U531" s="1783"/>
      <c r="V531" s="1783"/>
      <c r="W531" s="1783"/>
      <c r="X531" s="1783"/>
      <c r="Y531" s="1783"/>
      <c r="Z531" s="1783"/>
      <c r="AA531" s="1783"/>
      <c r="AB531" s="1783"/>
      <c r="AC531" s="1783"/>
      <c r="AD531" s="1783"/>
      <c r="AE531" s="1783"/>
      <c r="AF531" s="1783"/>
      <c r="AG531" s="1783"/>
      <c r="AH531" s="1783"/>
      <c r="AI531" s="1783"/>
      <c r="AJ531" s="1783"/>
      <c r="AK531" s="1783"/>
      <c r="AL531" s="1783"/>
      <c r="AM531" s="1783"/>
      <c r="AN531" s="1783"/>
      <c r="AO531" s="1783"/>
      <c r="AP531" s="1783"/>
      <c r="AQ531" s="1783"/>
      <c r="AR531" s="1783"/>
      <c r="AS531" s="1783"/>
      <c r="AT531" s="1783"/>
      <c r="AU531" s="1783"/>
      <c r="AV531" s="1783"/>
      <c r="AW531" s="1783"/>
      <c r="AX531" s="1783"/>
      <c r="AY531" s="1783"/>
      <c r="AZ531" s="1783"/>
      <c r="BA531" s="1783"/>
      <c r="BB531" s="1783"/>
      <c r="BC531" s="1783"/>
      <c r="BD531" s="1783"/>
      <c r="BE531" s="1783"/>
      <c r="BF531" s="1783"/>
      <c r="BG531" s="1783"/>
      <c r="BH531" s="1783"/>
      <c r="BI531" s="1783"/>
    </row>
    <row r="532" spans="1:61">
      <c r="A532" s="1819"/>
      <c r="B532" s="1818"/>
      <c r="C532" s="1818"/>
      <c r="D532" s="1818"/>
      <c r="E532" s="1818"/>
      <c r="F532" s="1818"/>
      <c r="G532" s="1818"/>
      <c r="H532" s="1783"/>
      <c r="I532" s="1783"/>
      <c r="J532" s="1783"/>
      <c r="K532" s="1783"/>
      <c r="L532" s="1783"/>
      <c r="M532" s="1783"/>
      <c r="N532" s="1783"/>
      <c r="O532" s="1783"/>
      <c r="P532" s="1783"/>
      <c r="Q532" s="1783"/>
      <c r="R532" s="1783"/>
      <c r="S532" s="1783"/>
      <c r="T532" s="1783"/>
      <c r="U532" s="1783"/>
      <c r="V532" s="1783"/>
      <c r="W532" s="1783"/>
      <c r="X532" s="1783"/>
      <c r="Y532" s="1783"/>
      <c r="Z532" s="1783"/>
      <c r="AA532" s="1783"/>
      <c r="AB532" s="1783"/>
      <c r="AC532" s="1783"/>
      <c r="AD532" s="1783"/>
      <c r="AE532" s="1783"/>
      <c r="AF532" s="1783"/>
      <c r="AG532" s="1783"/>
      <c r="AH532" s="1783"/>
      <c r="AI532" s="1783"/>
      <c r="AJ532" s="1783"/>
      <c r="AK532" s="1783"/>
      <c r="AL532" s="1783"/>
      <c r="AM532" s="1783"/>
      <c r="AN532" s="1783"/>
      <c r="AO532" s="1783"/>
      <c r="AP532" s="1783"/>
      <c r="AQ532" s="1783"/>
      <c r="AR532" s="1783"/>
      <c r="AS532" s="1783"/>
      <c r="AT532" s="1783"/>
      <c r="AU532" s="1783"/>
      <c r="AV532" s="1783"/>
      <c r="AW532" s="1783"/>
      <c r="AX532" s="1783"/>
      <c r="AY532" s="1783"/>
      <c r="AZ532" s="1783"/>
      <c r="BA532" s="1783"/>
      <c r="BB532" s="1783"/>
      <c r="BC532" s="1783"/>
      <c r="BD532" s="1783"/>
      <c r="BE532" s="1783"/>
      <c r="BF532" s="1783"/>
      <c r="BG532" s="1783"/>
      <c r="BH532" s="1783"/>
      <c r="BI532" s="1783"/>
    </row>
    <row r="533" spans="1:61">
      <c r="A533" s="1819"/>
      <c r="B533" s="1818"/>
      <c r="C533" s="1818"/>
      <c r="D533" s="1818"/>
      <c r="E533" s="1818"/>
      <c r="F533" s="1818"/>
      <c r="G533" s="1818"/>
      <c r="H533" s="1783"/>
      <c r="I533" s="1783"/>
      <c r="J533" s="1783"/>
      <c r="K533" s="1783"/>
      <c r="L533" s="1783"/>
      <c r="M533" s="1783"/>
      <c r="N533" s="1783"/>
      <c r="O533" s="1783"/>
      <c r="P533" s="1783"/>
      <c r="Q533" s="1783"/>
      <c r="R533" s="1783"/>
      <c r="S533" s="1783"/>
      <c r="T533" s="1783"/>
      <c r="U533" s="1783"/>
      <c r="V533" s="1783"/>
      <c r="W533" s="1783"/>
      <c r="X533" s="1783"/>
      <c r="Y533" s="1783"/>
      <c r="Z533" s="1783"/>
      <c r="AA533" s="1783"/>
      <c r="AB533" s="1783"/>
      <c r="AC533" s="1783"/>
      <c r="AD533" s="1783"/>
      <c r="AE533" s="1783"/>
      <c r="AF533" s="1783"/>
      <c r="AG533" s="1783"/>
      <c r="AH533" s="1783"/>
      <c r="AI533" s="1783"/>
      <c r="AJ533" s="1783"/>
      <c r="AK533" s="1783"/>
      <c r="AL533" s="1783"/>
      <c r="AM533" s="1783"/>
      <c r="AN533" s="1783"/>
      <c r="AO533" s="1783"/>
      <c r="AP533" s="1783"/>
      <c r="AQ533" s="1783"/>
      <c r="AR533" s="1783"/>
      <c r="AS533" s="1783"/>
      <c r="AT533" s="1783"/>
      <c r="AU533" s="1783"/>
      <c r="AV533" s="1783"/>
      <c r="AW533" s="1783"/>
      <c r="AX533" s="1783"/>
      <c r="AY533" s="1783"/>
      <c r="AZ533" s="1783"/>
      <c r="BA533" s="1783"/>
      <c r="BB533" s="1783"/>
      <c r="BC533" s="1783"/>
      <c r="BD533" s="1783"/>
      <c r="BE533" s="1783"/>
      <c r="BF533" s="1783"/>
      <c r="BG533" s="1783"/>
      <c r="BH533" s="1783"/>
      <c r="BI533" s="1783"/>
    </row>
    <row r="534" spans="1:61">
      <c r="A534" s="1819"/>
      <c r="B534" s="1818"/>
      <c r="C534" s="1818"/>
      <c r="D534" s="1818"/>
      <c r="E534" s="1818"/>
      <c r="F534" s="1818"/>
      <c r="G534" s="1818"/>
      <c r="H534" s="1783"/>
      <c r="I534" s="1783"/>
      <c r="J534" s="1783"/>
      <c r="K534" s="1783"/>
      <c r="L534" s="1783"/>
      <c r="M534" s="1783"/>
      <c r="N534" s="1783"/>
      <c r="O534" s="1783"/>
      <c r="P534" s="1783"/>
      <c r="Q534" s="1783"/>
      <c r="R534" s="1783"/>
      <c r="S534" s="1783"/>
      <c r="T534" s="1783"/>
      <c r="U534" s="1783"/>
      <c r="V534" s="1783"/>
      <c r="W534" s="1783"/>
      <c r="X534" s="1783"/>
      <c r="Y534" s="1783"/>
      <c r="Z534" s="1783"/>
      <c r="AA534" s="1783"/>
      <c r="AB534" s="1783"/>
      <c r="AC534" s="1783"/>
      <c r="AD534" s="1783"/>
      <c r="AE534" s="1783"/>
      <c r="AF534" s="1783"/>
      <c r="AG534" s="1783"/>
      <c r="AH534" s="1783"/>
      <c r="AI534" s="1783"/>
      <c r="AJ534" s="1783"/>
      <c r="AK534" s="1783"/>
      <c r="AL534" s="1783"/>
      <c r="AM534" s="1783"/>
      <c r="AN534" s="1783"/>
      <c r="AO534" s="1783"/>
      <c r="AP534" s="1783"/>
      <c r="AQ534" s="1783"/>
      <c r="AR534" s="1783"/>
      <c r="AS534" s="1783"/>
      <c r="AT534" s="1783"/>
      <c r="AU534" s="1783"/>
      <c r="AV534" s="1783"/>
      <c r="AW534" s="1783"/>
      <c r="AX534" s="1783"/>
      <c r="AY534" s="1783"/>
      <c r="AZ534" s="1783"/>
      <c r="BA534" s="1783"/>
      <c r="BB534" s="1783"/>
      <c r="BC534" s="1783"/>
      <c r="BD534" s="1783"/>
      <c r="BE534" s="1783"/>
      <c r="BF534" s="1783"/>
      <c r="BG534" s="1783"/>
      <c r="BH534" s="1783"/>
      <c r="BI534" s="1783"/>
    </row>
    <row r="535" spans="1:61">
      <c r="A535" s="1819"/>
      <c r="B535" s="1818"/>
      <c r="C535" s="1818"/>
      <c r="D535" s="1818"/>
      <c r="E535" s="1818"/>
      <c r="F535" s="1818"/>
      <c r="G535" s="1818"/>
      <c r="H535" s="1783"/>
      <c r="I535" s="1783"/>
      <c r="J535" s="1783"/>
      <c r="K535" s="1783"/>
      <c r="L535" s="1783"/>
      <c r="M535" s="1783"/>
      <c r="N535" s="1783"/>
      <c r="O535" s="1783"/>
      <c r="P535" s="1783"/>
      <c r="Q535" s="1783"/>
      <c r="R535" s="1783"/>
      <c r="S535" s="1783"/>
      <c r="T535" s="1783"/>
      <c r="U535" s="1783"/>
      <c r="V535" s="1783"/>
      <c r="W535" s="1783"/>
      <c r="X535" s="1783"/>
      <c r="Y535" s="1783"/>
      <c r="Z535" s="1783"/>
      <c r="AA535" s="1783"/>
      <c r="AB535" s="1783"/>
      <c r="AC535" s="1783"/>
      <c r="AD535" s="1783"/>
      <c r="AE535" s="1783"/>
      <c r="AF535" s="1783"/>
      <c r="AG535" s="1783"/>
      <c r="AH535" s="1783"/>
      <c r="AI535" s="1783"/>
      <c r="AJ535" s="1783"/>
      <c r="AK535" s="1783"/>
      <c r="AL535" s="1783"/>
      <c r="AM535" s="1783"/>
      <c r="AN535" s="1783"/>
      <c r="AO535" s="1783"/>
      <c r="AP535" s="1783"/>
      <c r="AQ535" s="1783"/>
      <c r="AR535" s="1783"/>
      <c r="AS535" s="1783"/>
      <c r="AT535" s="1783"/>
      <c r="AU535" s="1783"/>
      <c r="AV535" s="1783"/>
      <c r="AW535" s="1783"/>
      <c r="AX535" s="1783"/>
      <c r="AY535" s="1783"/>
      <c r="AZ535" s="1783"/>
      <c r="BA535" s="1783"/>
      <c r="BB535" s="1783"/>
      <c r="BC535" s="1783"/>
      <c r="BD535" s="1783"/>
      <c r="BE535" s="1783"/>
      <c r="BF535" s="1783"/>
      <c r="BG535" s="1783"/>
      <c r="BH535" s="1783"/>
      <c r="BI535" s="1783"/>
    </row>
    <row r="536" spans="1:61">
      <c r="A536" s="1819"/>
      <c r="B536" s="1818"/>
      <c r="C536" s="1818"/>
      <c r="D536" s="1818"/>
      <c r="E536" s="1818"/>
      <c r="F536" s="1818"/>
      <c r="G536" s="1818"/>
      <c r="H536" s="1783"/>
      <c r="I536" s="1783"/>
      <c r="J536" s="1783"/>
      <c r="K536" s="1783"/>
      <c r="L536" s="1783"/>
      <c r="M536" s="1783"/>
      <c r="N536" s="1783"/>
      <c r="O536" s="1783"/>
      <c r="P536" s="1783"/>
      <c r="Q536" s="1783"/>
      <c r="R536" s="1783"/>
      <c r="S536" s="1783"/>
      <c r="T536" s="1783"/>
      <c r="U536" s="1783"/>
      <c r="V536" s="1783"/>
      <c r="W536" s="1783"/>
      <c r="X536" s="1783"/>
      <c r="Y536" s="1783"/>
      <c r="Z536" s="1783"/>
      <c r="AA536" s="1783"/>
      <c r="AB536" s="1783"/>
      <c r="AC536" s="1783"/>
      <c r="AD536" s="1783"/>
      <c r="AE536" s="1783"/>
      <c r="AF536" s="1783"/>
      <c r="AG536" s="1783"/>
      <c r="AH536" s="1783"/>
      <c r="AI536" s="1783"/>
      <c r="AJ536" s="1783"/>
      <c r="AK536" s="1783"/>
      <c r="AL536" s="1783"/>
      <c r="AM536" s="1783"/>
      <c r="AN536" s="1783"/>
      <c r="AO536" s="1783"/>
      <c r="AP536" s="1783"/>
      <c r="AQ536" s="1783"/>
      <c r="AR536" s="1783"/>
      <c r="AS536" s="1783"/>
      <c r="AT536" s="1783"/>
      <c r="AU536" s="1783"/>
      <c r="AV536" s="1783"/>
      <c r="AW536" s="1783"/>
      <c r="AX536" s="1783"/>
      <c r="AY536" s="1783"/>
      <c r="AZ536" s="1783"/>
      <c r="BA536" s="1783"/>
      <c r="BB536" s="1783"/>
      <c r="BC536" s="1783"/>
      <c r="BD536" s="1783"/>
      <c r="BE536" s="1783"/>
      <c r="BF536" s="1783"/>
      <c r="BG536" s="1783"/>
      <c r="BH536" s="1783"/>
      <c r="BI536" s="1783"/>
    </row>
    <row r="537" spans="1:61">
      <c r="A537" s="1819"/>
      <c r="B537" s="1818"/>
      <c r="C537" s="1818"/>
      <c r="D537" s="1818"/>
      <c r="E537" s="1818"/>
      <c r="F537" s="1818"/>
      <c r="G537" s="1818"/>
      <c r="H537" s="1783"/>
      <c r="I537" s="1783"/>
      <c r="J537" s="1783"/>
      <c r="K537" s="1783"/>
      <c r="L537" s="1783"/>
      <c r="M537" s="1783"/>
      <c r="N537" s="1783"/>
      <c r="O537" s="1783"/>
      <c r="P537" s="1783"/>
      <c r="Q537" s="1783"/>
      <c r="R537" s="1783"/>
      <c r="S537" s="1783"/>
      <c r="T537" s="1783"/>
      <c r="U537" s="1783"/>
      <c r="V537" s="1783"/>
      <c r="W537" s="1783"/>
      <c r="X537" s="1783"/>
      <c r="Y537" s="1783"/>
      <c r="Z537" s="1783"/>
      <c r="AA537" s="1783"/>
      <c r="AB537" s="1783"/>
      <c r="AC537" s="1783"/>
      <c r="AD537" s="1783"/>
      <c r="AE537" s="1783"/>
      <c r="AF537" s="1783"/>
      <c r="AG537" s="1783"/>
      <c r="AH537" s="1783"/>
      <c r="AI537" s="1783"/>
      <c r="AJ537" s="1783"/>
      <c r="AK537" s="1783"/>
      <c r="AL537" s="1783"/>
      <c r="AM537" s="1783"/>
      <c r="AN537" s="1783"/>
      <c r="AO537" s="1783"/>
      <c r="AP537" s="1783"/>
      <c r="AQ537" s="1783"/>
      <c r="AR537" s="1783"/>
      <c r="AS537" s="1783"/>
      <c r="AT537" s="1783"/>
      <c r="AU537" s="1783"/>
      <c r="AV537" s="1783"/>
      <c r="AW537" s="1783"/>
      <c r="AX537" s="1783"/>
      <c r="AY537" s="1783"/>
      <c r="AZ537" s="1783"/>
      <c r="BA537" s="1783"/>
      <c r="BB537" s="1783"/>
      <c r="BC537" s="1783"/>
      <c r="BD537" s="1783"/>
      <c r="BE537" s="1783"/>
      <c r="BF537" s="1783"/>
      <c r="BG537" s="1783"/>
      <c r="BH537" s="1783"/>
      <c r="BI537" s="1783"/>
    </row>
    <row r="538" spans="1:61">
      <c r="A538" s="1819"/>
      <c r="B538" s="1818"/>
      <c r="C538" s="1818"/>
      <c r="D538" s="1818"/>
      <c r="E538" s="1818"/>
      <c r="F538" s="1818"/>
      <c r="G538" s="1818"/>
      <c r="H538" s="1783"/>
      <c r="I538" s="1783"/>
      <c r="J538" s="1783"/>
      <c r="K538" s="1783"/>
      <c r="L538" s="1783"/>
      <c r="M538" s="1783"/>
      <c r="N538" s="1783"/>
      <c r="O538" s="1783"/>
      <c r="P538" s="1783"/>
      <c r="Q538" s="1783"/>
      <c r="R538" s="1783"/>
      <c r="S538" s="1783"/>
      <c r="T538" s="1783"/>
      <c r="U538" s="1783"/>
      <c r="V538" s="1783"/>
      <c r="W538" s="1783"/>
      <c r="X538" s="1783"/>
      <c r="Y538" s="1783"/>
      <c r="Z538" s="1783"/>
      <c r="AA538" s="1783"/>
      <c r="AB538" s="1783"/>
      <c r="AC538" s="1783"/>
      <c r="AD538" s="1783"/>
      <c r="AE538" s="1783"/>
      <c r="AF538" s="1783"/>
      <c r="AG538" s="1783"/>
      <c r="AH538" s="1783"/>
      <c r="AI538" s="1783"/>
      <c r="AJ538" s="1783"/>
      <c r="AK538" s="1783"/>
      <c r="AL538" s="1783"/>
      <c r="AM538" s="1783"/>
      <c r="AN538" s="1783"/>
      <c r="AO538" s="1783"/>
      <c r="AP538" s="1783"/>
      <c r="AQ538" s="1783"/>
      <c r="AR538" s="1783"/>
      <c r="AS538" s="1783"/>
      <c r="AT538" s="1783"/>
      <c r="AU538" s="1783"/>
      <c r="AV538" s="1783"/>
      <c r="AW538" s="1783"/>
      <c r="AX538" s="1783"/>
      <c r="AY538" s="1783"/>
      <c r="AZ538" s="1783"/>
      <c r="BA538" s="1783"/>
      <c r="BB538" s="1783"/>
      <c r="BC538" s="1783"/>
      <c r="BD538" s="1783"/>
      <c r="BE538" s="1783"/>
      <c r="BF538" s="1783"/>
      <c r="BG538" s="1783"/>
      <c r="BH538" s="1783"/>
      <c r="BI538" s="1783"/>
    </row>
    <row r="539" spans="1:61">
      <c r="A539" s="1819"/>
      <c r="B539" s="1818"/>
      <c r="C539" s="1818"/>
      <c r="D539" s="1818"/>
      <c r="E539" s="1818"/>
      <c r="F539" s="1818"/>
      <c r="G539" s="1818"/>
      <c r="H539" s="1783"/>
      <c r="I539" s="1783"/>
      <c r="J539" s="1783"/>
      <c r="K539" s="1783"/>
      <c r="L539" s="1783"/>
      <c r="M539" s="1783"/>
      <c r="N539" s="1783"/>
      <c r="O539" s="1783"/>
      <c r="P539" s="1783"/>
      <c r="Q539" s="1783"/>
      <c r="R539" s="1783"/>
      <c r="S539" s="1783"/>
      <c r="T539" s="1783"/>
      <c r="U539" s="1783"/>
      <c r="V539" s="1783"/>
      <c r="W539" s="1783"/>
      <c r="X539" s="1783"/>
      <c r="Y539" s="1783"/>
      <c r="Z539" s="1783"/>
      <c r="AA539" s="1783"/>
      <c r="AB539" s="1783"/>
      <c r="AC539" s="1783"/>
      <c r="AD539" s="1783"/>
      <c r="AE539" s="1783"/>
      <c r="AF539" s="1783"/>
      <c r="AG539" s="1783"/>
      <c r="AH539" s="1783"/>
      <c r="AI539" s="1783"/>
      <c r="AJ539" s="1783"/>
      <c r="AK539" s="1783"/>
      <c r="AL539" s="1783"/>
      <c r="AM539" s="1783"/>
      <c r="AN539" s="1783"/>
      <c r="AO539" s="1783"/>
      <c r="AP539" s="1783"/>
      <c r="AQ539" s="1783"/>
      <c r="AR539" s="1783"/>
      <c r="AS539" s="1783"/>
      <c r="AT539" s="1783"/>
      <c r="AU539" s="1783"/>
      <c r="AV539" s="1783"/>
      <c r="AW539" s="1783"/>
      <c r="AX539" s="1783"/>
      <c r="AY539" s="1783"/>
      <c r="AZ539" s="1783"/>
      <c r="BA539" s="1783"/>
      <c r="BB539" s="1783"/>
      <c r="BC539" s="1783"/>
      <c r="BD539" s="1783"/>
      <c r="BE539" s="1783"/>
      <c r="BF539" s="1783"/>
      <c r="BG539" s="1783"/>
      <c r="BH539" s="1783"/>
      <c r="BI539" s="1783"/>
    </row>
    <row r="540" spans="1:61">
      <c r="A540" s="1819"/>
      <c r="B540" s="1818"/>
      <c r="C540" s="1818"/>
      <c r="D540" s="1818"/>
      <c r="E540" s="1818"/>
      <c r="F540" s="1818"/>
      <c r="G540" s="1818"/>
      <c r="H540" s="1783"/>
      <c r="I540" s="1783"/>
      <c r="J540" s="1783"/>
      <c r="K540" s="1783"/>
      <c r="L540" s="1783"/>
      <c r="M540" s="1783"/>
      <c r="N540" s="1783"/>
      <c r="O540" s="1783"/>
      <c r="P540" s="1783"/>
      <c r="Q540" s="1783"/>
      <c r="R540" s="1783"/>
      <c r="S540" s="1783"/>
      <c r="T540" s="1783"/>
      <c r="U540" s="1783"/>
      <c r="V540" s="1783"/>
      <c r="W540" s="1783"/>
      <c r="X540" s="1783"/>
      <c r="Y540" s="1783"/>
      <c r="Z540" s="1783"/>
      <c r="AA540" s="1783"/>
      <c r="AB540" s="1783"/>
      <c r="AC540" s="1783"/>
      <c r="AD540" s="1783"/>
      <c r="AE540" s="1783"/>
      <c r="AF540" s="1783"/>
      <c r="AG540" s="1783"/>
      <c r="AH540" s="1783"/>
      <c r="AI540" s="1783"/>
      <c r="AJ540" s="1783"/>
      <c r="AK540" s="1783"/>
      <c r="AL540" s="1783"/>
      <c r="AM540" s="1783"/>
      <c r="AN540" s="1783"/>
      <c r="AO540" s="1783"/>
      <c r="AP540" s="1783"/>
      <c r="AQ540" s="1783"/>
      <c r="AR540" s="1783"/>
      <c r="AS540" s="1783"/>
      <c r="AT540" s="1783"/>
      <c r="AU540" s="1783"/>
      <c r="AV540" s="1783"/>
      <c r="AW540" s="1783"/>
      <c r="AX540" s="1783"/>
      <c r="AY540" s="1783"/>
      <c r="AZ540" s="1783"/>
      <c r="BA540" s="1783"/>
      <c r="BB540" s="1783"/>
      <c r="BC540" s="1783"/>
      <c r="BD540" s="1783"/>
      <c r="BE540" s="1783"/>
      <c r="BF540" s="1783"/>
      <c r="BG540" s="1783"/>
      <c r="BH540" s="1783"/>
      <c r="BI540" s="1783"/>
    </row>
    <row r="541" spans="1:61">
      <c r="A541" s="1819"/>
      <c r="B541" s="1818"/>
      <c r="C541" s="1818"/>
      <c r="D541" s="1818"/>
      <c r="E541" s="1818"/>
      <c r="F541" s="1818"/>
      <c r="G541" s="1818"/>
      <c r="H541" s="1783"/>
      <c r="I541" s="1783"/>
      <c r="J541" s="1783"/>
      <c r="K541" s="1783"/>
      <c r="L541" s="1783"/>
      <c r="M541" s="1783"/>
      <c r="N541" s="1783"/>
      <c r="O541" s="1783"/>
      <c r="P541" s="1783"/>
      <c r="Q541" s="1783"/>
      <c r="R541" s="1783"/>
      <c r="S541" s="1783"/>
      <c r="T541" s="1783"/>
      <c r="U541" s="1783"/>
      <c r="V541" s="1783"/>
      <c r="W541" s="1783"/>
      <c r="X541" s="1783"/>
      <c r="Y541" s="1783"/>
      <c r="Z541" s="1783"/>
      <c r="AA541" s="1783"/>
      <c r="AB541" s="1783"/>
      <c r="AC541" s="1783"/>
      <c r="AD541" s="1783"/>
      <c r="AE541" s="1783"/>
      <c r="AF541" s="1783"/>
      <c r="AG541" s="1783"/>
      <c r="AH541" s="1783"/>
      <c r="AI541" s="1783"/>
      <c r="AJ541" s="1783"/>
      <c r="AK541" s="1783"/>
      <c r="AL541" s="1783"/>
      <c r="AM541" s="1783"/>
      <c r="AN541" s="1783"/>
      <c r="AO541" s="1783"/>
      <c r="AP541" s="1783"/>
      <c r="AQ541" s="1783"/>
      <c r="AR541" s="1783"/>
      <c r="AS541" s="1783"/>
      <c r="AT541" s="1783"/>
      <c r="AU541" s="1783"/>
      <c r="AV541" s="1783"/>
      <c r="AW541" s="1783"/>
      <c r="AX541" s="1783"/>
      <c r="AY541" s="1783"/>
      <c r="AZ541" s="1783"/>
      <c r="BA541" s="1783"/>
      <c r="BB541" s="1783"/>
      <c r="BC541" s="1783"/>
      <c r="BD541" s="1783"/>
      <c r="BE541" s="1783"/>
      <c r="BF541" s="1783"/>
      <c r="BG541" s="1783"/>
      <c r="BH541" s="1783"/>
      <c r="BI541" s="1783"/>
    </row>
    <row r="542" spans="1:61">
      <c r="A542" s="1819"/>
      <c r="B542" s="1818"/>
      <c r="C542" s="1818"/>
      <c r="D542" s="1818"/>
      <c r="E542" s="1818"/>
      <c r="F542" s="1818"/>
      <c r="G542" s="1818"/>
      <c r="H542" s="1783"/>
      <c r="I542" s="1783"/>
      <c r="J542" s="1783"/>
      <c r="K542" s="1783"/>
      <c r="L542" s="1783"/>
      <c r="M542" s="1783"/>
      <c r="N542" s="1783"/>
      <c r="O542" s="1783"/>
      <c r="P542" s="1783"/>
      <c r="Q542" s="1783"/>
      <c r="R542" s="1783"/>
      <c r="S542" s="1783"/>
      <c r="T542" s="1783"/>
      <c r="U542" s="1783"/>
      <c r="V542" s="1783"/>
      <c r="W542" s="1783"/>
      <c r="X542" s="1783"/>
      <c r="Y542" s="1783"/>
      <c r="Z542" s="1783"/>
      <c r="AA542" s="1783"/>
      <c r="AB542" s="1783"/>
      <c r="AC542" s="1783"/>
      <c r="AD542" s="1783"/>
      <c r="AE542" s="1783"/>
      <c r="AF542" s="1783"/>
      <c r="AG542" s="1783"/>
      <c r="AH542" s="1783"/>
      <c r="AI542" s="1783"/>
      <c r="AJ542" s="1783"/>
      <c r="AK542" s="1783"/>
      <c r="AL542" s="1783"/>
      <c r="AM542" s="1783"/>
      <c r="AN542" s="1783"/>
      <c r="AO542" s="1783"/>
      <c r="AP542" s="1783"/>
      <c r="AQ542" s="1783"/>
      <c r="AR542" s="1783"/>
      <c r="AS542" s="1783"/>
      <c r="AT542" s="1783"/>
      <c r="AU542" s="1783"/>
      <c r="AV542" s="1783"/>
      <c r="AW542" s="1783"/>
      <c r="AX542" s="1783"/>
      <c r="AY542" s="1783"/>
      <c r="AZ542" s="1783"/>
      <c r="BA542" s="1783"/>
      <c r="BB542" s="1783"/>
      <c r="BC542" s="1783"/>
      <c r="BD542" s="1783"/>
      <c r="BE542" s="1783"/>
      <c r="BF542" s="1783"/>
      <c r="BG542" s="1783"/>
      <c r="BH542" s="1783"/>
      <c r="BI542" s="1783"/>
    </row>
    <row r="543" spans="1:61">
      <c r="A543" s="1819"/>
      <c r="B543" s="1818"/>
      <c r="C543" s="1818"/>
      <c r="D543" s="1818"/>
      <c r="E543" s="1818"/>
      <c r="F543" s="1818"/>
      <c r="G543" s="1818"/>
      <c r="H543" s="1783"/>
      <c r="I543" s="1783"/>
      <c r="J543" s="1783"/>
      <c r="K543" s="1783"/>
      <c r="L543" s="1783"/>
      <c r="M543" s="1783"/>
      <c r="N543" s="1783"/>
      <c r="O543" s="1783"/>
      <c r="P543" s="1783"/>
      <c r="Q543" s="1783"/>
      <c r="R543" s="1783"/>
      <c r="S543" s="1783"/>
      <c r="T543" s="1783"/>
      <c r="U543" s="1783"/>
      <c r="V543" s="1783"/>
      <c r="W543" s="1783"/>
      <c r="X543" s="1783"/>
      <c r="Y543" s="1783"/>
      <c r="Z543" s="1783"/>
      <c r="AA543" s="1783"/>
      <c r="AB543" s="1783"/>
      <c r="AC543" s="1783"/>
      <c r="AD543" s="1783"/>
      <c r="AE543" s="1783"/>
      <c r="AF543" s="1783"/>
      <c r="AG543" s="1783"/>
      <c r="AH543" s="1783"/>
      <c r="AI543" s="1783"/>
      <c r="AJ543" s="1783"/>
      <c r="AK543" s="1783"/>
      <c r="AL543" s="1783"/>
      <c r="AM543" s="1783"/>
      <c r="AN543" s="1783"/>
      <c r="AO543" s="1783"/>
      <c r="AP543" s="1783"/>
      <c r="AQ543" s="1783"/>
      <c r="AR543" s="1783"/>
      <c r="AS543" s="1783"/>
      <c r="AT543" s="1783"/>
      <c r="AU543" s="1783"/>
      <c r="AV543" s="1783"/>
      <c r="AW543" s="1783"/>
      <c r="AX543" s="1783"/>
      <c r="AY543" s="1783"/>
      <c r="AZ543" s="1783"/>
      <c r="BA543" s="1783"/>
      <c r="BB543" s="1783"/>
      <c r="BC543" s="1783"/>
      <c r="BD543" s="1783"/>
      <c r="BE543" s="1783"/>
      <c r="BF543" s="1783"/>
      <c r="BG543" s="1783"/>
      <c r="BH543" s="1783"/>
      <c r="BI543" s="1783"/>
    </row>
    <row r="544" spans="1:61">
      <c r="A544" s="1819"/>
      <c r="B544" s="1818"/>
      <c r="C544" s="1818"/>
      <c r="D544" s="1818"/>
      <c r="E544" s="1818"/>
      <c r="F544" s="1818"/>
      <c r="G544" s="1818"/>
      <c r="H544" s="1783"/>
      <c r="I544" s="1783"/>
      <c r="J544" s="1783"/>
      <c r="K544" s="1783"/>
      <c r="L544" s="1783"/>
      <c r="M544" s="1783"/>
      <c r="N544" s="1783"/>
      <c r="O544" s="1783"/>
      <c r="P544" s="1783"/>
      <c r="Q544" s="1783"/>
      <c r="R544" s="1783"/>
      <c r="S544" s="1783"/>
      <c r="T544" s="1783"/>
      <c r="U544" s="1783"/>
      <c r="V544" s="1783"/>
      <c r="W544" s="1783"/>
      <c r="X544" s="1783"/>
      <c r="Y544" s="1783"/>
      <c r="Z544" s="1783"/>
      <c r="AA544" s="1783"/>
      <c r="AB544" s="1783"/>
      <c r="AC544" s="1783"/>
      <c r="AD544" s="1783"/>
      <c r="AE544" s="1783"/>
      <c r="AF544" s="1783"/>
      <c r="AG544" s="1783"/>
      <c r="AH544" s="1783"/>
      <c r="AI544" s="1783"/>
      <c r="AJ544" s="1783"/>
      <c r="AK544" s="1783"/>
      <c r="AL544" s="1783"/>
      <c r="AM544" s="1783"/>
      <c r="AN544" s="1783"/>
      <c r="AO544" s="1783"/>
      <c r="AP544" s="1783"/>
      <c r="AQ544" s="1783"/>
      <c r="AR544" s="1783"/>
      <c r="AS544" s="1783"/>
      <c r="AT544" s="1783"/>
      <c r="AU544" s="1783"/>
      <c r="AV544" s="1783"/>
      <c r="AW544" s="1783"/>
      <c r="AX544" s="1783"/>
      <c r="AY544" s="1783"/>
      <c r="AZ544" s="1783"/>
      <c r="BA544" s="1783"/>
      <c r="BB544" s="1783"/>
      <c r="BC544" s="1783"/>
      <c r="BD544" s="1783"/>
      <c r="BE544" s="1783"/>
      <c r="BF544" s="1783"/>
      <c r="BG544" s="1783"/>
      <c r="BH544" s="1783"/>
      <c r="BI544" s="1783"/>
    </row>
    <row r="545" spans="1:61">
      <c r="A545" s="1819"/>
      <c r="B545" s="1818"/>
      <c r="C545" s="1818"/>
      <c r="D545" s="1818"/>
      <c r="E545" s="1818"/>
      <c r="F545" s="1818"/>
      <c r="G545" s="1818"/>
      <c r="H545" s="1783"/>
      <c r="I545" s="1783"/>
      <c r="J545" s="1783"/>
      <c r="K545" s="1783"/>
      <c r="L545" s="1783"/>
      <c r="M545" s="1783"/>
      <c r="N545" s="1783"/>
      <c r="O545" s="1783"/>
      <c r="P545" s="1783"/>
      <c r="Q545" s="1783"/>
      <c r="R545" s="1783"/>
      <c r="S545" s="1783"/>
      <c r="T545" s="1783"/>
      <c r="U545" s="1783"/>
      <c r="V545" s="1783"/>
      <c r="W545" s="1783"/>
      <c r="X545" s="1783"/>
      <c r="Y545" s="1783"/>
      <c r="Z545" s="1783"/>
      <c r="AA545" s="1783"/>
      <c r="AB545" s="1783"/>
      <c r="AC545" s="1783"/>
      <c r="AD545" s="1783"/>
      <c r="AE545" s="1783"/>
      <c r="AF545" s="1783"/>
      <c r="AG545" s="1783"/>
      <c r="AH545" s="1783"/>
      <c r="AI545" s="1783"/>
      <c r="AJ545" s="1783"/>
      <c r="AK545" s="1783"/>
      <c r="AL545" s="1783"/>
      <c r="AM545" s="1783"/>
      <c r="AN545" s="1783"/>
      <c r="AO545" s="1783"/>
      <c r="AP545" s="1783"/>
      <c r="AQ545" s="1783"/>
      <c r="AR545" s="1783"/>
      <c r="AS545" s="1783"/>
      <c r="AT545" s="1783"/>
      <c r="AU545" s="1783"/>
      <c r="AV545" s="1783"/>
      <c r="AW545" s="1783"/>
      <c r="AX545" s="1783"/>
      <c r="AY545" s="1783"/>
      <c r="AZ545" s="1783"/>
      <c r="BA545" s="1783"/>
      <c r="BB545" s="1783"/>
      <c r="BC545" s="1783"/>
      <c r="BD545" s="1783"/>
      <c r="BE545" s="1783"/>
      <c r="BF545" s="1783"/>
      <c r="BG545" s="1783"/>
      <c r="BH545" s="1783"/>
      <c r="BI545" s="1783"/>
    </row>
    <row r="546" spans="1:61">
      <c r="A546" s="1819"/>
      <c r="B546" s="1818"/>
      <c r="C546" s="1818"/>
      <c r="D546" s="1818"/>
      <c r="E546" s="1818"/>
      <c r="F546" s="1818"/>
      <c r="G546" s="1818"/>
      <c r="H546" s="1783"/>
      <c r="I546" s="1783"/>
      <c r="J546" s="1783"/>
      <c r="K546" s="1783"/>
      <c r="L546" s="1783"/>
      <c r="M546" s="1783"/>
      <c r="N546" s="1783"/>
      <c r="O546" s="1783"/>
      <c r="P546" s="1783"/>
      <c r="Q546" s="1783"/>
      <c r="R546" s="1783"/>
      <c r="S546" s="1783"/>
      <c r="T546" s="1783"/>
      <c r="U546" s="1783"/>
      <c r="V546" s="1783"/>
      <c r="W546" s="1783"/>
      <c r="X546" s="1783"/>
      <c r="Y546" s="1783"/>
      <c r="Z546" s="1783"/>
      <c r="AA546" s="1783"/>
      <c r="AB546" s="1783"/>
      <c r="AC546" s="1783"/>
      <c r="AD546" s="1783"/>
      <c r="AE546" s="1783"/>
      <c r="AF546" s="1783"/>
      <c r="AG546" s="1783"/>
      <c r="AH546" s="1783"/>
      <c r="AI546" s="1783"/>
      <c r="AJ546" s="1783"/>
      <c r="AK546" s="1783"/>
      <c r="AL546" s="1783"/>
      <c r="AM546" s="1783"/>
      <c r="AN546" s="1783"/>
      <c r="AO546" s="1783"/>
      <c r="AP546" s="1783"/>
      <c r="AQ546" s="1783"/>
      <c r="AR546" s="1783"/>
      <c r="AS546" s="1783"/>
      <c r="AT546" s="1783"/>
      <c r="AU546" s="1783"/>
      <c r="AV546" s="1783"/>
      <c r="AW546" s="1783"/>
      <c r="AX546" s="1783"/>
      <c r="AY546" s="1783"/>
      <c r="AZ546" s="1783"/>
      <c r="BA546" s="1783"/>
      <c r="BB546" s="1783"/>
      <c r="BC546" s="1783"/>
      <c r="BD546" s="1783"/>
      <c r="BE546" s="1783"/>
      <c r="BF546" s="1783"/>
      <c r="BG546" s="1783"/>
      <c r="BH546" s="1783"/>
      <c r="BI546" s="1783"/>
    </row>
    <row r="547" spans="1:61">
      <c r="A547" s="1819"/>
      <c r="B547" s="1818"/>
      <c r="C547" s="1818"/>
      <c r="D547" s="1818"/>
      <c r="E547" s="1818"/>
      <c r="F547" s="1818"/>
      <c r="G547" s="1818"/>
      <c r="H547" s="1783"/>
      <c r="I547" s="1783"/>
      <c r="J547" s="1783"/>
      <c r="K547" s="1783"/>
      <c r="L547" s="1783"/>
      <c r="M547" s="1783"/>
      <c r="N547" s="1783"/>
      <c r="O547" s="1783"/>
      <c r="P547" s="1783"/>
      <c r="Q547" s="1783"/>
      <c r="R547" s="1783"/>
      <c r="S547" s="1783"/>
      <c r="T547" s="1783"/>
      <c r="U547" s="1783"/>
      <c r="V547" s="1783"/>
      <c r="W547" s="1783"/>
      <c r="X547" s="1783"/>
      <c r="Y547" s="1783"/>
      <c r="Z547" s="1783"/>
      <c r="AA547" s="1783"/>
      <c r="AB547" s="1783"/>
      <c r="AC547" s="1783"/>
      <c r="AD547" s="1783"/>
      <c r="AE547" s="1783"/>
      <c r="AF547" s="1783"/>
      <c r="AG547" s="1783"/>
      <c r="AH547" s="1783"/>
      <c r="AI547" s="1783"/>
      <c r="AJ547" s="1783"/>
      <c r="AK547" s="1783"/>
      <c r="AL547" s="1783"/>
      <c r="AM547" s="1783"/>
      <c r="AN547" s="1783"/>
      <c r="AO547" s="1783"/>
      <c r="AP547" s="1783"/>
      <c r="AQ547" s="1783"/>
      <c r="AR547" s="1783"/>
      <c r="AS547" s="1783"/>
      <c r="AT547" s="1783"/>
      <c r="AU547" s="1783"/>
      <c r="AV547" s="1783"/>
      <c r="AW547" s="1783"/>
      <c r="AX547" s="1783"/>
      <c r="AY547" s="1783"/>
      <c r="AZ547" s="1783"/>
      <c r="BA547" s="1783"/>
      <c r="BB547" s="1783"/>
      <c r="BC547" s="1783"/>
      <c r="BD547" s="1783"/>
      <c r="BE547" s="1783"/>
      <c r="BF547" s="1783"/>
      <c r="BG547" s="1783"/>
      <c r="BH547" s="1783"/>
      <c r="BI547" s="1783"/>
    </row>
    <row r="548" spans="1:61">
      <c r="A548" s="1819"/>
      <c r="B548" s="1818"/>
      <c r="C548" s="1818"/>
      <c r="D548" s="1818"/>
      <c r="E548" s="1818"/>
      <c r="F548" s="1818"/>
      <c r="G548" s="1818"/>
      <c r="H548" s="1783"/>
      <c r="I548" s="1783"/>
      <c r="J548" s="1783"/>
      <c r="K548" s="1783"/>
      <c r="L548" s="1783"/>
      <c r="M548" s="1783"/>
      <c r="N548" s="1783"/>
      <c r="O548" s="1783"/>
      <c r="P548" s="1783"/>
      <c r="Q548" s="1783"/>
      <c r="R548" s="1783"/>
      <c r="S548" s="1783"/>
      <c r="T548" s="1783"/>
      <c r="U548" s="1783"/>
      <c r="V548" s="1783"/>
      <c r="W548" s="1783"/>
      <c r="X548" s="1783"/>
      <c r="Y548" s="1783"/>
      <c r="Z548" s="1783"/>
      <c r="AA548" s="1783"/>
      <c r="AB548" s="1783"/>
      <c r="AC548" s="1783"/>
      <c r="AD548" s="1783"/>
      <c r="AE548" s="1783"/>
      <c r="AF548" s="1783"/>
      <c r="AG548" s="1783"/>
      <c r="AH548" s="1783"/>
      <c r="AI548" s="1783"/>
      <c r="AJ548" s="1783"/>
      <c r="AK548" s="1783"/>
      <c r="AL548" s="1783"/>
      <c r="AM548" s="1783"/>
      <c r="AN548" s="1783"/>
      <c r="AO548" s="1783"/>
      <c r="AP548" s="1783"/>
      <c r="AQ548" s="1783"/>
      <c r="AR548" s="1783"/>
      <c r="AS548" s="1783"/>
      <c r="AT548" s="1783"/>
      <c r="AU548" s="1783"/>
      <c r="AV548" s="1783"/>
      <c r="AW548" s="1783"/>
      <c r="AX548" s="1783"/>
      <c r="AY548" s="1783"/>
      <c r="AZ548" s="1783"/>
      <c r="BA548" s="1783"/>
      <c r="BB548" s="1783"/>
      <c r="BC548" s="1783"/>
      <c r="BD548" s="1783"/>
      <c r="BE548" s="1783"/>
      <c r="BF548" s="1783"/>
      <c r="BG548" s="1783"/>
      <c r="BH548" s="1783"/>
      <c r="BI548" s="1783"/>
    </row>
    <row r="549" spans="1:61">
      <c r="A549" s="1819"/>
      <c r="B549" s="1818"/>
      <c r="C549" s="1818"/>
      <c r="D549" s="1818"/>
      <c r="E549" s="1818"/>
      <c r="F549" s="1818"/>
      <c r="G549" s="1818"/>
      <c r="H549" s="1783"/>
      <c r="I549" s="1783"/>
      <c r="J549" s="1783"/>
      <c r="K549" s="1783"/>
      <c r="L549" s="1783"/>
      <c r="M549" s="1783"/>
      <c r="N549" s="1783"/>
      <c r="O549" s="1783"/>
      <c r="P549" s="1783"/>
      <c r="Q549" s="1783"/>
      <c r="R549" s="1783"/>
      <c r="S549" s="1783"/>
      <c r="T549" s="1783"/>
      <c r="U549" s="1783"/>
      <c r="V549" s="1783"/>
      <c r="W549" s="1783"/>
      <c r="X549" s="1783"/>
      <c r="Y549" s="1783"/>
      <c r="Z549" s="1783"/>
      <c r="AA549" s="1783"/>
      <c r="AB549" s="1783"/>
      <c r="AC549" s="1783"/>
      <c r="AD549" s="1783"/>
      <c r="AE549" s="1783"/>
      <c r="AF549" s="1783"/>
      <c r="AG549" s="1783"/>
      <c r="AH549" s="1783"/>
      <c r="AI549" s="1783"/>
      <c r="AJ549" s="1783"/>
      <c r="AK549" s="1783"/>
      <c r="AL549" s="1783"/>
      <c r="AM549" s="1783"/>
      <c r="AN549" s="1783"/>
      <c r="AO549" s="1783"/>
      <c r="AP549" s="1783"/>
      <c r="AQ549" s="1783"/>
      <c r="AR549" s="1783"/>
      <c r="AS549" s="1783"/>
      <c r="AT549" s="1783"/>
      <c r="AU549" s="1783"/>
      <c r="AV549" s="1783"/>
      <c r="AW549" s="1783"/>
      <c r="AX549" s="1783"/>
      <c r="AY549" s="1783"/>
      <c r="AZ549" s="1783"/>
      <c r="BA549" s="1783"/>
      <c r="BB549" s="1783"/>
      <c r="BC549" s="1783"/>
      <c r="BD549" s="1783"/>
      <c r="BE549" s="1783"/>
      <c r="BF549" s="1783"/>
      <c r="BG549" s="1783"/>
      <c r="BH549" s="1783"/>
      <c r="BI549" s="1783"/>
    </row>
    <row r="550" spans="1:61">
      <c r="A550" s="1819"/>
      <c r="B550" s="1818"/>
      <c r="C550" s="1818"/>
      <c r="D550" s="1818"/>
      <c r="E550" s="1818"/>
      <c r="F550" s="1818"/>
      <c r="G550" s="1818"/>
      <c r="H550" s="1783"/>
      <c r="I550" s="1783"/>
      <c r="J550" s="1783"/>
      <c r="K550" s="1783"/>
      <c r="L550" s="1783"/>
      <c r="M550" s="1783"/>
      <c r="N550" s="1783"/>
      <c r="O550" s="1783"/>
      <c r="P550" s="1783"/>
      <c r="Q550" s="1783"/>
      <c r="R550" s="1783"/>
      <c r="S550" s="1783"/>
      <c r="T550" s="1783"/>
      <c r="U550" s="1783"/>
      <c r="V550" s="1783"/>
      <c r="W550" s="1783"/>
      <c r="X550" s="1783"/>
      <c r="Y550" s="1783"/>
      <c r="Z550" s="1783"/>
      <c r="AA550" s="1783"/>
      <c r="AB550" s="1783"/>
      <c r="AC550" s="1783"/>
      <c r="AD550" s="1783"/>
      <c r="AE550" s="1783"/>
      <c r="AF550" s="1783"/>
      <c r="AG550" s="1783"/>
      <c r="AH550" s="1783"/>
      <c r="AI550" s="1783"/>
      <c r="AJ550" s="1783"/>
      <c r="AK550" s="1783"/>
      <c r="AL550" s="1783"/>
      <c r="AM550" s="1783"/>
      <c r="AN550" s="1783"/>
      <c r="AO550" s="1783"/>
      <c r="AP550" s="1783"/>
      <c r="AQ550" s="1783"/>
      <c r="AR550" s="1783"/>
      <c r="AS550" s="1783"/>
      <c r="AT550" s="1783"/>
      <c r="AU550" s="1783"/>
      <c r="AV550" s="1783"/>
      <c r="AW550" s="1783"/>
      <c r="AX550" s="1783"/>
      <c r="AY550" s="1783"/>
      <c r="AZ550" s="1783"/>
      <c r="BA550" s="1783"/>
      <c r="BB550" s="1783"/>
      <c r="BC550" s="1783"/>
      <c r="BD550" s="1783"/>
      <c r="BE550" s="1783"/>
      <c r="BF550" s="1783"/>
      <c r="BG550" s="1783"/>
      <c r="BH550" s="1783"/>
      <c r="BI550" s="1783"/>
    </row>
    <row r="551" spans="1:61">
      <c r="A551" s="1819"/>
      <c r="B551" s="1818"/>
      <c r="C551" s="1818"/>
      <c r="D551" s="1818"/>
      <c r="E551" s="1818"/>
      <c r="F551" s="1818"/>
      <c r="G551" s="1818"/>
      <c r="H551" s="1783"/>
      <c r="I551" s="1783"/>
      <c r="J551" s="1783"/>
      <c r="K551" s="1783"/>
      <c r="L551" s="1783"/>
      <c r="M551" s="1783"/>
      <c r="N551" s="1783"/>
      <c r="O551" s="1783"/>
      <c r="P551" s="1783"/>
      <c r="Q551" s="1783"/>
      <c r="R551" s="1783"/>
      <c r="S551" s="1783"/>
      <c r="T551" s="1783"/>
      <c r="U551" s="1783"/>
      <c r="V551" s="1783"/>
      <c r="W551" s="1783"/>
      <c r="X551" s="1783"/>
      <c r="Y551" s="1783"/>
      <c r="Z551" s="1783"/>
      <c r="AA551" s="1783"/>
      <c r="AB551" s="1783"/>
      <c r="AC551" s="1783"/>
      <c r="AD551" s="1783"/>
      <c r="AE551" s="1783"/>
      <c r="AF551" s="1783"/>
      <c r="AG551" s="1783"/>
      <c r="AH551" s="1783"/>
      <c r="AI551" s="1783"/>
      <c r="AJ551" s="1783"/>
      <c r="AK551" s="1783"/>
      <c r="AL551" s="1783"/>
      <c r="AM551" s="1783"/>
      <c r="AN551" s="1783"/>
      <c r="AO551" s="1783"/>
      <c r="AP551" s="1783"/>
      <c r="AQ551" s="1783"/>
      <c r="AR551" s="1783"/>
      <c r="AS551" s="1783"/>
      <c r="AT551" s="1783"/>
      <c r="AU551" s="1783"/>
      <c r="AV551" s="1783"/>
      <c r="AW551" s="1783"/>
      <c r="AX551" s="1783"/>
      <c r="AY551" s="1783"/>
      <c r="AZ551" s="1783"/>
      <c r="BA551" s="1783"/>
      <c r="BB551" s="1783"/>
      <c r="BC551" s="1783"/>
      <c r="BD551" s="1783"/>
      <c r="BE551" s="1783"/>
      <c r="BF551" s="1783"/>
      <c r="BG551" s="1783"/>
      <c r="BH551" s="1783"/>
      <c r="BI551" s="1783"/>
    </row>
    <row r="552" spans="1:61">
      <c r="A552" s="1819"/>
      <c r="B552" s="1818"/>
      <c r="C552" s="1818"/>
      <c r="D552" s="1818"/>
      <c r="E552" s="1818"/>
      <c r="F552" s="1818"/>
      <c r="G552" s="1818"/>
      <c r="H552" s="1783"/>
      <c r="I552" s="1783"/>
      <c r="J552" s="1783"/>
      <c r="K552" s="1783"/>
      <c r="L552" s="1783"/>
      <c r="M552" s="1783"/>
      <c r="N552" s="1783"/>
      <c r="O552" s="1783"/>
      <c r="P552" s="1783"/>
      <c r="Q552" s="1783"/>
      <c r="R552" s="1783"/>
      <c r="S552" s="1783"/>
      <c r="T552" s="1783"/>
      <c r="U552" s="1783"/>
      <c r="V552" s="1783"/>
      <c r="W552" s="1783"/>
      <c r="X552" s="1783"/>
      <c r="Y552" s="1783"/>
      <c r="Z552" s="1783"/>
      <c r="AA552" s="1783"/>
      <c r="AB552" s="1783"/>
      <c r="AC552" s="1783"/>
      <c r="AD552" s="1783"/>
      <c r="AE552" s="1783"/>
      <c r="AF552" s="1783"/>
      <c r="AG552" s="1783"/>
      <c r="AH552" s="1783"/>
      <c r="AI552" s="1783"/>
      <c r="AJ552" s="1783"/>
      <c r="AK552" s="1783"/>
      <c r="AL552" s="1783"/>
      <c r="AM552" s="1783"/>
      <c r="AN552" s="1783"/>
      <c r="AO552" s="1783"/>
      <c r="AP552" s="1783"/>
      <c r="AQ552" s="1783"/>
      <c r="AR552" s="1783"/>
      <c r="AS552" s="1783"/>
      <c r="AT552" s="1783"/>
      <c r="AU552" s="1783"/>
      <c r="AV552" s="1783"/>
      <c r="AW552" s="1783"/>
      <c r="AX552" s="1783"/>
      <c r="AY552" s="1783"/>
      <c r="AZ552" s="1783"/>
      <c r="BA552" s="1783"/>
      <c r="BB552" s="1783"/>
      <c r="BC552" s="1783"/>
      <c r="BD552" s="1783"/>
      <c r="BE552" s="1783"/>
      <c r="BF552" s="1783"/>
      <c r="BG552" s="1783"/>
      <c r="BH552" s="1783"/>
      <c r="BI552" s="1783"/>
    </row>
    <row r="553" spans="1:61">
      <c r="A553" s="1819"/>
      <c r="B553" s="1818"/>
      <c r="C553" s="1818"/>
      <c r="D553" s="1818"/>
      <c r="E553" s="1818"/>
      <c r="F553" s="1818"/>
      <c r="G553" s="1818"/>
      <c r="H553" s="1783"/>
      <c r="I553" s="1783"/>
      <c r="J553" s="1783"/>
      <c r="K553" s="1783"/>
      <c r="L553" s="1783"/>
      <c r="M553" s="1783"/>
      <c r="N553" s="1783"/>
      <c r="O553" s="1783"/>
      <c r="P553" s="1783"/>
      <c r="Q553" s="1783"/>
      <c r="R553" s="1783"/>
      <c r="S553" s="1783"/>
      <c r="T553" s="1783"/>
      <c r="U553" s="1783"/>
      <c r="V553" s="1783"/>
      <c r="W553" s="1783"/>
      <c r="X553" s="1783"/>
      <c r="Y553" s="1783"/>
      <c r="Z553" s="1783"/>
      <c r="AA553" s="1783"/>
      <c r="AB553" s="1783"/>
      <c r="AC553" s="1783"/>
      <c r="AD553" s="1783"/>
      <c r="AE553" s="1783"/>
      <c r="AF553" s="1783"/>
      <c r="AG553" s="1783"/>
      <c r="AH553" s="1783"/>
      <c r="AI553" s="1783"/>
      <c r="AJ553" s="1783"/>
      <c r="AK553" s="1783"/>
      <c r="AL553" s="1783"/>
      <c r="AM553" s="1783"/>
      <c r="AN553" s="1783"/>
      <c r="AO553" s="1783"/>
      <c r="AP553" s="1783"/>
      <c r="AQ553" s="1783"/>
      <c r="AR553" s="1783"/>
      <c r="AS553" s="1783"/>
      <c r="AT553" s="1783"/>
      <c r="AU553" s="1783"/>
      <c r="AV553" s="1783"/>
      <c r="AW553" s="1783"/>
      <c r="AX553" s="1783"/>
      <c r="AY553" s="1783"/>
      <c r="AZ553" s="1783"/>
      <c r="BA553" s="1783"/>
      <c r="BB553" s="1783"/>
      <c r="BC553" s="1783"/>
      <c r="BD553" s="1783"/>
      <c r="BE553" s="1783"/>
      <c r="BF553" s="1783"/>
      <c r="BG553" s="1783"/>
      <c r="BH553" s="1783"/>
      <c r="BI553" s="1783"/>
    </row>
    <row r="554" spans="1:61">
      <c r="A554" s="1819"/>
      <c r="B554" s="1818"/>
      <c r="C554" s="1818"/>
      <c r="D554" s="1818"/>
      <c r="E554" s="1818"/>
      <c r="F554" s="1818"/>
      <c r="G554" s="1818"/>
      <c r="H554" s="1783"/>
      <c r="I554" s="1783"/>
      <c r="J554" s="1783"/>
      <c r="K554" s="1783"/>
      <c r="L554" s="1783"/>
      <c r="M554" s="1783"/>
      <c r="N554" s="1783"/>
      <c r="O554" s="1783"/>
      <c r="P554" s="1783"/>
      <c r="Q554" s="1783"/>
      <c r="R554" s="1783"/>
      <c r="S554" s="1783"/>
      <c r="T554" s="1783"/>
      <c r="U554" s="1783"/>
      <c r="V554" s="1783"/>
      <c r="W554" s="1783"/>
      <c r="X554" s="1783"/>
      <c r="Y554" s="1783"/>
      <c r="Z554" s="1783"/>
      <c r="AA554" s="1783"/>
      <c r="AB554" s="1783"/>
      <c r="AC554" s="1783"/>
      <c r="AD554" s="1783"/>
      <c r="AE554" s="1783"/>
      <c r="AF554" s="1783"/>
      <c r="AG554" s="1783"/>
      <c r="AH554" s="1783"/>
      <c r="AI554" s="1783"/>
      <c r="AJ554" s="1783"/>
      <c r="AK554" s="1783"/>
      <c r="AL554" s="1783"/>
      <c r="AM554" s="1783"/>
      <c r="AN554" s="1783"/>
      <c r="AO554" s="1783"/>
      <c r="AP554" s="1783"/>
      <c r="AQ554" s="1783"/>
      <c r="AR554" s="1783"/>
      <c r="AS554" s="1783"/>
      <c r="AT554" s="1783"/>
      <c r="AU554" s="1783"/>
      <c r="AV554" s="1783"/>
      <c r="AW554" s="1783"/>
      <c r="AX554" s="1783"/>
      <c r="AY554" s="1783"/>
      <c r="AZ554" s="1783"/>
      <c r="BA554" s="1783"/>
      <c r="BB554" s="1783"/>
      <c r="BC554" s="1783"/>
      <c r="BD554" s="1783"/>
      <c r="BE554" s="1783"/>
      <c r="BF554" s="1783"/>
      <c r="BG554" s="1783"/>
      <c r="BH554" s="1783"/>
      <c r="BI554" s="1783"/>
    </row>
    <row r="555" spans="1:61">
      <c r="A555" s="1819"/>
      <c r="B555" s="1818"/>
      <c r="C555" s="1818"/>
      <c r="D555" s="1818"/>
      <c r="E555" s="1818"/>
      <c r="F555" s="1818"/>
      <c r="G555" s="1818"/>
      <c r="H555" s="1783"/>
      <c r="I555" s="1783"/>
      <c r="J555" s="1783"/>
      <c r="K555" s="1783"/>
      <c r="L555" s="1783"/>
      <c r="M555" s="1783"/>
      <c r="N555" s="1783"/>
      <c r="O555" s="1783"/>
      <c r="P555" s="1783"/>
      <c r="Q555" s="1783"/>
      <c r="R555" s="1783"/>
      <c r="S555" s="1783"/>
      <c r="T555" s="1783"/>
      <c r="U555" s="1783"/>
      <c r="V555" s="1783"/>
      <c r="W555" s="1783"/>
      <c r="X555" s="1783"/>
      <c r="Y555" s="1783"/>
      <c r="Z555" s="1783"/>
      <c r="AA555" s="1783"/>
      <c r="AB555" s="1783"/>
      <c r="AC555" s="1783"/>
      <c r="AD555" s="1783"/>
      <c r="AE555" s="1783"/>
      <c r="AF555" s="1783"/>
      <c r="AG555" s="1783"/>
      <c r="AH555" s="1783"/>
      <c r="AI555" s="1783"/>
      <c r="AJ555" s="1783"/>
      <c r="AK555" s="1783"/>
      <c r="AL555" s="1783"/>
      <c r="AM555" s="1783"/>
      <c r="AN555" s="1783"/>
      <c r="AO555" s="1783"/>
      <c r="AP555" s="1783"/>
      <c r="AQ555" s="1783"/>
      <c r="AR555" s="1783"/>
      <c r="AS555" s="1783"/>
      <c r="AT555" s="1783"/>
      <c r="AU555" s="1783"/>
      <c r="AV555" s="1783"/>
      <c r="AW555" s="1783"/>
      <c r="AX555" s="1783"/>
      <c r="AY555" s="1783"/>
      <c r="AZ555" s="1783"/>
      <c r="BA555" s="1783"/>
      <c r="BB555" s="1783"/>
      <c r="BC555" s="1783"/>
      <c r="BD555" s="1783"/>
      <c r="BE555" s="1783"/>
      <c r="BF555" s="1783"/>
      <c r="BG555" s="1783"/>
      <c r="BH555" s="1783"/>
      <c r="BI555" s="1783"/>
    </row>
    <row r="556" spans="1:61">
      <c r="A556" s="1819"/>
      <c r="B556" s="1818"/>
      <c r="C556" s="1818"/>
      <c r="D556" s="1818"/>
      <c r="E556" s="1818"/>
      <c r="F556" s="1818"/>
      <c r="G556" s="1818"/>
      <c r="H556" s="1783"/>
      <c r="I556" s="1783"/>
      <c r="J556" s="1783"/>
      <c r="K556" s="1783"/>
      <c r="L556" s="1783"/>
      <c r="M556" s="1783"/>
      <c r="N556" s="1783"/>
      <c r="O556" s="1783"/>
      <c r="P556" s="1783"/>
      <c r="Q556" s="1783"/>
      <c r="R556" s="1783"/>
      <c r="S556" s="1783"/>
      <c r="T556" s="1783"/>
      <c r="U556" s="1783"/>
      <c r="V556" s="1783"/>
      <c r="W556" s="1783"/>
      <c r="X556" s="1783"/>
      <c r="Y556" s="1783"/>
      <c r="Z556" s="1783"/>
      <c r="AA556" s="1783"/>
      <c r="AB556" s="1783"/>
      <c r="AC556" s="1783"/>
      <c r="AD556" s="1783"/>
      <c r="AE556" s="1783"/>
      <c r="AF556" s="1783"/>
      <c r="AG556" s="1783"/>
      <c r="AH556" s="1783"/>
      <c r="AI556" s="1783"/>
      <c r="AJ556" s="1783"/>
      <c r="AK556" s="1783"/>
      <c r="AL556" s="1783"/>
      <c r="AM556" s="1783"/>
      <c r="AN556" s="1783"/>
      <c r="AO556" s="1783"/>
      <c r="AP556" s="1783"/>
      <c r="AQ556" s="1783"/>
      <c r="AR556" s="1783"/>
      <c r="AS556" s="1783"/>
      <c r="AT556" s="1783"/>
      <c r="AU556" s="1783"/>
      <c r="AV556" s="1783"/>
      <c r="AW556" s="1783"/>
      <c r="AX556" s="1783"/>
      <c r="AY556" s="1783"/>
      <c r="AZ556" s="1783"/>
      <c r="BA556" s="1783"/>
      <c r="BB556" s="1783"/>
      <c r="BC556" s="1783"/>
      <c r="BD556" s="1783"/>
      <c r="BE556" s="1783"/>
      <c r="BF556" s="1783"/>
      <c r="BG556" s="1783"/>
      <c r="BH556" s="1783"/>
      <c r="BI556" s="1783"/>
    </row>
    <row r="557" spans="1:61">
      <c r="A557" s="1819"/>
      <c r="B557" s="1818"/>
      <c r="C557" s="1818"/>
      <c r="D557" s="1818"/>
      <c r="E557" s="1818"/>
      <c r="F557" s="1818"/>
      <c r="G557" s="1818"/>
      <c r="H557" s="1783"/>
      <c r="I557" s="1783"/>
      <c r="J557" s="1783"/>
      <c r="K557" s="1783"/>
      <c r="L557" s="1783"/>
      <c r="M557" s="1783"/>
      <c r="N557" s="1783"/>
      <c r="O557" s="1783"/>
      <c r="P557" s="1783"/>
      <c r="Q557" s="1783"/>
      <c r="R557" s="1783"/>
      <c r="S557" s="1783"/>
      <c r="T557" s="1783"/>
      <c r="U557" s="1783"/>
      <c r="V557" s="1783"/>
      <c r="W557" s="1783"/>
      <c r="X557" s="1783"/>
      <c r="Y557" s="1783"/>
      <c r="Z557" s="1783"/>
      <c r="AA557" s="1783"/>
      <c r="AB557" s="1783"/>
      <c r="AC557" s="1783"/>
      <c r="AD557" s="1783"/>
      <c r="AE557" s="1783"/>
      <c r="AF557" s="1783"/>
      <c r="AG557" s="1783"/>
      <c r="AH557" s="1783"/>
      <c r="AI557" s="1783"/>
      <c r="AJ557" s="1783"/>
      <c r="AK557" s="1783"/>
      <c r="AL557" s="1783"/>
      <c r="AM557" s="1783"/>
      <c r="AN557" s="1783"/>
      <c r="AO557" s="1783"/>
      <c r="AP557" s="1783"/>
      <c r="AQ557" s="1783"/>
      <c r="AR557" s="1783"/>
      <c r="AS557" s="1783"/>
      <c r="AT557" s="1783"/>
      <c r="AU557" s="1783"/>
      <c r="AV557" s="1783"/>
      <c r="AW557" s="1783"/>
      <c r="AX557" s="1783"/>
      <c r="AY557" s="1783"/>
      <c r="AZ557" s="1783"/>
      <c r="BA557" s="1783"/>
      <c r="BB557" s="1783"/>
      <c r="BC557" s="1783"/>
      <c r="BD557" s="1783"/>
      <c r="BE557" s="1783"/>
      <c r="BF557" s="1783"/>
      <c r="BG557" s="1783"/>
      <c r="BH557" s="1783"/>
      <c r="BI557" s="1783"/>
    </row>
    <row r="558" spans="1:61">
      <c r="A558" s="1819"/>
      <c r="B558" s="1818"/>
      <c r="C558" s="1818"/>
      <c r="D558" s="1818"/>
      <c r="E558" s="1818"/>
      <c r="F558" s="1818"/>
      <c r="G558" s="1818"/>
      <c r="H558" s="1783"/>
      <c r="I558" s="1783"/>
      <c r="J558" s="1783"/>
      <c r="K558" s="1783"/>
      <c r="L558" s="1783"/>
      <c r="M558" s="1783"/>
      <c r="N558" s="1783"/>
      <c r="O558" s="1783"/>
      <c r="P558" s="1783"/>
      <c r="Q558" s="1783"/>
      <c r="R558" s="1783"/>
      <c r="S558" s="1783"/>
      <c r="T558" s="1783"/>
      <c r="U558" s="1783"/>
      <c r="V558" s="1783"/>
      <c r="W558" s="1783"/>
      <c r="X558" s="1783"/>
      <c r="Y558" s="1783"/>
      <c r="Z558" s="1783"/>
      <c r="AA558" s="1783"/>
      <c r="AB558" s="1783"/>
      <c r="AC558" s="1783"/>
      <c r="AD558" s="1783"/>
      <c r="AE558" s="1783"/>
      <c r="AF558" s="1783"/>
      <c r="AG558" s="1783"/>
      <c r="AH558" s="1783"/>
      <c r="AI558" s="1783"/>
      <c r="AJ558" s="1783"/>
      <c r="AK558" s="1783"/>
      <c r="AL558" s="1783"/>
      <c r="AM558" s="1783"/>
      <c r="AN558" s="1783"/>
      <c r="AO558" s="1783"/>
      <c r="AP558" s="1783"/>
      <c r="AQ558" s="1783"/>
      <c r="AR558" s="1783"/>
      <c r="AS558" s="1783"/>
      <c r="AT558" s="1783"/>
      <c r="AU558" s="1783"/>
      <c r="AV558" s="1783"/>
      <c r="AW558" s="1783"/>
      <c r="AX558" s="1783"/>
      <c r="AY558" s="1783"/>
      <c r="AZ558" s="1783"/>
      <c r="BA558" s="1783"/>
      <c r="BB558" s="1783"/>
      <c r="BC558" s="1783"/>
      <c r="BD558" s="1783"/>
      <c r="BE558" s="1783"/>
      <c r="BF558" s="1783"/>
      <c r="BG558" s="1783"/>
      <c r="BH558" s="1783"/>
      <c r="BI558" s="1783"/>
    </row>
    <row r="559" spans="1:61">
      <c r="A559" s="1819"/>
      <c r="B559" s="1818"/>
      <c r="C559" s="1818"/>
      <c r="D559" s="1818"/>
      <c r="E559" s="1818"/>
      <c r="F559" s="1818"/>
      <c r="G559" s="1818"/>
      <c r="H559" s="1783"/>
      <c r="I559" s="1783"/>
      <c r="J559" s="1783"/>
      <c r="K559" s="1783"/>
      <c r="L559" s="1783"/>
      <c r="M559" s="1783"/>
      <c r="N559" s="1783"/>
      <c r="O559" s="1783"/>
      <c r="P559" s="1783"/>
      <c r="Q559" s="1783"/>
      <c r="R559" s="1783"/>
      <c r="S559" s="1783"/>
      <c r="T559" s="1783"/>
      <c r="U559" s="1783"/>
      <c r="V559" s="1783"/>
      <c r="W559" s="1783"/>
      <c r="X559" s="1783"/>
      <c r="Y559" s="1783"/>
      <c r="Z559" s="1783"/>
      <c r="AA559" s="1783"/>
      <c r="AB559" s="1783"/>
      <c r="AC559" s="1783"/>
      <c r="AD559" s="1783"/>
      <c r="AE559" s="1783"/>
      <c r="AF559" s="1783"/>
      <c r="AG559" s="1783"/>
      <c r="AH559" s="1783"/>
      <c r="AI559" s="1783"/>
      <c r="AJ559" s="1783"/>
      <c r="AK559" s="1783"/>
      <c r="AL559" s="1783"/>
      <c r="AM559" s="1783"/>
      <c r="AN559" s="1783"/>
      <c r="AO559" s="1783"/>
      <c r="AP559" s="1783"/>
      <c r="AQ559" s="1783"/>
      <c r="AR559" s="1783"/>
      <c r="AS559" s="1783"/>
      <c r="AT559" s="1783"/>
      <c r="AU559" s="1783"/>
      <c r="AV559" s="1783"/>
      <c r="AW559" s="1783"/>
      <c r="AX559" s="1783"/>
      <c r="AY559" s="1783"/>
      <c r="AZ559" s="1783"/>
      <c r="BA559" s="1783"/>
      <c r="BB559" s="1783"/>
      <c r="BC559" s="1783"/>
      <c r="BD559" s="1783"/>
      <c r="BE559" s="1783"/>
      <c r="BF559" s="1783"/>
      <c r="BG559" s="1783"/>
      <c r="BH559" s="1783"/>
      <c r="BI559" s="1783"/>
    </row>
    <row r="560" spans="1:61">
      <c r="A560" s="1819"/>
      <c r="B560" s="1818"/>
      <c r="C560" s="1818"/>
      <c r="D560" s="1818"/>
      <c r="E560" s="1818"/>
      <c r="F560" s="1818"/>
      <c r="G560" s="1818"/>
      <c r="H560" s="1783"/>
      <c r="I560" s="1783"/>
      <c r="J560" s="1783"/>
      <c r="K560" s="1783"/>
      <c r="L560" s="1783"/>
      <c r="M560" s="1783"/>
      <c r="N560" s="1783"/>
      <c r="O560" s="1783"/>
      <c r="P560" s="1783"/>
      <c r="Q560" s="1783"/>
      <c r="R560" s="1783"/>
      <c r="S560" s="1783"/>
      <c r="T560" s="1783"/>
      <c r="U560" s="1783"/>
      <c r="V560" s="1783"/>
      <c r="W560" s="1783"/>
      <c r="X560" s="1783"/>
      <c r="Y560" s="1783"/>
      <c r="Z560" s="1783"/>
      <c r="AA560" s="1783"/>
      <c r="AB560" s="1783"/>
      <c r="AC560" s="1783"/>
      <c r="AD560" s="1783"/>
      <c r="AE560" s="1783"/>
      <c r="AF560" s="1783"/>
      <c r="AG560" s="1783"/>
      <c r="AH560" s="1783"/>
      <c r="AI560" s="1783"/>
      <c r="AJ560" s="1783"/>
      <c r="AK560" s="1783"/>
      <c r="AL560" s="1783"/>
      <c r="AM560" s="1783"/>
      <c r="AN560" s="1783"/>
      <c r="AO560" s="1783"/>
      <c r="AP560" s="1783"/>
      <c r="AQ560" s="1783"/>
      <c r="AR560" s="1783"/>
      <c r="AS560" s="1783"/>
      <c r="AT560" s="1783"/>
      <c r="AU560" s="1783"/>
      <c r="AV560" s="1783"/>
      <c r="AW560" s="1783"/>
      <c r="AX560" s="1783"/>
      <c r="AY560" s="1783"/>
      <c r="AZ560" s="1783"/>
      <c r="BA560" s="1783"/>
      <c r="BB560" s="1783"/>
      <c r="BC560" s="1783"/>
      <c r="BD560" s="1783"/>
      <c r="BE560" s="1783"/>
      <c r="BF560" s="1783"/>
      <c r="BG560" s="1783"/>
      <c r="BH560" s="1783"/>
      <c r="BI560" s="1783"/>
    </row>
    <row r="561" spans="1:61">
      <c r="A561" s="1819"/>
      <c r="B561" s="1818"/>
      <c r="C561" s="1818"/>
      <c r="D561" s="1818"/>
      <c r="E561" s="1818"/>
      <c r="F561" s="1818"/>
      <c r="G561" s="1818"/>
      <c r="H561" s="1783"/>
      <c r="I561" s="1783"/>
      <c r="J561" s="1783"/>
      <c r="K561" s="1783"/>
      <c r="L561" s="1783"/>
      <c r="M561" s="1783"/>
      <c r="N561" s="1783"/>
      <c r="O561" s="1783"/>
      <c r="P561" s="1783"/>
      <c r="Q561" s="1783"/>
      <c r="R561" s="1783"/>
      <c r="S561" s="1783"/>
      <c r="T561" s="1783"/>
      <c r="U561" s="1783"/>
      <c r="V561" s="1783"/>
      <c r="W561" s="1783"/>
      <c r="X561" s="1783"/>
      <c r="Y561" s="1783"/>
      <c r="Z561" s="1783"/>
      <c r="AA561" s="1783"/>
      <c r="AB561" s="1783"/>
      <c r="AC561" s="1783"/>
      <c r="AD561" s="1783"/>
      <c r="AE561" s="1783"/>
      <c r="AF561" s="1783"/>
      <c r="AG561" s="1783"/>
      <c r="AH561" s="1783"/>
      <c r="AI561" s="1783"/>
      <c r="AJ561" s="1783"/>
      <c r="AK561" s="1783"/>
      <c r="AL561" s="1783"/>
      <c r="AM561" s="1783"/>
      <c r="AN561" s="1783"/>
      <c r="AO561" s="1783"/>
      <c r="AP561" s="1783"/>
      <c r="AQ561" s="1783"/>
      <c r="AR561" s="1783"/>
      <c r="AS561" s="1783"/>
      <c r="AT561" s="1783"/>
      <c r="AU561" s="1783"/>
      <c r="AV561" s="1783"/>
      <c r="AW561" s="1783"/>
      <c r="AX561" s="1783"/>
      <c r="AY561" s="1783"/>
      <c r="AZ561" s="1783"/>
      <c r="BA561" s="1783"/>
      <c r="BB561" s="1783"/>
      <c r="BC561" s="1783"/>
      <c r="BD561" s="1783"/>
      <c r="BE561" s="1783"/>
      <c r="BF561" s="1783"/>
      <c r="BG561" s="1783"/>
      <c r="BH561" s="1783"/>
      <c r="BI561" s="1783"/>
    </row>
    <row r="562" spans="1:61">
      <c r="A562" s="1819"/>
      <c r="B562" s="1818"/>
      <c r="C562" s="1818"/>
      <c r="D562" s="1818"/>
      <c r="E562" s="1818"/>
      <c r="F562" s="1818"/>
      <c r="G562" s="1818"/>
      <c r="H562" s="1783"/>
      <c r="I562" s="1783"/>
      <c r="J562" s="1783"/>
      <c r="K562" s="1783"/>
      <c r="L562" s="1783"/>
      <c r="M562" s="1783"/>
      <c r="N562" s="1783"/>
      <c r="O562" s="1783"/>
      <c r="P562" s="1783"/>
      <c r="Q562" s="1783"/>
      <c r="R562" s="1783"/>
      <c r="S562" s="1783"/>
      <c r="T562" s="1783"/>
      <c r="U562" s="1783"/>
      <c r="V562" s="1783"/>
      <c r="W562" s="1783"/>
      <c r="X562" s="1783"/>
      <c r="Y562" s="1783"/>
      <c r="Z562" s="1783"/>
      <c r="AA562" s="1783"/>
      <c r="AB562" s="1783"/>
      <c r="AC562" s="1783"/>
      <c r="AD562" s="1783"/>
      <c r="AE562" s="1783"/>
      <c r="AF562" s="1783"/>
      <c r="AG562" s="1783"/>
      <c r="AH562" s="1783"/>
      <c r="AI562" s="1783"/>
      <c r="AJ562" s="1783"/>
      <c r="AK562" s="1783"/>
      <c r="AL562" s="1783"/>
      <c r="AM562" s="1783"/>
      <c r="AN562" s="1783"/>
      <c r="AO562" s="1783"/>
      <c r="AP562" s="1783"/>
      <c r="AQ562" s="1783"/>
      <c r="AR562" s="1783"/>
      <c r="AS562" s="1783"/>
      <c r="AT562" s="1783"/>
      <c r="AU562" s="1783"/>
      <c r="AV562" s="1783"/>
      <c r="AW562" s="1783"/>
      <c r="AX562" s="1783"/>
      <c r="AY562" s="1783"/>
      <c r="AZ562" s="1783"/>
      <c r="BA562" s="1783"/>
      <c r="BB562" s="1783"/>
      <c r="BC562" s="1783"/>
      <c r="BD562" s="1783"/>
      <c r="BE562" s="1783"/>
      <c r="BF562" s="1783"/>
      <c r="BG562" s="1783"/>
      <c r="BH562" s="1783"/>
      <c r="BI562" s="1783"/>
    </row>
    <row r="563" spans="1:61">
      <c r="A563" s="1819"/>
      <c r="B563" s="1818"/>
      <c r="C563" s="1818"/>
      <c r="D563" s="1818"/>
      <c r="E563" s="1818"/>
      <c r="F563" s="1818"/>
      <c r="G563" s="1818"/>
      <c r="H563" s="1783"/>
      <c r="I563" s="1783"/>
      <c r="J563" s="1783"/>
      <c r="K563" s="1783"/>
      <c r="L563" s="1783"/>
      <c r="M563" s="1783"/>
      <c r="N563" s="1783"/>
      <c r="O563" s="1783"/>
      <c r="P563" s="1783"/>
      <c r="Q563" s="1783"/>
      <c r="R563" s="1783"/>
      <c r="S563" s="1783"/>
      <c r="T563" s="1783"/>
      <c r="U563" s="1783"/>
      <c r="V563" s="1783"/>
      <c r="W563" s="1783"/>
      <c r="X563" s="1783"/>
      <c r="Y563" s="1783"/>
      <c r="Z563" s="1783"/>
      <c r="AA563" s="1783"/>
      <c r="AB563" s="1783"/>
      <c r="AC563" s="1783"/>
      <c r="AD563" s="1783"/>
      <c r="AE563" s="1783"/>
      <c r="AF563" s="1783"/>
      <c r="AG563" s="1783"/>
      <c r="AH563" s="1783"/>
      <c r="AI563" s="1783"/>
      <c r="AJ563" s="1783"/>
      <c r="AK563" s="1783"/>
      <c r="AL563" s="1783"/>
      <c r="AM563" s="1783"/>
      <c r="AN563" s="1783"/>
      <c r="AO563" s="1783"/>
      <c r="AP563" s="1783"/>
      <c r="AQ563" s="1783"/>
      <c r="AR563" s="1783"/>
      <c r="AS563" s="1783"/>
      <c r="AT563" s="1783"/>
      <c r="AU563" s="1783"/>
      <c r="AV563" s="1783"/>
      <c r="AW563" s="1783"/>
      <c r="AX563" s="1783"/>
      <c r="AY563" s="1783"/>
      <c r="AZ563" s="1783"/>
      <c r="BA563" s="1783"/>
      <c r="BB563" s="1783"/>
      <c r="BC563" s="1783"/>
      <c r="BD563" s="1783"/>
      <c r="BE563" s="1783"/>
      <c r="BF563" s="1783"/>
      <c r="BG563" s="1783"/>
      <c r="BH563" s="1783"/>
      <c r="BI563" s="1783"/>
    </row>
    <row r="564" spans="1:61">
      <c r="A564" s="1819"/>
      <c r="B564" s="1818"/>
      <c r="C564" s="1818"/>
      <c r="D564" s="1818"/>
      <c r="E564" s="1818"/>
      <c r="F564" s="1818"/>
      <c r="G564" s="1818"/>
      <c r="H564" s="1783"/>
      <c r="I564" s="1783"/>
      <c r="J564" s="1783"/>
      <c r="K564" s="1783"/>
      <c r="L564" s="1783"/>
      <c r="M564" s="1783"/>
      <c r="N564" s="1783"/>
      <c r="O564" s="1783"/>
      <c r="P564" s="1783"/>
      <c r="Q564" s="1783"/>
      <c r="R564" s="1783"/>
      <c r="S564" s="1783"/>
      <c r="T564" s="1783"/>
      <c r="U564" s="1783"/>
      <c r="V564" s="1783"/>
      <c r="W564" s="1783"/>
      <c r="X564" s="1783"/>
      <c r="Y564" s="1783"/>
      <c r="Z564" s="1783"/>
      <c r="AA564" s="1783"/>
      <c r="AB564" s="1783"/>
      <c r="AC564" s="1783"/>
      <c r="AD564" s="1783"/>
      <c r="AE564" s="1783"/>
      <c r="AF564" s="1783"/>
      <c r="AG564" s="1783"/>
      <c r="AH564" s="1783"/>
      <c r="AI564" s="1783"/>
      <c r="AJ564" s="1783"/>
      <c r="AK564" s="1783"/>
      <c r="AL564" s="1783"/>
      <c r="AM564" s="1783"/>
      <c r="AN564" s="1783"/>
      <c r="AO564" s="1783"/>
      <c r="AP564" s="1783"/>
      <c r="AQ564" s="1783"/>
      <c r="AR564" s="1783"/>
      <c r="AS564" s="1783"/>
      <c r="AT564" s="1783"/>
      <c r="AU564" s="1783"/>
      <c r="AV564" s="1783"/>
      <c r="AW564" s="1783"/>
      <c r="AX564" s="1783"/>
      <c r="AY564" s="1783"/>
      <c r="AZ564" s="1783"/>
      <c r="BA564" s="1783"/>
      <c r="BB564" s="1783"/>
      <c r="BC564" s="1783"/>
      <c r="BD564" s="1783"/>
      <c r="BE564" s="1783"/>
      <c r="BF564" s="1783"/>
      <c r="BG564" s="1783"/>
      <c r="BH564" s="1783"/>
      <c r="BI564" s="1783"/>
    </row>
    <row r="565" spans="1:61">
      <c r="A565" s="1819"/>
      <c r="B565" s="1818"/>
      <c r="C565" s="1818"/>
      <c r="D565" s="1818"/>
      <c r="E565" s="1818"/>
      <c r="F565" s="1818"/>
      <c r="G565" s="1818"/>
      <c r="H565" s="1783"/>
      <c r="I565" s="1783"/>
      <c r="J565" s="1783"/>
      <c r="K565" s="1783"/>
      <c r="L565" s="1783"/>
      <c r="M565" s="1783"/>
      <c r="N565" s="1783"/>
      <c r="O565" s="1783"/>
      <c r="P565" s="1783"/>
      <c r="Q565" s="1783"/>
      <c r="R565" s="1783"/>
      <c r="S565" s="1783"/>
      <c r="T565" s="1783"/>
      <c r="U565" s="1783"/>
      <c r="V565" s="1783"/>
      <c r="W565" s="1783"/>
      <c r="X565" s="1783"/>
      <c r="Y565" s="1783"/>
      <c r="Z565" s="1783"/>
      <c r="AA565" s="1783"/>
      <c r="AB565" s="1783"/>
      <c r="AC565" s="1783"/>
      <c r="AD565" s="1783"/>
      <c r="AE565" s="1783"/>
      <c r="AF565" s="1783"/>
      <c r="AG565" s="1783"/>
      <c r="AH565" s="1783"/>
      <c r="AI565" s="1783"/>
      <c r="AJ565" s="1783"/>
      <c r="AK565" s="1783"/>
      <c r="AL565" s="1783"/>
      <c r="AM565" s="1783"/>
      <c r="AN565" s="1783"/>
      <c r="AO565" s="1783"/>
      <c r="AP565" s="1783"/>
      <c r="AQ565" s="1783"/>
      <c r="AR565" s="1783"/>
      <c r="AS565" s="1783"/>
      <c r="AT565" s="1783"/>
      <c r="AU565" s="1783"/>
      <c r="AV565" s="1783"/>
      <c r="AW565" s="1783"/>
      <c r="AX565" s="1783"/>
      <c r="AY565" s="1783"/>
      <c r="AZ565" s="1783"/>
      <c r="BA565" s="1783"/>
      <c r="BB565" s="1783"/>
      <c r="BC565" s="1783"/>
      <c r="BD565" s="1783"/>
      <c r="BE565" s="1783"/>
      <c r="BF565" s="1783"/>
      <c r="BG565" s="1783"/>
      <c r="BH565" s="1783"/>
      <c r="BI565" s="1783"/>
    </row>
    <row r="566" spans="1:61">
      <c r="A566" s="1819"/>
      <c r="B566" s="1818"/>
      <c r="C566" s="1818"/>
      <c r="D566" s="1818"/>
      <c r="E566" s="1818"/>
      <c r="F566" s="1818"/>
      <c r="G566" s="1818"/>
      <c r="H566" s="1783"/>
      <c r="I566" s="1783"/>
      <c r="J566" s="1783"/>
      <c r="K566" s="1783"/>
      <c r="L566" s="1783"/>
      <c r="M566" s="1783"/>
      <c r="N566" s="1783"/>
      <c r="O566" s="1783"/>
      <c r="P566" s="1783"/>
      <c r="Q566" s="1783"/>
      <c r="R566" s="1783"/>
      <c r="S566" s="1783"/>
      <c r="T566" s="1783"/>
      <c r="U566" s="1783"/>
      <c r="V566" s="1783"/>
      <c r="W566" s="1783"/>
      <c r="X566" s="1783"/>
      <c r="Y566" s="1783"/>
      <c r="Z566" s="1783"/>
      <c r="AA566" s="1783"/>
      <c r="AB566" s="1783"/>
      <c r="AC566" s="1783"/>
      <c r="AD566" s="1783"/>
      <c r="AE566" s="1783"/>
      <c r="AF566" s="1783"/>
      <c r="AG566" s="1783"/>
      <c r="AH566" s="1783"/>
      <c r="AI566" s="1783"/>
      <c r="AJ566" s="1783"/>
      <c r="AK566" s="1783"/>
      <c r="AL566" s="1783"/>
      <c r="AM566" s="1783"/>
      <c r="AN566" s="1783"/>
      <c r="AO566" s="1783"/>
      <c r="AP566" s="1783"/>
      <c r="AQ566" s="1783"/>
      <c r="AR566" s="1783"/>
      <c r="AS566" s="1783"/>
      <c r="AT566" s="1783"/>
      <c r="AU566" s="1783"/>
      <c r="AV566" s="1783"/>
      <c r="AW566" s="1783"/>
      <c r="AX566" s="1783"/>
      <c r="AY566" s="1783"/>
      <c r="AZ566" s="1783"/>
      <c r="BA566" s="1783"/>
      <c r="BB566" s="1783"/>
      <c r="BC566" s="1783"/>
      <c r="BD566" s="1783"/>
      <c r="BE566" s="1783"/>
      <c r="BF566" s="1783"/>
      <c r="BG566" s="1783"/>
      <c r="BH566" s="1783"/>
      <c r="BI566" s="1783"/>
    </row>
    <row r="567" spans="1:61">
      <c r="A567" s="1819"/>
      <c r="B567" s="1818"/>
      <c r="C567" s="1818"/>
      <c r="D567" s="1818"/>
      <c r="E567" s="1818"/>
      <c r="F567" s="1818"/>
      <c r="G567" s="1818"/>
      <c r="H567" s="1783"/>
      <c r="I567" s="1783"/>
      <c r="J567" s="1783"/>
      <c r="K567" s="1783"/>
      <c r="L567" s="1783"/>
      <c r="M567" s="1783"/>
      <c r="N567" s="1783"/>
      <c r="O567" s="1783"/>
      <c r="P567" s="1783"/>
      <c r="Q567" s="1783"/>
      <c r="R567" s="1783"/>
      <c r="S567" s="1783"/>
      <c r="T567" s="1783"/>
      <c r="U567" s="1783"/>
      <c r="V567" s="1783"/>
      <c r="W567" s="1783"/>
      <c r="X567" s="1783"/>
      <c r="Y567" s="1783"/>
      <c r="Z567" s="1783"/>
      <c r="AA567" s="1783"/>
      <c r="AB567" s="1783"/>
      <c r="AC567" s="1783"/>
      <c r="AD567" s="1783"/>
      <c r="AE567" s="1783"/>
      <c r="AF567" s="1783"/>
      <c r="AG567" s="1783"/>
      <c r="AH567" s="1783"/>
      <c r="AI567" s="1783"/>
      <c r="AJ567" s="1783"/>
      <c r="AK567" s="1783"/>
      <c r="AL567" s="1783"/>
      <c r="AM567" s="1783"/>
      <c r="AN567" s="1783"/>
      <c r="AO567" s="1783"/>
      <c r="AP567" s="1783"/>
      <c r="AQ567" s="1783"/>
      <c r="AR567" s="1783"/>
      <c r="AS567" s="1783"/>
      <c r="AT567" s="1783"/>
      <c r="AU567" s="1783"/>
      <c r="AV567" s="1783"/>
      <c r="AW567" s="1783"/>
      <c r="AX567" s="1783"/>
      <c r="AY567" s="1783"/>
      <c r="AZ567" s="1783"/>
      <c r="BA567" s="1783"/>
      <c r="BB567" s="1783"/>
      <c r="BC567" s="1783"/>
      <c r="BD567" s="1783"/>
      <c r="BE567" s="1783"/>
      <c r="BF567" s="1783"/>
      <c r="BG567" s="1783"/>
      <c r="BH567" s="1783"/>
      <c r="BI567" s="1783"/>
    </row>
    <row r="568" spans="1:61">
      <c r="A568" s="1819"/>
      <c r="B568" s="1818"/>
      <c r="C568" s="1818"/>
      <c r="D568" s="1818"/>
      <c r="E568" s="1818"/>
      <c r="F568" s="1818"/>
      <c r="G568" s="1818"/>
      <c r="H568" s="1783"/>
      <c r="I568" s="1783"/>
      <c r="J568" s="1783"/>
      <c r="K568" s="1783"/>
      <c r="L568" s="1783"/>
      <c r="M568" s="1783"/>
      <c r="N568" s="1783"/>
      <c r="O568" s="1783"/>
      <c r="P568" s="1783"/>
      <c r="Q568" s="1783"/>
      <c r="R568" s="1783"/>
      <c r="S568" s="1783"/>
      <c r="T568" s="1783"/>
      <c r="U568" s="1783"/>
      <c r="V568" s="1783"/>
      <c r="W568" s="1783"/>
      <c r="X568" s="1783"/>
      <c r="Y568" s="1783"/>
      <c r="Z568" s="1783"/>
      <c r="AA568" s="1783"/>
      <c r="AB568" s="1783"/>
      <c r="AC568" s="1783"/>
      <c r="AD568" s="1783"/>
      <c r="AE568" s="1783"/>
      <c r="AF568" s="1783"/>
      <c r="AG568" s="1783"/>
      <c r="AH568" s="1783"/>
      <c r="AI568" s="1783"/>
      <c r="AJ568" s="1783"/>
      <c r="AK568" s="1783"/>
      <c r="AL568" s="1783"/>
      <c r="AM568" s="1783"/>
      <c r="AN568" s="1783"/>
      <c r="AO568" s="1783"/>
      <c r="AP568" s="1783"/>
      <c r="AQ568" s="1783"/>
      <c r="AR568" s="1783"/>
      <c r="AS568" s="1783"/>
      <c r="AT568" s="1783"/>
      <c r="AU568" s="1783"/>
      <c r="AV568" s="1783"/>
      <c r="AW568" s="1783"/>
      <c r="AX568" s="1783"/>
      <c r="AY568" s="1783"/>
      <c r="AZ568" s="1783"/>
      <c r="BA568" s="1783"/>
      <c r="BB568" s="1783"/>
      <c r="BC568" s="1783"/>
      <c r="BD568" s="1783"/>
      <c r="BE568" s="1783"/>
      <c r="BF568" s="1783"/>
      <c r="BG568" s="1783"/>
      <c r="BH568" s="1783"/>
      <c r="BI568" s="1783"/>
    </row>
    <row r="569" spans="1:61">
      <c r="A569" s="1819"/>
      <c r="B569" s="1818"/>
      <c r="C569" s="1818"/>
      <c r="D569" s="1818"/>
      <c r="E569" s="1818"/>
      <c r="F569" s="1818"/>
      <c r="G569" s="1818"/>
      <c r="H569" s="1783"/>
      <c r="I569" s="1783"/>
      <c r="J569" s="1783"/>
      <c r="K569" s="1783"/>
      <c r="L569" s="1783"/>
      <c r="M569" s="1783"/>
      <c r="N569" s="1783"/>
      <c r="O569" s="1783"/>
      <c r="P569" s="1783"/>
      <c r="Q569" s="1783"/>
      <c r="R569" s="1783"/>
      <c r="S569" s="1783"/>
      <c r="T569" s="1783"/>
      <c r="U569" s="1783"/>
      <c r="V569" s="1783"/>
      <c r="W569" s="1783"/>
      <c r="X569" s="1783"/>
      <c r="Y569" s="1783"/>
      <c r="Z569" s="1783"/>
      <c r="AA569" s="1783"/>
      <c r="AB569" s="1783"/>
      <c r="AC569" s="1783"/>
      <c r="AD569" s="1783"/>
      <c r="AE569" s="1783"/>
      <c r="AF569" s="1783"/>
      <c r="AG569" s="1783"/>
      <c r="AH569" s="1783"/>
      <c r="AI569" s="1783"/>
      <c r="AJ569" s="1783"/>
      <c r="AK569" s="1783"/>
      <c r="AL569" s="1783"/>
      <c r="AM569" s="1783"/>
      <c r="AN569" s="1783"/>
      <c r="AO569" s="1783"/>
      <c r="AP569" s="1783"/>
      <c r="AQ569" s="1783"/>
      <c r="AR569" s="1783"/>
      <c r="AS569" s="1783"/>
      <c r="AT569" s="1783"/>
      <c r="AU569" s="1783"/>
      <c r="AV569" s="1783"/>
      <c r="AW569" s="1783"/>
      <c r="AX569" s="1783"/>
      <c r="AY569" s="1783"/>
      <c r="AZ569" s="1783"/>
      <c r="BA569" s="1783"/>
      <c r="BB569" s="1783"/>
      <c r="BC569" s="1783"/>
      <c r="BD569" s="1783"/>
      <c r="BE569" s="1783"/>
      <c r="BF569" s="1783"/>
      <c r="BG569" s="1783"/>
      <c r="BH569" s="1783"/>
      <c r="BI569" s="1783"/>
    </row>
    <row r="570" spans="1:61">
      <c r="A570" s="1819"/>
      <c r="B570" s="1818"/>
      <c r="C570" s="1818"/>
      <c r="D570" s="1818"/>
      <c r="E570" s="1818"/>
      <c r="F570" s="1818"/>
      <c r="G570" s="1818"/>
      <c r="H570" s="1783"/>
      <c r="I570" s="1783"/>
      <c r="J570" s="1783"/>
      <c r="K570" s="1783"/>
      <c r="L570" s="1783"/>
      <c r="M570" s="1783"/>
      <c r="N570" s="1783"/>
      <c r="O570" s="1783"/>
      <c r="P570" s="1783"/>
      <c r="Q570" s="1783"/>
      <c r="R570" s="1783"/>
      <c r="S570" s="1783"/>
      <c r="T570" s="1783"/>
      <c r="U570" s="1783"/>
      <c r="V570" s="1783"/>
      <c r="W570" s="1783"/>
      <c r="X570" s="1783"/>
      <c r="Y570" s="1783"/>
      <c r="Z570" s="1783"/>
      <c r="AA570" s="1783"/>
      <c r="AB570" s="1783"/>
      <c r="AC570" s="1783"/>
      <c r="AD570" s="1783"/>
      <c r="AE570" s="1783"/>
      <c r="AF570" s="1783"/>
      <c r="AG570" s="1783"/>
      <c r="AH570" s="1783"/>
      <c r="AI570" s="1783"/>
      <c r="AJ570" s="1783"/>
      <c r="AK570" s="1783"/>
      <c r="AL570" s="1783"/>
      <c r="AM570" s="1783"/>
      <c r="AN570" s="1783"/>
      <c r="AO570" s="1783"/>
      <c r="AP570" s="1783"/>
      <c r="AQ570" s="1783"/>
      <c r="AR570" s="1783"/>
      <c r="AS570" s="1783"/>
      <c r="AT570" s="1783"/>
      <c r="AU570" s="1783"/>
      <c r="AV570" s="1783"/>
      <c r="AW570" s="1783"/>
      <c r="AX570" s="1783"/>
      <c r="AY570" s="1783"/>
      <c r="AZ570" s="1783"/>
      <c r="BA570" s="1783"/>
      <c r="BB570" s="1783"/>
      <c r="BC570" s="1783"/>
      <c r="BD570" s="1783"/>
      <c r="BE570" s="1783"/>
      <c r="BF570" s="1783"/>
      <c r="BG570" s="1783"/>
      <c r="BH570" s="1783"/>
      <c r="BI570" s="1783"/>
    </row>
    <row r="571" spans="1:61">
      <c r="A571" s="1819"/>
      <c r="B571" s="1818"/>
      <c r="C571" s="1818"/>
      <c r="D571" s="1818"/>
      <c r="E571" s="1818"/>
      <c r="F571" s="1818"/>
      <c r="G571" s="1818"/>
      <c r="H571" s="1783"/>
      <c r="I571" s="1783"/>
      <c r="J571" s="1783"/>
      <c r="K571" s="1783"/>
      <c r="L571" s="1783"/>
      <c r="M571" s="1783"/>
      <c r="N571" s="1783"/>
      <c r="O571" s="1783"/>
      <c r="P571" s="1783"/>
      <c r="Q571" s="1783"/>
      <c r="R571" s="1783"/>
      <c r="S571" s="1783"/>
      <c r="T571" s="1783"/>
      <c r="U571" s="1783"/>
      <c r="V571" s="1783"/>
      <c r="W571" s="1783"/>
      <c r="X571" s="1783"/>
      <c r="Y571" s="1783"/>
      <c r="Z571" s="1783"/>
      <c r="AA571" s="1783"/>
      <c r="AB571" s="1783"/>
      <c r="AC571" s="1783"/>
      <c r="AD571" s="1783"/>
      <c r="AE571" s="1783"/>
      <c r="AF571" s="1783"/>
      <c r="AG571" s="1783"/>
      <c r="AH571" s="1783"/>
      <c r="AI571" s="1783"/>
      <c r="AJ571" s="1783"/>
      <c r="AK571" s="1783"/>
      <c r="AL571" s="1783"/>
      <c r="AM571" s="1783"/>
      <c r="AN571" s="1783"/>
      <c r="AO571" s="1783"/>
      <c r="AP571" s="1783"/>
      <c r="AQ571" s="1783"/>
      <c r="AR571" s="1783"/>
      <c r="AS571" s="1783"/>
      <c r="AT571" s="1783"/>
      <c r="AU571" s="1783"/>
      <c r="AV571" s="1783"/>
      <c r="AW571" s="1783"/>
      <c r="AX571" s="1783"/>
      <c r="AY571" s="1783"/>
      <c r="AZ571" s="1783"/>
      <c r="BA571" s="1783"/>
      <c r="BB571" s="1783"/>
      <c r="BC571" s="1783"/>
      <c r="BD571" s="1783"/>
      <c r="BE571" s="1783"/>
      <c r="BF571" s="1783"/>
      <c r="BG571" s="1783"/>
      <c r="BH571" s="1783"/>
      <c r="BI571" s="1783"/>
    </row>
    <row r="572" spans="1:61">
      <c r="A572" s="1819"/>
      <c r="B572" s="1818"/>
      <c r="C572" s="1818"/>
      <c r="D572" s="1818"/>
      <c r="E572" s="1818"/>
      <c r="F572" s="1818"/>
      <c r="G572" s="1818"/>
      <c r="H572" s="1783"/>
      <c r="I572" s="1783"/>
      <c r="J572" s="1783"/>
      <c r="K572" s="1783"/>
      <c r="L572" s="1783"/>
      <c r="M572" s="1783"/>
      <c r="N572" s="1783"/>
      <c r="O572" s="1783"/>
      <c r="P572" s="1783"/>
      <c r="Q572" s="1783"/>
      <c r="R572" s="1783"/>
      <c r="S572" s="1783"/>
      <c r="T572" s="1783"/>
      <c r="U572" s="1783"/>
      <c r="V572" s="1783"/>
      <c r="W572" s="1783"/>
      <c r="X572" s="1783"/>
      <c r="Y572" s="1783"/>
      <c r="Z572" s="1783"/>
      <c r="AA572" s="1783"/>
      <c r="AB572" s="1783"/>
      <c r="AC572" s="1783"/>
      <c r="AD572" s="1783"/>
      <c r="AE572" s="1783"/>
      <c r="AF572" s="1783"/>
      <c r="AG572" s="1783"/>
      <c r="AH572" s="1783"/>
      <c r="AI572" s="1783"/>
      <c r="AJ572" s="1783"/>
      <c r="AK572" s="1783"/>
      <c r="AL572" s="1783"/>
      <c r="AM572" s="1783"/>
      <c r="AN572" s="1783"/>
      <c r="AO572" s="1783"/>
      <c r="AP572" s="1783"/>
      <c r="AQ572" s="1783"/>
      <c r="AR572" s="1783"/>
      <c r="AS572" s="1783"/>
      <c r="AT572" s="1783"/>
      <c r="AU572" s="1783"/>
      <c r="AV572" s="1783"/>
      <c r="AW572" s="1783"/>
      <c r="AX572" s="1783"/>
      <c r="AY572" s="1783"/>
      <c r="AZ572" s="1783"/>
      <c r="BA572" s="1783"/>
      <c r="BB572" s="1783"/>
      <c r="BC572" s="1783"/>
      <c r="BD572" s="1783"/>
      <c r="BE572" s="1783"/>
      <c r="BF572" s="1783"/>
      <c r="BG572" s="1783"/>
      <c r="BH572" s="1783"/>
      <c r="BI572" s="1783"/>
    </row>
    <row r="573" spans="1:61">
      <c r="A573" s="1819"/>
      <c r="B573" s="1818"/>
      <c r="C573" s="1818"/>
      <c r="D573" s="1818"/>
      <c r="E573" s="1818"/>
      <c r="F573" s="1818"/>
      <c r="G573" s="1818"/>
      <c r="H573" s="1783"/>
      <c r="I573" s="1783"/>
      <c r="J573" s="1783"/>
      <c r="K573" s="1783"/>
      <c r="L573" s="1783"/>
      <c r="M573" s="1783"/>
      <c r="N573" s="1783"/>
      <c r="O573" s="1783"/>
      <c r="P573" s="1783"/>
      <c r="Q573" s="1783"/>
      <c r="R573" s="1783"/>
      <c r="S573" s="1783"/>
      <c r="T573" s="1783"/>
      <c r="U573" s="1783"/>
      <c r="V573" s="1783"/>
      <c r="W573" s="1783"/>
      <c r="X573" s="1783"/>
      <c r="Y573" s="1783"/>
      <c r="Z573" s="1783"/>
      <c r="AA573" s="1783"/>
      <c r="AB573" s="1783"/>
      <c r="AC573" s="1783"/>
      <c r="AD573" s="1783"/>
      <c r="AE573" s="1783"/>
      <c r="AF573" s="1783"/>
      <c r="AG573" s="1783"/>
      <c r="AH573" s="1783"/>
      <c r="AI573" s="1783"/>
      <c r="AJ573" s="1783"/>
      <c r="AK573" s="1783"/>
      <c r="AL573" s="1783"/>
      <c r="AM573" s="1783"/>
      <c r="AN573" s="1783"/>
      <c r="AO573" s="1783"/>
      <c r="AP573" s="1783"/>
      <c r="AQ573" s="1783"/>
      <c r="AR573" s="1783"/>
      <c r="AS573" s="1783"/>
      <c r="AT573" s="1783"/>
      <c r="AU573" s="1783"/>
      <c r="AV573" s="1783"/>
      <c r="AW573" s="1783"/>
      <c r="AX573" s="1783"/>
      <c r="AY573" s="1783"/>
      <c r="AZ573" s="1783"/>
      <c r="BA573" s="1783"/>
      <c r="BB573" s="1783"/>
      <c r="BC573" s="1783"/>
      <c r="BD573" s="1783"/>
      <c r="BE573" s="1783"/>
      <c r="BF573" s="1783"/>
      <c r="BG573" s="1783"/>
      <c r="BH573" s="1783"/>
      <c r="BI573" s="1783"/>
    </row>
    <row r="574" spans="1:61">
      <c r="A574" s="1819"/>
      <c r="B574" s="1818"/>
      <c r="C574" s="1818"/>
      <c r="D574" s="1818"/>
      <c r="E574" s="1818"/>
      <c r="F574" s="1818"/>
      <c r="G574" s="1818"/>
      <c r="H574" s="1783"/>
      <c r="I574" s="1783"/>
      <c r="J574" s="1783"/>
      <c r="K574" s="1783"/>
      <c r="L574" s="1783"/>
      <c r="M574" s="1783"/>
      <c r="N574" s="1783"/>
      <c r="O574" s="1783"/>
      <c r="P574" s="1783"/>
      <c r="Q574" s="1783"/>
      <c r="R574" s="1783"/>
      <c r="S574" s="1783"/>
      <c r="T574" s="1783"/>
      <c r="U574" s="1783"/>
      <c r="V574" s="1783"/>
      <c r="W574" s="1783"/>
      <c r="X574" s="1783"/>
      <c r="Y574" s="1783"/>
      <c r="Z574" s="1783"/>
      <c r="AA574" s="1783"/>
      <c r="AB574" s="1783"/>
      <c r="AC574" s="1783"/>
      <c r="AD574" s="1783"/>
      <c r="AE574" s="1783"/>
      <c r="AF574" s="1783"/>
      <c r="AG574" s="1783"/>
      <c r="AH574" s="1783"/>
      <c r="AI574" s="1783"/>
      <c r="AJ574" s="1783"/>
      <c r="AK574" s="1783"/>
      <c r="AL574" s="1783"/>
      <c r="AM574" s="1783"/>
      <c r="AN574" s="1783"/>
      <c r="AO574" s="1783"/>
      <c r="AP574" s="1783"/>
      <c r="AQ574" s="1783"/>
      <c r="AR574" s="1783"/>
      <c r="AS574" s="1783"/>
      <c r="AT574" s="1783"/>
      <c r="AU574" s="1783"/>
      <c r="AV574" s="1783"/>
      <c r="AW574" s="1783"/>
      <c r="AX574" s="1783"/>
      <c r="AY574" s="1783"/>
      <c r="AZ574" s="1783"/>
      <c r="BA574" s="1783"/>
      <c r="BB574" s="1783"/>
      <c r="BC574" s="1783"/>
      <c r="BD574" s="1783"/>
      <c r="BE574" s="1783"/>
      <c r="BF574" s="1783"/>
      <c r="BG574" s="1783"/>
      <c r="BH574" s="1783"/>
      <c r="BI574" s="1783"/>
    </row>
    <row r="575" spans="1:61">
      <c r="A575" s="1819"/>
      <c r="B575" s="1818"/>
      <c r="C575" s="1818"/>
      <c r="D575" s="1818"/>
      <c r="E575" s="1818"/>
      <c r="F575" s="1818"/>
      <c r="G575" s="1818"/>
      <c r="H575" s="1783"/>
      <c r="I575" s="1783"/>
      <c r="J575" s="1783"/>
      <c r="K575" s="1783"/>
      <c r="L575" s="1783"/>
      <c r="M575" s="1783"/>
      <c r="N575" s="1783"/>
      <c r="O575" s="1783"/>
      <c r="P575" s="1783"/>
      <c r="Q575" s="1783"/>
      <c r="R575" s="1783"/>
      <c r="S575" s="1783"/>
      <c r="T575" s="1783"/>
      <c r="U575" s="1783"/>
      <c r="V575" s="1783"/>
      <c r="W575" s="1783"/>
      <c r="X575" s="1783"/>
      <c r="Y575" s="1783"/>
      <c r="Z575" s="1783"/>
      <c r="AA575" s="1783"/>
      <c r="AB575" s="1783"/>
      <c r="AC575" s="1783"/>
      <c r="AD575" s="1783"/>
      <c r="AE575" s="1783"/>
      <c r="AF575" s="1783"/>
      <c r="AG575" s="1783"/>
      <c r="AH575" s="1783"/>
      <c r="AI575" s="1783"/>
      <c r="AJ575" s="1783"/>
      <c r="AK575" s="1783"/>
      <c r="AL575" s="1783"/>
      <c r="AM575" s="1783"/>
      <c r="AN575" s="1783"/>
      <c r="AO575" s="1783"/>
      <c r="AP575" s="1783"/>
      <c r="AQ575" s="1783"/>
      <c r="AR575" s="1783"/>
      <c r="AS575" s="1783"/>
      <c r="AT575" s="1783"/>
      <c r="AU575" s="1783"/>
      <c r="AV575" s="1783"/>
      <c r="AW575" s="1783"/>
      <c r="AX575" s="1783"/>
      <c r="AY575" s="1783"/>
      <c r="AZ575" s="1783"/>
      <c r="BA575" s="1783"/>
      <c r="BB575" s="1783"/>
      <c r="BC575" s="1783"/>
      <c r="BD575" s="1783"/>
      <c r="BE575" s="1783"/>
      <c r="BF575" s="1783"/>
      <c r="BG575" s="1783"/>
      <c r="BH575" s="1783"/>
      <c r="BI575" s="1783"/>
    </row>
    <row r="576" spans="1:61">
      <c r="A576" s="1819"/>
      <c r="B576" s="1818"/>
      <c r="C576" s="1818"/>
      <c r="D576" s="1818"/>
      <c r="E576" s="1818"/>
      <c r="F576" s="1818"/>
      <c r="G576" s="1818"/>
      <c r="H576" s="1783"/>
      <c r="I576" s="1783"/>
      <c r="J576" s="1783"/>
      <c r="K576" s="1783"/>
      <c r="L576" s="1783"/>
      <c r="M576" s="1783"/>
      <c r="N576" s="1783"/>
      <c r="O576" s="1783"/>
      <c r="P576" s="1783"/>
      <c r="Q576" s="1783"/>
      <c r="R576" s="1783"/>
      <c r="S576" s="1783"/>
      <c r="T576" s="1783"/>
      <c r="U576" s="1783"/>
      <c r="V576" s="1783"/>
      <c r="W576" s="1783"/>
      <c r="X576" s="1783"/>
      <c r="Y576" s="1783"/>
      <c r="Z576" s="1783"/>
      <c r="AA576" s="1783"/>
      <c r="AB576" s="1783"/>
      <c r="AC576" s="1783"/>
      <c r="AD576" s="1783"/>
      <c r="AE576" s="1783"/>
      <c r="AF576" s="1783"/>
      <c r="AG576" s="1783"/>
      <c r="AH576" s="1783"/>
      <c r="AI576" s="1783"/>
      <c r="AJ576" s="1783"/>
      <c r="AK576" s="1783"/>
      <c r="AL576" s="1783"/>
      <c r="AM576" s="1783"/>
      <c r="AN576" s="1783"/>
      <c r="AO576" s="1783"/>
      <c r="AP576" s="1783"/>
      <c r="AQ576" s="1783"/>
      <c r="AR576" s="1783"/>
      <c r="AS576" s="1783"/>
      <c r="AT576" s="1783"/>
      <c r="AU576" s="1783"/>
      <c r="AV576" s="1783"/>
      <c r="AW576" s="1783"/>
      <c r="AX576" s="1783"/>
      <c r="AY576" s="1783"/>
      <c r="AZ576" s="1783"/>
      <c r="BA576" s="1783"/>
      <c r="BB576" s="1783"/>
      <c r="BC576" s="1783"/>
      <c r="BD576" s="1783"/>
      <c r="BE576" s="1783"/>
      <c r="BF576" s="1783"/>
      <c r="BG576" s="1783"/>
      <c r="BH576" s="1783"/>
      <c r="BI576" s="1783"/>
    </row>
    <row r="577" spans="1:61">
      <c r="A577" s="1819"/>
      <c r="B577" s="1818"/>
      <c r="C577" s="1818"/>
      <c r="D577" s="1818"/>
      <c r="E577" s="1818"/>
      <c r="F577" s="1818"/>
      <c r="G577" s="1818"/>
      <c r="H577" s="1783"/>
      <c r="I577" s="1783"/>
      <c r="J577" s="1783"/>
      <c r="K577" s="1783"/>
      <c r="L577" s="1783"/>
      <c r="M577" s="1783"/>
      <c r="N577" s="1783"/>
      <c r="O577" s="1783"/>
      <c r="P577" s="1783"/>
      <c r="Q577" s="1783"/>
      <c r="R577" s="1783"/>
      <c r="S577" s="1783"/>
      <c r="T577" s="1783"/>
      <c r="U577" s="1783"/>
      <c r="V577" s="1783"/>
      <c r="W577" s="1783"/>
      <c r="X577" s="1783"/>
      <c r="Y577" s="1783"/>
      <c r="Z577" s="1783"/>
      <c r="AA577" s="1783"/>
      <c r="AB577" s="1783"/>
      <c r="AC577" s="1783"/>
      <c r="AD577" s="1783"/>
      <c r="AE577" s="1783"/>
      <c r="AF577" s="1783"/>
      <c r="AG577" s="1783"/>
      <c r="AH577" s="1783"/>
      <c r="AI577" s="1783"/>
      <c r="AJ577" s="1783"/>
      <c r="AK577" s="1783"/>
      <c r="AL577" s="1783"/>
      <c r="AM577" s="1783"/>
      <c r="AN577" s="1783"/>
      <c r="AO577" s="1783"/>
      <c r="AP577" s="1783"/>
      <c r="AQ577" s="1783"/>
      <c r="AR577" s="1783"/>
      <c r="AS577" s="1783"/>
      <c r="AT577" s="1783"/>
      <c r="AU577" s="1783"/>
      <c r="AV577" s="1783"/>
      <c r="AW577" s="1783"/>
      <c r="AX577" s="1783"/>
      <c r="AY577" s="1783"/>
      <c r="AZ577" s="1783"/>
      <c r="BA577" s="1783"/>
      <c r="BB577" s="1783"/>
      <c r="BC577" s="1783"/>
      <c r="BD577" s="1783"/>
      <c r="BE577" s="1783"/>
      <c r="BF577" s="1783"/>
      <c r="BG577" s="1783"/>
      <c r="BH577" s="1783"/>
      <c r="BI577" s="1783"/>
    </row>
    <row r="578" spans="1:61">
      <c r="A578" s="1819"/>
      <c r="B578" s="1818"/>
      <c r="C578" s="1818"/>
      <c r="D578" s="1818"/>
      <c r="E578" s="1818"/>
      <c r="F578" s="1818"/>
      <c r="G578" s="1818"/>
      <c r="H578" s="1783"/>
      <c r="I578" s="1783"/>
      <c r="J578" s="1783"/>
      <c r="K578" s="1783"/>
      <c r="L578" s="1783"/>
      <c r="M578" s="1783"/>
      <c r="N578" s="1783"/>
      <c r="O578" s="1783"/>
      <c r="P578" s="1783"/>
      <c r="Q578" s="1783"/>
      <c r="R578" s="1783"/>
      <c r="S578" s="1783"/>
      <c r="T578" s="1783"/>
      <c r="U578" s="1783"/>
      <c r="V578" s="1783"/>
      <c r="W578" s="1783"/>
      <c r="X578" s="1783"/>
      <c r="Y578" s="1783"/>
      <c r="Z578" s="1783"/>
      <c r="AA578" s="1783"/>
      <c r="AB578" s="1783"/>
      <c r="AC578" s="1783"/>
      <c r="AD578" s="1783"/>
      <c r="AE578" s="1783"/>
      <c r="AF578" s="1783"/>
      <c r="AG578" s="1783"/>
      <c r="AH578" s="1783"/>
      <c r="AI578" s="1783"/>
      <c r="AJ578" s="1783"/>
      <c r="AK578" s="1783"/>
      <c r="AL578" s="1783"/>
      <c r="AM578" s="1783"/>
      <c r="AN578" s="1783"/>
      <c r="AO578" s="1783"/>
      <c r="AP578" s="1783"/>
      <c r="AQ578" s="1783"/>
      <c r="AR578" s="1783"/>
      <c r="AS578" s="1783"/>
      <c r="AT578" s="1783"/>
      <c r="AU578" s="1783"/>
      <c r="AV578" s="1783"/>
      <c r="AW578" s="1783"/>
      <c r="AX578" s="1783"/>
      <c r="AY578" s="1783"/>
      <c r="AZ578" s="1783"/>
      <c r="BA578" s="1783"/>
      <c r="BB578" s="1783"/>
      <c r="BC578" s="1783"/>
      <c r="BD578" s="1783"/>
      <c r="BE578" s="1783"/>
      <c r="BF578" s="1783"/>
      <c r="BG578" s="1783"/>
      <c r="BH578" s="1783"/>
      <c r="BI578" s="1783"/>
    </row>
    <row r="579" spans="1:61">
      <c r="A579" s="1819"/>
      <c r="B579" s="1818"/>
      <c r="C579" s="1818"/>
      <c r="D579" s="1818"/>
      <c r="E579" s="1818"/>
      <c r="F579" s="1818"/>
      <c r="G579" s="1818"/>
      <c r="H579" s="1783"/>
      <c r="I579" s="1783"/>
      <c r="J579" s="1783"/>
      <c r="K579" s="1783"/>
      <c r="L579" s="1783"/>
      <c r="M579" s="1783"/>
      <c r="N579" s="1783"/>
      <c r="O579" s="1783"/>
      <c r="P579" s="1783"/>
      <c r="Q579" s="1783"/>
      <c r="R579" s="1783"/>
      <c r="S579" s="1783"/>
      <c r="T579" s="1783"/>
      <c r="U579" s="1783"/>
      <c r="V579" s="1783"/>
      <c r="W579" s="1783"/>
      <c r="X579" s="1783"/>
      <c r="Y579" s="1783"/>
      <c r="Z579" s="1783"/>
      <c r="AA579" s="1783"/>
      <c r="AB579" s="1783"/>
      <c r="AC579" s="1783"/>
      <c r="AD579" s="1783"/>
      <c r="AE579" s="1783"/>
      <c r="AF579" s="1783"/>
      <c r="AG579" s="1783"/>
      <c r="AH579" s="1783"/>
      <c r="AI579" s="1783"/>
      <c r="AJ579" s="1783"/>
      <c r="AK579" s="1783"/>
      <c r="AL579" s="1783"/>
      <c r="AM579" s="1783"/>
      <c r="AN579" s="1783"/>
      <c r="AO579" s="1783"/>
      <c r="AP579" s="1783"/>
      <c r="AQ579" s="1783"/>
      <c r="AR579" s="1783"/>
      <c r="AS579" s="1783"/>
      <c r="AT579" s="1783"/>
      <c r="AU579" s="1783"/>
      <c r="AV579" s="1783"/>
      <c r="AW579" s="1783"/>
      <c r="AX579" s="1783"/>
      <c r="AY579" s="1783"/>
      <c r="AZ579" s="1783"/>
      <c r="BA579" s="1783"/>
      <c r="BB579" s="1783"/>
      <c r="BC579" s="1783"/>
      <c r="BD579" s="1783"/>
      <c r="BE579" s="1783"/>
      <c r="BF579" s="1783"/>
      <c r="BG579" s="1783"/>
      <c r="BH579" s="1783"/>
      <c r="BI579" s="1783"/>
    </row>
    <row r="580" spans="1:61">
      <c r="A580" s="1819"/>
      <c r="B580" s="1818"/>
      <c r="C580" s="1818"/>
      <c r="D580" s="1818"/>
      <c r="E580" s="1818"/>
      <c r="F580" s="1818"/>
      <c r="G580" s="1818"/>
      <c r="H580" s="1783"/>
      <c r="I580" s="1783"/>
      <c r="J580" s="1783"/>
      <c r="K580" s="1783"/>
      <c r="L580" s="1783"/>
      <c r="M580" s="1783"/>
      <c r="N580" s="1783"/>
      <c r="O580" s="1783"/>
      <c r="P580" s="1783"/>
      <c r="Q580" s="1783"/>
      <c r="R580" s="1783"/>
      <c r="S580" s="1783"/>
      <c r="T580" s="1783"/>
      <c r="U580" s="1783"/>
      <c r="V580" s="1783"/>
      <c r="W580" s="1783"/>
      <c r="X580" s="1783"/>
      <c r="Y580" s="1783"/>
      <c r="Z580" s="1783"/>
      <c r="AA580" s="1783"/>
      <c r="AB580" s="1783"/>
      <c r="AC580" s="1783"/>
      <c r="AD580" s="1783"/>
      <c r="AE580" s="1783"/>
      <c r="AF580" s="1783"/>
      <c r="AG580" s="1783"/>
      <c r="AH580" s="1783"/>
      <c r="AI580" s="1783"/>
      <c r="AJ580" s="1783"/>
      <c r="AK580" s="1783"/>
      <c r="AL580" s="1783"/>
      <c r="AM580" s="1783"/>
      <c r="AN580" s="1783"/>
      <c r="AO580" s="1783"/>
      <c r="AP580" s="1783"/>
      <c r="AQ580" s="1783"/>
      <c r="AR580" s="1783"/>
      <c r="AS580" s="1783"/>
      <c r="AT580" s="1783"/>
      <c r="AU580" s="1783"/>
      <c r="AV580" s="1783"/>
      <c r="AW580" s="1783"/>
      <c r="AX580" s="1783"/>
      <c r="AY580" s="1783"/>
      <c r="AZ580" s="1783"/>
      <c r="BA580" s="1783"/>
      <c r="BB580" s="1783"/>
      <c r="BC580" s="1783"/>
      <c r="BD580" s="1783"/>
      <c r="BE580" s="1783"/>
      <c r="BF580" s="1783"/>
      <c r="BG580" s="1783"/>
      <c r="BH580" s="1783"/>
      <c r="BI580" s="1783"/>
    </row>
    <row r="581" spans="1:61">
      <c r="A581" s="1819"/>
      <c r="B581" s="1818"/>
      <c r="C581" s="1818"/>
      <c r="D581" s="1818"/>
      <c r="E581" s="1818"/>
      <c r="F581" s="1818"/>
      <c r="G581" s="1818"/>
      <c r="H581" s="1783"/>
      <c r="I581" s="1783"/>
      <c r="J581" s="1783"/>
      <c r="K581" s="1783"/>
      <c r="L581" s="1783"/>
      <c r="M581" s="1783"/>
      <c r="N581" s="1783"/>
      <c r="O581" s="1783"/>
      <c r="P581" s="1783"/>
      <c r="Q581" s="1783"/>
      <c r="R581" s="1783"/>
      <c r="S581" s="1783"/>
      <c r="T581" s="1783"/>
      <c r="U581" s="1783"/>
      <c r="V581" s="1783"/>
      <c r="W581" s="1783"/>
      <c r="X581" s="1783"/>
      <c r="Y581" s="1783"/>
      <c r="Z581" s="1783"/>
      <c r="AA581" s="1783"/>
      <c r="AB581" s="1783"/>
      <c r="AC581" s="1783"/>
      <c r="AD581" s="1783"/>
      <c r="AE581" s="1783"/>
      <c r="AF581" s="1783"/>
      <c r="AG581" s="1783"/>
      <c r="AH581" s="1783"/>
      <c r="AI581" s="1783"/>
      <c r="AJ581" s="1783"/>
      <c r="AK581" s="1783"/>
      <c r="AL581" s="1783"/>
      <c r="AM581" s="1783"/>
      <c r="AN581" s="1783"/>
      <c r="AO581" s="1783"/>
      <c r="AP581" s="1783"/>
      <c r="AQ581" s="1783"/>
      <c r="AR581" s="1783"/>
      <c r="AS581" s="1783"/>
      <c r="AT581" s="1783"/>
      <c r="AU581" s="1783"/>
      <c r="AV581" s="1783"/>
      <c r="AW581" s="1783"/>
      <c r="AX581" s="1783"/>
      <c r="AY581" s="1783"/>
      <c r="AZ581" s="1783"/>
      <c r="BA581" s="1783"/>
      <c r="BB581" s="1783"/>
      <c r="BC581" s="1783"/>
      <c r="BD581" s="1783"/>
      <c r="BE581" s="1783"/>
      <c r="BF581" s="1783"/>
      <c r="BG581" s="1783"/>
      <c r="BH581" s="1783"/>
      <c r="BI581" s="1783"/>
    </row>
    <row r="582" spans="1:61">
      <c r="A582" s="1819"/>
      <c r="B582" s="1818"/>
      <c r="C582" s="1818"/>
      <c r="D582" s="1818"/>
      <c r="E582" s="1818"/>
      <c r="F582" s="1818"/>
      <c r="G582" s="1818"/>
      <c r="H582" s="1783"/>
      <c r="I582" s="1783"/>
      <c r="J582" s="1783"/>
      <c r="K582" s="1783"/>
      <c r="L582" s="1783"/>
      <c r="M582" s="1783"/>
      <c r="N582" s="1783"/>
      <c r="O582" s="1783"/>
      <c r="P582" s="1783"/>
      <c r="Q582" s="1783"/>
      <c r="R582" s="1783"/>
      <c r="S582" s="1783"/>
      <c r="T582" s="1783"/>
      <c r="U582" s="1783"/>
      <c r="V582" s="1783"/>
      <c r="W582" s="1783"/>
      <c r="X582" s="1783"/>
      <c r="Y582" s="1783"/>
      <c r="Z582" s="1783"/>
      <c r="AA582" s="1783"/>
      <c r="AB582" s="1783"/>
      <c r="AC582" s="1783"/>
      <c r="AD582" s="1783"/>
      <c r="AE582" s="1783"/>
      <c r="AF582" s="1783"/>
      <c r="AG582" s="1783"/>
      <c r="AH582" s="1783"/>
      <c r="AI582" s="1783"/>
      <c r="AJ582" s="1783"/>
      <c r="AK582" s="1783"/>
      <c r="AL582" s="1783"/>
      <c r="AM582" s="1783"/>
      <c r="AN582" s="1783"/>
      <c r="AO582" s="1783"/>
      <c r="AP582" s="1783"/>
      <c r="AQ582" s="1783"/>
      <c r="AR582" s="1783"/>
      <c r="AS582" s="1783"/>
      <c r="AT582" s="1783"/>
      <c r="AU582" s="1783"/>
      <c r="AV582" s="1783"/>
      <c r="AW582" s="1783"/>
      <c r="AX582" s="1783"/>
      <c r="AY582" s="1783"/>
      <c r="AZ582" s="1783"/>
      <c r="BA582" s="1783"/>
      <c r="BB582" s="1783"/>
      <c r="BC582" s="1783"/>
      <c r="BD582" s="1783"/>
      <c r="BE582" s="1783"/>
      <c r="BF582" s="1783"/>
      <c r="BG582" s="1783"/>
      <c r="BH582" s="1783"/>
      <c r="BI582" s="1783"/>
    </row>
    <row r="583" spans="1:61">
      <c r="A583" s="1819"/>
      <c r="B583" s="1818"/>
      <c r="C583" s="1818"/>
      <c r="D583" s="1818"/>
      <c r="E583" s="1818"/>
      <c r="F583" s="1818"/>
      <c r="G583" s="1818"/>
      <c r="H583" s="1783"/>
      <c r="I583" s="1783"/>
      <c r="J583" s="1783"/>
      <c r="K583" s="1783"/>
      <c r="L583" s="1783"/>
      <c r="M583" s="1783"/>
      <c r="N583" s="1783"/>
      <c r="O583" s="1783"/>
      <c r="P583" s="1783"/>
      <c r="Q583" s="1783"/>
      <c r="R583" s="1783"/>
      <c r="S583" s="1783"/>
      <c r="T583" s="1783"/>
      <c r="U583" s="1783"/>
      <c r="V583" s="1783"/>
      <c r="W583" s="1783"/>
      <c r="X583" s="1783"/>
      <c r="Y583" s="1783"/>
      <c r="Z583" s="1783"/>
      <c r="AA583" s="1783"/>
      <c r="AB583" s="1783"/>
      <c r="AC583" s="1783"/>
      <c r="AD583" s="1783"/>
      <c r="AE583" s="1783"/>
      <c r="AF583" s="1783"/>
      <c r="AG583" s="1783"/>
      <c r="AH583" s="1783"/>
      <c r="AI583" s="1783"/>
      <c r="AJ583" s="1783"/>
      <c r="AK583" s="1783"/>
      <c r="AL583" s="1783"/>
      <c r="AM583" s="1783"/>
      <c r="AN583" s="1783"/>
      <c r="AO583" s="1783"/>
      <c r="AP583" s="1783"/>
      <c r="AQ583" s="1783"/>
      <c r="AR583" s="1783"/>
      <c r="AS583" s="1783"/>
      <c r="AT583" s="1783"/>
      <c r="AU583" s="1783"/>
      <c r="AV583" s="1783"/>
      <c r="AW583" s="1783"/>
      <c r="AX583" s="1783"/>
      <c r="AY583" s="1783"/>
      <c r="AZ583" s="1783"/>
      <c r="BA583" s="1783"/>
      <c r="BB583" s="1783"/>
      <c r="BC583" s="1783"/>
      <c r="BD583" s="1783"/>
      <c r="BE583" s="1783"/>
      <c r="BF583" s="1783"/>
      <c r="BG583" s="1783"/>
      <c r="BH583" s="1783"/>
      <c r="BI583" s="1783"/>
    </row>
    <row r="584" spans="1:61">
      <c r="A584" s="1819"/>
      <c r="B584" s="1818"/>
      <c r="C584" s="1818"/>
      <c r="D584" s="1818"/>
      <c r="E584" s="1818"/>
      <c r="F584" s="1818"/>
      <c r="G584" s="1818"/>
      <c r="H584" s="1783"/>
      <c r="I584" s="1783"/>
      <c r="J584" s="1783"/>
      <c r="K584" s="1783"/>
      <c r="L584" s="1783"/>
      <c r="M584" s="1783"/>
      <c r="N584" s="1783"/>
      <c r="O584" s="1783"/>
      <c r="P584" s="1783"/>
      <c r="Q584" s="1783"/>
      <c r="R584" s="1783"/>
      <c r="S584" s="1783"/>
      <c r="T584" s="1783"/>
      <c r="U584" s="1783"/>
      <c r="V584" s="1783"/>
      <c r="W584" s="1783"/>
      <c r="X584" s="1783"/>
      <c r="Y584" s="1783"/>
      <c r="Z584" s="1783"/>
      <c r="AA584" s="1783"/>
      <c r="AB584" s="1783"/>
      <c r="AC584" s="1783"/>
      <c r="AD584" s="1783"/>
      <c r="AE584" s="1783"/>
      <c r="AF584" s="1783"/>
      <c r="AG584" s="1783"/>
      <c r="AH584" s="1783"/>
      <c r="AI584" s="1783"/>
      <c r="AJ584" s="1783"/>
      <c r="AK584" s="1783"/>
      <c r="AL584" s="1783"/>
      <c r="AM584" s="1783"/>
      <c r="AN584" s="1783"/>
      <c r="AO584" s="1783"/>
      <c r="AP584" s="1783"/>
      <c r="AQ584" s="1783"/>
      <c r="AR584" s="1783"/>
      <c r="AS584" s="1783"/>
      <c r="AT584" s="1783"/>
      <c r="AU584" s="1783"/>
      <c r="AV584" s="1783"/>
      <c r="AW584" s="1783"/>
      <c r="AX584" s="1783"/>
      <c r="AY584" s="1783"/>
      <c r="AZ584" s="1783"/>
      <c r="BA584" s="1783"/>
      <c r="BB584" s="1783"/>
      <c r="BC584" s="1783"/>
      <c r="BD584" s="1783"/>
      <c r="BE584" s="1783"/>
      <c r="BF584" s="1783"/>
      <c r="BG584" s="1783"/>
      <c r="BH584" s="1783"/>
      <c r="BI584" s="1783"/>
    </row>
    <row r="585" spans="1:61">
      <c r="A585" s="1819"/>
      <c r="B585" s="1818"/>
      <c r="C585" s="1818"/>
      <c r="D585" s="1818"/>
      <c r="E585" s="1818"/>
      <c r="F585" s="1818"/>
      <c r="G585" s="1818"/>
      <c r="H585" s="1783"/>
      <c r="I585" s="1783"/>
      <c r="J585" s="1783"/>
      <c r="K585" s="1783"/>
      <c r="L585" s="1783"/>
      <c r="M585" s="1783"/>
      <c r="N585" s="1783"/>
      <c r="O585" s="1783"/>
      <c r="P585" s="1783"/>
      <c r="Q585" s="1783"/>
      <c r="R585" s="1783"/>
      <c r="S585" s="1783"/>
      <c r="T585" s="1783"/>
      <c r="U585" s="1783"/>
      <c r="V585" s="1783"/>
      <c r="W585" s="1783"/>
      <c r="X585" s="1783"/>
      <c r="Y585" s="1783"/>
      <c r="Z585" s="1783"/>
      <c r="AA585" s="1783"/>
      <c r="AB585" s="1783"/>
      <c r="AC585" s="1783"/>
      <c r="AD585" s="1783"/>
      <c r="AE585" s="1783"/>
      <c r="AF585" s="1783"/>
      <c r="AG585" s="1783"/>
      <c r="AH585" s="1783"/>
      <c r="AI585" s="1783"/>
      <c r="AJ585" s="1783"/>
      <c r="AK585" s="1783"/>
      <c r="AL585" s="1783"/>
      <c r="AM585" s="1783"/>
      <c r="AN585" s="1783"/>
      <c r="AO585" s="1783"/>
      <c r="AP585" s="1783"/>
      <c r="AQ585" s="1783"/>
      <c r="AR585" s="1783"/>
      <c r="AS585" s="1783"/>
      <c r="AT585" s="1783"/>
      <c r="AU585" s="1783"/>
      <c r="AV585" s="1783"/>
      <c r="AW585" s="1783"/>
      <c r="AX585" s="1783"/>
      <c r="AY585" s="1783"/>
      <c r="AZ585" s="1783"/>
      <c r="BA585" s="1783"/>
      <c r="BB585" s="1783"/>
      <c r="BC585" s="1783"/>
      <c r="BD585" s="1783"/>
      <c r="BE585" s="1783"/>
      <c r="BF585" s="1783"/>
      <c r="BG585" s="1783"/>
      <c r="BH585" s="1783"/>
      <c r="BI585" s="1783"/>
    </row>
    <row r="586" spans="1:61">
      <c r="A586" s="1819"/>
      <c r="B586" s="1818"/>
      <c r="C586" s="1818"/>
      <c r="D586" s="1818"/>
      <c r="E586" s="1818"/>
      <c r="F586" s="1818"/>
      <c r="G586" s="1818"/>
      <c r="H586" s="1783"/>
      <c r="I586" s="1783"/>
      <c r="J586" s="1783"/>
      <c r="K586" s="1783"/>
      <c r="L586" s="1783"/>
      <c r="M586" s="1783"/>
      <c r="N586" s="1783"/>
      <c r="O586" s="1783"/>
      <c r="P586" s="1783"/>
      <c r="Q586" s="1783"/>
      <c r="R586" s="1783"/>
      <c r="S586" s="1783"/>
      <c r="T586" s="1783"/>
      <c r="U586" s="1783"/>
      <c r="V586" s="1783"/>
      <c r="W586" s="1783"/>
      <c r="X586" s="1783"/>
      <c r="Y586" s="1783"/>
      <c r="Z586" s="1783"/>
      <c r="AA586" s="1783"/>
      <c r="AB586" s="1783"/>
      <c r="AC586" s="1783"/>
      <c r="AD586" s="1783"/>
      <c r="AE586" s="1783"/>
      <c r="AF586" s="1783"/>
      <c r="AG586" s="1783"/>
      <c r="AH586" s="1783"/>
      <c r="AI586" s="1783"/>
      <c r="AJ586" s="1783"/>
      <c r="AK586" s="1783"/>
      <c r="AL586" s="1783"/>
      <c r="AM586" s="1783"/>
      <c r="AN586" s="1783"/>
      <c r="AO586" s="1783"/>
      <c r="AP586" s="1783"/>
      <c r="AQ586" s="1783"/>
      <c r="AR586" s="1783"/>
      <c r="AS586" s="1783"/>
      <c r="AT586" s="1783"/>
      <c r="AU586" s="1783"/>
      <c r="AV586" s="1783"/>
      <c r="AW586" s="1783"/>
      <c r="AX586" s="1783"/>
      <c r="AY586" s="1783"/>
      <c r="AZ586" s="1783"/>
      <c r="BA586" s="1783"/>
      <c r="BB586" s="1783"/>
      <c r="BC586" s="1783"/>
      <c r="BD586" s="1783"/>
      <c r="BE586" s="1783"/>
      <c r="BF586" s="1783"/>
      <c r="BG586" s="1783"/>
      <c r="BH586" s="1783"/>
      <c r="BI586" s="1783"/>
    </row>
    <row r="587" spans="1:61">
      <c r="A587" s="1819"/>
      <c r="B587" s="1818"/>
      <c r="C587" s="1818"/>
      <c r="D587" s="1818"/>
      <c r="E587" s="1818"/>
      <c r="F587" s="1818"/>
      <c r="G587" s="1818"/>
      <c r="H587" s="1783"/>
      <c r="I587" s="1783"/>
      <c r="J587" s="1783"/>
      <c r="K587" s="1783"/>
      <c r="L587" s="1783"/>
      <c r="M587" s="1783"/>
      <c r="N587" s="1783"/>
      <c r="O587" s="1783"/>
      <c r="P587" s="1783"/>
      <c r="Q587" s="1783"/>
      <c r="R587" s="1783"/>
      <c r="S587" s="1783"/>
      <c r="T587" s="1783"/>
      <c r="U587" s="1783"/>
      <c r="V587" s="1783"/>
      <c r="W587" s="1783"/>
      <c r="X587" s="1783"/>
      <c r="Y587" s="1783"/>
      <c r="Z587" s="1783"/>
      <c r="AA587" s="1783"/>
      <c r="AB587" s="1783"/>
      <c r="AC587" s="1783"/>
      <c r="AD587" s="1783"/>
      <c r="AE587" s="1783"/>
      <c r="AF587" s="1783"/>
      <c r="AG587" s="1783"/>
      <c r="AH587" s="1783"/>
      <c r="AI587" s="1783"/>
      <c r="AJ587" s="1783"/>
      <c r="AK587" s="1783"/>
      <c r="AL587" s="1783"/>
      <c r="AM587" s="1783"/>
      <c r="AN587" s="1783"/>
      <c r="AO587" s="1783"/>
      <c r="AP587" s="1783"/>
      <c r="AQ587" s="1783"/>
      <c r="AR587" s="1783"/>
      <c r="AS587" s="1783"/>
      <c r="AT587" s="1783"/>
      <c r="AU587" s="1783"/>
      <c r="AV587" s="1783"/>
      <c r="AW587" s="1783"/>
      <c r="AX587" s="1783"/>
      <c r="AY587" s="1783"/>
      <c r="AZ587" s="1783"/>
      <c r="BA587" s="1783"/>
      <c r="BB587" s="1783"/>
      <c r="BC587" s="1783"/>
      <c r="BD587" s="1783"/>
      <c r="BE587" s="1783"/>
      <c r="BF587" s="1783"/>
      <c r="BG587" s="1783"/>
      <c r="BH587" s="1783"/>
      <c r="BI587" s="1783"/>
    </row>
    <row r="588" spans="1:61">
      <c r="A588" s="1819"/>
      <c r="B588" s="1818"/>
      <c r="C588" s="1818"/>
      <c r="D588" s="1818"/>
      <c r="E588" s="1818"/>
      <c r="F588" s="1818"/>
      <c r="G588" s="1818"/>
      <c r="H588" s="1783"/>
      <c r="I588" s="1783"/>
      <c r="J588" s="1783"/>
      <c r="K588" s="1783"/>
      <c r="L588" s="1783"/>
      <c r="M588" s="1783"/>
      <c r="N588" s="1783"/>
      <c r="O588" s="1783"/>
      <c r="P588" s="1783"/>
      <c r="Q588" s="1783"/>
      <c r="R588" s="1783"/>
      <c r="S588" s="1783"/>
      <c r="T588" s="1783"/>
      <c r="U588" s="1783"/>
      <c r="V588" s="1783"/>
      <c r="W588" s="1783"/>
      <c r="X588" s="1783"/>
      <c r="Y588" s="1783"/>
      <c r="Z588" s="1783"/>
      <c r="AA588" s="1783"/>
      <c r="AB588" s="1783"/>
      <c r="AC588" s="1783"/>
      <c r="AD588" s="1783"/>
      <c r="AE588" s="1783"/>
      <c r="AF588" s="1783"/>
      <c r="AG588" s="1783"/>
      <c r="AH588" s="1783"/>
      <c r="AI588" s="1783"/>
      <c r="AJ588" s="1783"/>
      <c r="AK588" s="1783"/>
      <c r="AL588" s="1783"/>
      <c r="AM588" s="1783"/>
      <c r="AN588" s="1783"/>
      <c r="AO588" s="1783"/>
      <c r="AP588" s="1783"/>
      <c r="AQ588" s="1783"/>
      <c r="AR588" s="1783"/>
      <c r="AS588" s="1783"/>
      <c r="AT588" s="1783"/>
      <c r="AU588" s="1783"/>
      <c r="AV588" s="1783"/>
      <c r="AW588" s="1783"/>
      <c r="AX588" s="1783"/>
      <c r="AY588" s="1783"/>
      <c r="AZ588" s="1783"/>
      <c r="BA588" s="1783"/>
      <c r="BB588" s="1783"/>
      <c r="BC588" s="1783"/>
      <c r="BD588" s="1783"/>
      <c r="BE588" s="1783"/>
      <c r="BF588" s="1783"/>
      <c r="BG588" s="1783"/>
      <c r="BH588" s="1783"/>
      <c r="BI588" s="1783"/>
    </row>
    <row r="589" spans="1:61">
      <c r="A589" s="1819"/>
      <c r="B589" s="1818"/>
      <c r="C589" s="1818"/>
      <c r="D589" s="1818"/>
      <c r="E589" s="1818"/>
      <c r="F589" s="1818"/>
      <c r="G589" s="1818"/>
      <c r="H589" s="1783"/>
      <c r="I589" s="1783"/>
      <c r="J589" s="1783"/>
      <c r="K589" s="1783"/>
      <c r="L589" s="1783"/>
      <c r="M589" s="1783"/>
      <c r="N589" s="1783"/>
      <c r="O589" s="1783"/>
      <c r="P589" s="1783"/>
      <c r="Q589" s="1783"/>
      <c r="R589" s="1783"/>
      <c r="S589" s="1783"/>
      <c r="T589" s="1783"/>
      <c r="U589" s="1783"/>
      <c r="V589" s="1783"/>
      <c r="W589" s="1783"/>
      <c r="X589" s="1783"/>
      <c r="Y589" s="1783"/>
      <c r="Z589" s="1783"/>
      <c r="AA589" s="1783"/>
      <c r="AB589" s="1783"/>
      <c r="AC589" s="1783"/>
      <c r="AD589" s="1783"/>
      <c r="AE589" s="1783"/>
      <c r="AF589" s="1783"/>
      <c r="AG589" s="1783"/>
      <c r="AH589" s="1783"/>
      <c r="AI589" s="1783"/>
      <c r="AJ589" s="1783"/>
      <c r="AK589" s="1783"/>
      <c r="AL589" s="1783"/>
      <c r="AM589" s="1783"/>
      <c r="AN589" s="1783"/>
      <c r="AO589" s="1783"/>
      <c r="AP589" s="1783"/>
      <c r="AQ589" s="1783"/>
      <c r="AR589" s="1783"/>
      <c r="AS589" s="1783"/>
      <c r="AT589" s="1783"/>
      <c r="AU589" s="1783"/>
      <c r="AV589" s="1783"/>
      <c r="AW589" s="1783"/>
      <c r="AX589" s="1783"/>
      <c r="AY589" s="1783"/>
      <c r="AZ589" s="1783"/>
      <c r="BA589" s="1783"/>
      <c r="BB589" s="1783"/>
      <c r="BC589" s="1783"/>
      <c r="BD589" s="1783"/>
      <c r="BE589" s="1783"/>
      <c r="BF589" s="1783"/>
      <c r="BG589" s="1783"/>
      <c r="BH589" s="1783"/>
      <c r="BI589" s="1783"/>
    </row>
    <row r="590" spans="1:61">
      <c r="A590" s="1819"/>
      <c r="B590" s="1818"/>
      <c r="C590" s="1818"/>
      <c r="D590" s="1818"/>
      <c r="E590" s="1818"/>
      <c r="F590" s="1818"/>
      <c r="G590" s="1818"/>
      <c r="H590" s="1783"/>
      <c r="I590" s="1783"/>
      <c r="J590" s="1783"/>
      <c r="K590" s="1783"/>
      <c r="L590" s="1783"/>
      <c r="M590" s="1783"/>
      <c r="N590" s="1783"/>
      <c r="O590" s="1783"/>
      <c r="P590" s="1783"/>
      <c r="Q590" s="1783"/>
      <c r="R590" s="1783"/>
      <c r="S590" s="1783"/>
      <c r="T590" s="1783"/>
      <c r="U590" s="1783"/>
      <c r="V590" s="1783"/>
      <c r="W590" s="1783"/>
      <c r="X590" s="1783"/>
      <c r="Y590" s="1783"/>
      <c r="Z590" s="1783"/>
      <c r="AA590" s="1783"/>
      <c r="AB590" s="1783"/>
      <c r="AC590" s="1783"/>
      <c r="AD590" s="1783"/>
      <c r="AE590" s="1783"/>
      <c r="AF590" s="1783"/>
      <c r="AG590" s="1783"/>
      <c r="AH590" s="1783"/>
      <c r="AI590" s="1783"/>
      <c r="AJ590" s="1783"/>
      <c r="AK590" s="1783"/>
      <c r="AL590" s="1783"/>
      <c r="AM590" s="1783"/>
      <c r="AN590" s="1783"/>
      <c r="AO590" s="1783"/>
      <c r="AP590" s="1783"/>
      <c r="AQ590" s="1783"/>
      <c r="AR590" s="1783"/>
      <c r="AS590" s="1783"/>
      <c r="AT590" s="1783"/>
      <c r="AU590" s="1783"/>
      <c r="AV590" s="1783"/>
      <c r="AW590" s="1783"/>
      <c r="AX590" s="1783"/>
      <c r="AY590" s="1783"/>
      <c r="AZ590" s="1783"/>
      <c r="BA590" s="1783"/>
      <c r="BB590" s="1783"/>
      <c r="BC590" s="1783"/>
      <c r="BD590" s="1783"/>
      <c r="BE590" s="1783"/>
      <c r="BF590" s="1783"/>
      <c r="BG590" s="1783"/>
      <c r="BH590" s="1783"/>
      <c r="BI590" s="1783"/>
    </row>
    <row r="591" spans="1:61">
      <c r="A591" s="1819"/>
      <c r="B591" s="1818"/>
      <c r="C591" s="1818"/>
      <c r="D591" s="1818"/>
      <c r="E591" s="1818"/>
      <c r="F591" s="1818"/>
      <c r="G591" s="1818"/>
      <c r="H591" s="1783"/>
      <c r="I591" s="1783"/>
      <c r="J591" s="1783"/>
      <c r="K591" s="1783"/>
      <c r="L591" s="1783"/>
      <c r="M591" s="1783"/>
      <c r="N591" s="1783"/>
      <c r="O591" s="1783"/>
      <c r="P591" s="1783"/>
      <c r="Q591" s="1783"/>
      <c r="R591" s="1783"/>
      <c r="S591" s="1783"/>
      <c r="T591" s="1783"/>
      <c r="U591" s="1783"/>
      <c r="V591" s="1783"/>
      <c r="W591" s="1783"/>
      <c r="X591" s="1783"/>
      <c r="Y591" s="1783"/>
      <c r="Z591" s="1783"/>
      <c r="AA591" s="1783"/>
      <c r="AB591" s="1783"/>
      <c r="AC591" s="1783"/>
      <c r="AD591" s="1783"/>
      <c r="AE591" s="1783"/>
      <c r="AF591" s="1783"/>
      <c r="AG591" s="1783"/>
      <c r="AH591" s="1783"/>
      <c r="AI591" s="1783"/>
      <c r="AJ591" s="1783"/>
      <c r="AK591" s="1783"/>
      <c r="AL591" s="1783"/>
      <c r="AM591" s="1783"/>
      <c r="AN591" s="1783"/>
      <c r="AO591" s="1783"/>
      <c r="AP591" s="1783"/>
      <c r="AQ591" s="1783"/>
      <c r="AR591" s="1783"/>
      <c r="AS591" s="1783"/>
      <c r="AT591" s="1783"/>
      <c r="AU591" s="1783"/>
      <c r="AV591" s="1783"/>
      <c r="AW591" s="1783"/>
      <c r="AX591" s="1783"/>
      <c r="AY591" s="1783"/>
      <c r="AZ591" s="1783"/>
      <c r="BA591" s="1783"/>
      <c r="BB591" s="1783"/>
      <c r="BC591" s="1783"/>
      <c r="BD591" s="1783"/>
      <c r="BE591" s="1783"/>
      <c r="BF591" s="1783"/>
      <c r="BG591" s="1783"/>
      <c r="BH591" s="1783"/>
      <c r="BI591" s="1783"/>
    </row>
    <row r="592" spans="1:61">
      <c r="A592" s="1819"/>
      <c r="B592" s="1818"/>
      <c r="C592" s="1818"/>
      <c r="D592" s="1818"/>
      <c r="E592" s="1818"/>
      <c r="F592" s="1818"/>
      <c r="G592" s="1818"/>
      <c r="H592" s="1783"/>
      <c r="I592" s="1783"/>
      <c r="J592" s="1783"/>
      <c r="K592" s="1783"/>
      <c r="L592" s="1783"/>
      <c r="M592" s="1783"/>
      <c r="N592" s="1783"/>
      <c r="O592" s="1783"/>
      <c r="P592" s="1783"/>
      <c r="Q592" s="1783"/>
      <c r="R592" s="1783"/>
      <c r="S592" s="1783"/>
      <c r="T592" s="1783"/>
      <c r="U592" s="1783"/>
      <c r="V592" s="1783"/>
      <c r="W592" s="1783"/>
      <c r="X592" s="1783"/>
      <c r="Y592" s="1783"/>
      <c r="Z592" s="1783"/>
      <c r="AA592" s="1783"/>
      <c r="AB592" s="1783"/>
      <c r="AC592" s="1783"/>
      <c r="AD592" s="1783"/>
      <c r="AE592" s="1783"/>
      <c r="AF592" s="1783"/>
      <c r="AG592" s="1783"/>
      <c r="AH592" s="1783"/>
      <c r="AI592" s="1783"/>
      <c r="AJ592" s="1783"/>
      <c r="AK592" s="1783"/>
      <c r="AL592" s="1783"/>
      <c r="AM592" s="1783"/>
      <c r="AN592" s="1783"/>
      <c r="AO592" s="1783"/>
      <c r="AP592" s="1783"/>
      <c r="AQ592" s="1783"/>
      <c r="AR592" s="1783"/>
      <c r="AS592" s="1783"/>
      <c r="AT592" s="1783"/>
      <c r="AU592" s="1783"/>
      <c r="AV592" s="1783"/>
      <c r="AW592" s="1783"/>
      <c r="AX592" s="1783"/>
      <c r="AY592" s="1783"/>
      <c r="AZ592" s="1783"/>
      <c r="BA592" s="1783"/>
      <c r="BB592" s="1783"/>
      <c r="BC592" s="1783"/>
      <c r="BD592" s="1783"/>
      <c r="BE592" s="1783"/>
      <c r="BF592" s="1783"/>
      <c r="BG592" s="1783"/>
      <c r="BH592" s="1783"/>
      <c r="BI592" s="1783"/>
    </row>
    <row r="593" spans="1:61">
      <c r="A593" s="1819"/>
      <c r="B593" s="1818"/>
      <c r="C593" s="1818"/>
      <c r="D593" s="1818"/>
      <c r="E593" s="1818"/>
      <c r="F593" s="1818"/>
      <c r="G593" s="1818"/>
      <c r="H593" s="1783"/>
      <c r="I593" s="1783"/>
      <c r="J593" s="1783"/>
      <c r="K593" s="1783"/>
      <c r="L593" s="1783"/>
      <c r="M593" s="1783"/>
      <c r="N593" s="1783"/>
      <c r="O593" s="1783"/>
      <c r="P593" s="1783"/>
      <c r="Q593" s="1783"/>
      <c r="R593" s="1783"/>
      <c r="S593" s="1783"/>
      <c r="T593" s="1783"/>
      <c r="U593" s="1783"/>
      <c r="V593" s="1783"/>
      <c r="W593" s="1783"/>
      <c r="X593" s="1783"/>
      <c r="Y593" s="1783"/>
      <c r="Z593" s="1783"/>
      <c r="AA593" s="1783"/>
      <c r="AB593" s="1783"/>
      <c r="AC593" s="1783"/>
      <c r="AD593" s="1783"/>
      <c r="AE593" s="1783"/>
      <c r="AF593" s="1783"/>
      <c r="AG593" s="1783"/>
      <c r="AH593" s="1783"/>
      <c r="AI593" s="1783"/>
      <c r="AJ593" s="1783"/>
      <c r="AK593" s="1783"/>
      <c r="AL593" s="1783"/>
      <c r="AM593" s="1783"/>
      <c r="AN593" s="1783"/>
      <c r="AO593" s="1783"/>
      <c r="AP593" s="1783"/>
      <c r="AQ593" s="1783"/>
      <c r="AR593" s="1783"/>
      <c r="AS593" s="1783"/>
      <c r="AT593" s="1783"/>
      <c r="AU593" s="1783"/>
      <c r="AV593" s="1783"/>
      <c r="AW593" s="1783"/>
      <c r="AX593" s="1783"/>
      <c r="AY593" s="1783"/>
      <c r="AZ593" s="1783"/>
      <c r="BA593" s="1783"/>
      <c r="BB593" s="1783"/>
      <c r="BC593" s="1783"/>
      <c r="BD593" s="1783"/>
      <c r="BE593" s="1783"/>
      <c r="BF593" s="1783"/>
      <c r="BG593" s="1783"/>
      <c r="BH593" s="1783"/>
      <c r="BI593" s="1783"/>
    </row>
    <row r="594" spans="1:61">
      <c r="A594" s="1819"/>
      <c r="B594" s="1818"/>
      <c r="C594" s="1818"/>
      <c r="D594" s="1818"/>
      <c r="E594" s="1818"/>
      <c r="F594" s="1818"/>
      <c r="G594" s="1818"/>
      <c r="H594" s="1783"/>
      <c r="I594" s="1783"/>
      <c r="J594" s="1783"/>
      <c r="K594" s="1783"/>
      <c r="L594" s="1783"/>
      <c r="M594" s="1783"/>
      <c r="N594" s="1783"/>
      <c r="O594" s="1783"/>
      <c r="P594" s="1783"/>
      <c r="Q594" s="1783"/>
      <c r="R594" s="1783"/>
      <c r="S594" s="1783"/>
      <c r="T594" s="1783"/>
      <c r="U594" s="1783"/>
      <c r="V594" s="1783"/>
      <c r="W594" s="1783"/>
      <c r="X594" s="1783"/>
      <c r="Y594" s="1783"/>
      <c r="Z594" s="1783"/>
      <c r="AA594" s="1783"/>
      <c r="AB594" s="1783"/>
      <c r="AC594" s="1783"/>
      <c r="AD594" s="1783"/>
      <c r="AE594" s="1783"/>
      <c r="AF594" s="1783"/>
      <c r="AG594" s="1783"/>
      <c r="AH594" s="1783"/>
      <c r="AI594" s="1783"/>
      <c r="AJ594" s="1783"/>
      <c r="AK594" s="1783"/>
      <c r="AL594" s="1783"/>
      <c r="AM594" s="1783"/>
      <c r="AN594" s="1783"/>
      <c r="AO594" s="1783"/>
      <c r="AP594" s="1783"/>
      <c r="AQ594" s="1783"/>
      <c r="AR594" s="1783"/>
      <c r="AS594" s="1783"/>
      <c r="AT594" s="1783"/>
      <c r="AU594" s="1783"/>
      <c r="AV594" s="1783"/>
      <c r="AW594" s="1783"/>
      <c r="AX594" s="1783"/>
      <c r="AY594" s="1783"/>
      <c r="AZ594" s="1783"/>
      <c r="BA594" s="1783"/>
      <c r="BB594" s="1783"/>
      <c r="BC594" s="1783"/>
      <c r="BD594" s="1783"/>
      <c r="BE594" s="1783"/>
      <c r="BF594" s="1783"/>
      <c r="BG594" s="1783"/>
      <c r="BH594" s="1783"/>
      <c r="BI594" s="1783"/>
    </row>
    <row r="595" spans="1:61">
      <c r="A595" s="1819"/>
      <c r="B595" s="1818"/>
      <c r="C595" s="1818"/>
      <c r="D595" s="1818"/>
      <c r="E595" s="1818"/>
      <c r="F595" s="1818"/>
      <c r="G595" s="1818"/>
      <c r="H595" s="1783"/>
      <c r="I595" s="1783"/>
      <c r="J595" s="1783"/>
      <c r="K595" s="1783"/>
      <c r="L595" s="1783"/>
      <c r="M595" s="1783"/>
      <c r="N595" s="1783"/>
      <c r="O595" s="1783"/>
      <c r="P595" s="1783"/>
      <c r="Q595" s="1783"/>
      <c r="R595" s="1783"/>
      <c r="S595" s="1783"/>
      <c r="T595" s="1783"/>
      <c r="U595" s="1783"/>
      <c r="V595" s="1783"/>
      <c r="W595" s="1783"/>
      <c r="X595" s="1783"/>
      <c r="Y595" s="1783"/>
      <c r="Z595" s="1783"/>
      <c r="AA595" s="1783"/>
      <c r="AB595" s="1783"/>
      <c r="AC595" s="1783"/>
      <c r="AD595" s="1783"/>
      <c r="AE595" s="1783"/>
      <c r="AF595" s="1783"/>
      <c r="AG595" s="1783"/>
      <c r="AH595" s="1783"/>
      <c r="AI595" s="1783"/>
      <c r="AJ595" s="1783"/>
      <c r="AK595" s="1783"/>
      <c r="AL595" s="1783"/>
      <c r="AM595" s="1783"/>
      <c r="AN595" s="1783"/>
      <c r="AO595" s="1783"/>
      <c r="AP595" s="1783"/>
      <c r="AQ595" s="1783"/>
      <c r="AR595" s="1783"/>
      <c r="AS595" s="1783"/>
      <c r="AT595" s="1783"/>
      <c r="AU595" s="1783"/>
      <c r="AV595" s="1783"/>
      <c r="AW595" s="1783"/>
      <c r="AX595" s="1783"/>
      <c r="AY595" s="1783"/>
      <c r="AZ595" s="1783"/>
      <c r="BA595" s="1783"/>
      <c r="BB595" s="1783"/>
      <c r="BC595" s="1783"/>
      <c r="BD595" s="1783"/>
      <c r="BE595" s="1783"/>
      <c r="BF595" s="1783"/>
      <c r="BG595" s="1783"/>
      <c r="BH595" s="1783"/>
      <c r="BI595" s="1783"/>
    </row>
    <row r="596" spans="1:61">
      <c r="A596" s="1819"/>
      <c r="B596" s="1818"/>
      <c r="C596" s="1818"/>
      <c r="D596" s="1818"/>
      <c r="E596" s="1818"/>
      <c r="F596" s="1818"/>
      <c r="G596" s="1818"/>
      <c r="H596" s="1783"/>
      <c r="I596" s="1783"/>
      <c r="J596" s="1783"/>
      <c r="K596" s="1783"/>
      <c r="L596" s="1783"/>
      <c r="M596" s="1783"/>
      <c r="N596" s="1783"/>
      <c r="O596" s="1783"/>
      <c r="P596" s="1783"/>
      <c r="Q596" s="1783"/>
      <c r="R596" s="1783"/>
      <c r="S596" s="1783"/>
      <c r="T596" s="1783"/>
      <c r="U596" s="1783"/>
      <c r="V596" s="1783"/>
      <c r="W596" s="1783"/>
      <c r="X596" s="1783"/>
      <c r="Y596" s="1783"/>
      <c r="Z596" s="1783"/>
      <c r="AA596" s="1783"/>
      <c r="AB596" s="1783"/>
      <c r="AC596" s="1783"/>
      <c r="AD596" s="1783"/>
      <c r="AE596" s="1783"/>
      <c r="AF596" s="1783"/>
      <c r="AG596" s="1783"/>
      <c r="AH596" s="1783"/>
      <c r="AI596" s="1783"/>
      <c r="AJ596" s="1783"/>
      <c r="AK596" s="1783"/>
      <c r="AL596" s="1783"/>
      <c r="AM596" s="1783"/>
      <c r="AN596" s="1783"/>
      <c r="AO596" s="1783"/>
      <c r="AP596" s="1783"/>
      <c r="AQ596" s="1783"/>
      <c r="AR596" s="1783"/>
      <c r="AS596" s="1783"/>
      <c r="AT596" s="1783"/>
      <c r="AU596" s="1783"/>
      <c r="AV596" s="1783"/>
      <c r="AW596" s="1783"/>
      <c r="AX596" s="1783"/>
      <c r="AY596" s="1783"/>
      <c r="AZ596" s="1783"/>
      <c r="BA596" s="1783"/>
      <c r="BB596" s="1783"/>
      <c r="BC596" s="1783"/>
      <c r="BD596" s="1783"/>
      <c r="BE596" s="1783"/>
      <c r="BF596" s="1783"/>
      <c r="BG596" s="1783"/>
      <c r="BH596" s="1783"/>
      <c r="BI596" s="1783"/>
    </row>
    <row r="597" spans="1:61">
      <c r="A597" s="1819"/>
      <c r="B597" s="1818"/>
      <c r="C597" s="1818"/>
      <c r="D597" s="1818"/>
      <c r="E597" s="1818"/>
      <c r="F597" s="1818"/>
      <c r="G597" s="1818"/>
      <c r="H597" s="1783"/>
      <c r="I597" s="1783"/>
      <c r="J597" s="1783"/>
      <c r="K597" s="1783"/>
      <c r="L597" s="1783"/>
      <c r="M597" s="1783"/>
      <c r="N597" s="1783"/>
      <c r="O597" s="1783"/>
      <c r="P597" s="1783"/>
      <c r="Q597" s="1783"/>
      <c r="R597" s="1783"/>
      <c r="S597" s="1783"/>
      <c r="T597" s="1783"/>
      <c r="U597" s="1783"/>
      <c r="V597" s="1783"/>
      <c r="W597" s="1783"/>
      <c r="X597" s="1783"/>
      <c r="Y597" s="1783"/>
      <c r="Z597" s="1783"/>
      <c r="AA597" s="1783"/>
      <c r="AB597" s="1783"/>
      <c r="AC597" s="1783"/>
      <c r="AD597" s="1783"/>
      <c r="AE597" s="1783"/>
      <c r="AF597" s="1783"/>
      <c r="AG597" s="1783"/>
      <c r="AH597" s="1783"/>
      <c r="AI597" s="1783"/>
      <c r="AJ597" s="1783"/>
      <c r="AK597" s="1783"/>
      <c r="AL597" s="1783"/>
      <c r="AM597" s="1783"/>
      <c r="AN597" s="1783"/>
      <c r="AO597" s="1783"/>
      <c r="AP597" s="1783"/>
      <c r="AQ597" s="1783"/>
      <c r="AR597" s="1783"/>
      <c r="AS597" s="1783"/>
      <c r="AT597" s="1783"/>
      <c r="AU597" s="1783"/>
      <c r="AV597" s="1783"/>
      <c r="AW597" s="1783"/>
      <c r="AX597" s="1783"/>
      <c r="AY597" s="1783"/>
      <c r="AZ597" s="1783"/>
      <c r="BA597" s="1783"/>
      <c r="BB597" s="1783"/>
      <c r="BC597" s="1783"/>
      <c r="BD597" s="1783"/>
      <c r="BE597" s="1783"/>
      <c r="BF597" s="1783"/>
      <c r="BG597" s="1783"/>
      <c r="BH597" s="1783"/>
      <c r="BI597" s="1783"/>
    </row>
    <row r="598" spans="1:61">
      <c r="A598" s="1819"/>
      <c r="B598" s="1818"/>
      <c r="C598" s="1818"/>
      <c r="D598" s="1818"/>
      <c r="E598" s="1818"/>
      <c r="F598" s="1818"/>
      <c r="G598" s="1818"/>
      <c r="H598" s="1783"/>
      <c r="I598" s="1783"/>
      <c r="J598" s="1783"/>
      <c r="K598" s="1783"/>
      <c r="L598" s="1783"/>
      <c r="M598" s="1783"/>
      <c r="N598" s="1783"/>
      <c r="O598" s="1783"/>
      <c r="P598" s="1783"/>
      <c r="Q598" s="1783"/>
      <c r="R598" s="1783"/>
      <c r="S598" s="1783"/>
      <c r="T598" s="1783"/>
      <c r="U598" s="1783"/>
      <c r="V598" s="1783"/>
      <c r="W598" s="1783"/>
      <c r="X598" s="1783"/>
      <c r="Y598" s="1783"/>
      <c r="Z598" s="1783"/>
      <c r="AA598" s="1783"/>
      <c r="AB598" s="1783"/>
      <c r="AC598" s="1783"/>
      <c r="AD598" s="1783"/>
      <c r="AE598" s="1783"/>
      <c r="AF598" s="1783"/>
      <c r="AG598" s="1783"/>
      <c r="AH598" s="1783"/>
      <c r="AI598" s="1783"/>
      <c r="AJ598" s="1783"/>
      <c r="AK598" s="1783"/>
      <c r="AL598" s="1783"/>
      <c r="AM598" s="1783"/>
      <c r="AN598" s="1783"/>
      <c r="AO598" s="1783"/>
      <c r="AP598" s="1783"/>
      <c r="AQ598" s="1783"/>
      <c r="AR598" s="1783"/>
      <c r="AS598" s="1783"/>
      <c r="AT598" s="1783"/>
      <c r="AU598" s="1783"/>
      <c r="AV598" s="1783"/>
      <c r="AW598" s="1783"/>
      <c r="AX598" s="1783"/>
      <c r="AY598" s="1783"/>
      <c r="AZ598" s="1783"/>
      <c r="BA598" s="1783"/>
      <c r="BB598" s="1783"/>
      <c r="BC598" s="1783"/>
      <c r="BD598" s="1783"/>
      <c r="BE598" s="1783"/>
      <c r="BF598" s="1783"/>
      <c r="BG598" s="1783"/>
      <c r="BH598" s="1783"/>
      <c r="BI598" s="1783"/>
    </row>
    <row r="599" spans="1:61">
      <c r="A599" s="1819"/>
      <c r="B599" s="1818"/>
      <c r="C599" s="1818"/>
      <c r="D599" s="1818"/>
      <c r="E599" s="1818"/>
      <c r="F599" s="1818"/>
      <c r="G599" s="1818"/>
      <c r="H599" s="1783"/>
      <c r="I599" s="1783"/>
      <c r="J599" s="1783"/>
      <c r="K599" s="1783"/>
      <c r="L599" s="1783"/>
      <c r="M599" s="1783"/>
      <c r="N599" s="1783"/>
      <c r="O599" s="1783"/>
      <c r="P599" s="1783"/>
      <c r="Q599" s="1783"/>
      <c r="R599" s="1783"/>
      <c r="S599" s="1783"/>
      <c r="T599" s="1783"/>
      <c r="U599" s="1783"/>
      <c r="V599" s="1783"/>
      <c r="W599" s="1783"/>
      <c r="X599" s="1783"/>
      <c r="Y599" s="1783"/>
      <c r="Z599" s="1783"/>
      <c r="AA599" s="1783"/>
      <c r="AB599" s="1783"/>
      <c r="AC599" s="1783"/>
      <c r="AD599" s="1783"/>
      <c r="AE599" s="1783"/>
      <c r="AF599" s="1783"/>
      <c r="AG599" s="1783"/>
      <c r="AH599" s="1783"/>
      <c r="AI599" s="1783"/>
      <c r="AJ599" s="1783"/>
      <c r="AK599" s="1783"/>
      <c r="AL599" s="1783"/>
      <c r="AM599" s="1783"/>
      <c r="AN599" s="1783"/>
      <c r="AO599" s="1783"/>
      <c r="AP599" s="1783"/>
      <c r="AQ599" s="1783"/>
      <c r="AR599" s="1783"/>
      <c r="AS599" s="1783"/>
      <c r="AT599" s="1783"/>
      <c r="AU599" s="1783"/>
      <c r="AV599" s="1783"/>
      <c r="AW599" s="1783"/>
      <c r="AX599" s="1783"/>
      <c r="AY599" s="1783"/>
      <c r="AZ599" s="1783"/>
      <c r="BA599" s="1783"/>
      <c r="BB599" s="1783"/>
      <c r="BC599" s="1783"/>
      <c r="BD599" s="1783"/>
      <c r="BE599" s="1783"/>
      <c r="BF599" s="1783"/>
      <c r="BG599" s="1783"/>
      <c r="BH599" s="1783"/>
      <c r="BI599" s="1783"/>
    </row>
    <row r="600" spans="1:61">
      <c r="A600" s="1819"/>
      <c r="B600" s="1818"/>
      <c r="C600" s="1818"/>
      <c r="D600" s="1818"/>
      <c r="E600" s="1818"/>
      <c r="F600" s="1818"/>
      <c r="G600" s="1818"/>
      <c r="H600" s="1783"/>
      <c r="I600" s="1783"/>
      <c r="J600" s="1783"/>
      <c r="K600" s="1783"/>
      <c r="L600" s="1783"/>
      <c r="M600" s="1783"/>
      <c r="N600" s="1783"/>
      <c r="O600" s="1783"/>
      <c r="P600" s="1783"/>
      <c r="Q600" s="1783"/>
      <c r="R600" s="1783"/>
      <c r="S600" s="1783"/>
      <c r="T600" s="1783"/>
      <c r="U600" s="1783"/>
      <c r="V600" s="1783"/>
      <c r="W600" s="1783"/>
      <c r="X600" s="1783"/>
      <c r="Y600" s="1783"/>
      <c r="Z600" s="1783"/>
      <c r="AA600" s="1783"/>
      <c r="AB600" s="1783"/>
      <c r="AC600" s="1783"/>
      <c r="AD600" s="1783"/>
      <c r="AE600" s="1783"/>
      <c r="AF600" s="1783"/>
      <c r="AG600" s="1783"/>
      <c r="AH600" s="1783"/>
      <c r="AI600" s="1783"/>
      <c r="AJ600" s="1783"/>
      <c r="AK600" s="1783"/>
      <c r="AL600" s="1783"/>
      <c r="AM600" s="1783"/>
      <c r="AN600" s="1783"/>
      <c r="AO600" s="1783"/>
      <c r="AP600" s="1783"/>
      <c r="AQ600" s="1783"/>
      <c r="AR600" s="1783"/>
      <c r="AS600" s="1783"/>
      <c r="AT600" s="1783"/>
      <c r="AU600" s="1783"/>
      <c r="AV600" s="1783"/>
      <c r="AW600" s="1783"/>
      <c r="AX600" s="1783"/>
      <c r="AY600" s="1783"/>
      <c r="AZ600" s="1783"/>
      <c r="BA600" s="1783"/>
      <c r="BB600" s="1783"/>
      <c r="BC600" s="1783"/>
      <c r="BD600" s="1783"/>
      <c r="BE600" s="1783"/>
      <c r="BF600" s="1783"/>
      <c r="BG600" s="1783"/>
      <c r="BH600" s="1783"/>
      <c r="BI600" s="1783"/>
    </row>
    <row r="601" spans="1:61">
      <c r="A601" s="1819"/>
      <c r="B601" s="1818"/>
      <c r="C601" s="1818"/>
      <c r="D601" s="1818"/>
      <c r="E601" s="1818"/>
      <c r="F601" s="1818"/>
      <c r="G601" s="1818"/>
      <c r="H601" s="1783"/>
      <c r="I601" s="1783"/>
      <c r="J601" s="1783"/>
      <c r="K601" s="1783"/>
      <c r="L601" s="1783"/>
      <c r="M601" s="1783"/>
      <c r="N601" s="1783"/>
      <c r="O601" s="1783"/>
      <c r="P601" s="1783"/>
      <c r="Q601" s="1783"/>
      <c r="R601" s="1783"/>
      <c r="S601" s="1783"/>
      <c r="T601" s="1783"/>
      <c r="U601" s="1783"/>
      <c r="V601" s="1783"/>
      <c r="W601" s="1783"/>
      <c r="X601" s="1783"/>
      <c r="Y601" s="1783"/>
      <c r="Z601" s="1783"/>
      <c r="AA601" s="1783"/>
      <c r="AB601" s="1783"/>
      <c r="AC601" s="1783"/>
      <c r="AD601" s="1783"/>
      <c r="AE601" s="1783"/>
      <c r="AF601" s="1783"/>
      <c r="AG601" s="1783"/>
      <c r="AH601" s="1783"/>
      <c r="AI601" s="1783"/>
      <c r="AJ601" s="1783"/>
      <c r="AK601" s="1783"/>
      <c r="AL601" s="1783"/>
      <c r="AM601" s="1783"/>
      <c r="AN601" s="1783"/>
      <c r="AO601" s="1783"/>
      <c r="AP601" s="1783"/>
      <c r="AQ601" s="1783"/>
      <c r="AR601" s="1783"/>
      <c r="AS601" s="1783"/>
      <c r="AT601" s="1783"/>
      <c r="AU601" s="1783"/>
      <c r="AV601" s="1783"/>
      <c r="AW601" s="1783"/>
      <c r="AX601" s="1783"/>
      <c r="AY601" s="1783"/>
      <c r="AZ601" s="1783"/>
      <c r="BA601" s="1783"/>
      <c r="BB601" s="1783"/>
      <c r="BC601" s="1783"/>
      <c r="BD601" s="1783"/>
      <c r="BE601" s="1783"/>
      <c r="BF601" s="1783"/>
      <c r="BG601" s="1783"/>
      <c r="BH601" s="1783"/>
      <c r="BI601" s="1783"/>
    </row>
    <row r="602" spans="1:61">
      <c r="A602" s="1819"/>
      <c r="B602" s="1818"/>
      <c r="C602" s="1818"/>
      <c r="D602" s="1818"/>
      <c r="E602" s="1818"/>
      <c r="F602" s="1818"/>
      <c r="G602" s="1818"/>
      <c r="H602" s="1783"/>
      <c r="I602" s="1783"/>
      <c r="J602" s="1783"/>
      <c r="K602" s="1783"/>
      <c r="L602" s="1783"/>
      <c r="M602" s="1783"/>
      <c r="N602" s="1783"/>
      <c r="O602" s="1783"/>
      <c r="P602" s="1783"/>
      <c r="Q602" s="1783"/>
      <c r="R602" s="1783"/>
      <c r="S602" s="1783"/>
      <c r="T602" s="1783"/>
      <c r="U602" s="1783"/>
      <c r="V602" s="1783"/>
      <c r="W602" s="1783"/>
      <c r="X602" s="1783"/>
      <c r="Y602" s="1783"/>
      <c r="Z602" s="1783"/>
      <c r="AA602" s="1783"/>
      <c r="AB602" s="1783"/>
      <c r="AC602" s="1783"/>
      <c r="AD602" s="1783"/>
      <c r="AE602" s="1783"/>
      <c r="AF602" s="1783"/>
      <c r="AG602" s="1783"/>
      <c r="AH602" s="1783"/>
      <c r="AI602" s="1783"/>
      <c r="AJ602" s="1783"/>
      <c r="AK602" s="1783"/>
      <c r="AL602" s="1783"/>
      <c r="AM602" s="1783"/>
      <c r="AN602" s="1783"/>
      <c r="AO602" s="1783"/>
      <c r="AP602" s="1783"/>
      <c r="AQ602" s="1783"/>
      <c r="AR602" s="1783"/>
      <c r="AS602" s="1783"/>
      <c r="AT602" s="1783"/>
      <c r="AU602" s="1783"/>
      <c r="AV602" s="1783"/>
      <c r="AW602" s="1783"/>
      <c r="AX602" s="1783"/>
      <c r="AY602" s="1783"/>
      <c r="AZ602" s="1783"/>
      <c r="BA602" s="1783"/>
      <c r="BB602" s="1783"/>
      <c r="BC602" s="1783"/>
      <c r="BD602" s="1783"/>
      <c r="BE602" s="1783"/>
      <c r="BF602" s="1783"/>
      <c r="BG602" s="1783"/>
      <c r="BH602" s="1783"/>
      <c r="BI602" s="1783"/>
    </row>
    <row r="603" spans="1:61">
      <c r="A603" s="1819"/>
      <c r="B603" s="1818"/>
      <c r="C603" s="1818"/>
      <c r="D603" s="1818"/>
      <c r="E603" s="1818"/>
      <c r="F603" s="1818"/>
      <c r="G603" s="1818"/>
      <c r="H603" s="1783"/>
      <c r="I603" s="1783"/>
      <c r="J603" s="1783"/>
      <c r="K603" s="1783"/>
      <c r="L603" s="1783"/>
      <c r="M603" s="1783"/>
      <c r="N603" s="1783"/>
      <c r="O603" s="1783"/>
      <c r="P603" s="1783"/>
      <c r="Q603" s="1783"/>
      <c r="R603" s="1783"/>
      <c r="S603" s="1783"/>
      <c r="T603" s="1783"/>
      <c r="U603" s="1783"/>
      <c r="V603" s="1783"/>
      <c r="W603" s="1783"/>
      <c r="X603" s="1783"/>
      <c r="Y603" s="1783"/>
      <c r="Z603" s="1783"/>
      <c r="AA603" s="1783"/>
      <c r="AB603" s="1783"/>
      <c r="AC603" s="1783"/>
      <c r="AD603" s="1783"/>
      <c r="AE603" s="1783"/>
      <c r="AF603" s="1783"/>
      <c r="AG603" s="1783"/>
      <c r="AH603" s="1783"/>
      <c r="AI603" s="1783"/>
      <c r="AJ603" s="1783"/>
      <c r="AK603" s="1783"/>
      <c r="AL603" s="1783"/>
      <c r="AM603" s="1783"/>
      <c r="AN603" s="1783"/>
      <c r="AO603" s="1783"/>
      <c r="AP603" s="1783"/>
      <c r="AQ603" s="1783"/>
      <c r="AR603" s="1783"/>
      <c r="AS603" s="1783"/>
      <c r="AT603" s="1783"/>
      <c r="AU603" s="1783"/>
      <c r="AV603" s="1783"/>
      <c r="AW603" s="1783"/>
      <c r="AX603" s="1783"/>
      <c r="AY603" s="1783"/>
      <c r="AZ603" s="1783"/>
      <c r="BA603" s="1783"/>
      <c r="BB603" s="1783"/>
      <c r="BC603" s="1783"/>
      <c r="BD603" s="1783"/>
      <c r="BE603" s="1783"/>
      <c r="BF603" s="1783"/>
      <c r="BG603" s="1783"/>
      <c r="BH603" s="1783"/>
      <c r="BI603" s="1783"/>
    </row>
    <row r="604" spans="1:61">
      <c r="A604" s="1819"/>
      <c r="B604" s="1818"/>
      <c r="C604" s="1818"/>
      <c r="D604" s="1818"/>
      <c r="E604" s="1818"/>
      <c r="F604" s="1818"/>
      <c r="G604" s="1818"/>
      <c r="H604" s="1783"/>
      <c r="I604" s="1783"/>
      <c r="J604" s="1783"/>
      <c r="K604" s="1783"/>
      <c r="L604" s="1783"/>
      <c r="M604" s="1783"/>
      <c r="N604" s="1783"/>
      <c r="O604" s="1783"/>
      <c r="P604" s="1783"/>
      <c r="Q604" s="1783"/>
      <c r="R604" s="1783"/>
      <c r="S604" s="1783"/>
      <c r="T604" s="1783"/>
      <c r="U604" s="1783"/>
      <c r="V604" s="1783"/>
      <c r="W604" s="1783"/>
      <c r="X604" s="1783"/>
      <c r="Y604" s="1783"/>
      <c r="Z604" s="1783"/>
      <c r="AA604" s="1783"/>
      <c r="AB604" s="1783"/>
      <c r="AC604" s="1783"/>
      <c r="AD604" s="1783"/>
      <c r="AE604" s="1783"/>
      <c r="AF604" s="1783"/>
      <c r="AG604" s="1783"/>
      <c r="AH604" s="1783"/>
      <c r="AI604" s="1783"/>
      <c r="AJ604" s="1783"/>
      <c r="AK604" s="1783"/>
      <c r="AL604" s="1783"/>
      <c r="AM604" s="1783"/>
      <c r="AN604" s="1783"/>
      <c r="AO604" s="1783"/>
      <c r="AP604" s="1783"/>
      <c r="AQ604" s="1783"/>
      <c r="AR604" s="1783"/>
      <c r="AS604" s="1783"/>
      <c r="AT604" s="1783"/>
      <c r="AU604" s="1783"/>
      <c r="AV604" s="1783"/>
      <c r="AW604" s="1783"/>
      <c r="AX604" s="1783"/>
      <c r="AY604" s="1783"/>
      <c r="AZ604" s="1783"/>
      <c r="BA604" s="1783"/>
      <c r="BB604" s="1783"/>
      <c r="BC604" s="1783"/>
      <c r="BD604" s="1783"/>
      <c r="BE604" s="1783"/>
      <c r="BF604" s="1783"/>
      <c r="BG604" s="1783"/>
      <c r="BH604" s="1783"/>
      <c r="BI604" s="1783"/>
    </row>
    <row r="605" spans="1:61">
      <c r="A605" s="1819"/>
      <c r="B605" s="1818"/>
      <c r="C605" s="1818"/>
      <c r="D605" s="1818"/>
      <c r="E605" s="1818"/>
      <c r="F605" s="1818"/>
      <c r="G605" s="1818"/>
      <c r="H605" s="1783"/>
      <c r="I605" s="1783"/>
      <c r="J605" s="1783"/>
      <c r="K605" s="1783"/>
      <c r="L605" s="1783"/>
      <c r="M605" s="1783"/>
      <c r="N605" s="1783"/>
      <c r="O605" s="1783"/>
      <c r="P605" s="1783"/>
      <c r="Q605" s="1783"/>
      <c r="R605" s="1783"/>
      <c r="S605" s="1783"/>
      <c r="T605" s="1783"/>
      <c r="U605" s="1783"/>
      <c r="V605" s="1783"/>
      <c r="W605" s="1783"/>
      <c r="X605" s="1783"/>
      <c r="Y605" s="1783"/>
      <c r="Z605" s="1783"/>
      <c r="AA605" s="1783"/>
      <c r="AB605" s="1783"/>
      <c r="AC605" s="1783"/>
      <c r="AD605" s="1783"/>
      <c r="AE605" s="1783"/>
      <c r="AF605" s="1783"/>
      <c r="AG605" s="1783"/>
      <c r="AH605" s="1783"/>
      <c r="AI605" s="1783"/>
      <c r="AJ605" s="1783"/>
      <c r="AK605" s="1783"/>
      <c r="AL605" s="1783"/>
      <c r="AM605" s="1783"/>
      <c r="AN605" s="1783"/>
      <c r="AO605" s="1783"/>
      <c r="AP605" s="1783"/>
      <c r="AQ605" s="1783"/>
      <c r="AR605" s="1783"/>
      <c r="AS605" s="1783"/>
      <c r="AT605" s="1783"/>
      <c r="AU605" s="1783"/>
      <c r="AV605" s="1783"/>
      <c r="AW605" s="1783"/>
      <c r="AX605" s="1783"/>
      <c r="AY605" s="1783"/>
      <c r="AZ605" s="1783"/>
      <c r="BA605" s="1783"/>
      <c r="BB605" s="1783"/>
      <c r="BC605" s="1783"/>
      <c r="BD605" s="1783"/>
      <c r="BE605" s="1783"/>
      <c r="BF605" s="1783"/>
      <c r="BG605" s="1783"/>
      <c r="BH605" s="1783"/>
      <c r="BI605" s="1783"/>
    </row>
    <row r="606" spans="1:61">
      <c r="A606" s="1819"/>
      <c r="B606" s="1818"/>
      <c r="C606" s="1818"/>
      <c r="D606" s="1818"/>
      <c r="E606" s="1818"/>
      <c r="F606" s="1818"/>
      <c r="G606" s="1818"/>
      <c r="H606" s="1783"/>
      <c r="I606" s="1783"/>
      <c r="J606" s="1783"/>
      <c r="K606" s="1783"/>
      <c r="L606" s="1783"/>
      <c r="M606" s="1783"/>
      <c r="N606" s="1783"/>
      <c r="O606" s="1783"/>
      <c r="P606" s="1783"/>
      <c r="Q606" s="1783"/>
      <c r="R606" s="1783"/>
      <c r="S606" s="1783"/>
      <c r="T606" s="1783"/>
      <c r="U606" s="1783"/>
      <c r="V606" s="1783"/>
      <c r="W606" s="1783"/>
      <c r="X606" s="1783"/>
      <c r="Y606" s="1783"/>
      <c r="Z606" s="1783"/>
      <c r="AA606" s="1783"/>
      <c r="AB606" s="1783"/>
      <c r="AC606" s="1783"/>
      <c r="AD606" s="1783"/>
      <c r="AE606" s="1783"/>
      <c r="AF606" s="1783"/>
      <c r="AG606" s="1783"/>
      <c r="AH606" s="1783"/>
      <c r="AI606" s="1783"/>
      <c r="AJ606" s="1783"/>
      <c r="AK606" s="1783"/>
      <c r="AL606" s="1783"/>
      <c r="AM606" s="1783"/>
      <c r="AN606" s="1783"/>
      <c r="AO606" s="1783"/>
      <c r="AP606" s="1783"/>
      <c r="AQ606" s="1783"/>
      <c r="AR606" s="1783"/>
      <c r="AS606" s="1783"/>
      <c r="AT606" s="1783"/>
      <c r="AU606" s="1783"/>
      <c r="AV606" s="1783"/>
      <c r="AW606" s="1783"/>
      <c r="AX606" s="1783"/>
      <c r="AY606" s="1783"/>
      <c r="AZ606" s="1783"/>
      <c r="BA606" s="1783"/>
      <c r="BB606" s="1783"/>
      <c r="BC606" s="1783"/>
      <c r="BD606" s="1783"/>
      <c r="BE606" s="1783"/>
      <c r="BF606" s="1783"/>
      <c r="BG606" s="1783"/>
      <c r="BH606" s="1783"/>
      <c r="BI606" s="1783"/>
    </row>
    <row r="607" spans="1:61">
      <c r="A607" s="1819"/>
      <c r="B607" s="1818"/>
      <c r="C607" s="1818"/>
      <c r="D607" s="1818"/>
      <c r="E607" s="1818"/>
      <c r="F607" s="1818"/>
      <c r="G607" s="1818"/>
      <c r="H607" s="1783"/>
      <c r="I607" s="1783"/>
      <c r="J607" s="1783"/>
      <c r="K607" s="1783"/>
      <c r="L607" s="1783"/>
      <c r="M607" s="1783"/>
      <c r="N607" s="1783"/>
      <c r="O607" s="1783"/>
      <c r="P607" s="1783"/>
      <c r="Q607" s="1783"/>
      <c r="R607" s="1783"/>
      <c r="S607" s="1783"/>
      <c r="T607" s="1783"/>
      <c r="U607" s="1783"/>
      <c r="V607" s="1783"/>
      <c r="W607" s="1783"/>
      <c r="X607" s="1783"/>
      <c r="Y607" s="1783"/>
      <c r="Z607" s="1783"/>
      <c r="AA607" s="1783"/>
      <c r="AB607" s="1783"/>
      <c r="AC607" s="1783"/>
      <c r="AD607" s="1783"/>
      <c r="AE607" s="1783"/>
      <c r="AF607" s="1783"/>
      <c r="AG607" s="1783"/>
      <c r="AH607" s="1783"/>
      <c r="AI607" s="1783"/>
      <c r="AJ607" s="1783"/>
      <c r="AK607" s="1783"/>
      <c r="AL607" s="1783"/>
      <c r="AM607" s="1783"/>
      <c r="AN607" s="1783"/>
      <c r="AO607" s="1783"/>
      <c r="AP607" s="1783"/>
      <c r="AQ607" s="1783"/>
      <c r="AR607" s="1783"/>
      <c r="AS607" s="1783"/>
      <c r="AT607" s="1783"/>
      <c r="AU607" s="1783"/>
      <c r="AV607" s="1783"/>
      <c r="AW607" s="1783"/>
      <c r="AX607" s="1783"/>
      <c r="AY607" s="1783"/>
      <c r="AZ607" s="1783"/>
      <c r="BA607" s="1783"/>
      <c r="BB607" s="1783"/>
      <c r="BC607" s="1783"/>
      <c r="BD607" s="1783"/>
      <c r="BE607" s="1783"/>
      <c r="BF607" s="1783"/>
      <c r="BG607" s="1783"/>
      <c r="BH607" s="1783"/>
      <c r="BI607" s="1783"/>
    </row>
    <row r="608" spans="1:61">
      <c r="A608" s="1819"/>
      <c r="B608" s="1818"/>
      <c r="C608" s="1818"/>
      <c r="D608" s="1818"/>
      <c r="E608" s="1818"/>
      <c r="F608" s="1818"/>
      <c r="G608" s="1818"/>
      <c r="H608" s="1783"/>
      <c r="I608" s="1783"/>
      <c r="J608" s="1783"/>
      <c r="K608" s="1783"/>
      <c r="L608" s="1783"/>
      <c r="M608" s="1783"/>
      <c r="N608" s="1783"/>
      <c r="O608" s="1783"/>
      <c r="P608" s="1783"/>
      <c r="Q608" s="1783"/>
      <c r="R608" s="1783"/>
      <c r="S608" s="1783"/>
      <c r="T608" s="1783"/>
      <c r="U608" s="1783"/>
      <c r="V608" s="1783"/>
      <c r="W608" s="1783"/>
      <c r="X608" s="1783"/>
      <c r="Y608" s="1783"/>
      <c r="Z608" s="1783"/>
      <c r="AA608" s="1783"/>
      <c r="AB608" s="1783"/>
      <c r="AC608" s="1783"/>
      <c r="AD608" s="1783"/>
      <c r="AE608" s="1783"/>
      <c r="AF608" s="1783"/>
      <c r="AG608" s="1783"/>
      <c r="AH608" s="1783"/>
      <c r="AI608" s="1783"/>
      <c r="AJ608" s="1783"/>
      <c r="AK608" s="1783"/>
      <c r="AL608" s="1783"/>
      <c r="AM608" s="1783"/>
      <c r="AN608" s="1783"/>
      <c r="AO608" s="1783"/>
      <c r="AP608" s="1783"/>
      <c r="AQ608" s="1783"/>
      <c r="AR608" s="1783"/>
      <c r="AS608" s="1783"/>
      <c r="AT608" s="1783"/>
      <c r="AU608" s="1783"/>
      <c r="AV608" s="1783"/>
      <c r="AW608" s="1783"/>
      <c r="AX608" s="1783"/>
      <c r="AY608" s="1783"/>
      <c r="AZ608" s="1783"/>
      <c r="BA608" s="1783"/>
      <c r="BB608" s="1783"/>
      <c r="BC608" s="1783"/>
      <c r="BD608" s="1783"/>
      <c r="BE608" s="1783"/>
      <c r="BF608" s="1783"/>
      <c r="BG608" s="1783"/>
      <c r="BH608" s="1783"/>
      <c r="BI608" s="1783"/>
    </row>
    <row r="609" spans="1:61">
      <c r="A609" s="1819"/>
      <c r="B609" s="1818"/>
      <c r="C609" s="1818"/>
      <c r="D609" s="1818"/>
      <c r="E609" s="1818"/>
      <c r="F609" s="1818"/>
      <c r="G609" s="1818"/>
      <c r="H609" s="1783"/>
      <c r="I609" s="1783"/>
      <c r="J609" s="1783"/>
      <c r="K609" s="1783"/>
      <c r="L609" s="1783"/>
      <c r="M609" s="1783"/>
      <c r="N609" s="1783"/>
      <c r="O609" s="1783"/>
      <c r="P609" s="1783"/>
      <c r="Q609" s="1783"/>
      <c r="R609" s="1783"/>
      <c r="S609" s="1783"/>
      <c r="T609" s="1783"/>
      <c r="U609" s="1783"/>
      <c r="V609" s="1783"/>
      <c r="W609" s="1783"/>
      <c r="X609" s="1783"/>
      <c r="Y609" s="1783"/>
      <c r="Z609" s="1783"/>
      <c r="AA609" s="1783"/>
      <c r="AB609" s="1783"/>
      <c r="AC609" s="1783"/>
      <c r="AD609" s="1783"/>
      <c r="AE609" s="1783"/>
      <c r="AF609" s="1783"/>
      <c r="AG609" s="1783"/>
      <c r="AH609" s="1783"/>
      <c r="AI609" s="1783"/>
      <c r="AJ609" s="1783"/>
      <c r="AK609" s="1783"/>
      <c r="AL609" s="1783"/>
      <c r="AM609" s="1783"/>
      <c r="AN609" s="1783"/>
      <c r="AO609" s="1783"/>
      <c r="AP609" s="1783"/>
      <c r="AQ609" s="1783"/>
      <c r="AR609" s="1783"/>
      <c r="AS609" s="1783"/>
      <c r="AT609" s="1783"/>
      <c r="AU609" s="1783"/>
      <c r="AV609" s="1783"/>
      <c r="AW609" s="1783"/>
      <c r="AX609" s="1783"/>
      <c r="AY609" s="1783"/>
      <c r="AZ609" s="1783"/>
      <c r="BA609" s="1783"/>
      <c r="BB609" s="1783"/>
      <c r="BC609" s="1783"/>
      <c r="BD609" s="1783"/>
      <c r="BE609" s="1783"/>
      <c r="BF609" s="1783"/>
      <c r="BG609" s="1783"/>
      <c r="BH609" s="1783"/>
      <c r="BI609" s="1783"/>
    </row>
    <row r="610" spans="1:61">
      <c r="A610" s="1819"/>
      <c r="B610" s="1818"/>
      <c r="C610" s="1818"/>
      <c r="D610" s="1818"/>
      <c r="E610" s="1818"/>
      <c r="F610" s="1818"/>
      <c r="G610" s="1818"/>
      <c r="H610" s="1783"/>
      <c r="I610" s="1783"/>
      <c r="J610" s="1783"/>
      <c r="K610" s="1783"/>
      <c r="L610" s="1783"/>
      <c r="M610" s="1783"/>
      <c r="N610" s="1783"/>
      <c r="O610" s="1783"/>
      <c r="P610" s="1783"/>
      <c r="Q610" s="1783"/>
      <c r="R610" s="1783"/>
      <c r="S610" s="1783"/>
      <c r="T610" s="1783"/>
      <c r="U610" s="1783"/>
      <c r="V610" s="1783"/>
      <c r="W610" s="1783"/>
      <c r="X610" s="1783"/>
      <c r="Y610" s="1783"/>
      <c r="Z610" s="1783"/>
      <c r="AA610" s="1783"/>
      <c r="AB610" s="1783"/>
      <c r="AC610" s="1783"/>
      <c r="AD610" s="1783"/>
      <c r="AE610" s="1783"/>
      <c r="AF610" s="1783"/>
      <c r="AG610" s="1783"/>
      <c r="AH610" s="1783"/>
      <c r="AI610" s="1783"/>
      <c r="AJ610" s="1783"/>
      <c r="AK610" s="1783"/>
      <c r="AL610" s="1783"/>
      <c r="AM610" s="1783"/>
      <c r="AN610" s="1783"/>
      <c r="AO610" s="1783"/>
      <c r="AP610" s="1783"/>
      <c r="AQ610" s="1783"/>
      <c r="AR610" s="1783"/>
      <c r="AS610" s="1783"/>
      <c r="AT610" s="1783"/>
      <c r="AU610" s="1783"/>
      <c r="AV610" s="1783"/>
      <c r="AW610" s="1783"/>
      <c r="AX610" s="1783"/>
      <c r="AY610" s="1783"/>
      <c r="AZ610" s="1783"/>
      <c r="BA610" s="1783"/>
      <c r="BB610" s="1783"/>
      <c r="BC610" s="1783"/>
      <c r="BD610" s="1783"/>
      <c r="BE610" s="1783"/>
      <c r="BF610" s="1783"/>
      <c r="BG610" s="1783"/>
      <c r="BH610" s="1783"/>
      <c r="BI610" s="1783"/>
    </row>
    <row r="611" spans="1:61">
      <c r="A611" s="1819"/>
      <c r="B611" s="1818"/>
      <c r="C611" s="1818"/>
      <c r="D611" s="1818"/>
      <c r="E611" s="1818"/>
      <c r="F611" s="1818"/>
      <c r="G611" s="1818"/>
      <c r="H611" s="1783"/>
      <c r="I611" s="1783"/>
      <c r="J611" s="1783"/>
      <c r="K611" s="1783"/>
      <c r="L611" s="1783"/>
      <c r="M611" s="1783"/>
      <c r="N611" s="1783"/>
      <c r="O611" s="1783"/>
      <c r="P611" s="1783"/>
      <c r="Q611" s="1783"/>
      <c r="R611" s="1783"/>
      <c r="S611" s="1783"/>
      <c r="T611" s="1783"/>
      <c r="U611" s="1783"/>
      <c r="V611" s="1783"/>
      <c r="W611" s="1783"/>
      <c r="X611" s="1783"/>
      <c r="Y611" s="1783"/>
      <c r="Z611" s="1783"/>
      <c r="AA611" s="1783"/>
      <c r="AB611" s="1783"/>
      <c r="AC611" s="1783"/>
      <c r="AD611" s="1783"/>
      <c r="AE611" s="1783"/>
      <c r="AF611" s="1783"/>
      <c r="AG611" s="1783"/>
      <c r="AH611" s="1783"/>
      <c r="AI611" s="1783"/>
      <c r="AJ611" s="1783"/>
      <c r="AK611" s="1783"/>
      <c r="AL611" s="1783"/>
      <c r="AM611" s="1783"/>
      <c r="AN611" s="1783"/>
      <c r="AO611" s="1783"/>
      <c r="AP611" s="1783"/>
      <c r="AQ611" s="1783"/>
      <c r="AR611" s="1783"/>
      <c r="AS611" s="1783"/>
      <c r="AT611" s="1783"/>
      <c r="AU611" s="1783"/>
      <c r="AV611" s="1783"/>
      <c r="AW611" s="1783"/>
      <c r="AX611" s="1783"/>
      <c r="AY611" s="1783"/>
      <c r="AZ611" s="1783"/>
      <c r="BA611" s="1783"/>
      <c r="BB611" s="1783"/>
      <c r="BC611" s="1783"/>
      <c r="BD611" s="1783"/>
      <c r="BE611" s="1783"/>
      <c r="BF611" s="1783"/>
      <c r="BG611" s="1783"/>
      <c r="BH611" s="1783"/>
      <c r="BI611" s="1783"/>
    </row>
    <row r="612" spans="1:61">
      <c r="A612" s="1819"/>
      <c r="B612" s="1818"/>
      <c r="C612" s="1818"/>
      <c r="D612" s="1818"/>
      <c r="E612" s="1818"/>
      <c r="F612" s="1818"/>
      <c r="G612" s="1818"/>
      <c r="H612" s="1783"/>
      <c r="I612" s="1783"/>
      <c r="J612" s="1783"/>
      <c r="K612" s="1783"/>
      <c r="L612" s="1783"/>
      <c r="M612" s="1783"/>
      <c r="N612" s="1783"/>
      <c r="O612" s="1783"/>
      <c r="P612" s="1783"/>
      <c r="Q612" s="1783"/>
      <c r="R612" s="1783"/>
      <c r="S612" s="1783"/>
      <c r="T612" s="1783"/>
      <c r="U612" s="1783"/>
      <c r="V612" s="1783"/>
      <c r="W612" s="1783"/>
      <c r="X612" s="1783"/>
      <c r="Y612" s="1783"/>
      <c r="Z612" s="1783"/>
      <c r="AA612" s="1783"/>
      <c r="AB612" s="1783"/>
      <c r="AC612" s="1783"/>
      <c r="AD612" s="1783"/>
      <c r="AE612" s="1783"/>
      <c r="AF612" s="1783"/>
      <c r="AG612" s="1783"/>
      <c r="AH612" s="1783"/>
      <c r="AI612" s="1783"/>
      <c r="AJ612" s="1783"/>
      <c r="AK612" s="1783"/>
      <c r="AL612" s="1783"/>
      <c r="AM612" s="1783"/>
      <c r="AN612" s="1783"/>
      <c r="AO612" s="1783"/>
      <c r="AP612" s="1783"/>
      <c r="AQ612" s="1783"/>
      <c r="AR612" s="1783"/>
      <c r="AS612" s="1783"/>
      <c r="AT612" s="1783"/>
      <c r="AU612" s="1783"/>
      <c r="AV612" s="1783"/>
      <c r="AW612" s="1783"/>
      <c r="AX612" s="1783"/>
      <c r="AY612" s="1783"/>
      <c r="AZ612" s="1783"/>
      <c r="BA612" s="1783"/>
      <c r="BB612" s="1783"/>
      <c r="BC612" s="1783"/>
      <c r="BD612" s="1783"/>
      <c r="BE612" s="1783"/>
      <c r="BF612" s="1783"/>
      <c r="BG612" s="1783"/>
      <c r="BH612" s="1783"/>
      <c r="BI612" s="1783"/>
    </row>
    <row r="613" spans="1:61">
      <c r="A613" s="1819"/>
      <c r="B613" s="1818"/>
      <c r="C613" s="1818"/>
      <c r="D613" s="1818"/>
      <c r="E613" s="1818"/>
      <c r="F613" s="1818"/>
      <c r="G613" s="1818"/>
      <c r="H613" s="1783"/>
      <c r="I613" s="1783"/>
      <c r="J613" s="1783"/>
      <c r="K613" s="1783"/>
      <c r="L613" s="1783"/>
      <c r="M613" s="1783"/>
      <c r="N613" s="1783"/>
      <c r="O613" s="1783"/>
      <c r="P613" s="1783"/>
      <c r="Q613" s="1783"/>
      <c r="R613" s="1783"/>
      <c r="S613" s="1783"/>
      <c r="T613" s="1783"/>
      <c r="U613" s="1783"/>
      <c r="V613" s="1783"/>
      <c r="W613" s="1783"/>
      <c r="X613" s="1783"/>
      <c r="Y613" s="1783"/>
      <c r="Z613" s="1783"/>
      <c r="AA613" s="1783"/>
      <c r="AB613" s="1783"/>
      <c r="AC613" s="1783"/>
      <c r="AD613" s="1783"/>
      <c r="AE613" s="1783"/>
      <c r="AF613" s="1783"/>
      <c r="AG613" s="1783"/>
      <c r="AH613" s="1783"/>
      <c r="AI613" s="1783"/>
      <c r="AJ613" s="1783"/>
      <c r="AK613" s="1783"/>
      <c r="AL613" s="1783"/>
      <c r="AM613" s="1783"/>
      <c r="AN613" s="1783"/>
      <c r="AO613" s="1783"/>
      <c r="AP613" s="1783"/>
      <c r="AQ613" s="1783"/>
      <c r="AR613" s="1783"/>
      <c r="AS613" s="1783"/>
      <c r="AT613" s="1783"/>
      <c r="AU613" s="1783"/>
      <c r="AV613" s="1783"/>
      <c r="AW613" s="1783"/>
      <c r="AX613" s="1783"/>
      <c r="AY613" s="1783"/>
      <c r="AZ613" s="1783"/>
      <c r="BA613" s="1783"/>
      <c r="BB613" s="1783"/>
      <c r="BC613" s="1783"/>
      <c r="BD613" s="1783"/>
      <c r="BE613" s="1783"/>
      <c r="BF613" s="1783"/>
      <c r="BG613" s="1783"/>
      <c r="BH613" s="1783"/>
      <c r="BI613" s="1783"/>
    </row>
    <row r="614" spans="1:61">
      <c r="A614" s="1819"/>
      <c r="B614" s="1818"/>
      <c r="C614" s="1818"/>
      <c r="D614" s="1818"/>
      <c r="E614" s="1818"/>
      <c r="F614" s="1818"/>
      <c r="G614" s="1818"/>
      <c r="H614" s="1783"/>
      <c r="I614" s="1783"/>
      <c r="J614" s="1783"/>
      <c r="K614" s="1783"/>
      <c r="L614" s="1783"/>
      <c r="M614" s="1783"/>
      <c r="N614" s="1783"/>
      <c r="O614" s="1783"/>
      <c r="P614" s="1783"/>
      <c r="Q614" s="1783"/>
      <c r="R614" s="1783"/>
      <c r="S614" s="1783"/>
      <c r="T614" s="1783"/>
      <c r="U614" s="1783"/>
      <c r="V614" s="1783"/>
      <c r="W614" s="1783"/>
      <c r="X614" s="1783"/>
      <c r="Y614" s="1783"/>
      <c r="Z614" s="1783"/>
      <c r="AA614" s="1783"/>
      <c r="AB614" s="1783"/>
      <c r="AC614" s="1783"/>
      <c r="AD614" s="1783"/>
      <c r="AE614" s="1783"/>
      <c r="AF614" s="1783"/>
      <c r="AG614" s="1783"/>
      <c r="AH614" s="1783"/>
      <c r="AI614" s="1783"/>
      <c r="AJ614" s="1783"/>
      <c r="AK614" s="1783"/>
      <c r="AL614" s="1783"/>
      <c r="AM614" s="1783"/>
      <c r="AN614" s="1783"/>
      <c r="AO614" s="1783"/>
      <c r="AP614" s="1783"/>
      <c r="AQ614" s="1783"/>
      <c r="AR614" s="1783"/>
      <c r="AS614" s="1783"/>
      <c r="AT614" s="1783"/>
      <c r="AU614" s="1783"/>
      <c r="AV614" s="1783"/>
      <c r="AW614" s="1783"/>
      <c r="AX614" s="1783"/>
      <c r="AY614" s="1783"/>
      <c r="AZ614" s="1783"/>
      <c r="BA614" s="1783"/>
      <c r="BB614" s="1783"/>
      <c r="BC614" s="1783"/>
      <c r="BD614" s="1783"/>
      <c r="BE614" s="1783"/>
      <c r="BF614" s="1783"/>
      <c r="BG614" s="1783"/>
      <c r="BH614" s="1783"/>
      <c r="BI614" s="1783"/>
    </row>
    <row r="615" spans="1:61">
      <c r="A615" s="1819"/>
      <c r="B615" s="1818"/>
      <c r="C615" s="1818"/>
      <c r="D615" s="1818"/>
      <c r="E615" s="1818"/>
      <c r="F615" s="1818"/>
      <c r="G615" s="1818"/>
      <c r="H615" s="1783"/>
      <c r="I615" s="1783"/>
      <c r="J615" s="1783"/>
      <c r="K615" s="1783"/>
      <c r="L615" s="1783"/>
      <c r="M615" s="1783"/>
      <c r="N615" s="1783"/>
      <c r="O615" s="1783"/>
      <c r="P615" s="1783"/>
      <c r="Q615" s="1783"/>
      <c r="R615" s="1783"/>
      <c r="S615" s="1783"/>
      <c r="T615" s="1783"/>
      <c r="U615" s="1783"/>
      <c r="V615" s="1783"/>
      <c r="W615" s="1783"/>
      <c r="X615" s="1783"/>
      <c r="Y615" s="1783"/>
      <c r="Z615" s="1783"/>
      <c r="AA615" s="1783"/>
      <c r="AB615" s="1783"/>
      <c r="AC615" s="1783"/>
      <c r="AD615" s="1783"/>
      <c r="AE615" s="1783"/>
      <c r="AF615" s="1783"/>
      <c r="AG615" s="1783"/>
      <c r="AH615" s="1783"/>
      <c r="AI615" s="1783"/>
      <c r="AJ615" s="1783"/>
      <c r="AK615" s="1783"/>
      <c r="AL615" s="1783"/>
      <c r="AM615" s="1783"/>
      <c r="AN615" s="1783"/>
      <c r="AO615" s="1783"/>
      <c r="AP615" s="1783"/>
      <c r="AQ615" s="1783"/>
      <c r="AR615" s="1783"/>
      <c r="AS615" s="1783"/>
      <c r="AT615" s="1783"/>
      <c r="AU615" s="1783"/>
      <c r="AV615" s="1783"/>
      <c r="AW615" s="1783"/>
      <c r="AX615" s="1783"/>
      <c r="AY615" s="1783"/>
      <c r="AZ615" s="1783"/>
      <c r="BA615" s="1783"/>
      <c r="BB615" s="1783"/>
      <c r="BC615" s="1783"/>
      <c r="BD615" s="1783"/>
      <c r="BE615" s="1783"/>
      <c r="BF615" s="1783"/>
      <c r="BG615" s="1783"/>
      <c r="BH615" s="1783"/>
      <c r="BI615" s="1783"/>
    </row>
    <row r="616" spans="1:61">
      <c r="A616" s="1819"/>
      <c r="B616" s="1818"/>
      <c r="C616" s="1818"/>
      <c r="D616" s="1818"/>
      <c r="E616" s="1818"/>
      <c r="F616" s="1818"/>
      <c r="G616" s="1818"/>
      <c r="H616" s="1783"/>
      <c r="I616" s="1783"/>
      <c r="J616" s="1783"/>
      <c r="K616" s="1783"/>
      <c r="L616" s="1783"/>
      <c r="M616" s="1783"/>
      <c r="N616" s="1783"/>
      <c r="O616" s="1783"/>
      <c r="P616" s="1783"/>
      <c r="Q616" s="1783"/>
      <c r="R616" s="1783"/>
      <c r="S616" s="1783"/>
      <c r="T616" s="1783"/>
      <c r="U616" s="1783"/>
      <c r="V616" s="1783"/>
      <c r="W616" s="1783"/>
      <c r="X616" s="1783"/>
      <c r="Y616" s="1783"/>
      <c r="Z616" s="1783"/>
      <c r="AA616" s="1783"/>
      <c r="AB616" s="1783"/>
      <c r="AC616" s="1783"/>
      <c r="AD616" s="1783"/>
      <c r="AE616" s="1783"/>
      <c r="AF616" s="1783"/>
      <c r="AG616" s="1783"/>
      <c r="AH616" s="1783"/>
      <c r="AI616" s="1783"/>
      <c r="AJ616" s="1783"/>
      <c r="AK616" s="1783"/>
      <c r="AL616" s="1783"/>
      <c r="AM616" s="1783"/>
      <c r="AN616" s="1783"/>
      <c r="AO616" s="1783"/>
      <c r="AP616" s="1783"/>
      <c r="AQ616" s="1783"/>
      <c r="AR616" s="1783"/>
      <c r="AS616" s="1783"/>
      <c r="AT616" s="1783"/>
      <c r="AU616" s="1783"/>
      <c r="AV616" s="1783"/>
      <c r="AW616" s="1783"/>
      <c r="AX616" s="1783"/>
      <c r="AY616" s="1783"/>
      <c r="AZ616" s="1783"/>
      <c r="BA616" s="1783"/>
      <c r="BB616" s="1783"/>
      <c r="BC616" s="1783"/>
      <c r="BD616" s="1783"/>
      <c r="BE616" s="1783"/>
      <c r="BF616" s="1783"/>
      <c r="BG616" s="1783"/>
      <c r="BH616" s="1783"/>
      <c r="BI616" s="1783"/>
    </row>
    <row r="617" spans="1:61">
      <c r="A617" s="1819"/>
      <c r="B617" s="1818"/>
      <c r="C617" s="1818"/>
      <c r="D617" s="1818"/>
      <c r="E617" s="1818"/>
      <c r="F617" s="1818"/>
      <c r="G617" s="1818"/>
      <c r="H617" s="1783"/>
      <c r="I617" s="1783"/>
      <c r="J617" s="1783"/>
      <c r="K617" s="1783"/>
      <c r="L617" s="1783"/>
      <c r="M617" s="1783"/>
      <c r="N617" s="1783"/>
      <c r="O617" s="1783"/>
      <c r="P617" s="1783"/>
      <c r="Q617" s="1783"/>
      <c r="R617" s="1783"/>
      <c r="S617" s="1783"/>
      <c r="T617" s="1783"/>
      <c r="U617" s="1783"/>
      <c r="V617" s="1783"/>
      <c r="W617" s="1783"/>
      <c r="X617" s="1783"/>
      <c r="Y617" s="1783"/>
      <c r="Z617" s="1783"/>
      <c r="AA617" s="1783"/>
      <c r="AB617" s="1783"/>
      <c r="AC617" s="1783"/>
      <c r="AD617" s="1783"/>
      <c r="AE617" s="1783"/>
      <c r="AF617" s="1783"/>
      <c r="AG617" s="1783"/>
      <c r="AH617" s="1783"/>
      <c r="AI617" s="1783"/>
      <c r="AJ617" s="1783"/>
      <c r="AK617" s="1783"/>
      <c r="AL617" s="1783"/>
      <c r="AM617" s="1783"/>
      <c r="AN617" s="1783"/>
      <c r="AO617" s="1783"/>
      <c r="AP617" s="1783"/>
      <c r="AQ617" s="1783"/>
      <c r="AR617" s="1783"/>
      <c r="AS617" s="1783"/>
      <c r="AT617" s="1783"/>
      <c r="AU617" s="1783"/>
      <c r="AV617" s="1783"/>
      <c r="AW617" s="1783"/>
      <c r="AX617" s="1783"/>
      <c r="AY617" s="1783"/>
      <c r="AZ617" s="1783"/>
      <c r="BA617" s="1783"/>
      <c r="BB617" s="1783"/>
      <c r="BC617" s="1783"/>
      <c r="BD617" s="1783"/>
      <c r="BE617" s="1783"/>
      <c r="BF617" s="1783"/>
      <c r="BG617" s="1783"/>
      <c r="BH617" s="1783"/>
      <c r="BI617" s="1783"/>
    </row>
    <row r="618" spans="1:61">
      <c r="A618" s="1819"/>
      <c r="B618" s="1818"/>
      <c r="C618" s="1818"/>
      <c r="D618" s="1818"/>
      <c r="E618" s="1818"/>
      <c r="F618" s="1818"/>
      <c r="G618" s="1818"/>
      <c r="H618" s="1783"/>
      <c r="I618" s="1783"/>
      <c r="J618" s="1783"/>
      <c r="K618" s="1783"/>
      <c r="L618" s="1783"/>
      <c r="M618" s="1783"/>
      <c r="N618" s="1783"/>
      <c r="O618" s="1783"/>
      <c r="P618" s="1783"/>
      <c r="Q618" s="1783"/>
      <c r="R618" s="1783"/>
      <c r="S618" s="1783"/>
      <c r="T618" s="1783"/>
      <c r="U618" s="1783"/>
      <c r="V618" s="1783"/>
      <c r="W618" s="1783"/>
      <c r="X618" s="1783"/>
      <c r="Y618" s="1783"/>
      <c r="Z618" s="1783"/>
      <c r="AA618" s="1783"/>
      <c r="AB618" s="1783"/>
      <c r="AC618" s="1783"/>
      <c r="AD618" s="1783"/>
      <c r="AE618" s="1783"/>
      <c r="AF618" s="1783"/>
      <c r="AG618" s="1783"/>
      <c r="AH618" s="1783"/>
      <c r="AI618" s="1783"/>
      <c r="AJ618" s="1783"/>
      <c r="AK618" s="1783"/>
      <c r="AL618" s="1783"/>
      <c r="AM618" s="1783"/>
      <c r="AN618" s="1783"/>
      <c r="AO618" s="1783"/>
      <c r="AP618" s="1783"/>
      <c r="AQ618" s="1783"/>
      <c r="AR618" s="1783"/>
      <c r="AS618" s="1783"/>
      <c r="AT618" s="1783"/>
      <c r="AU618" s="1783"/>
      <c r="AV618" s="1783"/>
      <c r="AW618" s="1783"/>
      <c r="AX618" s="1783"/>
      <c r="AY618" s="1783"/>
      <c r="AZ618" s="1783"/>
      <c r="BA618" s="1783"/>
      <c r="BB618" s="1783"/>
      <c r="BC618" s="1783"/>
      <c r="BD618" s="1783"/>
      <c r="BE618" s="1783"/>
      <c r="BF618" s="1783"/>
      <c r="BG618" s="1783"/>
      <c r="BH618" s="1783"/>
      <c r="BI618" s="1783"/>
    </row>
    <row r="619" spans="1:61">
      <c r="A619" s="1819"/>
      <c r="B619" s="1818"/>
      <c r="C619" s="1818"/>
      <c r="D619" s="1818"/>
      <c r="E619" s="1818"/>
      <c r="F619" s="1818"/>
      <c r="G619" s="1818"/>
      <c r="H619" s="1783"/>
      <c r="I619" s="1783"/>
      <c r="J619" s="1783"/>
      <c r="K619" s="1783"/>
      <c r="L619" s="1783"/>
      <c r="M619" s="1783"/>
      <c r="N619" s="1783"/>
      <c r="O619" s="1783"/>
      <c r="P619" s="1783"/>
      <c r="Q619" s="1783"/>
      <c r="R619" s="1783"/>
      <c r="S619" s="1783"/>
      <c r="T619" s="1783"/>
      <c r="U619" s="1783"/>
      <c r="V619" s="1783"/>
      <c r="W619" s="1783"/>
      <c r="X619" s="1783"/>
      <c r="Y619" s="1783"/>
      <c r="Z619" s="1783"/>
      <c r="AA619" s="1783"/>
      <c r="AB619" s="1783"/>
      <c r="AC619" s="1783"/>
      <c r="AD619" s="1783"/>
      <c r="AE619" s="1783"/>
      <c r="AF619" s="1783"/>
      <c r="AG619" s="1783"/>
      <c r="AH619" s="1783"/>
      <c r="AI619" s="1783"/>
      <c r="AJ619" s="1783"/>
      <c r="AK619" s="1783"/>
      <c r="AL619" s="1783"/>
      <c r="AM619" s="1783"/>
      <c r="AN619" s="1783"/>
      <c r="AO619" s="1783"/>
      <c r="AP619" s="1783"/>
      <c r="AQ619" s="1783"/>
      <c r="AR619" s="1783"/>
      <c r="AS619" s="1783"/>
      <c r="AT619" s="1783"/>
      <c r="AU619" s="1783"/>
      <c r="AV619" s="1783"/>
      <c r="AW619" s="1783"/>
      <c r="AX619" s="1783"/>
      <c r="AY619" s="1783"/>
      <c r="AZ619" s="1783"/>
      <c r="BA619" s="1783"/>
      <c r="BB619" s="1783"/>
      <c r="BC619" s="1783"/>
      <c r="BD619" s="1783"/>
      <c r="BE619" s="1783"/>
      <c r="BF619" s="1783"/>
      <c r="BG619" s="1783"/>
      <c r="BH619" s="1783"/>
      <c r="BI619" s="1783"/>
    </row>
    <row r="620" spans="1:61">
      <c r="A620" s="1819"/>
      <c r="B620" s="1818"/>
      <c r="C620" s="1818"/>
      <c r="D620" s="1818"/>
      <c r="E620" s="1818"/>
      <c r="F620" s="1818"/>
      <c r="G620" s="1818"/>
      <c r="H620" s="1783"/>
      <c r="I620" s="1783"/>
      <c r="J620" s="1783"/>
      <c r="K620" s="1783"/>
      <c r="L620" s="1783"/>
      <c r="M620" s="1783"/>
      <c r="N620" s="1783"/>
      <c r="O620" s="1783"/>
      <c r="P620" s="1783"/>
      <c r="Q620" s="1783"/>
      <c r="R620" s="1783"/>
      <c r="S620" s="1783"/>
      <c r="T620" s="1783"/>
      <c r="U620" s="1783"/>
      <c r="V620" s="1783"/>
      <c r="W620" s="1783"/>
      <c r="X620" s="1783"/>
      <c r="Y620" s="1783"/>
      <c r="Z620" s="1783"/>
      <c r="AA620" s="1783"/>
      <c r="AB620" s="1783"/>
      <c r="AC620" s="1783"/>
      <c r="AD620" s="1783"/>
      <c r="AE620" s="1783"/>
      <c r="AF620" s="1783"/>
      <c r="AG620" s="1783"/>
      <c r="AH620" s="1783"/>
      <c r="AI620" s="1783"/>
      <c r="AJ620" s="1783"/>
      <c r="AK620" s="1783"/>
      <c r="AL620" s="1783"/>
      <c r="AM620" s="1783"/>
      <c r="AN620" s="1783"/>
      <c r="AO620" s="1783"/>
      <c r="AP620" s="1783"/>
      <c r="AQ620" s="1783"/>
      <c r="AR620" s="1783"/>
      <c r="AS620" s="1783"/>
      <c r="AT620" s="1783"/>
      <c r="AU620" s="1783"/>
      <c r="AV620" s="1783"/>
      <c r="AW620" s="1783"/>
      <c r="AX620" s="1783"/>
      <c r="AY620" s="1783"/>
      <c r="AZ620" s="1783"/>
      <c r="BA620" s="1783"/>
      <c r="BB620" s="1783"/>
      <c r="BC620" s="1783"/>
      <c r="BD620" s="1783"/>
      <c r="BE620" s="1783"/>
      <c r="BF620" s="1783"/>
      <c r="BG620" s="1783"/>
      <c r="BH620" s="1783"/>
      <c r="BI620" s="1783"/>
    </row>
    <row r="621" spans="1:61">
      <c r="A621" s="1819"/>
      <c r="B621" s="1818"/>
      <c r="C621" s="1818"/>
      <c r="D621" s="1818"/>
      <c r="E621" s="1818"/>
      <c r="F621" s="1818"/>
      <c r="G621" s="1818"/>
      <c r="H621" s="1783"/>
      <c r="I621" s="1783"/>
      <c r="J621" s="1783"/>
      <c r="K621" s="1783"/>
      <c r="L621" s="1783"/>
      <c r="M621" s="1783"/>
      <c r="N621" s="1783"/>
      <c r="O621" s="1783"/>
      <c r="P621" s="1783"/>
      <c r="Q621" s="1783"/>
      <c r="R621" s="1783"/>
      <c r="S621" s="1783"/>
      <c r="T621" s="1783"/>
      <c r="U621" s="1783"/>
      <c r="V621" s="1783"/>
      <c r="W621" s="1783"/>
      <c r="X621" s="1783"/>
      <c r="Y621" s="1783"/>
      <c r="Z621" s="1783"/>
      <c r="AA621" s="1783"/>
      <c r="AB621" s="1783"/>
      <c r="AC621" s="1783"/>
      <c r="AD621" s="1783"/>
      <c r="AE621" s="1783"/>
      <c r="AF621" s="1783"/>
      <c r="AG621" s="1783"/>
      <c r="AH621" s="1783"/>
      <c r="AI621" s="1783"/>
      <c r="AJ621" s="1783"/>
      <c r="AK621" s="1783"/>
      <c r="AL621" s="1783"/>
      <c r="AM621" s="1783"/>
      <c r="AN621" s="1783"/>
      <c r="AO621" s="1783"/>
      <c r="AP621" s="1783"/>
      <c r="AQ621" s="1783"/>
      <c r="AR621" s="1783"/>
      <c r="AS621" s="1783"/>
      <c r="AT621" s="1783"/>
      <c r="AU621" s="1783"/>
      <c r="AV621" s="1783"/>
      <c r="AW621" s="1783"/>
      <c r="AX621" s="1783"/>
      <c r="AY621" s="1783"/>
      <c r="AZ621" s="1783"/>
      <c r="BA621" s="1783"/>
      <c r="BB621" s="1783"/>
      <c r="BC621" s="1783"/>
      <c r="BD621" s="1783"/>
      <c r="BE621" s="1783"/>
      <c r="BF621" s="1783"/>
      <c r="BG621" s="1783"/>
      <c r="BH621" s="1783"/>
      <c r="BI621" s="1783"/>
    </row>
    <row r="622" spans="1:61">
      <c r="A622" s="1819"/>
      <c r="B622" s="1818"/>
      <c r="C622" s="1818"/>
      <c r="D622" s="1818"/>
      <c r="E622" s="1818"/>
      <c r="F622" s="1818"/>
      <c r="G622" s="1818"/>
      <c r="H622" s="1783"/>
      <c r="I622" s="1783"/>
      <c r="J622" s="1783"/>
      <c r="K622" s="1783"/>
      <c r="L622" s="1783"/>
      <c r="M622" s="1783"/>
      <c r="N622" s="1783"/>
      <c r="O622" s="1783"/>
      <c r="P622" s="1783"/>
      <c r="Q622" s="1783"/>
      <c r="R622" s="1783"/>
      <c r="S622" s="1783"/>
      <c r="T622" s="1783"/>
      <c r="U622" s="1783"/>
      <c r="V622" s="1783"/>
      <c r="W622" s="1783"/>
      <c r="X622" s="1783"/>
      <c r="Y622" s="1783"/>
      <c r="Z622" s="1783"/>
      <c r="AA622" s="1783"/>
      <c r="AB622" s="1783"/>
      <c r="AC622" s="1783"/>
      <c r="AD622" s="1783"/>
      <c r="AE622" s="1783"/>
      <c r="AF622" s="1783"/>
      <c r="AG622" s="1783"/>
      <c r="AH622" s="1783"/>
      <c r="AI622" s="1783"/>
      <c r="AJ622" s="1783"/>
      <c r="AK622" s="1783"/>
      <c r="AL622" s="1783"/>
      <c r="AM622" s="1783"/>
      <c r="AN622" s="1783"/>
      <c r="AO622" s="1783"/>
      <c r="AP622" s="1783"/>
      <c r="AQ622" s="1783"/>
      <c r="AR622" s="1783"/>
      <c r="AS622" s="1783"/>
      <c r="AT622" s="1783"/>
      <c r="AU622" s="1783"/>
      <c r="AV622" s="1783"/>
      <c r="AW622" s="1783"/>
      <c r="AX622" s="1783"/>
      <c r="AY622" s="1783"/>
      <c r="AZ622" s="1783"/>
      <c r="BA622" s="1783"/>
      <c r="BB622" s="1783"/>
      <c r="BC622" s="1783"/>
      <c r="BD622" s="1783"/>
      <c r="BE622" s="1783"/>
      <c r="BF622" s="1783"/>
      <c r="BG622" s="1783"/>
      <c r="BH622" s="1783"/>
      <c r="BI622" s="1783"/>
    </row>
    <row r="623" spans="1:61">
      <c r="A623" s="1819"/>
      <c r="B623" s="1818"/>
      <c r="C623" s="1818"/>
      <c r="D623" s="1818"/>
      <c r="E623" s="1818"/>
      <c r="F623" s="1818"/>
      <c r="G623" s="1818"/>
      <c r="H623" s="1783"/>
      <c r="I623" s="1783"/>
      <c r="J623" s="1783"/>
      <c r="K623" s="1783"/>
      <c r="L623" s="1783"/>
      <c r="M623" s="1783"/>
      <c r="N623" s="1783"/>
      <c r="O623" s="1783"/>
      <c r="P623" s="1783"/>
      <c r="Q623" s="1783"/>
      <c r="R623" s="1783"/>
      <c r="S623" s="1783"/>
      <c r="T623" s="1783"/>
      <c r="U623" s="1783"/>
      <c r="V623" s="1783"/>
      <c r="W623" s="1783"/>
      <c r="X623" s="1783"/>
      <c r="Y623" s="1783"/>
      <c r="Z623" s="1783"/>
      <c r="AA623" s="1783"/>
      <c r="AB623" s="1783"/>
      <c r="AC623" s="1783"/>
      <c r="AD623" s="1783"/>
      <c r="AE623" s="1783"/>
      <c r="AF623" s="1783"/>
      <c r="AG623" s="1783"/>
      <c r="AH623" s="1783"/>
      <c r="AI623" s="1783"/>
      <c r="AJ623" s="1783"/>
      <c r="AK623" s="1783"/>
      <c r="AL623" s="1783"/>
      <c r="AM623" s="1783"/>
      <c r="AN623" s="1783"/>
      <c r="AO623" s="1783"/>
      <c r="AP623" s="1783"/>
      <c r="AQ623" s="1783"/>
      <c r="AR623" s="1783"/>
      <c r="AS623" s="1783"/>
      <c r="AT623" s="1783"/>
      <c r="AU623" s="1783"/>
      <c r="AV623" s="1783"/>
      <c r="AW623" s="1783"/>
      <c r="AX623" s="1783"/>
      <c r="AY623" s="1783"/>
      <c r="AZ623" s="1783"/>
      <c r="BA623" s="1783"/>
      <c r="BB623" s="1783"/>
      <c r="BC623" s="1783"/>
      <c r="BD623" s="1783"/>
      <c r="BE623" s="1783"/>
      <c r="BF623" s="1783"/>
      <c r="BG623" s="1783"/>
      <c r="BH623" s="1783"/>
      <c r="BI623" s="1783"/>
    </row>
    <row r="624" spans="1:61">
      <c r="A624" s="1819"/>
      <c r="B624" s="1818"/>
      <c r="C624" s="1818"/>
      <c r="D624" s="1818"/>
      <c r="E624" s="1818"/>
      <c r="F624" s="1818"/>
      <c r="G624" s="1818"/>
      <c r="H624" s="1783"/>
      <c r="I624" s="1783"/>
      <c r="J624" s="1783"/>
      <c r="K624" s="1783"/>
      <c r="L624" s="1783"/>
      <c r="M624" s="1783"/>
      <c r="N624" s="1783"/>
      <c r="O624" s="1783"/>
      <c r="P624" s="1783"/>
      <c r="Q624" s="1783"/>
      <c r="R624" s="1783"/>
      <c r="S624" s="1783"/>
      <c r="T624" s="1783"/>
      <c r="U624" s="1783"/>
      <c r="V624" s="1783"/>
      <c r="W624" s="1783"/>
      <c r="X624" s="1783"/>
      <c r="Y624" s="1783"/>
      <c r="Z624" s="1783"/>
      <c r="AA624" s="1783"/>
      <c r="AB624" s="1783"/>
      <c r="AC624" s="1783"/>
      <c r="AD624" s="1783"/>
      <c r="AE624" s="1783"/>
      <c r="AF624" s="1783"/>
      <c r="AG624" s="1783"/>
      <c r="AH624" s="1783"/>
      <c r="AI624" s="1783"/>
      <c r="AJ624" s="1783"/>
      <c r="AK624" s="1783"/>
      <c r="AL624" s="1783"/>
      <c r="AM624" s="1783"/>
      <c r="AN624" s="1783"/>
      <c r="AO624" s="1783"/>
      <c r="AP624" s="1783"/>
      <c r="AQ624" s="1783"/>
      <c r="AR624" s="1783"/>
      <c r="AS624" s="1783"/>
      <c r="AT624" s="1783"/>
      <c r="AU624" s="1783"/>
      <c r="AV624" s="1783"/>
      <c r="AW624" s="1783"/>
      <c r="AX624" s="1783"/>
      <c r="AY624" s="1783"/>
      <c r="AZ624" s="1783"/>
      <c r="BA624" s="1783"/>
      <c r="BB624" s="1783"/>
      <c r="BC624" s="1783"/>
      <c r="BD624" s="1783"/>
      <c r="BE624" s="1783"/>
      <c r="BF624" s="1783"/>
      <c r="BG624" s="1783"/>
      <c r="BH624" s="1783"/>
      <c r="BI624" s="1783"/>
    </row>
    <row r="625" spans="1:61">
      <c r="A625" s="1819"/>
      <c r="B625" s="1818"/>
      <c r="C625" s="1818"/>
      <c r="D625" s="1818"/>
      <c r="E625" s="1818"/>
      <c r="F625" s="1818"/>
      <c r="G625" s="1818"/>
      <c r="H625" s="1783"/>
      <c r="I625" s="1783"/>
      <c r="J625" s="1783"/>
      <c r="K625" s="1783"/>
      <c r="L625" s="1783"/>
      <c r="M625" s="1783"/>
      <c r="N625" s="1783"/>
      <c r="O625" s="1783"/>
      <c r="P625" s="1783"/>
      <c r="Q625" s="1783"/>
      <c r="R625" s="1783"/>
      <c r="S625" s="1783"/>
      <c r="T625" s="1783"/>
      <c r="U625" s="1783"/>
      <c r="V625" s="1783"/>
      <c r="W625" s="1783"/>
      <c r="X625" s="1783"/>
      <c r="Y625" s="1783"/>
      <c r="Z625" s="1783"/>
      <c r="AA625" s="1783"/>
      <c r="AB625" s="1783"/>
      <c r="AC625" s="1783"/>
      <c r="AD625" s="1783"/>
      <c r="AE625" s="1783"/>
      <c r="AF625" s="1783"/>
      <c r="AG625" s="1783"/>
      <c r="AH625" s="1783"/>
      <c r="AI625" s="1783"/>
      <c r="AJ625" s="1783"/>
      <c r="AK625" s="1783"/>
      <c r="AL625" s="1783"/>
      <c r="AM625" s="1783"/>
      <c r="AN625" s="1783"/>
      <c r="AO625" s="1783"/>
      <c r="AP625" s="1783"/>
      <c r="AQ625" s="1783"/>
      <c r="AR625" s="1783"/>
      <c r="AS625" s="1783"/>
      <c r="AT625" s="1783"/>
      <c r="AU625" s="1783"/>
      <c r="AV625" s="1783"/>
      <c r="AW625" s="1783"/>
      <c r="AX625" s="1783"/>
      <c r="AY625" s="1783"/>
      <c r="AZ625" s="1783"/>
      <c r="BA625" s="1783"/>
      <c r="BB625" s="1783"/>
      <c r="BC625" s="1783"/>
      <c r="BD625" s="1783"/>
      <c r="BE625" s="1783"/>
      <c r="BF625" s="1783"/>
      <c r="BG625" s="1783"/>
      <c r="BH625" s="1783"/>
      <c r="BI625" s="1783"/>
    </row>
    <row r="626" spans="1:61">
      <c r="A626" s="1819"/>
      <c r="B626" s="1818"/>
      <c r="C626" s="1818"/>
      <c r="D626" s="1818"/>
      <c r="E626" s="1818"/>
      <c r="F626" s="1818"/>
      <c r="G626" s="1818"/>
      <c r="H626" s="1783"/>
      <c r="I626" s="1783"/>
      <c r="J626" s="1783"/>
      <c r="K626" s="1783"/>
      <c r="L626" s="1783"/>
      <c r="M626" s="1783"/>
      <c r="N626" s="1783"/>
      <c r="O626" s="1783"/>
      <c r="P626" s="1783"/>
      <c r="Q626" s="1783"/>
      <c r="R626" s="1783"/>
      <c r="S626" s="1783"/>
      <c r="T626" s="1783"/>
      <c r="U626" s="1783"/>
      <c r="V626" s="1783"/>
      <c r="W626" s="1783"/>
      <c r="X626" s="1783"/>
      <c r="Y626" s="1783"/>
      <c r="Z626" s="1783"/>
      <c r="AA626" s="1783"/>
      <c r="AB626" s="1783"/>
      <c r="AC626" s="1783"/>
      <c r="AD626" s="1783"/>
      <c r="AE626" s="1783"/>
      <c r="AF626" s="1783"/>
      <c r="AG626" s="1783"/>
      <c r="AH626" s="1783"/>
      <c r="AI626" s="1783"/>
      <c r="AJ626" s="1783"/>
      <c r="AK626" s="1783"/>
      <c r="AL626" s="1783"/>
      <c r="AM626" s="1783"/>
      <c r="AN626" s="1783"/>
      <c r="AO626" s="1783"/>
      <c r="AP626" s="1783"/>
      <c r="AQ626" s="1783"/>
      <c r="AR626" s="1783"/>
      <c r="AS626" s="1783"/>
      <c r="AT626" s="1783"/>
      <c r="AU626" s="1783"/>
      <c r="AV626" s="1783"/>
      <c r="AW626" s="1783"/>
      <c r="AX626" s="1783"/>
      <c r="AY626" s="1783"/>
      <c r="AZ626" s="1783"/>
      <c r="BA626" s="1783"/>
      <c r="BB626" s="1783"/>
      <c r="BC626" s="1783"/>
      <c r="BD626" s="1783"/>
      <c r="BE626" s="1783"/>
      <c r="BF626" s="1783"/>
      <c r="BG626" s="1783"/>
      <c r="BH626" s="1783"/>
      <c r="BI626" s="1783"/>
    </row>
    <row r="627" spans="1:61">
      <c r="A627" s="1819"/>
      <c r="B627" s="1818"/>
      <c r="C627" s="1818"/>
      <c r="D627" s="1818"/>
      <c r="E627" s="1818"/>
      <c r="F627" s="1818"/>
      <c r="G627" s="1818"/>
      <c r="H627" s="1783"/>
      <c r="I627" s="1783"/>
      <c r="J627" s="1783"/>
      <c r="K627" s="1783"/>
      <c r="L627" s="1783"/>
      <c r="M627" s="1783"/>
      <c r="N627" s="1783"/>
      <c r="O627" s="1783"/>
      <c r="P627" s="1783"/>
      <c r="Q627" s="1783"/>
      <c r="R627" s="1783"/>
      <c r="S627" s="1783"/>
      <c r="T627" s="1783"/>
      <c r="U627" s="1783"/>
      <c r="V627" s="1783"/>
      <c r="W627" s="1783"/>
      <c r="X627" s="1783"/>
      <c r="Y627" s="1783"/>
      <c r="Z627" s="1783"/>
      <c r="AA627" s="1783"/>
      <c r="AB627" s="1783"/>
      <c r="AC627" s="1783"/>
      <c r="AD627" s="1783"/>
      <c r="AE627" s="1783"/>
      <c r="AF627" s="1783"/>
      <c r="AG627" s="1783"/>
      <c r="AH627" s="1783"/>
      <c r="AI627" s="1783"/>
      <c r="AJ627" s="1783"/>
      <c r="AK627" s="1783"/>
      <c r="AL627" s="1783"/>
      <c r="AM627" s="1783"/>
      <c r="AN627" s="1783"/>
      <c r="AO627" s="1783"/>
      <c r="AP627" s="1783"/>
      <c r="AQ627" s="1783"/>
      <c r="AR627" s="1783"/>
      <c r="AS627" s="1783"/>
      <c r="AT627" s="1783"/>
      <c r="AU627" s="1783"/>
      <c r="AV627" s="1783"/>
      <c r="AW627" s="1783"/>
      <c r="AX627" s="1783"/>
      <c r="AY627" s="1783"/>
      <c r="AZ627" s="1783"/>
      <c r="BA627" s="1783"/>
      <c r="BB627" s="1783"/>
      <c r="BC627" s="1783"/>
      <c r="BD627" s="1783"/>
      <c r="BE627" s="1783"/>
      <c r="BF627" s="1783"/>
      <c r="BG627" s="1783"/>
      <c r="BH627" s="1783"/>
      <c r="BI627" s="1783"/>
    </row>
    <row r="628" spans="1:61">
      <c r="A628" s="1819"/>
      <c r="B628" s="1818"/>
      <c r="C628" s="1818"/>
      <c r="D628" s="1818"/>
      <c r="E628" s="1818"/>
      <c r="F628" s="1818"/>
      <c r="G628" s="1818"/>
      <c r="H628" s="1783"/>
      <c r="I628" s="1783"/>
      <c r="J628" s="1783"/>
      <c r="K628" s="1783"/>
      <c r="L628" s="1783"/>
      <c r="M628" s="1783"/>
      <c r="N628" s="1783"/>
      <c r="O628" s="1783"/>
      <c r="P628" s="1783"/>
      <c r="Q628" s="1783"/>
      <c r="R628" s="1783"/>
      <c r="S628" s="1783"/>
      <c r="T628" s="1783"/>
      <c r="U628" s="1783"/>
      <c r="V628" s="1783"/>
      <c r="W628" s="1783"/>
      <c r="X628" s="1783"/>
      <c r="Y628" s="1783"/>
      <c r="Z628" s="1783"/>
      <c r="AA628" s="1783"/>
      <c r="AB628" s="1783"/>
      <c r="AC628" s="1783"/>
      <c r="AD628" s="1783"/>
      <c r="AE628" s="1783"/>
      <c r="AF628" s="1783"/>
      <c r="AG628" s="1783"/>
      <c r="AH628" s="1783"/>
      <c r="AI628" s="1783"/>
      <c r="AJ628" s="1783"/>
      <c r="AK628" s="1783"/>
      <c r="AL628" s="1783"/>
      <c r="AM628" s="1783"/>
      <c r="AN628" s="1783"/>
      <c r="AO628" s="1783"/>
      <c r="AP628" s="1783"/>
      <c r="AQ628" s="1783"/>
      <c r="AR628" s="1783"/>
      <c r="AS628" s="1783"/>
      <c r="AT628" s="1783"/>
      <c r="AU628" s="1783"/>
      <c r="AV628" s="1783"/>
      <c r="AW628" s="1783"/>
      <c r="AX628" s="1783"/>
      <c r="AY628" s="1783"/>
      <c r="AZ628" s="1783"/>
      <c r="BA628" s="1783"/>
      <c r="BB628" s="1783"/>
      <c r="BC628" s="1783"/>
      <c r="BD628" s="1783"/>
      <c r="BE628" s="1783"/>
      <c r="BF628" s="1783"/>
      <c r="BG628" s="1783"/>
      <c r="BH628" s="1783"/>
      <c r="BI628" s="1783"/>
    </row>
    <row r="629" spans="1:61">
      <c r="A629" s="1819"/>
      <c r="B629" s="1818"/>
      <c r="C629" s="1818"/>
      <c r="D629" s="1818"/>
      <c r="E629" s="1818"/>
      <c r="F629" s="1818"/>
      <c r="G629" s="1818"/>
      <c r="H629" s="1783"/>
      <c r="I629" s="1783"/>
      <c r="J629" s="1783"/>
      <c r="K629" s="1783"/>
      <c r="L629" s="1783"/>
      <c r="M629" s="1783"/>
      <c r="N629" s="1783"/>
      <c r="O629" s="1783"/>
      <c r="P629" s="1783"/>
      <c r="Q629" s="1783"/>
      <c r="R629" s="1783"/>
      <c r="S629" s="1783"/>
      <c r="T629" s="1783"/>
      <c r="U629" s="1783"/>
      <c r="V629" s="1783"/>
      <c r="W629" s="1783"/>
      <c r="X629" s="1783"/>
      <c r="Y629" s="1783"/>
      <c r="Z629" s="1783"/>
      <c r="AA629" s="1783"/>
      <c r="AB629" s="1783"/>
      <c r="AC629" s="1783"/>
      <c r="AD629" s="1783"/>
      <c r="AE629" s="1783"/>
      <c r="AF629" s="1783"/>
      <c r="AG629" s="1783"/>
      <c r="AH629" s="1783"/>
      <c r="AI629" s="1783"/>
      <c r="AJ629" s="1783"/>
      <c r="AK629" s="1783"/>
      <c r="AL629" s="1783"/>
      <c r="AM629" s="1783"/>
      <c r="AN629" s="1783"/>
      <c r="AO629" s="1783"/>
      <c r="AP629" s="1783"/>
      <c r="AQ629" s="1783"/>
      <c r="AR629" s="1783"/>
      <c r="AS629" s="1783"/>
      <c r="AT629" s="1783"/>
      <c r="AU629" s="1783"/>
      <c r="AV629" s="1783"/>
      <c r="AW629" s="1783"/>
      <c r="AX629" s="1783"/>
      <c r="AY629" s="1783"/>
      <c r="AZ629" s="1783"/>
      <c r="BA629" s="1783"/>
      <c r="BB629" s="1783"/>
      <c r="BC629" s="1783"/>
      <c r="BD629" s="1783"/>
      <c r="BE629" s="1783"/>
      <c r="BF629" s="1783"/>
      <c r="BG629" s="1783"/>
      <c r="BH629" s="1783"/>
      <c r="BI629" s="1783"/>
    </row>
    <row r="630" spans="1:61">
      <c r="A630" s="1819"/>
      <c r="B630" s="1818"/>
      <c r="C630" s="1818"/>
      <c r="D630" s="1818"/>
      <c r="E630" s="1818"/>
      <c r="F630" s="1818"/>
      <c r="G630" s="1818"/>
      <c r="H630" s="1783"/>
      <c r="I630" s="1783"/>
      <c r="J630" s="1783"/>
      <c r="K630" s="1783"/>
      <c r="L630" s="1783"/>
      <c r="M630" s="1783"/>
      <c r="N630" s="1783"/>
      <c r="O630" s="1783"/>
      <c r="P630" s="1783"/>
      <c r="Q630" s="1783"/>
      <c r="R630" s="1783"/>
      <c r="S630" s="1783"/>
      <c r="T630" s="1783"/>
      <c r="U630" s="1783"/>
      <c r="V630" s="1783"/>
      <c r="W630" s="1783"/>
      <c r="X630" s="1783"/>
      <c r="Y630" s="1783"/>
      <c r="Z630" s="1783"/>
      <c r="AA630" s="1783"/>
      <c r="AB630" s="1783"/>
      <c r="AC630" s="1783"/>
      <c r="AD630" s="1783"/>
      <c r="AE630" s="1783"/>
      <c r="AF630" s="1783"/>
      <c r="AG630" s="1783"/>
      <c r="AH630" s="1783"/>
      <c r="AI630" s="1783"/>
      <c r="AJ630" s="1783"/>
      <c r="AK630" s="1783"/>
      <c r="AL630" s="1783"/>
      <c r="AM630" s="1783"/>
      <c r="AN630" s="1783"/>
      <c r="AO630" s="1783"/>
      <c r="AP630" s="1783"/>
      <c r="AQ630" s="1783"/>
      <c r="AR630" s="1783"/>
      <c r="AS630" s="1783"/>
      <c r="AT630" s="1783"/>
      <c r="AU630" s="1783"/>
      <c r="AV630" s="1783"/>
      <c r="AW630" s="1783"/>
      <c r="AX630" s="1783"/>
      <c r="AY630" s="1783"/>
      <c r="AZ630" s="1783"/>
      <c r="BA630" s="1783"/>
      <c r="BB630" s="1783"/>
      <c r="BC630" s="1783"/>
      <c r="BD630" s="1783"/>
      <c r="BE630" s="1783"/>
      <c r="BF630" s="1783"/>
      <c r="BG630" s="1783"/>
      <c r="BH630" s="1783"/>
      <c r="BI630" s="1783"/>
    </row>
    <row r="631" spans="1:61">
      <c r="A631" s="1819"/>
      <c r="B631" s="1818"/>
      <c r="C631" s="1818"/>
      <c r="D631" s="1818"/>
      <c r="E631" s="1818"/>
      <c r="F631" s="1818"/>
      <c r="G631" s="1818"/>
      <c r="H631" s="1783"/>
      <c r="I631" s="1783"/>
      <c r="J631" s="1783"/>
      <c r="K631" s="1783"/>
      <c r="L631" s="1783"/>
      <c r="M631" s="1783"/>
      <c r="N631" s="1783"/>
      <c r="O631" s="1783"/>
      <c r="P631" s="1783"/>
      <c r="Q631" s="1783"/>
      <c r="R631" s="1783"/>
      <c r="S631" s="1783"/>
      <c r="T631" s="1783"/>
      <c r="U631" s="1783"/>
      <c r="V631" s="1783"/>
      <c r="W631" s="1783"/>
      <c r="X631" s="1783"/>
      <c r="Y631" s="1783"/>
      <c r="Z631" s="1783"/>
      <c r="AA631" s="1783"/>
      <c r="AB631" s="1783"/>
      <c r="AC631" s="1783"/>
      <c r="AD631" s="1783"/>
      <c r="AE631" s="1783"/>
      <c r="AF631" s="1783"/>
      <c r="AG631" s="1783"/>
      <c r="AH631" s="1783"/>
      <c r="AI631" s="1783"/>
      <c r="AJ631" s="1783"/>
      <c r="AK631" s="1783"/>
      <c r="AL631" s="1783"/>
      <c r="AM631" s="1783"/>
      <c r="AN631" s="1783"/>
      <c r="AO631" s="1783"/>
      <c r="AP631" s="1783"/>
      <c r="AQ631" s="1783"/>
      <c r="AR631" s="1783"/>
      <c r="AS631" s="1783"/>
      <c r="AT631" s="1783"/>
      <c r="AU631" s="1783"/>
      <c r="AV631" s="1783"/>
      <c r="AW631" s="1783"/>
      <c r="AX631" s="1783"/>
      <c r="AY631" s="1783"/>
      <c r="AZ631" s="1783"/>
      <c r="BA631" s="1783"/>
      <c r="BB631" s="1783"/>
      <c r="BC631" s="1783"/>
      <c r="BD631" s="1783"/>
      <c r="BE631" s="1783"/>
      <c r="BF631" s="1783"/>
      <c r="BG631" s="1783"/>
      <c r="BH631" s="1783"/>
      <c r="BI631" s="1783"/>
    </row>
    <row r="632" spans="1:61">
      <c r="A632" s="1819"/>
      <c r="B632" s="1818"/>
      <c r="C632" s="1818"/>
      <c r="D632" s="1818"/>
      <c r="E632" s="1818"/>
      <c r="F632" s="1818"/>
      <c r="G632" s="1818"/>
      <c r="H632" s="1783"/>
      <c r="I632" s="1783"/>
      <c r="J632" s="1783"/>
      <c r="K632" s="1783"/>
      <c r="L632" s="1783"/>
      <c r="M632" s="1783"/>
      <c r="N632" s="1783"/>
      <c r="O632" s="1783"/>
      <c r="P632" s="1783"/>
      <c r="Q632" s="1783"/>
      <c r="R632" s="1783"/>
      <c r="S632" s="1783"/>
      <c r="T632" s="1783"/>
      <c r="U632" s="1783"/>
      <c r="V632" s="1783"/>
      <c r="W632" s="1783"/>
      <c r="X632" s="1783"/>
      <c r="Y632" s="1783"/>
      <c r="Z632" s="1783"/>
      <c r="AA632" s="1783"/>
      <c r="AB632" s="1783"/>
      <c r="AC632" s="1783"/>
      <c r="AD632" s="1783"/>
      <c r="AE632" s="1783"/>
      <c r="AF632" s="1783"/>
      <c r="AG632" s="1783"/>
      <c r="AH632" s="1783"/>
      <c r="AI632" s="1783"/>
      <c r="AJ632" s="1783"/>
      <c r="AK632" s="1783"/>
      <c r="AL632" s="1783"/>
      <c r="AM632" s="1783"/>
      <c r="AN632" s="1783"/>
      <c r="AO632" s="1783"/>
      <c r="AP632" s="1783"/>
      <c r="AQ632" s="1783"/>
      <c r="AR632" s="1783"/>
      <c r="AS632" s="1783"/>
      <c r="AT632" s="1783"/>
      <c r="AU632" s="1783"/>
      <c r="AV632" s="1783"/>
      <c r="AW632" s="1783"/>
      <c r="AX632" s="1783"/>
      <c r="AY632" s="1783"/>
      <c r="AZ632" s="1783"/>
      <c r="BA632" s="1783"/>
      <c r="BB632" s="1783"/>
      <c r="BC632" s="1783"/>
      <c r="BD632" s="1783"/>
      <c r="BE632" s="1783"/>
      <c r="BF632" s="1783"/>
      <c r="BG632" s="1783"/>
      <c r="BH632" s="1783"/>
      <c r="BI632" s="1783"/>
    </row>
    <row r="633" spans="1:61">
      <c r="A633" s="1819"/>
      <c r="B633" s="1818"/>
      <c r="C633" s="1818"/>
      <c r="D633" s="1818"/>
      <c r="E633" s="1818"/>
      <c r="F633" s="1818"/>
      <c r="G633" s="1818"/>
      <c r="H633" s="1783"/>
      <c r="I633" s="1783"/>
      <c r="J633" s="1783"/>
      <c r="K633" s="1783"/>
      <c r="L633" s="1783"/>
      <c r="M633" s="1783"/>
      <c r="N633" s="1783"/>
      <c r="O633" s="1783"/>
      <c r="P633" s="1783"/>
      <c r="Q633" s="1783"/>
      <c r="R633" s="1783"/>
      <c r="S633" s="1783"/>
      <c r="T633" s="1783"/>
      <c r="U633" s="1783"/>
      <c r="V633" s="1783"/>
      <c r="W633" s="1783"/>
      <c r="X633" s="1783"/>
      <c r="Y633" s="1783"/>
      <c r="Z633" s="1783"/>
      <c r="AA633" s="1783"/>
      <c r="AB633" s="1783"/>
      <c r="AC633" s="1783"/>
      <c r="AD633" s="1783"/>
      <c r="AE633" s="1783"/>
      <c r="AF633" s="1783"/>
      <c r="AG633" s="1783"/>
      <c r="AH633" s="1783"/>
      <c r="AI633" s="1783"/>
      <c r="AJ633" s="1783"/>
      <c r="AK633" s="1783"/>
      <c r="AL633" s="1783"/>
      <c r="AM633" s="1783"/>
      <c r="AN633" s="1783"/>
      <c r="AO633" s="1783"/>
      <c r="AP633" s="1783"/>
      <c r="AQ633" s="1783"/>
      <c r="AR633" s="1783"/>
      <c r="AS633" s="1783"/>
      <c r="AT633" s="1783"/>
      <c r="AU633" s="1783"/>
      <c r="AV633" s="1783"/>
      <c r="AW633" s="1783"/>
      <c r="AX633" s="1783"/>
      <c r="AY633" s="1783"/>
      <c r="AZ633" s="1783"/>
      <c r="BA633" s="1783"/>
      <c r="BB633" s="1783"/>
      <c r="BC633" s="1783"/>
      <c r="BD633" s="1783"/>
      <c r="BE633" s="1783"/>
      <c r="BF633" s="1783"/>
      <c r="BG633" s="1783"/>
      <c r="BH633" s="1783"/>
      <c r="BI633" s="1783"/>
    </row>
    <row r="634" spans="1:61">
      <c r="A634" s="1819"/>
      <c r="B634" s="1818"/>
      <c r="C634" s="1818"/>
      <c r="D634" s="1818"/>
      <c r="E634" s="1818"/>
      <c r="F634" s="1818"/>
      <c r="G634" s="1818"/>
      <c r="H634" s="1783"/>
      <c r="I634" s="1783"/>
      <c r="J634" s="1783"/>
      <c r="K634" s="1783"/>
      <c r="L634" s="1783"/>
      <c r="M634" s="1783"/>
      <c r="N634" s="1783"/>
      <c r="O634" s="1783"/>
      <c r="P634" s="1783"/>
      <c r="Q634" s="1783"/>
      <c r="R634" s="1783"/>
      <c r="S634" s="1783"/>
      <c r="T634" s="1783"/>
      <c r="U634" s="1783"/>
      <c r="V634" s="1783"/>
      <c r="W634" s="1783"/>
      <c r="X634" s="1783"/>
      <c r="Y634" s="1783"/>
      <c r="Z634" s="1783"/>
      <c r="AA634" s="1783"/>
      <c r="AB634" s="1783"/>
      <c r="AC634" s="1783"/>
      <c r="AD634" s="1783"/>
      <c r="AE634" s="1783"/>
      <c r="AF634" s="1783"/>
      <c r="AG634" s="1783"/>
      <c r="AH634" s="1783"/>
      <c r="AI634" s="1783"/>
      <c r="AJ634" s="1783"/>
      <c r="AK634" s="1783"/>
      <c r="AL634" s="1783"/>
      <c r="AM634" s="1783"/>
      <c r="AN634" s="1783"/>
      <c r="AO634" s="1783"/>
      <c r="AP634" s="1783"/>
      <c r="AQ634" s="1783"/>
      <c r="AR634" s="1783"/>
      <c r="AS634" s="1783"/>
      <c r="AT634" s="1783"/>
      <c r="AU634" s="1783"/>
      <c r="AV634" s="1783"/>
      <c r="AW634" s="1783"/>
      <c r="AX634" s="1783"/>
      <c r="AY634" s="1783"/>
      <c r="AZ634" s="1783"/>
      <c r="BA634" s="1783"/>
      <c r="BB634" s="1783"/>
      <c r="BC634" s="1783"/>
      <c r="BD634" s="1783"/>
      <c r="BE634" s="1783"/>
      <c r="BF634" s="1783"/>
      <c r="BG634" s="1783"/>
      <c r="BH634" s="1783"/>
      <c r="BI634" s="1783"/>
    </row>
    <row r="635" spans="1:61">
      <c r="A635" s="1819"/>
      <c r="B635" s="1818"/>
      <c r="C635" s="1818"/>
      <c r="D635" s="1818"/>
      <c r="E635" s="1818"/>
      <c r="F635" s="1818"/>
      <c r="G635" s="1818"/>
      <c r="H635" s="1783"/>
      <c r="I635" s="1783"/>
      <c r="J635" s="1783"/>
      <c r="K635" s="1783"/>
      <c r="L635" s="1783"/>
      <c r="M635" s="1783"/>
      <c r="N635" s="1783"/>
      <c r="O635" s="1783"/>
      <c r="P635" s="1783"/>
      <c r="Q635" s="1783"/>
      <c r="R635" s="1783"/>
      <c r="S635" s="1783"/>
      <c r="T635" s="1783"/>
      <c r="U635" s="1783"/>
      <c r="V635" s="1783"/>
      <c r="W635" s="1783"/>
      <c r="X635" s="1783"/>
      <c r="Y635" s="1783"/>
      <c r="Z635" s="1783"/>
      <c r="AA635" s="1783"/>
      <c r="AB635" s="1783"/>
      <c r="AC635" s="1783"/>
      <c r="AD635" s="1783"/>
      <c r="AE635" s="1783"/>
      <c r="AF635" s="1783"/>
      <c r="AG635" s="1783"/>
      <c r="AH635" s="1783"/>
      <c r="AI635" s="1783"/>
      <c r="AJ635" s="1783"/>
      <c r="AK635" s="1783"/>
      <c r="AL635" s="1783"/>
      <c r="AM635" s="1783"/>
      <c r="AN635" s="1783"/>
      <c r="AO635" s="1783"/>
      <c r="AP635" s="1783"/>
      <c r="AQ635" s="1783"/>
      <c r="AR635" s="1783"/>
      <c r="AS635" s="1783"/>
      <c r="AT635" s="1783"/>
      <c r="AU635" s="1783"/>
      <c r="AV635" s="1783"/>
      <c r="AW635" s="1783"/>
      <c r="AX635" s="1783"/>
      <c r="AY635" s="1783"/>
      <c r="AZ635" s="1783"/>
      <c r="BA635" s="1783"/>
      <c r="BB635" s="1783"/>
      <c r="BC635" s="1783"/>
      <c r="BD635" s="1783"/>
      <c r="BE635" s="1783"/>
      <c r="BF635" s="1783"/>
      <c r="BG635" s="1783"/>
      <c r="BH635" s="1783"/>
      <c r="BI635" s="1783"/>
    </row>
    <row r="636" spans="1:61">
      <c r="A636" s="1819"/>
      <c r="B636" s="1818"/>
      <c r="C636" s="1818"/>
      <c r="D636" s="1818"/>
      <c r="E636" s="1818"/>
      <c r="F636" s="1818"/>
      <c r="G636" s="1818"/>
      <c r="H636" s="1783"/>
      <c r="I636" s="1783"/>
      <c r="J636" s="1783"/>
      <c r="K636" s="1783"/>
      <c r="L636" s="1783"/>
      <c r="M636" s="1783"/>
      <c r="N636" s="1783"/>
      <c r="O636" s="1783"/>
      <c r="P636" s="1783"/>
      <c r="Q636" s="1783"/>
      <c r="R636" s="1783"/>
      <c r="S636" s="1783"/>
      <c r="T636" s="1783"/>
      <c r="U636" s="1783"/>
      <c r="V636" s="1783"/>
      <c r="W636" s="1783"/>
      <c r="X636" s="1783"/>
      <c r="Y636" s="1783"/>
      <c r="Z636" s="1783"/>
      <c r="AA636" s="1783"/>
      <c r="AB636" s="1783"/>
      <c r="AC636" s="1783"/>
      <c r="AD636" s="1783"/>
      <c r="AE636" s="1783"/>
      <c r="AF636" s="1783"/>
      <c r="AG636" s="1783"/>
      <c r="AH636" s="1783"/>
      <c r="AI636" s="1783"/>
      <c r="AJ636" s="1783"/>
      <c r="AK636" s="1783"/>
      <c r="AL636" s="1783"/>
      <c r="AM636" s="1783"/>
      <c r="AN636" s="1783"/>
      <c r="AO636" s="1783"/>
      <c r="AP636" s="1783"/>
      <c r="AQ636" s="1783"/>
      <c r="AR636" s="1783"/>
      <c r="AS636" s="1783"/>
      <c r="AT636" s="1783"/>
      <c r="AU636" s="1783"/>
      <c r="AV636" s="1783"/>
      <c r="AW636" s="1783"/>
      <c r="AX636" s="1783"/>
      <c r="AY636" s="1783"/>
      <c r="AZ636" s="1783"/>
      <c r="BA636" s="1783"/>
      <c r="BB636" s="1783"/>
      <c r="BC636" s="1783"/>
      <c r="BD636" s="1783"/>
      <c r="BE636" s="1783"/>
      <c r="BF636" s="1783"/>
      <c r="BG636" s="1783"/>
      <c r="BH636" s="1783"/>
      <c r="BI636" s="1783"/>
    </row>
    <row r="637" spans="1:61">
      <c r="A637" s="1819"/>
      <c r="B637" s="1818"/>
      <c r="C637" s="1818"/>
      <c r="D637" s="1818"/>
      <c r="E637" s="1818"/>
      <c r="F637" s="1818"/>
      <c r="G637" s="1818"/>
      <c r="H637" s="1783"/>
      <c r="I637" s="1783"/>
      <c r="J637" s="1783"/>
      <c r="K637" s="1783"/>
      <c r="L637" s="1783"/>
      <c r="M637" s="1783"/>
      <c r="N637" s="1783"/>
      <c r="O637" s="1783"/>
      <c r="P637" s="1783"/>
      <c r="Q637" s="1783"/>
      <c r="R637" s="1783"/>
      <c r="S637" s="1783"/>
      <c r="T637" s="1783"/>
      <c r="U637" s="1783"/>
      <c r="V637" s="1783"/>
      <c r="W637" s="1783"/>
      <c r="X637" s="1783"/>
      <c r="Y637" s="1783"/>
      <c r="Z637" s="1783"/>
      <c r="AA637" s="1783"/>
      <c r="AB637" s="1783"/>
      <c r="AC637" s="1783"/>
      <c r="AD637" s="1783"/>
      <c r="AE637" s="1783"/>
      <c r="AF637" s="1783"/>
      <c r="AG637" s="1783"/>
      <c r="AH637" s="1783"/>
      <c r="AI637" s="1783"/>
      <c r="AJ637" s="1783"/>
      <c r="AK637" s="1783"/>
      <c r="AL637" s="1783"/>
      <c r="AM637" s="1783"/>
      <c r="AN637" s="1783"/>
      <c r="AO637" s="1783"/>
      <c r="AP637" s="1783"/>
      <c r="AQ637" s="1783"/>
      <c r="AR637" s="1783"/>
      <c r="AS637" s="1783"/>
      <c r="AT637" s="1783"/>
      <c r="AU637" s="1783"/>
      <c r="AV637" s="1783"/>
      <c r="AW637" s="1783"/>
      <c r="AX637" s="1783"/>
      <c r="AY637" s="1783"/>
      <c r="AZ637" s="1783"/>
      <c r="BA637" s="1783"/>
      <c r="BB637" s="1783"/>
      <c r="BC637" s="1783"/>
      <c r="BD637" s="1783"/>
      <c r="BE637" s="1783"/>
      <c r="BF637" s="1783"/>
      <c r="BG637" s="1783"/>
      <c r="BH637" s="1783"/>
      <c r="BI637" s="1783"/>
    </row>
    <row r="638" spans="1:61">
      <c r="A638" s="1819"/>
      <c r="B638" s="1818"/>
      <c r="C638" s="1818"/>
      <c r="D638" s="1818"/>
      <c r="E638" s="1818"/>
      <c r="F638" s="1818"/>
      <c r="G638" s="1818"/>
      <c r="H638" s="1783"/>
      <c r="I638" s="1783"/>
      <c r="J638" s="1783"/>
      <c r="K638" s="1783"/>
      <c r="L638" s="1783"/>
      <c r="M638" s="1783"/>
      <c r="N638" s="1783"/>
      <c r="O638" s="1783"/>
      <c r="P638" s="1783"/>
      <c r="Q638" s="1783"/>
      <c r="R638" s="1783"/>
      <c r="S638" s="1783"/>
      <c r="T638" s="1783"/>
      <c r="U638" s="1783"/>
      <c r="V638" s="1783"/>
      <c r="W638" s="1783"/>
      <c r="X638" s="1783"/>
      <c r="Y638" s="1783"/>
      <c r="Z638" s="1783"/>
      <c r="AA638" s="1783"/>
      <c r="AB638" s="1783"/>
      <c r="AC638" s="1783"/>
      <c r="AD638" s="1783"/>
      <c r="AE638" s="1783"/>
      <c r="AF638" s="1783"/>
      <c r="AG638" s="1783"/>
      <c r="AH638" s="1783"/>
      <c r="AI638" s="1783"/>
      <c r="AJ638" s="1783"/>
      <c r="AK638" s="1783"/>
      <c r="AL638" s="1783"/>
      <c r="AM638" s="1783"/>
      <c r="AN638" s="1783"/>
      <c r="AO638" s="1783"/>
      <c r="AP638" s="1783"/>
      <c r="AQ638" s="1783"/>
      <c r="AR638" s="1783"/>
      <c r="AS638" s="1783"/>
      <c r="AT638" s="1783"/>
      <c r="AU638" s="1783"/>
      <c r="AV638" s="1783"/>
      <c r="AW638" s="1783"/>
      <c r="AX638" s="1783"/>
      <c r="AY638" s="1783"/>
      <c r="AZ638" s="1783"/>
      <c r="BA638" s="1783"/>
      <c r="BB638" s="1783"/>
      <c r="BC638" s="1783"/>
      <c r="BD638" s="1783"/>
      <c r="BE638" s="1783"/>
      <c r="BF638" s="1783"/>
      <c r="BG638" s="1783"/>
      <c r="BH638" s="1783"/>
      <c r="BI638" s="1783"/>
    </row>
    <row r="639" spans="1:61">
      <c r="A639" s="1819"/>
      <c r="B639" s="1818"/>
      <c r="C639" s="1818"/>
      <c r="D639" s="1818"/>
      <c r="E639" s="1818"/>
      <c r="F639" s="1818"/>
      <c r="G639" s="1818"/>
      <c r="H639" s="1783"/>
      <c r="I639" s="1783"/>
      <c r="J639" s="1783"/>
      <c r="K639" s="1783"/>
      <c r="L639" s="1783"/>
      <c r="M639" s="1783"/>
      <c r="N639" s="1783"/>
      <c r="O639" s="1783"/>
      <c r="P639" s="1783"/>
      <c r="Q639" s="1783"/>
      <c r="R639" s="1783"/>
      <c r="S639" s="1783"/>
      <c r="T639" s="1783"/>
      <c r="U639" s="1783"/>
      <c r="V639" s="1783"/>
      <c r="W639" s="1783"/>
      <c r="X639" s="1783"/>
      <c r="Y639" s="1783"/>
      <c r="Z639" s="1783"/>
      <c r="AA639" s="1783"/>
      <c r="AB639" s="1783"/>
      <c r="AC639" s="1783"/>
      <c r="AD639" s="1783"/>
      <c r="AE639" s="1783"/>
      <c r="AF639" s="1783"/>
      <c r="AG639" s="1783"/>
      <c r="AH639" s="1783"/>
      <c r="AI639" s="1783"/>
      <c r="AJ639" s="1783"/>
      <c r="AK639" s="1783"/>
      <c r="AL639" s="1783"/>
      <c r="AM639" s="1783"/>
      <c r="AN639" s="1783"/>
      <c r="AO639" s="1783"/>
      <c r="AP639" s="1783"/>
      <c r="AQ639" s="1783"/>
      <c r="AR639" s="1783"/>
      <c r="AS639" s="1783"/>
      <c r="AT639" s="1783"/>
      <c r="AU639" s="1783"/>
      <c r="AV639" s="1783"/>
      <c r="AW639" s="1783"/>
      <c r="AX639" s="1783"/>
      <c r="AY639" s="1783"/>
      <c r="AZ639" s="1783"/>
      <c r="BA639" s="1783"/>
      <c r="BB639" s="1783"/>
      <c r="BC639" s="1783"/>
      <c r="BD639" s="1783"/>
      <c r="BE639" s="1783"/>
      <c r="BF639" s="1783"/>
      <c r="BG639" s="1783"/>
      <c r="BH639" s="1783"/>
      <c r="BI639" s="1783"/>
    </row>
    <row r="640" spans="1:61">
      <c r="A640" s="1819"/>
      <c r="B640" s="1818"/>
      <c r="C640" s="1818"/>
      <c r="D640" s="1818"/>
      <c r="E640" s="1818"/>
      <c r="F640" s="1818"/>
      <c r="G640" s="1818"/>
      <c r="H640" s="1783"/>
      <c r="I640" s="1783"/>
      <c r="J640" s="1783"/>
      <c r="K640" s="1783"/>
      <c r="L640" s="1783"/>
      <c r="M640" s="1783"/>
      <c r="N640" s="1783"/>
      <c r="O640" s="1783"/>
      <c r="P640" s="1783"/>
      <c r="Q640" s="1783"/>
      <c r="R640" s="1783"/>
      <c r="S640" s="1783"/>
      <c r="T640" s="1783"/>
      <c r="U640" s="1783"/>
      <c r="V640" s="1783"/>
      <c r="W640" s="1783"/>
      <c r="X640" s="1783"/>
      <c r="Y640" s="1783"/>
      <c r="Z640" s="1783"/>
      <c r="AA640" s="1783"/>
      <c r="AB640" s="1783"/>
      <c r="AC640" s="1783"/>
      <c r="AD640" s="1783"/>
      <c r="AE640" s="1783"/>
      <c r="AF640" s="1783"/>
      <c r="AG640" s="1783"/>
      <c r="AH640" s="1783"/>
      <c r="AI640" s="1783"/>
      <c r="AJ640" s="1783"/>
      <c r="AK640" s="1783"/>
      <c r="AL640" s="1783"/>
      <c r="AM640" s="1783"/>
      <c r="AN640" s="1783"/>
      <c r="AO640" s="1783"/>
      <c r="AP640" s="1783"/>
      <c r="AQ640" s="1783"/>
      <c r="AR640" s="1783"/>
      <c r="AS640" s="1783"/>
      <c r="AT640" s="1783"/>
      <c r="AU640" s="1783"/>
      <c r="AV640" s="1783"/>
      <c r="AW640" s="1783"/>
      <c r="AX640" s="1783"/>
      <c r="AY640" s="1783"/>
      <c r="AZ640" s="1783"/>
      <c r="BA640" s="1783"/>
      <c r="BB640" s="1783"/>
      <c r="BC640" s="1783"/>
      <c r="BD640" s="1783"/>
      <c r="BE640" s="1783"/>
      <c r="BF640" s="1783"/>
      <c r="BG640" s="1783"/>
      <c r="BH640" s="1783"/>
      <c r="BI640" s="1783"/>
    </row>
    <row r="641" spans="1:61">
      <c r="A641" s="1819"/>
      <c r="B641" s="1818"/>
      <c r="C641" s="1818"/>
      <c r="D641" s="1818"/>
      <c r="E641" s="1818"/>
      <c r="F641" s="1818"/>
      <c r="G641" s="1818"/>
      <c r="H641" s="1783"/>
      <c r="I641" s="1783"/>
      <c r="J641" s="1783"/>
      <c r="K641" s="1783"/>
      <c r="L641" s="1783"/>
      <c r="M641" s="1783"/>
      <c r="N641" s="1783"/>
      <c r="O641" s="1783"/>
      <c r="P641" s="1783"/>
      <c r="Q641" s="1783"/>
      <c r="R641" s="1783"/>
      <c r="S641" s="1783"/>
      <c r="T641" s="1783"/>
      <c r="U641" s="1783"/>
      <c r="V641" s="1783"/>
      <c r="W641" s="1783"/>
      <c r="X641" s="1783"/>
      <c r="Y641" s="1783"/>
      <c r="Z641" s="1783"/>
      <c r="AA641" s="1783"/>
      <c r="AB641" s="1783"/>
      <c r="AC641" s="1783"/>
      <c r="AD641" s="1783"/>
      <c r="AE641" s="1783"/>
      <c r="AF641" s="1783"/>
      <c r="AG641" s="1783"/>
      <c r="AH641" s="1783"/>
      <c r="AI641" s="1783"/>
      <c r="AJ641" s="1783"/>
      <c r="AK641" s="1783"/>
      <c r="AL641" s="1783"/>
      <c r="AM641" s="1783"/>
      <c r="AN641" s="1783"/>
      <c r="AO641" s="1783"/>
      <c r="AP641" s="1783"/>
      <c r="AQ641" s="1783"/>
      <c r="AR641" s="1783"/>
      <c r="AS641" s="1783"/>
      <c r="AT641" s="1783"/>
      <c r="AU641" s="1783"/>
      <c r="AV641" s="1783"/>
      <c r="AW641" s="1783"/>
      <c r="AX641" s="1783"/>
      <c r="AY641" s="1783"/>
      <c r="AZ641" s="1783"/>
      <c r="BA641" s="1783"/>
      <c r="BB641" s="1783"/>
      <c r="BC641" s="1783"/>
      <c r="BD641" s="1783"/>
      <c r="BE641" s="1783"/>
      <c r="BF641" s="1783"/>
      <c r="BG641" s="1783"/>
      <c r="BH641" s="1783"/>
      <c r="BI641" s="1783"/>
    </row>
    <row r="642" spans="1:61">
      <c r="A642" s="1819"/>
      <c r="B642" s="1818"/>
      <c r="C642" s="1818"/>
      <c r="D642" s="1818"/>
      <c r="E642" s="1818"/>
      <c r="F642" s="1818"/>
      <c r="G642" s="1818"/>
      <c r="H642" s="1783"/>
      <c r="I642" s="1783"/>
      <c r="J642" s="1783"/>
      <c r="K642" s="1783"/>
      <c r="L642" s="1783"/>
      <c r="M642" s="1783"/>
      <c r="N642" s="1783"/>
      <c r="O642" s="1783"/>
      <c r="P642" s="1783"/>
      <c r="Q642" s="1783"/>
      <c r="R642" s="1783"/>
      <c r="S642" s="1783"/>
      <c r="T642" s="1783"/>
      <c r="U642" s="1783"/>
      <c r="V642" s="1783"/>
      <c r="W642" s="1783"/>
      <c r="X642" s="1783"/>
      <c r="Y642" s="1783"/>
      <c r="Z642" s="1783"/>
      <c r="AA642" s="1783"/>
      <c r="AB642" s="1783"/>
      <c r="AC642" s="1783"/>
      <c r="AD642" s="1783"/>
      <c r="AE642" s="1783"/>
      <c r="AF642" s="1783"/>
      <c r="AG642" s="1783"/>
      <c r="AH642" s="1783"/>
      <c r="AI642" s="1783"/>
      <c r="AJ642" s="1783"/>
      <c r="AK642" s="1783"/>
      <c r="AL642" s="1783"/>
      <c r="AM642" s="1783"/>
      <c r="AN642" s="1783"/>
      <c r="AO642" s="1783"/>
      <c r="AP642" s="1783"/>
      <c r="AQ642" s="1783"/>
      <c r="AR642" s="1783"/>
      <c r="AS642" s="1783"/>
      <c r="AT642" s="1783"/>
      <c r="AU642" s="1783"/>
      <c r="AV642" s="1783"/>
      <c r="AW642" s="1783"/>
      <c r="AX642" s="1783"/>
      <c r="AY642" s="1783"/>
      <c r="AZ642" s="1783"/>
      <c r="BA642" s="1783"/>
      <c r="BB642" s="1783"/>
      <c r="BC642" s="1783"/>
      <c r="BD642" s="1783"/>
      <c r="BE642" s="1783"/>
      <c r="BF642" s="1783"/>
      <c r="BG642" s="1783"/>
      <c r="BH642" s="1783"/>
      <c r="BI642" s="1783"/>
    </row>
    <row r="643" spans="1:61">
      <c r="A643" s="1819"/>
      <c r="B643" s="1818"/>
      <c r="C643" s="1818"/>
      <c r="D643" s="1818"/>
      <c r="E643" s="1818"/>
      <c r="F643" s="1818"/>
      <c r="G643" s="1818"/>
      <c r="H643" s="1783"/>
      <c r="I643" s="1783"/>
      <c r="J643" s="1783"/>
      <c r="K643" s="1783"/>
      <c r="L643" s="1783"/>
      <c r="M643" s="1783"/>
      <c r="N643" s="1783"/>
      <c r="O643" s="1783"/>
      <c r="P643" s="1783"/>
      <c r="Q643" s="1783"/>
      <c r="R643" s="1783"/>
      <c r="S643" s="1783"/>
      <c r="T643" s="1783"/>
      <c r="U643" s="1783"/>
      <c r="V643" s="1783"/>
      <c r="W643" s="1783"/>
      <c r="X643" s="1783"/>
      <c r="Y643" s="1783"/>
      <c r="Z643" s="1783"/>
      <c r="AA643" s="1783"/>
      <c r="AB643" s="1783"/>
      <c r="AC643" s="1783"/>
      <c r="AD643" s="1783"/>
      <c r="AE643" s="1783"/>
      <c r="AF643" s="1783"/>
      <c r="AG643" s="1783"/>
      <c r="AH643" s="1783"/>
      <c r="AI643" s="1783"/>
      <c r="AJ643" s="1783"/>
      <c r="AK643" s="1783"/>
      <c r="AL643" s="1783"/>
      <c r="AM643" s="1783"/>
      <c r="AN643" s="1783"/>
      <c r="AO643" s="1783"/>
      <c r="AP643" s="1783"/>
      <c r="AQ643" s="1783"/>
      <c r="AR643" s="1783"/>
      <c r="AS643" s="1783"/>
      <c r="AT643" s="1783"/>
      <c r="AU643" s="1783"/>
      <c r="AV643" s="1783"/>
      <c r="AW643" s="1783"/>
      <c r="AX643" s="1783"/>
      <c r="AY643" s="1783"/>
      <c r="AZ643" s="1783"/>
      <c r="BA643" s="1783"/>
      <c r="BB643" s="1783"/>
      <c r="BC643" s="1783"/>
      <c r="BD643" s="1783"/>
      <c r="BE643" s="1783"/>
      <c r="BF643" s="1783"/>
      <c r="BG643" s="1783"/>
      <c r="BH643" s="1783"/>
      <c r="BI643" s="1783"/>
    </row>
    <row r="644" spans="1:61">
      <c r="A644" s="1819"/>
      <c r="B644" s="1818"/>
      <c r="C644" s="1818"/>
      <c r="D644" s="1818"/>
      <c r="E644" s="1818"/>
      <c r="F644" s="1818"/>
      <c r="G644" s="1818"/>
      <c r="H644" s="1783"/>
      <c r="I644" s="1783"/>
      <c r="J644" s="1783"/>
      <c r="K644" s="1783"/>
      <c r="L644" s="1783"/>
      <c r="M644" s="1783"/>
      <c r="N644" s="1783"/>
      <c r="O644" s="1783"/>
      <c r="P644" s="1783"/>
      <c r="Q644" s="1783"/>
      <c r="R644" s="1783"/>
      <c r="S644" s="1783"/>
      <c r="T644" s="1783"/>
      <c r="U644" s="1783"/>
      <c r="V644" s="1783"/>
      <c r="W644" s="1783"/>
      <c r="X644" s="1783"/>
      <c r="Y644" s="1783"/>
      <c r="Z644" s="1783"/>
      <c r="AA644" s="1783"/>
      <c r="AB644" s="1783"/>
      <c r="AC644" s="1783"/>
      <c r="AD644" s="1783"/>
      <c r="AE644" s="1783"/>
      <c r="AF644" s="1783"/>
      <c r="AG644" s="1783"/>
      <c r="AH644" s="1783"/>
      <c r="AI644" s="1783"/>
      <c r="AJ644" s="1783"/>
      <c r="AK644" s="1783"/>
      <c r="AL644" s="1783"/>
      <c r="AM644" s="1783"/>
      <c r="AN644" s="1783"/>
      <c r="AO644" s="1783"/>
      <c r="AP644" s="1783"/>
      <c r="AQ644" s="1783"/>
      <c r="AR644" s="1783"/>
      <c r="AS644" s="1783"/>
      <c r="AT644" s="1783"/>
      <c r="AU644" s="1783"/>
      <c r="AV644" s="1783"/>
      <c r="AW644" s="1783"/>
      <c r="AX644" s="1783"/>
      <c r="AY644" s="1783"/>
      <c r="AZ644" s="1783"/>
      <c r="BA644" s="1783"/>
      <c r="BB644" s="1783"/>
      <c r="BC644" s="1783"/>
      <c r="BD644" s="1783"/>
      <c r="BE644" s="1783"/>
      <c r="BF644" s="1783"/>
      <c r="BG644" s="1783"/>
      <c r="BH644" s="1783"/>
      <c r="BI644" s="1783"/>
    </row>
    <row r="645" spans="1:61">
      <c r="A645" s="1819"/>
      <c r="B645" s="1818"/>
      <c r="C645" s="1818"/>
      <c r="D645" s="1818"/>
      <c r="E645" s="1818"/>
      <c r="F645" s="1818"/>
      <c r="G645" s="1818"/>
      <c r="H645" s="1783"/>
      <c r="I645" s="1783"/>
      <c r="J645" s="1783"/>
      <c r="K645" s="1783"/>
      <c r="L645" s="1783"/>
      <c r="M645" s="1783"/>
      <c r="N645" s="1783"/>
      <c r="O645" s="1783"/>
      <c r="P645" s="1783"/>
      <c r="Q645" s="1783"/>
      <c r="R645" s="1783"/>
      <c r="S645" s="1783"/>
      <c r="T645" s="1783"/>
      <c r="U645" s="1783"/>
      <c r="V645" s="1783"/>
      <c r="W645" s="1783"/>
      <c r="X645" s="1783"/>
      <c r="Y645" s="1783"/>
      <c r="Z645" s="1783"/>
      <c r="AA645" s="1783"/>
      <c r="AB645" s="1783"/>
      <c r="AC645" s="1783"/>
      <c r="AD645" s="1783"/>
      <c r="AE645" s="1783"/>
      <c r="AF645" s="1783"/>
      <c r="AG645" s="1783"/>
      <c r="AH645" s="1783"/>
      <c r="AI645" s="1783"/>
      <c r="AJ645" s="1783"/>
      <c r="AK645" s="1783"/>
      <c r="AL645" s="1783"/>
      <c r="AM645" s="1783"/>
      <c r="AN645" s="1783"/>
      <c r="AO645" s="1783"/>
      <c r="AP645" s="1783"/>
      <c r="AQ645" s="1783"/>
      <c r="AR645" s="1783"/>
      <c r="AS645" s="1783"/>
      <c r="AT645" s="1783"/>
      <c r="AU645" s="1783"/>
      <c r="AV645" s="1783"/>
      <c r="AW645" s="1783"/>
      <c r="AX645" s="1783"/>
      <c r="AY645" s="1783"/>
      <c r="AZ645" s="1783"/>
      <c r="BA645" s="1783"/>
      <c r="BB645" s="1783"/>
      <c r="BC645" s="1783"/>
      <c r="BD645" s="1783"/>
      <c r="BE645" s="1783"/>
      <c r="BF645" s="1783"/>
      <c r="BG645" s="1783"/>
      <c r="BH645" s="1783"/>
      <c r="BI645" s="1783"/>
    </row>
    <row r="646" spans="1:61">
      <c r="A646" s="1819"/>
      <c r="B646" s="1818"/>
      <c r="C646" s="1818"/>
      <c r="D646" s="1818"/>
      <c r="E646" s="1818"/>
      <c r="F646" s="1818"/>
      <c r="G646" s="1818"/>
      <c r="H646" s="1783"/>
      <c r="I646" s="1783"/>
      <c r="J646" s="1783"/>
      <c r="K646" s="1783"/>
      <c r="L646" s="1783"/>
      <c r="M646" s="1783"/>
      <c r="N646" s="1783"/>
      <c r="O646" s="1783"/>
      <c r="P646" s="1783"/>
      <c r="Q646" s="1783"/>
      <c r="R646" s="1783"/>
      <c r="S646" s="1783"/>
      <c r="T646" s="1783"/>
      <c r="U646" s="1783"/>
      <c r="V646" s="1783"/>
      <c r="W646" s="1783"/>
      <c r="X646" s="1783"/>
      <c r="Y646" s="1783"/>
      <c r="Z646" s="1783"/>
      <c r="AA646" s="1783"/>
      <c r="AB646" s="1783"/>
      <c r="AC646" s="1783"/>
      <c r="AD646" s="1783"/>
      <c r="AE646" s="1783"/>
      <c r="AF646" s="1783"/>
      <c r="AG646" s="1783"/>
      <c r="AH646" s="1783"/>
      <c r="AI646" s="1783"/>
      <c r="AJ646" s="1783"/>
      <c r="AK646" s="1783"/>
      <c r="AL646" s="1783"/>
      <c r="AM646" s="1783"/>
      <c r="AN646" s="1783"/>
      <c r="AO646" s="1783"/>
      <c r="AP646" s="1783"/>
      <c r="AQ646" s="1783"/>
      <c r="AR646" s="1783"/>
      <c r="AS646" s="1783"/>
      <c r="AT646" s="1783"/>
      <c r="AU646" s="1783"/>
      <c r="AV646" s="1783"/>
      <c r="AW646" s="1783"/>
      <c r="AX646" s="1783"/>
      <c r="AY646" s="1783"/>
      <c r="AZ646" s="1783"/>
      <c r="BA646" s="1783"/>
      <c r="BB646" s="1783"/>
      <c r="BC646" s="1783"/>
      <c r="BD646" s="1783"/>
      <c r="BE646" s="1783"/>
      <c r="BF646" s="1783"/>
      <c r="BG646" s="1783"/>
      <c r="BH646" s="1783"/>
      <c r="BI646" s="1783"/>
    </row>
    <row r="647" spans="1:61">
      <c r="A647" s="1819"/>
      <c r="B647" s="1818"/>
      <c r="C647" s="1818"/>
      <c r="D647" s="1818"/>
      <c r="E647" s="1818"/>
      <c r="F647" s="1818"/>
      <c r="G647" s="1818"/>
      <c r="H647" s="1783"/>
      <c r="I647" s="1783"/>
      <c r="J647" s="1783"/>
      <c r="K647" s="1783"/>
      <c r="L647" s="1783"/>
      <c r="M647" s="1783"/>
      <c r="N647" s="1783"/>
      <c r="O647" s="1783"/>
      <c r="P647" s="1783"/>
      <c r="Q647" s="1783"/>
      <c r="R647" s="1783"/>
      <c r="S647" s="1783"/>
      <c r="T647" s="1783"/>
      <c r="U647" s="1783"/>
      <c r="V647" s="1783"/>
      <c r="W647" s="1783"/>
      <c r="X647" s="1783"/>
      <c r="Y647" s="1783"/>
      <c r="Z647" s="1783"/>
      <c r="AA647" s="1783"/>
      <c r="AB647" s="1783"/>
      <c r="AC647" s="1783"/>
      <c r="AD647" s="1783"/>
      <c r="AE647" s="1783"/>
      <c r="AF647" s="1783"/>
      <c r="AG647" s="1783"/>
      <c r="AH647" s="1783"/>
      <c r="AI647" s="1783"/>
      <c r="AJ647" s="1783"/>
      <c r="AK647" s="1783"/>
      <c r="AL647" s="1783"/>
      <c r="AM647" s="1783"/>
      <c r="AN647" s="1783"/>
      <c r="AO647" s="1783"/>
      <c r="AP647" s="1783"/>
      <c r="AQ647" s="1783"/>
      <c r="AR647" s="1783"/>
      <c r="AS647" s="1783"/>
      <c r="AT647" s="1783"/>
      <c r="AU647" s="1783"/>
      <c r="AV647" s="1783"/>
      <c r="AW647" s="1783"/>
      <c r="AX647" s="1783"/>
      <c r="AY647" s="1783"/>
      <c r="AZ647" s="1783"/>
      <c r="BA647" s="1783"/>
      <c r="BB647" s="1783"/>
      <c r="BC647" s="1783"/>
      <c r="BD647" s="1783"/>
      <c r="BE647" s="1783"/>
      <c r="BF647" s="1783"/>
      <c r="BG647" s="1783"/>
      <c r="BH647" s="1783"/>
      <c r="BI647" s="1783"/>
    </row>
    <row r="648" spans="1:61">
      <c r="A648" s="1819"/>
      <c r="B648" s="1818"/>
      <c r="C648" s="1818"/>
      <c r="D648" s="1818"/>
      <c r="E648" s="1818"/>
      <c r="F648" s="1818"/>
      <c r="G648" s="1818"/>
      <c r="H648" s="1783"/>
      <c r="I648" s="1783"/>
      <c r="J648" s="1783"/>
      <c r="K648" s="1783"/>
      <c r="L648" s="1783"/>
      <c r="M648" s="1783"/>
      <c r="N648" s="1783"/>
      <c r="O648" s="1783"/>
      <c r="P648" s="1783"/>
      <c r="Q648" s="1783"/>
      <c r="R648" s="1783"/>
      <c r="S648" s="1783"/>
      <c r="T648" s="1783"/>
      <c r="U648" s="1783"/>
      <c r="V648" s="1783"/>
      <c r="W648" s="1783"/>
      <c r="X648" s="1783"/>
      <c r="Y648" s="1783"/>
      <c r="Z648" s="1783"/>
      <c r="AA648" s="1783"/>
      <c r="AB648" s="1783"/>
      <c r="AC648" s="1783"/>
      <c r="AD648" s="1783"/>
      <c r="AE648" s="1783"/>
      <c r="AF648" s="1783"/>
      <c r="AG648" s="1783"/>
      <c r="AH648" s="1783"/>
      <c r="AI648" s="1783"/>
      <c r="AJ648" s="1783"/>
      <c r="AK648" s="1783"/>
      <c r="AL648" s="1783"/>
      <c r="AM648" s="1783"/>
      <c r="AN648" s="1783"/>
      <c r="AO648" s="1783"/>
      <c r="AP648" s="1783"/>
      <c r="AQ648" s="1783"/>
      <c r="AR648" s="1783"/>
      <c r="AS648" s="1783"/>
      <c r="AT648" s="1783"/>
      <c r="AU648" s="1783"/>
      <c r="AV648" s="1783"/>
      <c r="AW648" s="1783"/>
      <c r="AX648" s="1783"/>
      <c r="AY648" s="1783"/>
      <c r="AZ648" s="1783"/>
      <c r="BA648" s="1783"/>
      <c r="BB648" s="1783"/>
      <c r="BC648" s="1783"/>
      <c r="BD648" s="1783"/>
      <c r="BE648" s="1783"/>
      <c r="BF648" s="1783"/>
      <c r="BG648" s="1783"/>
      <c r="BH648" s="1783"/>
      <c r="BI648" s="1783"/>
    </row>
    <row r="649" spans="1:61">
      <c r="A649" s="1819"/>
      <c r="B649" s="1818"/>
      <c r="C649" s="1818"/>
      <c r="D649" s="1818"/>
      <c r="E649" s="1818"/>
      <c r="F649" s="1818"/>
      <c r="G649" s="1818"/>
      <c r="H649" s="1783"/>
      <c r="I649" s="1783"/>
      <c r="J649" s="1783"/>
      <c r="K649" s="1783"/>
      <c r="L649" s="1783"/>
      <c r="M649" s="1783"/>
      <c r="N649" s="1783"/>
      <c r="O649" s="1783"/>
      <c r="P649" s="1783"/>
      <c r="Q649" s="1783"/>
      <c r="R649" s="1783"/>
      <c r="S649" s="1783"/>
      <c r="T649" s="1783"/>
      <c r="U649" s="1783"/>
      <c r="V649" s="1783"/>
      <c r="W649" s="1783"/>
      <c r="X649" s="1783"/>
      <c r="Y649" s="1783"/>
      <c r="Z649" s="1783"/>
      <c r="AA649" s="1783"/>
      <c r="AB649" s="1783"/>
      <c r="AC649" s="1783"/>
      <c r="AD649" s="1783"/>
      <c r="AE649" s="1783"/>
      <c r="AF649" s="1783"/>
      <c r="AG649" s="1783"/>
      <c r="AH649" s="1783"/>
      <c r="AI649" s="1783"/>
      <c r="AJ649" s="1783"/>
      <c r="AK649" s="1783"/>
      <c r="AL649" s="1783"/>
      <c r="AM649" s="1783"/>
      <c r="AN649" s="1783"/>
      <c r="AO649" s="1783"/>
      <c r="AP649" s="1783"/>
      <c r="AQ649" s="1783"/>
      <c r="AR649" s="1783"/>
      <c r="AS649" s="1783"/>
      <c r="AT649" s="1783"/>
      <c r="AU649" s="1783"/>
      <c r="AV649" s="1783"/>
      <c r="AW649" s="1783"/>
      <c r="AX649" s="1783"/>
      <c r="AY649" s="1783"/>
      <c r="AZ649" s="1783"/>
      <c r="BA649" s="1783"/>
      <c r="BB649" s="1783"/>
      <c r="BC649" s="1783"/>
      <c r="BD649" s="1783"/>
      <c r="BE649" s="1783"/>
      <c r="BF649" s="1783"/>
      <c r="BG649" s="1783"/>
      <c r="BH649" s="1783"/>
      <c r="BI649" s="1783"/>
    </row>
    <row r="650" spans="1:61">
      <c r="A650" s="1819"/>
      <c r="B650" s="1818"/>
      <c r="C650" s="1818"/>
      <c r="D650" s="1818"/>
      <c r="E650" s="1818"/>
      <c r="F650" s="1818"/>
      <c r="G650" s="1818"/>
      <c r="H650" s="1783"/>
      <c r="I650" s="1783"/>
      <c r="J650" s="1783"/>
      <c r="K650" s="1783"/>
      <c r="L650" s="1783"/>
      <c r="M650" s="1783"/>
      <c r="N650" s="1783"/>
      <c r="O650" s="1783"/>
      <c r="P650" s="1783"/>
      <c r="Q650" s="1783"/>
      <c r="R650" s="1783"/>
      <c r="S650" s="1783"/>
      <c r="T650" s="1783"/>
      <c r="U650" s="1783"/>
      <c r="V650" s="1783"/>
      <c r="W650" s="1783"/>
      <c r="X650" s="1783"/>
      <c r="Y650" s="1783"/>
      <c r="Z650" s="1783"/>
      <c r="AA650" s="1783"/>
      <c r="AB650" s="1783"/>
      <c r="AC650" s="1783"/>
      <c r="AD650" s="1783"/>
      <c r="AE650" s="1783"/>
      <c r="AF650" s="1783"/>
      <c r="AG650" s="1783"/>
      <c r="AH650" s="1783"/>
      <c r="AI650" s="1783"/>
      <c r="AJ650" s="1783"/>
      <c r="AK650" s="1783"/>
      <c r="AL650" s="1783"/>
      <c r="AM650" s="1783"/>
      <c r="AN650" s="1783"/>
      <c r="AO650" s="1783"/>
      <c r="AP650" s="1783"/>
      <c r="AQ650" s="1783"/>
      <c r="AR650" s="1783"/>
      <c r="AS650" s="1783"/>
      <c r="AT650" s="1783"/>
      <c r="AU650" s="1783"/>
      <c r="AV650" s="1783"/>
      <c r="AW650" s="1783"/>
      <c r="AX650" s="1783"/>
      <c r="AY650" s="1783"/>
      <c r="AZ650" s="1783"/>
      <c r="BA650" s="1783"/>
      <c r="BB650" s="1783"/>
      <c r="BC650" s="1783"/>
      <c r="BD650" s="1783"/>
      <c r="BE650" s="1783"/>
      <c r="BF650" s="1783"/>
      <c r="BG650" s="1783"/>
      <c r="BH650" s="1783"/>
      <c r="BI650" s="1783"/>
    </row>
    <row r="651" spans="1:61">
      <c r="A651" s="1819"/>
      <c r="B651" s="1818"/>
      <c r="C651" s="1818"/>
      <c r="D651" s="1818"/>
      <c r="E651" s="1818"/>
      <c r="F651" s="1818"/>
      <c r="G651" s="1818"/>
      <c r="H651" s="1783"/>
      <c r="I651" s="1783"/>
      <c r="J651" s="1783"/>
      <c r="K651" s="1783"/>
      <c r="L651" s="1783"/>
      <c r="M651" s="1783"/>
      <c r="N651" s="1783"/>
      <c r="O651" s="1783"/>
      <c r="P651" s="1783"/>
      <c r="Q651" s="1783"/>
      <c r="R651" s="1783"/>
      <c r="S651" s="1783"/>
      <c r="T651" s="1783"/>
      <c r="U651" s="1783"/>
      <c r="V651" s="1783"/>
      <c r="W651" s="1783"/>
      <c r="X651" s="1783"/>
      <c r="Y651" s="1783"/>
      <c r="Z651" s="1783"/>
      <c r="AA651" s="1783"/>
      <c r="AB651" s="1783"/>
      <c r="AC651" s="1783"/>
      <c r="AD651" s="1783"/>
      <c r="AE651" s="1783"/>
      <c r="AF651" s="1783"/>
      <c r="AG651" s="1783"/>
      <c r="AH651" s="1783"/>
      <c r="AI651" s="1783"/>
      <c r="AJ651" s="1783"/>
      <c r="AK651" s="1783"/>
      <c r="AL651" s="1783"/>
      <c r="AM651" s="1783"/>
      <c r="AN651" s="1783"/>
      <c r="AO651" s="1783"/>
      <c r="AP651" s="1783"/>
      <c r="AQ651" s="1783"/>
      <c r="AR651" s="1783"/>
      <c r="AS651" s="1783"/>
      <c r="AT651" s="1783"/>
      <c r="AU651" s="1783"/>
      <c r="AV651" s="1783"/>
      <c r="AW651" s="1783"/>
      <c r="AX651" s="1783"/>
      <c r="AY651" s="1783"/>
      <c r="AZ651" s="1783"/>
      <c r="BA651" s="1783"/>
      <c r="BB651" s="1783"/>
      <c r="BC651" s="1783"/>
      <c r="BD651" s="1783"/>
      <c r="BE651" s="1783"/>
      <c r="BF651" s="1783"/>
      <c r="BG651" s="1783"/>
      <c r="BH651" s="1783"/>
      <c r="BI651" s="1783"/>
    </row>
    <row r="652" spans="1:61">
      <c r="A652" s="1819"/>
      <c r="B652" s="1818"/>
      <c r="C652" s="1818"/>
      <c r="D652" s="1818"/>
      <c r="E652" s="1818"/>
      <c r="F652" s="1818"/>
      <c r="G652" s="1818"/>
      <c r="H652" s="1783"/>
      <c r="I652" s="1783"/>
      <c r="J652" s="1783"/>
      <c r="K652" s="1783"/>
      <c r="L652" s="1783"/>
      <c r="M652" s="1783"/>
      <c r="N652" s="1783"/>
      <c r="O652" s="1783"/>
      <c r="P652" s="1783"/>
      <c r="Q652" s="1783"/>
      <c r="R652" s="1783"/>
      <c r="S652" s="1783"/>
      <c r="T652" s="1783"/>
      <c r="U652" s="1783"/>
      <c r="V652" s="1783"/>
      <c r="W652" s="1783"/>
      <c r="X652" s="1783"/>
      <c r="Y652" s="1783"/>
      <c r="Z652" s="1783"/>
      <c r="AA652" s="1783"/>
      <c r="AB652" s="1783"/>
      <c r="AC652" s="1783"/>
      <c r="AD652" s="1783"/>
      <c r="AE652" s="1783"/>
      <c r="AF652" s="1783"/>
      <c r="AG652" s="1783"/>
      <c r="AH652" s="1783"/>
      <c r="AI652" s="1783"/>
      <c r="AJ652" s="1783"/>
      <c r="AK652" s="1783"/>
      <c r="AL652" s="1783"/>
      <c r="AM652" s="1783"/>
      <c r="AN652" s="1783"/>
      <c r="AO652" s="1783"/>
      <c r="AP652" s="1783"/>
      <c r="AQ652" s="1783"/>
      <c r="AR652" s="1783"/>
      <c r="AS652" s="1783"/>
      <c r="AT652" s="1783"/>
      <c r="AU652" s="1783"/>
      <c r="AV652" s="1783"/>
      <c r="AW652" s="1783"/>
      <c r="AX652" s="1783"/>
      <c r="AY652" s="1783"/>
      <c r="AZ652" s="1783"/>
      <c r="BA652" s="1783"/>
      <c r="BB652" s="1783"/>
      <c r="BC652" s="1783"/>
      <c r="BD652" s="1783"/>
      <c r="BE652" s="1783"/>
      <c r="BF652" s="1783"/>
      <c r="BG652" s="1783"/>
      <c r="BH652" s="1783"/>
      <c r="BI652" s="1783"/>
    </row>
    <row r="653" spans="1:61">
      <c r="A653" s="1819"/>
      <c r="B653" s="1818"/>
      <c r="C653" s="1818"/>
      <c r="D653" s="1818"/>
      <c r="E653" s="1818"/>
      <c r="F653" s="1818"/>
      <c r="G653" s="1818"/>
      <c r="H653" s="1783"/>
      <c r="I653" s="1783"/>
      <c r="J653" s="1783"/>
      <c r="K653" s="1783"/>
      <c r="L653" s="1783"/>
      <c r="M653" s="1783"/>
      <c r="N653" s="1783"/>
      <c r="O653" s="1783"/>
      <c r="P653" s="1783"/>
      <c r="Q653" s="1783"/>
      <c r="R653" s="1783"/>
      <c r="S653" s="1783"/>
      <c r="T653" s="1783"/>
      <c r="U653" s="1783"/>
      <c r="V653" s="1783"/>
      <c r="W653" s="1783"/>
      <c r="X653" s="1783"/>
      <c r="Y653" s="1783"/>
      <c r="Z653" s="1783"/>
      <c r="AA653" s="1783"/>
      <c r="AB653" s="1783"/>
      <c r="AC653" s="1783"/>
      <c r="AD653" s="1783"/>
      <c r="AE653" s="1783"/>
      <c r="AF653" s="1783"/>
      <c r="AG653" s="1783"/>
      <c r="AH653" s="1783"/>
      <c r="AI653" s="1783"/>
      <c r="AJ653" s="1783"/>
      <c r="AK653" s="1783"/>
      <c r="AL653" s="1783"/>
      <c r="AM653" s="1783"/>
      <c r="AN653" s="1783"/>
      <c r="AO653" s="1783"/>
      <c r="AP653" s="1783"/>
      <c r="AQ653" s="1783"/>
      <c r="AR653" s="1783"/>
      <c r="AS653" s="1783"/>
      <c r="AT653" s="1783"/>
      <c r="AU653" s="1783"/>
      <c r="AV653" s="1783"/>
      <c r="AW653" s="1783"/>
      <c r="AX653" s="1783"/>
      <c r="AY653" s="1783"/>
      <c r="AZ653" s="1783"/>
      <c r="BA653" s="1783"/>
      <c r="BB653" s="1783"/>
      <c r="BC653" s="1783"/>
      <c r="BD653" s="1783"/>
      <c r="BE653" s="1783"/>
      <c r="BF653" s="1783"/>
      <c r="BG653" s="1783"/>
      <c r="BH653" s="1783"/>
      <c r="BI653" s="1783"/>
    </row>
    <row r="654" spans="1:61">
      <c r="A654" s="1819"/>
      <c r="B654" s="1818"/>
      <c r="C654" s="1818"/>
      <c r="D654" s="1818"/>
      <c r="E654" s="1818"/>
      <c r="F654" s="1818"/>
      <c r="G654" s="1818"/>
      <c r="H654" s="1783"/>
      <c r="I654" s="1783"/>
      <c r="J654" s="1783"/>
      <c r="K654" s="1783"/>
      <c r="L654" s="1783"/>
      <c r="M654" s="1783"/>
      <c r="N654" s="1783"/>
      <c r="O654" s="1783"/>
      <c r="P654" s="1783"/>
      <c r="Q654" s="1783"/>
      <c r="R654" s="1783"/>
      <c r="S654" s="1783"/>
      <c r="T654" s="1783"/>
      <c r="U654" s="1783"/>
      <c r="V654" s="1783"/>
      <c r="W654" s="1783"/>
      <c r="X654" s="1783"/>
      <c r="Y654" s="1783"/>
      <c r="Z654" s="1783"/>
      <c r="AA654" s="1783"/>
      <c r="AB654" s="1783"/>
      <c r="AC654" s="1783"/>
      <c r="AD654" s="1783"/>
      <c r="AE654" s="1783"/>
      <c r="AF654" s="1783"/>
      <c r="AG654" s="1783"/>
      <c r="AH654" s="1783"/>
      <c r="AI654" s="1783"/>
      <c r="AJ654" s="1783"/>
      <c r="AK654" s="1783"/>
      <c r="AL654" s="1783"/>
      <c r="AM654" s="1783"/>
      <c r="AN654" s="1783"/>
      <c r="AO654" s="1783"/>
      <c r="AP654" s="1783"/>
      <c r="AQ654" s="1783"/>
      <c r="AR654" s="1783"/>
      <c r="AS654" s="1783"/>
      <c r="AT654" s="1783"/>
      <c r="AU654" s="1783"/>
      <c r="AV654" s="1783"/>
      <c r="AW654" s="1783"/>
      <c r="AX654" s="1783"/>
      <c r="AY654" s="1783"/>
      <c r="AZ654" s="1783"/>
      <c r="BA654" s="1783"/>
      <c r="BB654" s="1783"/>
      <c r="BC654" s="1783"/>
      <c r="BD654" s="1783"/>
      <c r="BE654" s="1783"/>
      <c r="BF654" s="1783"/>
      <c r="BG654" s="1783"/>
      <c r="BH654" s="1783"/>
      <c r="BI654" s="1783"/>
    </row>
    <row r="655" spans="1:61">
      <c r="A655" s="1819"/>
      <c r="B655" s="1818"/>
      <c r="C655" s="1818"/>
      <c r="D655" s="1818"/>
      <c r="E655" s="1818"/>
      <c r="F655" s="1818"/>
      <c r="G655" s="1818"/>
      <c r="H655" s="1783"/>
      <c r="I655" s="1783"/>
      <c r="J655" s="1783"/>
      <c r="K655" s="1783"/>
      <c r="L655" s="1783"/>
      <c r="M655" s="1783"/>
      <c r="N655" s="1783"/>
      <c r="O655" s="1783"/>
      <c r="P655" s="1783"/>
      <c r="Q655" s="1783"/>
      <c r="R655" s="1783"/>
      <c r="S655" s="1783"/>
      <c r="T655" s="1783"/>
      <c r="U655" s="1783"/>
      <c r="V655" s="1783"/>
      <c r="W655" s="1783"/>
      <c r="X655" s="1783"/>
      <c r="Y655" s="1783"/>
      <c r="Z655" s="1783"/>
      <c r="AA655" s="1783"/>
      <c r="AB655" s="1783"/>
      <c r="AC655" s="1783"/>
      <c r="AD655" s="1783"/>
      <c r="AE655" s="1783"/>
      <c r="AF655" s="1783"/>
      <c r="AG655" s="1783"/>
      <c r="AH655" s="1783"/>
      <c r="AI655" s="1783"/>
      <c r="AJ655" s="1783"/>
      <c r="AK655" s="1783"/>
      <c r="AL655" s="1783"/>
      <c r="AM655" s="1783"/>
      <c r="AN655" s="1783"/>
      <c r="AO655" s="1783"/>
      <c r="AP655" s="1783"/>
      <c r="AQ655" s="1783"/>
      <c r="AR655" s="1783"/>
      <c r="AS655" s="1783"/>
      <c r="AT655" s="1783"/>
      <c r="AU655" s="1783"/>
      <c r="AV655" s="1783"/>
      <c r="AW655" s="1783"/>
      <c r="AX655" s="1783"/>
      <c r="AY655" s="1783"/>
      <c r="AZ655" s="1783"/>
      <c r="BA655" s="1783"/>
      <c r="BB655" s="1783"/>
      <c r="BC655" s="1783"/>
      <c r="BD655" s="1783"/>
      <c r="BE655" s="1783"/>
      <c r="BF655" s="1783"/>
      <c r="BG655" s="1783"/>
      <c r="BH655" s="1783"/>
      <c r="BI655" s="1783"/>
    </row>
    <row r="656" spans="1:61">
      <c r="A656" s="1819"/>
      <c r="B656" s="1818"/>
      <c r="C656" s="1818"/>
      <c r="D656" s="1818"/>
      <c r="E656" s="1818"/>
      <c r="F656" s="1818"/>
      <c r="G656" s="1818"/>
      <c r="H656" s="1783"/>
      <c r="I656" s="1783"/>
      <c r="J656" s="1783"/>
      <c r="K656" s="1783"/>
      <c r="L656" s="1783"/>
      <c r="M656" s="1783"/>
      <c r="N656" s="1783"/>
      <c r="O656" s="1783"/>
      <c r="P656" s="1783"/>
      <c r="Q656" s="1783"/>
      <c r="R656" s="1783"/>
      <c r="S656" s="1783"/>
      <c r="T656" s="1783"/>
      <c r="U656" s="1783"/>
      <c r="V656" s="1783"/>
      <c r="W656" s="1783"/>
      <c r="X656" s="1783"/>
      <c r="Y656" s="1783"/>
      <c r="Z656" s="1783"/>
      <c r="AA656" s="1783"/>
      <c r="AB656" s="1783"/>
      <c r="AC656" s="1783"/>
      <c r="AD656" s="1783"/>
      <c r="AE656" s="1783"/>
      <c r="AF656" s="1783"/>
      <c r="AG656" s="1783"/>
      <c r="AH656" s="1783"/>
      <c r="AI656" s="1783"/>
      <c r="AJ656" s="1783"/>
      <c r="AK656" s="1783"/>
      <c r="AL656" s="1783"/>
      <c r="AM656" s="1783"/>
      <c r="AN656" s="1783"/>
      <c r="AO656" s="1783"/>
      <c r="AP656" s="1783"/>
      <c r="AQ656" s="1783"/>
      <c r="AR656" s="1783"/>
      <c r="AS656" s="1783"/>
      <c r="AT656" s="1783"/>
      <c r="AU656" s="1783"/>
      <c r="AV656" s="1783"/>
      <c r="AW656" s="1783"/>
      <c r="AX656" s="1783"/>
      <c r="AY656" s="1783"/>
      <c r="AZ656" s="1783"/>
      <c r="BA656" s="1783"/>
      <c r="BB656" s="1783"/>
      <c r="BC656" s="1783"/>
      <c r="BD656" s="1783"/>
      <c r="BE656" s="1783"/>
      <c r="BF656" s="1783"/>
      <c r="BG656" s="1783"/>
      <c r="BH656" s="1783"/>
      <c r="BI656" s="1783"/>
    </row>
    <row r="657" spans="1:61">
      <c r="A657" s="1819"/>
      <c r="B657" s="1818"/>
      <c r="C657" s="1818"/>
      <c r="D657" s="1818"/>
      <c r="E657" s="1818"/>
      <c r="F657" s="1818"/>
      <c r="G657" s="1818"/>
      <c r="H657" s="1783"/>
      <c r="I657" s="1783"/>
      <c r="J657" s="1783"/>
      <c r="K657" s="1783"/>
      <c r="L657" s="1783"/>
      <c r="M657" s="1783"/>
      <c r="N657" s="1783"/>
      <c r="O657" s="1783"/>
      <c r="P657" s="1783"/>
      <c r="Q657" s="1783"/>
      <c r="R657" s="1783"/>
      <c r="S657" s="1783"/>
      <c r="T657" s="1783"/>
      <c r="U657" s="1783"/>
      <c r="V657" s="1783"/>
      <c r="W657" s="1783"/>
      <c r="X657" s="1783"/>
      <c r="Y657" s="1783"/>
      <c r="Z657" s="1783"/>
      <c r="AA657" s="1783"/>
      <c r="AB657" s="1783"/>
      <c r="AC657" s="1783"/>
      <c r="AD657" s="1783"/>
      <c r="AE657" s="1783"/>
      <c r="AF657" s="1783"/>
      <c r="AG657" s="1783"/>
      <c r="AH657" s="1783"/>
      <c r="AI657" s="1783"/>
      <c r="AJ657" s="1783"/>
      <c r="AK657" s="1783"/>
      <c r="AL657" s="1783"/>
      <c r="AM657" s="1783"/>
      <c r="AN657" s="1783"/>
      <c r="AO657" s="1783"/>
      <c r="AP657" s="1783"/>
      <c r="AQ657" s="1783"/>
      <c r="AR657" s="1783"/>
      <c r="AS657" s="1783"/>
      <c r="AT657" s="1783"/>
      <c r="AU657" s="1783"/>
      <c r="AV657" s="1783"/>
      <c r="AW657" s="1783"/>
      <c r="AX657" s="1783"/>
      <c r="AY657" s="1783"/>
      <c r="AZ657" s="1783"/>
      <c r="BA657" s="1783"/>
      <c r="BB657" s="1783"/>
      <c r="BC657" s="1783"/>
      <c r="BD657" s="1783"/>
      <c r="BE657" s="1783"/>
      <c r="BF657" s="1783"/>
      <c r="BG657" s="1783"/>
      <c r="BH657" s="1783"/>
      <c r="BI657" s="1783"/>
    </row>
    <row r="658" spans="1:61">
      <c r="A658" s="1819"/>
      <c r="B658" s="1818"/>
      <c r="C658" s="1818"/>
      <c r="D658" s="1818"/>
      <c r="E658" s="1818"/>
      <c r="F658" s="1818"/>
      <c r="G658" s="1818"/>
      <c r="H658" s="1783"/>
      <c r="I658" s="1783"/>
      <c r="J658" s="1783"/>
      <c r="K658" s="1783"/>
      <c r="L658" s="1783"/>
      <c r="M658" s="1783"/>
      <c r="N658" s="1783"/>
      <c r="O658" s="1783"/>
      <c r="P658" s="1783"/>
      <c r="Q658" s="1783"/>
      <c r="R658" s="1783"/>
      <c r="S658" s="1783"/>
      <c r="T658" s="1783"/>
      <c r="U658" s="1783"/>
      <c r="V658" s="1783"/>
      <c r="W658" s="1783"/>
      <c r="X658" s="1783"/>
      <c r="Y658" s="1783"/>
      <c r="Z658" s="1783"/>
      <c r="AA658" s="1783"/>
      <c r="AB658" s="1783"/>
      <c r="AC658" s="1783"/>
      <c r="AD658" s="1783"/>
      <c r="AE658" s="1783"/>
      <c r="AF658" s="1783"/>
      <c r="AG658" s="1783"/>
      <c r="AH658" s="1783"/>
      <c r="AI658" s="1783"/>
      <c r="AJ658" s="1783"/>
      <c r="AK658" s="1783"/>
      <c r="AL658" s="1783"/>
      <c r="AM658" s="1783"/>
      <c r="AN658" s="1783"/>
      <c r="AO658" s="1783"/>
      <c r="AP658" s="1783"/>
      <c r="AQ658" s="1783"/>
      <c r="AR658" s="1783"/>
      <c r="AS658" s="1783"/>
      <c r="AT658" s="1783"/>
      <c r="AU658" s="1783"/>
      <c r="AV658" s="1783"/>
      <c r="AW658" s="1783"/>
      <c r="AX658" s="1783"/>
      <c r="AY658" s="1783"/>
      <c r="AZ658" s="1783"/>
      <c r="BA658" s="1783"/>
      <c r="BB658" s="1783"/>
      <c r="BC658" s="1783"/>
      <c r="BD658" s="1783"/>
      <c r="BE658" s="1783"/>
      <c r="BF658" s="1783"/>
      <c r="BG658" s="1783"/>
      <c r="BH658" s="1783"/>
      <c r="BI658" s="1783"/>
    </row>
    <row r="659" spans="1:61">
      <c r="A659" s="1819"/>
      <c r="B659" s="1818"/>
      <c r="C659" s="1818"/>
      <c r="D659" s="1818"/>
      <c r="E659" s="1818"/>
      <c r="F659" s="1818"/>
      <c r="G659" s="1818"/>
      <c r="H659" s="1783"/>
      <c r="I659" s="1783"/>
      <c r="J659" s="1783"/>
      <c r="K659" s="1783"/>
      <c r="L659" s="1783"/>
      <c r="M659" s="1783"/>
      <c r="N659" s="1783"/>
      <c r="O659" s="1783"/>
      <c r="P659" s="1783"/>
      <c r="Q659" s="1783"/>
      <c r="R659" s="1783"/>
      <c r="S659" s="1783"/>
      <c r="T659" s="1783"/>
      <c r="U659" s="1783"/>
      <c r="V659" s="1783"/>
      <c r="W659" s="1783"/>
      <c r="X659" s="1783"/>
      <c r="Y659" s="1783"/>
      <c r="Z659" s="1783"/>
      <c r="AA659" s="1783"/>
      <c r="AB659" s="1783"/>
      <c r="AC659" s="1783"/>
      <c r="AD659" s="1783"/>
      <c r="AE659" s="1783"/>
      <c r="AF659" s="1783"/>
      <c r="AG659" s="1783"/>
      <c r="AH659" s="1783"/>
      <c r="AI659" s="1783"/>
      <c r="AJ659" s="1783"/>
      <c r="AK659" s="1783"/>
      <c r="AL659" s="1783"/>
      <c r="AM659" s="1783"/>
      <c r="AN659" s="1783"/>
      <c r="AO659" s="1783"/>
      <c r="AP659" s="1783"/>
      <c r="AQ659" s="1783"/>
      <c r="AR659" s="1783"/>
      <c r="AS659" s="1783"/>
      <c r="AT659" s="1783"/>
      <c r="AU659" s="1783"/>
      <c r="AV659" s="1783"/>
      <c r="AW659" s="1783"/>
      <c r="AX659" s="1783"/>
      <c r="AY659" s="1783"/>
      <c r="AZ659" s="1783"/>
      <c r="BA659" s="1783"/>
      <c r="BB659" s="1783"/>
      <c r="BC659" s="1783"/>
      <c r="BD659" s="1783"/>
      <c r="BE659" s="1783"/>
      <c r="BF659" s="1783"/>
      <c r="BG659" s="1783"/>
      <c r="BH659" s="1783"/>
      <c r="BI659" s="1783"/>
    </row>
    <row r="660" spans="1:61">
      <c r="A660" s="1819"/>
      <c r="B660" s="1818"/>
      <c r="C660" s="1818"/>
      <c r="D660" s="1818"/>
      <c r="E660" s="1818"/>
      <c r="F660" s="1818"/>
      <c r="G660" s="1818"/>
      <c r="H660" s="1783"/>
      <c r="I660" s="1783"/>
      <c r="J660" s="1783"/>
      <c r="K660" s="1783"/>
      <c r="L660" s="1783"/>
      <c r="M660" s="1783"/>
      <c r="N660" s="1783"/>
      <c r="O660" s="1783"/>
      <c r="P660" s="1783"/>
      <c r="Q660" s="1783"/>
      <c r="R660" s="1783"/>
      <c r="S660" s="1783"/>
      <c r="T660" s="1783"/>
      <c r="U660" s="1783"/>
      <c r="V660" s="1783"/>
      <c r="W660" s="1783"/>
      <c r="X660" s="1783"/>
      <c r="Y660" s="1783"/>
      <c r="Z660" s="1783"/>
      <c r="AA660" s="1783"/>
      <c r="AB660" s="1783"/>
      <c r="AC660" s="1783"/>
      <c r="AD660" s="1783"/>
      <c r="AE660" s="1783"/>
      <c r="AF660" s="1783"/>
      <c r="AG660" s="1783"/>
      <c r="AH660" s="1783"/>
      <c r="AI660" s="1783"/>
      <c r="AJ660" s="1783"/>
      <c r="AK660" s="1783"/>
      <c r="AL660" s="1783"/>
      <c r="AM660" s="1783"/>
      <c r="AN660" s="1783"/>
      <c r="AO660" s="1783"/>
      <c r="AP660" s="1783"/>
      <c r="AQ660" s="1783"/>
      <c r="AR660" s="1783"/>
      <c r="AS660" s="1783"/>
      <c r="AT660" s="1783"/>
      <c r="AU660" s="1783"/>
      <c r="AV660" s="1783"/>
      <c r="AW660" s="1783"/>
      <c r="AX660" s="1783"/>
      <c r="AY660" s="1783"/>
      <c r="AZ660" s="1783"/>
      <c r="BA660" s="1783"/>
      <c r="BB660" s="1783"/>
      <c r="BC660" s="1783"/>
      <c r="BD660" s="1783"/>
      <c r="BE660" s="1783"/>
      <c r="BF660" s="1783"/>
      <c r="BG660" s="1783"/>
      <c r="BH660" s="1783"/>
      <c r="BI660" s="1783"/>
    </row>
    <row r="661" spans="1:61">
      <c r="A661" s="1819"/>
      <c r="B661" s="1818"/>
      <c r="C661" s="1818"/>
      <c r="D661" s="1818"/>
      <c r="E661" s="1818"/>
      <c r="F661" s="1818"/>
      <c r="G661" s="1818"/>
      <c r="H661" s="1783"/>
      <c r="I661" s="1783"/>
      <c r="J661" s="1783"/>
      <c r="K661" s="1783"/>
      <c r="L661" s="1783"/>
      <c r="M661" s="1783"/>
      <c r="N661" s="1783"/>
      <c r="O661" s="1783"/>
      <c r="P661" s="1783"/>
      <c r="Q661" s="1783"/>
      <c r="R661" s="1783"/>
      <c r="S661" s="1783"/>
      <c r="T661" s="1783"/>
      <c r="U661" s="1783"/>
      <c r="V661" s="1783"/>
      <c r="W661" s="1783"/>
      <c r="X661" s="1783"/>
      <c r="Y661" s="1783"/>
      <c r="Z661" s="1783"/>
      <c r="AA661" s="1783"/>
      <c r="AB661" s="1783"/>
      <c r="AC661" s="1783"/>
      <c r="AD661" s="1783"/>
      <c r="AE661" s="1783"/>
      <c r="AF661" s="1783"/>
      <c r="AG661" s="1783"/>
      <c r="AH661" s="1783"/>
      <c r="AI661" s="1783"/>
      <c r="AJ661" s="1783"/>
      <c r="AK661" s="1783"/>
      <c r="AL661" s="1783"/>
      <c r="AM661" s="1783"/>
      <c r="AN661" s="1783"/>
      <c r="AO661" s="1783"/>
      <c r="AP661" s="1783"/>
      <c r="AQ661" s="1783"/>
      <c r="AR661" s="1783"/>
      <c r="AS661" s="1783"/>
      <c r="AT661" s="1783"/>
      <c r="AU661" s="1783"/>
      <c r="AV661" s="1783"/>
      <c r="AW661" s="1783"/>
      <c r="AX661" s="1783"/>
      <c r="AY661" s="1783"/>
      <c r="AZ661" s="1783"/>
      <c r="BA661" s="1783"/>
      <c r="BB661" s="1783"/>
      <c r="BC661" s="1783"/>
      <c r="BD661" s="1783"/>
      <c r="BE661" s="1783"/>
      <c r="BF661" s="1783"/>
      <c r="BG661" s="1783"/>
      <c r="BH661" s="1783"/>
      <c r="BI661" s="1783"/>
    </row>
    <row r="662" spans="1:61">
      <c r="A662" s="1819"/>
      <c r="B662" s="1818"/>
      <c r="C662" s="1818"/>
      <c r="D662" s="1818"/>
      <c r="E662" s="1818"/>
      <c r="F662" s="1818"/>
      <c r="G662" s="1818"/>
      <c r="H662" s="1783"/>
      <c r="I662" s="1783"/>
      <c r="J662" s="1783"/>
      <c r="K662" s="1783"/>
      <c r="L662" s="1783"/>
      <c r="M662" s="1783"/>
      <c r="N662" s="1783"/>
      <c r="O662" s="1783"/>
      <c r="P662" s="1783"/>
      <c r="Q662" s="1783"/>
      <c r="R662" s="1783"/>
      <c r="S662" s="1783"/>
      <c r="T662" s="1783"/>
      <c r="U662" s="1783"/>
      <c r="V662" s="1783"/>
      <c r="W662" s="1783"/>
      <c r="X662" s="1783"/>
      <c r="Y662" s="1783"/>
      <c r="Z662" s="1783"/>
      <c r="AA662" s="1783"/>
      <c r="AB662" s="1783"/>
      <c r="AC662" s="1783"/>
      <c r="AD662" s="1783"/>
      <c r="AE662" s="1783"/>
      <c r="AF662" s="1783"/>
      <c r="AG662" s="1783"/>
      <c r="AH662" s="1783"/>
      <c r="AI662" s="1783"/>
      <c r="AJ662" s="1783"/>
      <c r="AK662" s="1783"/>
      <c r="AL662" s="1783"/>
      <c r="AM662" s="1783"/>
      <c r="AN662" s="1783"/>
      <c r="AO662" s="1783"/>
      <c r="AP662" s="1783"/>
      <c r="AQ662" s="1783"/>
      <c r="AR662" s="1783"/>
      <c r="AS662" s="1783"/>
      <c r="AT662" s="1783"/>
      <c r="AU662" s="1783"/>
      <c r="AV662" s="1783"/>
      <c r="AW662" s="1783"/>
      <c r="AX662" s="1783"/>
      <c r="AY662" s="1783"/>
      <c r="AZ662" s="1783"/>
      <c r="BA662" s="1783"/>
      <c r="BB662" s="1783"/>
      <c r="BC662" s="1783"/>
      <c r="BD662" s="1783"/>
      <c r="BE662" s="1783"/>
      <c r="BF662" s="1783"/>
      <c r="BG662" s="1783"/>
      <c r="BH662" s="1783"/>
      <c r="BI662" s="1783"/>
    </row>
    <row r="663" spans="1:61">
      <c r="A663" s="1819"/>
      <c r="B663" s="1818"/>
      <c r="C663" s="1818"/>
      <c r="D663" s="1818"/>
      <c r="E663" s="1818"/>
      <c r="F663" s="1818"/>
      <c r="G663" s="1818"/>
      <c r="H663" s="1783"/>
      <c r="I663" s="1783"/>
      <c r="J663" s="1783"/>
      <c r="K663" s="1783"/>
      <c r="L663" s="1783"/>
      <c r="M663" s="1783"/>
      <c r="N663" s="1783"/>
      <c r="O663" s="1783"/>
      <c r="P663" s="1783"/>
      <c r="Q663" s="1783"/>
      <c r="R663" s="1783"/>
      <c r="S663" s="1783"/>
      <c r="T663" s="1783"/>
      <c r="U663" s="1783"/>
      <c r="V663" s="1783"/>
      <c r="W663" s="1783"/>
      <c r="X663" s="1783"/>
      <c r="Y663" s="1783"/>
      <c r="Z663" s="1783"/>
      <c r="AA663" s="1783"/>
      <c r="AB663" s="1783"/>
      <c r="AC663" s="1783"/>
      <c r="AD663" s="1783"/>
      <c r="AE663" s="1783"/>
      <c r="AF663" s="1783"/>
      <c r="AG663" s="1783"/>
      <c r="AH663" s="1783"/>
      <c r="AI663" s="1783"/>
      <c r="AJ663" s="1783"/>
      <c r="AK663" s="1783"/>
      <c r="AL663" s="1783"/>
      <c r="AM663" s="1783"/>
      <c r="AN663" s="1783"/>
      <c r="AO663" s="1783"/>
      <c r="AP663" s="1783"/>
      <c r="AQ663" s="1783"/>
      <c r="AR663" s="1783"/>
      <c r="AS663" s="1783"/>
      <c r="AT663" s="1783"/>
      <c r="AU663" s="1783"/>
      <c r="AV663" s="1783"/>
      <c r="AW663" s="1783"/>
      <c r="AX663" s="1783"/>
      <c r="AY663" s="1783"/>
      <c r="AZ663" s="1783"/>
      <c r="BA663" s="1783"/>
      <c r="BB663" s="1783"/>
      <c r="BC663" s="1783"/>
      <c r="BD663" s="1783"/>
      <c r="BE663" s="1783"/>
      <c r="BF663" s="1783"/>
      <c r="BG663" s="1783"/>
      <c r="BH663" s="1783"/>
      <c r="BI663" s="1783"/>
    </row>
    <row r="664" spans="1:61">
      <c r="A664" s="1819"/>
      <c r="B664" s="1818"/>
      <c r="C664" s="1818"/>
      <c r="D664" s="1818"/>
      <c r="E664" s="1818"/>
      <c r="F664" s="1818"/>
      <c r="G664" s="1818"/>
      <c r="H664" s="1783"/>
      <c r="I664" s="1783"/>
      <c r="J664" s="1783"/>
      <c r="K664" s="1783"/>
      <c r="L664" s="1783"/>
      <c r="M664" s="1783"/>
      <c r="N664" s="1783"/>
      <c r="O664" s="1783"/>
      <c r="P664" s="1783"/>
      <c r="Q664" s="1783"/>
      <c r="R664" s="1783"/>
      <c r="S664" s="1783"/>
      <c r="T664" s="1783"/>
      <c r="U664" s="1783"/>
      <c r="V664" s="1783"/>
      <c r="W664" s="1783"/>
      <c r="X664" s="1783"/>
      <c r="Y664" s="1783"/>
      <c r="Z664" s="1783"/>
      <c r="AA664" s="1783"/>
      <c r="AB664" s="1783"/>
      <c r="AC664" s="1783"/>
      <c r="AD664" s="1783"/>
      <c r="AE664" s="1783"/>
      <c r="AF664" s="1783"/>
      <c r="AG664" s="1783"/>
      <c r="AH664" s="1783"/>
      <c r="AI664" s="1783"/>
      <c r="AJ664" s="1783"/>
      <c r="AK664" s="1783"/>
      <c r="AL664" s="1783"/>
      <c r="AM664" s="1783"/>
      <c r="AN664" s="1783"/>
      <c r="AO664" s="1783"/>
      <c r="AP664" s="1783"/>
      <c r="AQ664" s="1783"/>
      <c r="AR664" s="1783"/>
      <c r="AS664" s="1783"/>
      <c r="AT664" s="1783"/>
      <c r="AU664" s="1783"/>
      <c r="AV664" s="1783"/>
      <c r="AW664" s="1783"/>
      <c r="AX664" s="1783"/>
      <c r="AY664" s="1783"/>
      <c r="AZ664" s="1783"/>
      <c r="BA664" s="1783"/>
      <c r="BB664" s="1783"/>
      <c r="BC664" s="1783"/>
      <c r="BD664" s="1783"/>
      <c r="BE664" s="1783"/>
      <c r="BF664" s="1783"/>
      <c r="BG664" s="1783"/>
      <c r="BH664" s="1783"/>
      <c r="BI664" s="1783"/>
    </row>
    <row r="665" spans="1:61">
      <c r="A665" s="1819"/>
      <c r="B665" s="1818"/>
      <c r="C665" s="1818"/>
      <c r="D665" s="1818"/>
      <c r="E665" s="1818"/>
      <c r="F665" s="1818"/>
      <c r="G665" s="1818"/>
      <c r="H665" s="1783"/>
      <c r="I665" s="1783"/>
      <c r="J665" s="1783"/>
      <c r="K665" s="1783"/>
      <c r="L665" s="1783"/>
      <c r="M665" s="1783"/>
      <c r="N665" s="1783"/>
      <c r="O665" s="1783"/>
      <c r="P665" s="1783"/>
      <c r="Q665" s="1783"/>
      <c r="R665" s="1783"/>
      <c r="S665" s="1783"/>
      <c r="T665" s="1783"/>
      <c r="U665" s="1783"/>
      <c r="V665" s="1783"/>
      <c r="W665" s="1783"/>
      <c r="X665" s="1783"/>
      <c r="Y665" s="1783"/>
      <c r="Z665" s="1783"/>
      <c r="AA665" s="1783"/>
      <c r="AB665" s="1783"/>
      <c r="AC665" s="1783"/>
      <c r="AD665" s="1783"/>
      <c r="AE665" s="1783"/>
      <c r="AF665" s="1783"/>
      <c r="AG665" s="1783"/>
      <c r="AH665" s="1783"/>
      <c r="AI665" s="1783"/>
      <c r="AJ665" s="1783"/>
      <c r="AK665" s="1783"/>
      <c r="AL665" s="1783"/>
      <c r="AM665" s="1783"/>
      <c r="AN665" s="1783"/>
      <c r="AO665" s="1783"/>
      <c r="AP665" s="1783"/>
      <c r="AQ665" s="1783"/>
      <c r="AR665" s="1783"/>
      <c r="AS665" s="1783"/>
      <c r="AT665" s="1783"/>
      <c r="AU665" s="1783"/>
      <c r="AV665" s="1783"/>
      <c r="AW665" s="1783"/>
      <c r="AX665" s="1783"/>
      <c r="AY665" s="1783"/>
      <c r="AZ665" s="1783"/>
      <c r="BA665" s="1783"/>
      <c r="BB665" s="1783"/>
      <c r="BC665" s="1783"/>
      <c r="BD665" s="1783"/>
      <c r="BE665" s="1783"/>
      <c r="BF665" s="1783"/>
      <c r="BG665" s="1783"/>
      <c r="BH665" s="1783"/>
      <c r="BI665" s="1783"/>
    </row>
    <row r="666" spans="1:61">
      <c r="A666" s="1819"/>
      <c r="B666" s="1818"/>
      <c r="C666" s="1818"/>
      <c r="D666" s="1818"/>
      <c r="E666" s="1818"/>
      <c r="F666" s="1818"/>
      <c r="G666" s="1818"/>
      <c r="H666" s="1783"/>
      <c r="I666" s="1783"/>
      <c r="J666" s="1783"/>
      <c r="K666" s="1783"/>
      <c r="L666" s="1783"/>
      <c r="M666" s="1783"/>
      <c r="N666" s="1783"/>
      <c r="O666" s="1783"/>
      <c r="P666" s="1783"/>
      <c r="Q666" s="1783"/>
      <c r="R666" s="1783"/>
      <c r="S666" s="1783"/>
      <c r="T666" s="1783"/>
      <c r="U666" s="1783"/>
      <c r="V666" s="1783"/>
      <c r="W666" s="1783"/>
      <c r="X666" s="1783"/>
      <c r="Y666" s="1783"/>
      <c r="Z666" s="1783"/>
      <c r="AA666" s="1783"/>
      <c r="AB666" s="1783"/>
      <c r="AC666" s="1783"/>
      <c r="AD666" s="1783"/>
      <c r="AE666" s="1783"/>
      <c r="AF666" s="1783"/>
      <c r="AG666" s="1783"/>
      <c r="AH666" s="1783"/>
      <c r="AI666" s="1783"/>
      <c r="AJ666" s="1783"/>
      <c r="AK666" s="1783"/>
      <c r="AL666" s="1783"/>
      <c r="AM666" s="1783"/>
      <c r="AN666" s="1783"/>
      <c r="AO666" s="1783"/>
      <c r="AP666" s="1783"/>
      <c r="AQ666" s="1783"/>
      <c r="AR666" s="1783"/>
      <c r="AS666" s="1783"/>
      <c r="AT666" s="1783"/>
      <c r="AU666" s="1783"/>
      <c r="AV666" s="1783"/>
      <c r="AW666" s="1783"/>
      <c r="AX666" s="1783"/>
      <c r="AY666" s="1783"/>
      <c r="AZ666" s="1783"/>
      <c r="BA666" s="1783"/>
      <c r="BB666" s="1783"/>
      <c r="BC666" s="1783"/>
      <c r="BD666" s="1783"/>
      <c r="BE666" s="1783"/>
      <c r="BF666" s="1783"/>
      <c r="BG666" s="1783"/>
      <c r="BH666" s="1783"/>
      <c r="BI666" s="1783"/>
    </row>
    <row r="667" spans="1:61">
      <c r="A667" s="1819"/>
      <c r="B667" s="1818"/>
      <c r="C667" s="1818"/>
      <c r="D667" s="1818"/>
      <c r="E667" s="1818"/>
      <c r="F667" s="1818"/>
      <c r="G667" s="1818"/>
      <c r="H667" s="1783"/>
      <c r="I667" s="1783"/>
      <c r="J667" s="1783"/>
      <c r="K667" s="1783"/>
      <c r="L667" s="1783"/>
      <c r="M667" s="1783"/>
      <c r="N667" s="1783"/>
      <c r="O667" s="1783"/>
      <c r="P667" s="1783"/>
      <c r="Q667" s="1783"/>
      <c r="R667" s="1783"/>
      <c r="S667" s="1783"/>
      <c r="T667" s="1783"/>
      <c r="U667" s="1783"/>
      <c r="V667" s="1783"/>
      <c r="W667" s="1783"/>
      <c r="X667" s="1783"/>
      <c r="Y667" s="1783"/>
      <c r="Z667" s="1783"/>
      <c r="AA667" s="1783"/>
      <c r="AB667" s="1783"/>
      <c r="AC667" s="1783"/>
      <c r="AD667" s="1783"/>
      <c r="AE667" s="1783"/>
      <c r="AF667" s="1783"/>
      <c r="AG667" s="1783"/>
      <c r="AH667" s="1783"/>
      <c r="AI667" s="1783"/>
      <c r="AJ667" s="1783"/>
      <c r="AK667" s="1783"/>
      <c r="AL667" s="1783"/>
      <c r="AM667" s="1783"/>
      <c r="AN667" s="1783"/>
      <c r="AO667" s="1783"/>
      <c r="AP667" s="1783"/>
      <c r="AQ667" s="1783"/>
      <c r="AR667" s="1783"/>
      <c r="AS667" s="1783"/>
      <c r="AT667" s="1783"/>
      <c r="AU667" s="1783"/>
      <c r="AV667" s="1783"/>
      <c r="AW667" s="1783"/>
      <c r="AX667" s="1783"/>
      <c r="AY667" s="1783"/>
      <c r="AZ667" s="1783"/>
      <c r="BA667" s="1783"/>
      <c r="BB667" s="1783"/>
      <c r="BC667" s="1783"/>
      <c r="BD667" s="1783"/>
      <c r="BE667" s="1783"/>
      <c r="BF667" s="1783"/>
      <c r="BG667" s="1783"/>
      <c r="BH667" s="1783"/>
      <c r="BI667" s="1783"/>
    </row>
    <row r="668" spans="1:61">
      <c r="A668" s="1819"/>
      <c r="B668" s="1818"/>
      <c r="C668" s="1818"/>
      <c r="D668" s="1818"/>
      <c r="E668" s="1818"/>
      <c r="F668" s="1818"/>
      <c r="G668" s="1818"/>
      <c r="H668" s="1783"/>
      <c r="I668" s="1783"/>
      <c r="J668" s="1783"/>
      <c r="K668" s="1783"/>
      <c r="L668" s="1783"/>
      <c r="M668" s="1783"/>
      <c r="N668" s="1783"/>
      <c r="O668" s="1783"/>
      <c r="P668" s="1783"/>
      <c r="Q668" s="1783"/>
      <c r="R668" s="1783"/>
      <c r="S668" s="1783"/>
      <c r="T668" s="1783"/>
      <c r="U668" s="1783"/>
      <c r="V668" s="1783"/>
      <c r="W668" s="1783"/>
      <c r="X668" s="1783"/>
      <c r="Y668" s="1783"/>
      <c r="Z668" s="1783"/>
      <c r="AA668" s="1783"/>
      <c r="AB668" s="1783"/>
      <c r="AC668" s="1783"/>
      <c r="AD668" s="1783"/>
      <c r="AE668" s="1783"/>
      <c r="AF668" s="1783"/>
      <c r="AG668" s="1783"/>
      <c r="AH668" s="1783"/>
      <c r="AI668" s="1783"/>
      <c r="AJ668" s="1783"/>
      <c r="AK668" s="1783"/>
      <c r="AL668" s="1783"/>
      <c r="AM668" s="1783"/>
      <c r="AN668" s="1783"/>
      <c r="AO668" s="1783"/>
      <c r="AP668" s="1783"/>
      <c r="AQ668" s="1783"/>
      <c r="AR668" s="1783"/>
      <c r="AS668" s="1783"/>
      <c r="AT668" s="1783"/>
      <c r="AU668" s="1783"/>
      <c r="AV668" s="1783"/>
      <c r="AW668" s="1783"/>
      <c r="AX668" s="1783"/>
      <c r="AY668" s="1783"/>
      <c r="AZ668" s="1783"/>
      <c r="BA668" s="1783"/>
      <c r="BB668" s="1783"/>
      <c r="BC668" s="1783"/>
      <c r="BD668" s="1783"/>
      <c r="BE668" s="1783"/>
      <c r="BF668" s="1783"/>
      <c r="BG668" s="1783"/>
      <c r="BH668" s="1783"/>
      <c r="BI668" s="1783"/>
    </row>
    <row r="669" spans="1:61">
      <c r="A669" s="1819"/>
      <c r="B669" s="1818"/>
      <c r="C669" s="1818"/>
      <c r="D669" s="1818"/>
      <c r="E669" s="1818"/>
      <c r="F669" s="1818"/>
      <c r="G669" s="1818"/>
      <c r="H669" s="1783"/>
      <c r="I669" s="1783"/>
      <c r="J669" s="1783"/>
      <c r="K669" s="1783"/>
      <c r="L669" s="1783"/>
      <c r="M669" s="1783"/>
      <c r="N669" s="1783"/>
      <c r="O669" s="1783"/>
      <c r="P669" s="1783"/>
      <c r="Q669" s="1783"/>
      <c r="R669" s="1783"/>
      <c r="S669" s="1783"/>
      <c r="T669" s="1783"/>
      <c r="U669" s="1783"/>
      <c r="V669" s="1783"/>
      <c r="W669" s="1783"/>
      <c r="X669" s="1783"/>
      <c r="Y669" s="1783"/>
      <c r="Z669" s="1783"/>
      <c r="AA669" s="1783"/>
      <c r="AB669" s="1783"/>
      <c r="AC669" s="1783"/>
      <c r="AD669" s="1783"/>
      <c r="AE669" s="1783"/>
      <c r="AF669" s="1783"/>
      <c r="AG669" s="1783"/>
      <c r="AH669" s="1783"/>
      <c r="AI669" s="1783"/>
      <c r="AJ669" s="1783"/>
      <c r="AK669" s="1783"/>
      <c r="AL669" s="1783"/>
      <c r="AM669" s="1783"/>
      <c r="AN669" s="1783"/>
      <c r="AO669" s="1783"/>
      <c r="AP669" s="1783"/>
      <c r="AQ669" s="1783"/>
      <c r="AR669" s="1783"/>
      <c r="AS669" s="1783"/>
      <c r="AT669" s="1783"/>
      <c r="AU669" s="1783"/>
      <c r="AV669" s="1783"/>
      <c r="AW669" s="1783"/>
      <c r="AX669" s="1783"/>
      <c r="AY669" s="1783"/>
      <c r="AZ669" s="1783"/>
      <c r="BA669" s="1783"/>
      <c r="BB669" s="1783"/>
      <c r="BC669" s="1783"/>
      <c r="BD669" s="1783"/>
      <c r="BE669" s="1783"/>
      <c r="BF669" s="1783"/>
      <c r="BG669" s="1783"/>
      <c r="BH669" s="1783"/>
      <c r="BI669" s="1783"/>
    </row>
    <row r="670" spans="1:61">
      <c r="A670" s="1819"/>
      <c r="B670" s="1818"/>
      <c r="C670" s="1818"/>
      <c r="D670" s="1818"/>
      <c r="E670" s="1818"/>
      <c r="F670" s="1818"/>
      <c r="G670" s="1818"/>
      <c r="H670" s="1783"/>
      <c r="I670" s="1783"/>
      <c r="J670" s="1783"/>
      <c r="K670" s="1783"/>
      <c r="L670" s="1783"/>
      <c r="M670" s="1783"/>
      <c r="N670" s="1783"/>
      <c r="O670" s="1783"/>
      <c r="P670" s="1783"/>
      <c r="Q670" s="1783"/>
      <c r="R670" s="1783"/>
      <c r="S670" s="1783"/>
      <c r="T670" s="1783"/>
      <c r="U670" s="1783"/>
      <c r="V670" s="1783"/>
      <c r="W670" s="1783"/>
      <c r="X670" s="1783"/>
      <c r="Y670" s="1783"/>
      <c r="Z670" s="1783"/>
      <c r="AA670" s="1783"/>
      <c r="AB670" s="1783"/>
      <c r="AC670" s="1783"/>
      <c r="AD670" s="1783"/>
      <c r="AE670" s="1783"/>
      <c r="AF670" s="1783"/>
      <c r="AG670" s="1783"/>
      <c r="AH670" s="1783"/>
      <c r="AI670" s="1783"/>
      <c r="AJ670" s="1783"/>
      <c r="AK670" s="1783"/>
      <c r="AL670" s="1783"/>
      <c r="AM670" s="1783"/>
      <c r="AN670" s="1783"/>
      <c r="AO670" s="1783"/>
      <c r="AP670" s="1783"/>
      <c r="AQ670" s="1783"/>
      <c r="AR670" s="1783"/>
      <c r="AS670" s="1783"/>
      <c r="AT670" s="1783"/>
      <c r="AU670" s="1783"/>
      <c r="AV670" s="1783"/>
      <c r="AW670" s="1783"/>
      <c r="AX670" s="1783"/>
      <c r="AY670" s="1783"/>
      <c r="AZ670" s="1783"/>
      <c r="BA670" s="1783"/>
      <c r="BB670" s="1783"/>
      <c r="BC670" s="1783"/>
      <c r="BD670" s="1783"/>
      <c r="BE670" s="1783"/>
      <c r="BF670" s="1783"/>
      <c r="BG670" s="1783"/>
      <c r="BH670" s="1783"/>
      <c r="BI670" s="1783"/>
    </row>
    <row r="671" spans="1:61">
      <c r="A671" s="1819"/>
      <c r="B671" s="1818"/>
      <c r="C671" s="1818"/>
      <c r="D671" s="1818"/>
      <c r="E671" s="1818"/>
      <c r="F671" s="1818"/>
      <c r="G671" s="1818"/>
      <c r="H671" s="1783"/>
      <c r="I671" s="1783"/>
      <c r="J671" s="1783"/>
      <c r="K671" s="1783"/>
      <c r="L671" s="1783"/>
      <c r="M671" s="1783"/>
      <c r="N671" s="1783"/>
      <c r="O671" s="1783"/>
      <c r="P671" s="1783"/>
      <c r="Q671" s="1783"/>
      <c r="R671" s="1783"/>
      <c r="S671" s="1783"/>
      <c r="T671" s="1783"/>
      <c r="U671" s="1783"/>
      <c r="V671" s="1783"/>
      <c r="W671" s="1783"/>
      <c r="X671" s="1783"/>
      <c r="Y671" s="1783"/>
      <c r="Z671" s="1783"/>
      <c r="AA671" s="1783"/>
      <c r="AB671" s="1783"/>
      <c r="AC671" s="1783"/>
      <c r="AD671" s="1783"/>
      <c r="AE671" s="1783"/>
      <c r="AF671" s="1783"/>
      <c r="AG671" s="1783"/>
      <c r="AH671" s="1783"/>
      <c r="AI671" s="1783"/>
      <c r="AJ671" s="1783"/>
      <c r="AK671" s="1783"/>
      <c r="AL671" s="1783"/>
      <c r="AM671" s="1783"/>
      <c r="AN671" s="1783"/>
      <c r="AO671" s="1783"/>
      <c r="AP671" s="1783"/>
      <c r="AQ671" s="1783"/>
      <c r="AR671" s="1783"/>
      <c r="AS671" s="1783"/>
      <c r="AT671" s="1783"/>
      <c r="AU671" s="1783"/>
      <c r="AV671" s="1783"/>
      <c r="AW671" s="1783"/>
      <c r="AX671" s="1783"/>
      <c r="AY671" s="1783"/>
      <c r="AZ671" s="1783"/>
      <c r="BA671" s="1783"/>
      <c r="BB671" s="1783"/>
      <c r="BC671" s="1783"/>
      <c r="BD671" s="1783"/>
      <c r="BE671" s="1783"/>
      <c r="BF671" s="1783"/>
      <c r="BG671" s="1783"/>
      <c r="BH671" s="1783"/>
      <c r="BI671" s="1783"/>
    </row>
    <row r="672" spans="1:61">
      <c r="A672" s="1819"/>
      <c r="B672" s="1818"/>
      <c r="C672" s="1818"/>
      <c r="D672" s="1818"/>
      <c r="E672" s="1818"/>
      <c r="F672" s="1818"/>
      <c r="G672" s="1818"/>
      <c r="H672" s="1783"/>
      <c r="I672" s="1783"/>
      <c r="J672" s="1783"/>
      <c r="K672" s="1783"/>
      <c r="L672" s="1783"/>
      <c r="M672" s="1783"/>
      <c r="N672" s="1783"/>
      <c r="O672" s="1783"/>
      <c r="P672" s="1783"/>
      <c r="Q672" s="1783"/>
      <c r="R672" s="1783"/>
      <c r="S672" s="1783"/>
      <c r="T672" s="1783"/>
      <c r="U672" s="1783"/>
      <c r="V672" s="1783"/>
      <c r="W672" s="1783"/>
      <c r="X672" s="1783"/>
      <c r="Y672" s="1783"/>
      <c r="Z672" s="1783"/>
      <c r="AA672" s="1783"/>
      <c r="AB672" s="1783"/>
      <c r="AC672" s="1783"/>
      <c r="AD672" s="1783"/>
      <c r="AE672" s="1783"/>
      <c r="AF672" s="1783"/>
      <c r="AG672" s="1783"/>
      <c r="AH672" s="1783"/>
      <c r="AI672" s="1783"/>
      <c r="AJ672" s="1783"/>
      <c r="AK672" s="1783"/>
      <c r="AL672" s="1783"/>
      <c r="AM672" s="1783"/>
      <c r="AN672" s="1783"/>
      <c r="AO672" s="1783"/>
      <c r="AP672" s="1783"/>
      <c r="AQ672" s="1783"/>
      <c r="AR672" s="1783"/>
      <c r="AS672" s="1783"/>
      <c r="AT672" s="1783"/>
      <c r="AU672" s="1783"/>
      <c r="AV672" s="1783"/>
      <c r="AW672" s="1783"/>
      <c r="AX672" s="1783"/>
      <c r="AY672" s="1783"/>
      <c r="AZ672" s="1783"/>
      <c r="BA672" s="1783"/>
      <c r="BB672" s="1783"/>
      <c r="BC672" s="1783"/>
      <c r="BD672" s="1783"/>
      <c r="BE672" s="1783"/>
      <c r="BF672" s="1783"/>
      <c r="BG672" s="1783"/>
      <c r="BH672" s="1783"/>
      <c r="BI672" s="1783"/>
    </row>
    <row r="673" spans="1:61">
      <c r="A673" s="1819"/>
      <c r="B673" s="1818"/>
      <c r="C673" s="1818"/>
      <c r="D673" s="1818"/>
      <c r="E673" s="1818"/>
      <c r="F673" s="1818"/>
      <c r="G673" s="1818"/>
      <c r="H673" s="1783"/>
      <c r="I673" s="1783"/>
      <c r="J673" s="1783"/>
      <c r="K673" s="1783"/>
      <c r="L673" s="1783"/>
      <c r="M673" s="1783"/>
      <c r="N673" s="1783"/>
      <c r="O673" s="1783"/>
      <c r="P673" s="1783"/>
      <c r="Q673" s="1783"/>
      <c r="R673" s="1783"/>
      <c r="S673" s="1783"/>
      <c r="T673" s="1783"/>
      <c r="U673" s="1783"/>
      <c r="V673" s="1783"/>
      <c r="W673" s="1783"/>
      <c r="X673" s="1783"/>
      <c r="Y673" s="1783"/>
      <c r="Z673" s="1783"/>
      <c r="AA673" s="1783"/>
      <c r="AB673" s="1783"/>
      <c r="AC673" s="1783"/>
      <c r="AD673" s="1783"/>
      <c r="AE673" s="1783"/>
      <c r="AF673" s="1783"/>
      <c r="AG673" s="1783"/>
      <c r="AH673" s="1783"/>
      <c r="AI673" s="1783"/>
      <c r="AJ673" s="1783"/>
      <c r="AK673" s="1783"/>
      <c r="AL673" s="1783"/>
      <c r="AM673" s="1783"/>
      <c r="AN673" s="1783"/>
      <c r="AO673" s="1783"/>
      <c r="AP673" s="1783"/>
      <c r="AQ673" s="1783"/>
      <c r="AR673" s="1783"/>
      <c r="AS673" s="1783"/>
      <c r="AT673" s="1783"/>
      <c r="AU673" s="1783"/>
      <c r="AV673" s="1783"/>
      <c r="AW673" s="1783"/>
      <c r="AX673" s="1783"/>
      <c r="AY673" s="1783"/>
      <c r="AZ673" s="1783"/>
      <c r="BA673" s="1783"/>
      <c r="BB673" s="1783"/>
      <c r="BC673" s="1783"/>
      <c r="BD673" s="1783"/>
      <c r="BE673" s="1783"/>
      <c r="BF673" s="1783"/>
      <c r="BG673" s="1783"/>
      <c r="BH673" s="1783"/>
      <c r="BI673" s="1783"/>
    </row>
    <row r="674" spans="1:61">
      <c r="A674" s="1819"/>
      <c r="B674" s="1818"/>
      <c r="C674" s="1818"/>
      <c r="D674" s="1818"/>
      <c r="E674" s="1818"/>
      <c r="F674" s="1818"/>
      <c r="G674" s="1818"/>
      <c r="H674" s="1783"/>
      <c r="I674" s="1783"/>
      <c r="J674" s="1783"/>
      <c r="K674" s="1783"/>
      <c r="L674" s="1783"/>
      <c r="M674" s="1783"/>
      <c r="N674" s="1783"/>
      <c r="O674" s="1783"/>
      <c r="P674" s="1783"/>
      <c r="Q674" s="1783"/>
      <c r="R674" s="1783"/>
      <c r="S674" s="1783"/>
      <c r="T674" s="1783"/>
      <c r="U674" s="1783"/>
      <c r="V674" s="1783"/>
      <c r="W674" s="1783"/>
      <c r="X674" s="1783"/>
      <c r="Y674" s="1783"/>
      <c r="Z674" s="1783"/>
      <c r="AA674" s="1783"/>
      <c r="AB674" s="1783"/>
      <c r="AC674" s="1783"/>
      <c r="AD674" s="1783"/>
      <c r="AE674" s="1783"/>
      <c r="AF674" s="1783"/>
      <c r="AG674" s="1783"/>
      <c r="AH674" s="1783"/>
      <c r="AI674" s="1783"/>
      <c r="AJ674" s="1783"/>
      <c r="AK674" s="1783"/>
      <c r="AL674" s="1783"/>
      <c r="AM674" s="1783"/>
      <c r="AN674" s="1783"/>
      <c r="AO674" s="1783"/>
      <c r="AP674" s="1783"/>
      <c r="AQ674" s="1783"/>
      <c r="AR674" s="1783"/>
      <c r="AS674" s="1783"/>
      <c r="AT674" s="1783"/>
      <c r="AU674" s="1783"/>
      <c r="AV674" s="1783"/>
      <c r="AW674" s="1783"/>
      <c r="AX674" s="1783"/>
      <c r="AY674" s="1783"/>
      <c r="AZ674" s="1783"/>
      <c r="BA674" s="1783"/>
      <c r="BB674" s="1783"/>
      <c r="BC674" s="1783"/>
      <c r="BD674" s="1783"/>
      <c r="BE674" s="1783"/>
      <c r="BF674" s="1783"/>
      <c r="BG674" s="1783"/>
      <c r="BH674" s="1783"/>
      <c r="BI674" s="1783"/>
    </row>
    <row r="675" spans="1:61">
      <c r="A675" s="1819"/>
      <c r="B675" s="1818"/>
      <c r="C675" s="1818"/>
      <c r="D675" s="1818"/>
      <c r="E675" s="1818"/>
      <c r="F675" s="1818"/>
      <c r="G675" s="1818"/>
      <c r="H675" s="1783"/>
      <c r="I675" s="1783"/>
      <c r="J675" s="1783"/>
      <c r="K675" s="1783"/>
      <c r="L675" s="1783"/>
      <c r="M675" s="1783"/>
      <c r="N675" s="1783"/>
      <c r="O675" s="1783"/>
      <c r="P675" s="1783"/>
      <c r="Q675" s="1783"/>
      <c r="R675" s="1783"/>
      <c r="S675" s="1783"/>
      <c r="T675" s="1783"/>
      <c r="U675" s="1783"/>
      <c r="V675" s="1783"/>
      <c r="W675" s="1783"/>
      <c r="X675" s="1783"/>
      <c r="Y675" s="1783"/>
      <c r="Z675" s="1783"/>
      <c r="AA675" s="1783"/>
      <c r="AB675" s="1783"/>
      <c r="AC675" s="1783"/>
      <c r="AD675" s="1783"/>
      <c r="AE675" s="1783"/>
      <c r="AF675" s="1783"/>
      <c r="AG675" s="1783"/>
      <c r="AH675" s="1783"/>
      <c r="AI675" s="1783"/>
      <c r="AJ675" s="1783"/>
      <c r="AK675" s="1783"/>
      <c r="AL675" s="1783"/>
      <c r="AM675" s="1783"/>
      <c r="AN675" s="1783"/>
      <c r="AO675" s="1783"/>
      <c r="AP675" s="1783"/>
      <c r="AQ675" s="1783"/>
      <c r="AR675" s="1783"/>
      <c r="AS675" s="1783"/>
      <c r="AT675" s="1783"/>
      <c r="AU675" s="1783"/>
      <c r="AV675" s="1783"/>
      <c r="AW675" s="1783"/>
      <c r="AX675" s="1783"/>
      <c r="AY675" s="1783"/>
      <c r="AZ675" s="1783"/>
      <c r="BA675" s="1783"/>
      <c r="BB675" s="1783"/>
      <c r="BC675" s="1783"/>
      <c r="BD675" s="1783"/>
      <c r="BE675" s="1783"/>
      <c r="BF675" s="1783"/>
      <c r="BG675" s="1783"/>
      <c r="BH675" s="1783"/>
      <c r="BI675" s="1783"/>
    </row>
    <row r="676" spans="1:61">
      <c r="A676" s="1819"/>
      <c r="B676" s="1818"/>
      <c r="C676" s="1818"/>
      <c r="D676" s="1818"/>
      <c r="E676" s="1818"/>
      <c r="F676" s="1818"/>
      <c r="G676" s="1818"/>
      <c r="H676" s="1783"/>
      <c r="I676" s="1783"/>
      <c r="J676" s="1783"/>
      <c r="K676" s="1783"/>
      <c r="L676" s="1783"/>
      <c r="M676" s="1783"/>
      <c r="N676" s="1783"/>
      <c r="O676" s="1783"/>
      <c r="P676" s="1783"/>
      <c r="Q676" s="1783"/>
      <c r="R676" s="1783"/>
      <c r="S676" s="1783"/>
      <c r="T676" s="1783"/>
      <c r="U676" s="1783"/>
      <c r="V676" s="1783"/>
      <c r="W676" s="1783"/>
      <c r="X676" s="1783"/>
      <c r="Y676" s="1783"/>
      <c r="Z676" s="1783"/>
      <c r="AA676" s="1783"/>
      <c r="AB676" s="1783"/>
      <c r="AC676" s="1783"/>
      <c r="AD676" s="1783"/>
      <c r="AE676" s="1783"/>
      <c r="AF676" s="1783"/>
      <c r="AG676" s="1783"/>
      <c r="AH676" s="1783"/>
      <c r="AI676" s="1783"/>
      <c r="AJ676" s="1783"/>
      <c r="AK676" s="1783"/>
      <c r="AL676" s="1783"/>
      <c r="AM676" s="1783"/>
      <c r="AN676" s="1783"/>
      <c r="AO676" s="1783"/>
      <c r="AP676" s="1783"/>
      <c r="AQ676" s="1783"/>
      <c r="AR676" s="1783"/>
      <c r="AS676" s="1783"/>
      <c r="AT676" s="1783"/>
      <c r="AU676" s="1783"/>
      <c r="AV676" s="1783"/>
      <c r="AW676" s="1783"/>
      <c r="AX676" s="1783"/>
      <c r="AY676" s="1783"/>
      <c r="AZ676" s="1783"/>
      <c r="BA676" s="1783"/>
      <c r="BB676" s="1783"/>
      <c r="BC676" s="1783"/>
      <c r="BD676" s="1783"/>
      <c r="BE676" s="1783"/>
      <c r="BF676" s="1783"/>
      <c r="BG676" s="1783"/>
      <c r="BH676" s="1783"/>
      <c r="BI676" s="1783"/>
    </row>
    <row r="677" spans="1:61">
      <c r="A677" s="1819"/>
      <c r="B677" s="1818"/>
      <c r="C677" s="1818"/>
      <c r="D677" s="1818"/>
      <c r="E677" s="1818"/>
      <c r="F677" s="1818"/>
      <c r="G677" s="1818"/>
      <c r="H677" s="1783"/>
      <c r="I677" s="1783"/>
      <c r="J677" s="1783"/>
      <c r="K677" s="1783"/>
      <c r="L677" s="1783"/>
      <c r="M677" s="1783"/>
      <c r="N677" s="1783"/>
      <c r="O677" s="1783"/>
      <c r="P677" s="1783"/>
      <c r="Q677" s="1783"/>
      <c r="R677" s="1783"/>
      <c r="S677" s="1783"/>
      <c r="T677" s="1783"/>
      <c r="U677" s="1783"/>
      <c r="V677" s="1783"/>
      <c r="W677" s="1783"/>
      <c r="X677" s="1783"/>
      <c r="Y677" s="1783"/>
      <c r="Z677" s="1783"/>
      <c r="AA677" s="1783"/>
      <c r="AB677" s="1783"/>
      <c r="AC677" s="1783"/>
      <c r="AD677" s="1783"/>
      <c r="AE677" s="1783"/>
      <c r="AF677" s="1783"/>
      <c r="AG677" s="1783"/>
      <c r="AH677" s="1783"/>
      <c r="AI677" s="1783"/>
      <c r="AJ677" s="1783"/>
      <c r="AK677" s="1783"/>
      <c r="AL677" s="1783"/>
      <c r="AM677" s="1783"/>
      <c r="AN677" s="1783"/>
      <c r="AO677" s="1783"/>
      <c r="AP677" s="1783"/>
      <c r="AQ677" s="1783"/>
      <c r="AR677" s="1783"/>
      <c r="AS677" s="1783"/>
      <c r="AT677" s="1783"/>
      <c r="AU677" s="1783"/>
      <c r="AV677" s="1783"/>
      <c r="AW677" s="1783"/>
      <c r="AX677" s="1783"/>
      <c r="AY677" s="1783"/>
      <c r="AZ677" s="1783"/>
      <c r="BA677" s="1783"/>
      <c r="BB677" s="1783"/>
      <c r="BC677" s="1783"/>
      <c r="BD677" s="1783"/>
      <c r="BE677" s="1783"/>
      <c r="BF677" s="1783"/>
      <c r="BG677" s="1783"/>
      <c r="BH677" s="1783"/>
      <c r="BI677" s="1783"/>
    </row>
    <row r="678" spans="1:61">
      <c r="A678" s="1819"/>
      <c r="B678" s="1818"/>
      <c r="C678" s="1818"/>
      <c r="D678" s="1818"/>
      <c r="E678" s="1818"/>
      <c r="F678" s="1818"/>
      <c r="G678" s="1818"/>
      <c r="H678" s="1783"/>
      <c r="I678" s="1783"/>
      <c r="J678" s="1783"/>
      <c r="K678" s="1783"/>
      <c r="L678" s="1783"/>
      <c r="M678" s="1783"/>
      <c r="N678" s="1783"/>
      <c r="O678" s="1783"/>
      <c r="P678" s="1783"/>
      <c r="Q678" s="1783"/>
      <c r="R678" s="1783"/>
      <c r="S678" s="1783"/>
      <c r="T678" s="1783"/>
      <c r="U678" s="1783"/>
      <c r="V678" s="1783"/>
      <c r="W678" s="1783"/>
      <c r="X678" s="1783"/>
      <c r="Y678" s="1783"/>
      <c r="Z678" s="1783"/>
      <c r="AA678" s="1783"/>
      <c r="AB678" s="1783"/>
      <c r="AC678" s="1783"/>
      <c r="AD678" s="1783"/>
      <c r="AE678" s="1783"/>
      <c r="AF678" s="1783"/>
      <c r="AG678" s="1783"/>
      <c r="AH678" s="1783"/>
      <c r="AI678" s="1783"/>
      <c r="AJ678" s="1783"/>
      <c r="AK678" s="1783"/>
      <c r="AL678" s="1783"/>
      <c r="AM678" s="1783"/>
      <c r="AN678" s="1783"/>
      <c r="AO678" s="1783"/>
      <c r="AP678" s="1783"/>
      <c r="AQ678" s="1783"/>
      <c r="AR678" s="1783"/>
      <c r="AS678" s="1783"/>
      <c r="AT678" s="1783"/>
      <c r="AU678" s="1783"/>
      <c r="AV678" s="1783"/>
      <c r="AW678" s="1783"/>
      <c r="AX678" s="1783"/>
      <c r="AY678" s="1783"/>
      <c r="AZ678" s="1783"/>
      <c r="BA678" s="1783"/>
      <c r="BB678" s="1783"/>
      <c r="BC678" s="1783"/>
      <c r="BD678" s="1783"/>
      <c r="BE678" s="1783"/>
      <c r="BF678" s="1783"/>
      <c r="BG678" s="1783"/>
      <c r="BH678" s="1783"/>
      <c r="BI678" s="1783"/>
    </row>
    <row r="679" spans="1:61">
      <c r="A679" s="1819"/>
      <c r="B679" s="1818"/>
      <c r="C679" s="1818"/>
      <c r="D679" s="1818"/>
      <c r="E679" s="1818"/>
      <c r="F679" s="1818"/>
      <c r="G679" s="1818"/>
      <c r="H679" s="1783"/>
      <c r="I679" s="1783"/>
      <c r="J679" s="1783"/>
      <c r="K679" s="1783"/>
      <c r="L679" s="1783"/>
      <c r="M679" s="1783"/>
      <c r="N679" s="1783"/>
      <c r="O679" s="1783"/>
      <c r="P679" s="1783"/>
      <c r="Q679" s="1783"/>
      <c r="R679" s="1783"/>
      <c r="S679" s="1783"/>
      <c r="T679" s="1783"/>
      <c r="U679" s="1783"/>
      <c r="V679" s="1783"/>
      <c r="W679" s="1783"/>
      <c r="X679" s="1783"/>
      <c r="Y679" s="1783"/>
      <c r="Z679" s="1783"/>
      <c r="AA679" s="1783"/>
      <c r="AB679" s="1783"/>
      <c r="AC679" s="1783"/>
      <c r="AD679" s="1783"/>
      <c r="AE679" s="1783"/>
      <c r="AF679" s="1783"/>
      <c r="AG679" s="1783"/>
      <c r="AH679" s="1783"/>
      <c r="AI679" s="1783"/>
      <c r="AJ679" s="1783"/>
      <c r="AK679" s="1783"/>
      <c r="AL679" s="1783"/>
      <c r="AM679" s="1783"/>
      <c r="AN679" s="1783"/>
      <c r="AO679" s="1783"/>
      <c r="AP679" s="1783"/>
      <c r="AQ679" s="1783"/>
      <c r="AR679" s="1783"/>
      <c r="AS679" s="1783"/>
      <c r="AT679" s="1783"/>
      <c r="AU679" s="1783"/>
      <c r="AV679" s="1783"/>
      <c r="AW679" s="1783"/>
      <c r="AX679" s="1783"/>
      <c r="AY679" s="1783"/>
      <c r="AZ679" s="1783"/>
      <c r="BA679" s="1783"/>
      <c r="BB679" s="1783"/>
      <c r="BC679" s="1783"/>
      <c r="BD679" s="1783"/>
      <c r="BE679" s="1783"/>
      <c r="BF679" s="1783"/>
      <c r="BG679" s="1783"/>
      <c r="BH679" s="1783"/>
      <c r="BI679" s="1783"/>
    </row>
    <row r="680" spans="1:61">
      <c r="A680" s="1819"/>
      <c r="B680" s="1818"/>
      <c r="C680" s="1818"/>
      <c r="D680" s="1818"/>
      <c r="E680" s="1818"/>
      <c r="F680" s="1818"/>
      <c r="G680" s="1818"/>
      <c r="H680" s="1783"/>
      <c r="I680" s="1783"/>
      <c r="J680" s="1783"/>
      <c r="K680" s="1783"/>
      <c r="L680" s="1783"/>
      <c r="M680" s="1783"/>
      <c r="N680" s="1783"/>
      <c r="O680" s="1783"/>
      <c r="P680" s="1783"/>
      <c r="Q680" s="1783"/>
      <c r="R680" s="1783"/>
      <c r="S680" s="1783"/>
      <c r="T680" s="1783"/>
      <c r="U680" s="1783"/>
      <c r="V680" s="1783"/>
      <c r="W680" s="1783"/>
      <c r="X680" s="1783"/>
      <c r="Y680" s="1783"/>
      <c r="Z680" s="1783"/>
      <c r="AA680" s="1783"/>
      <c r="AB680" s="1783"/>
      <c r="AC680" s="1783"/>
      <c r="AD680" s="1783"/>
      <c r="AE680" s="1783"/>
      <c r="AF680" s="1783"/>
      <c r="AG680" s="1783"/>
      <c r="AH680" s="1783"/>
      <c r="AI680" s="1783"/>
      <c r="AJ680" s="1783"/>
      <c r="AK680" s="1783"/>
      <c r="AL680" s="1783"/>
      <c r="AM680" s="1783"/>
      <c r="AN680" s="1783"/>
      <c r="AO680" s="1783"/>
      <c r="AP680" s="1783"/>
      <c r="AQ680" s="1783"/>
      <c r="AR680" s="1783"/>
      <c r="AS680" s="1783"/>
      <c r="AT680" s="1783"/>
      <c r="AU680" s="1783"/>
      <c r="AV680" s="1783"/>
      <c r="AW680" s="1783"/>
      <c r="AX680" s="1783"/>
      <c r="AY680" s="1783"/>
      <c r="AZ680" s="1783"/>
      <c r="BA680" s="1783"/>
      <c r="BB680" s="1783"/>
      <c r="BC680" s="1783"/>
      <c r="BD680" s="1783"/>
      <c r="BE680" s="1783"/>
      <c r="BF680" s="1783"/>
      <c r="BG680" s="1783"/>
      <c r="BH680" s="1783"/>
      <c r="BI680" s="1783"/>
    </row>
    <row r="681" spans="1:61">
      <c r="A681" s="1819"/>
      <c r="B681" s="1818"/>
      <c r="C681" s="1818"/>
      <c r="D681" s="1818"/>
      <c r="E681" s="1818"/>
      <c r="F681" s="1818"/>
      <c r="G681" s="1818"/>
      <c r="H681" s="1783"/>
      <c r="I681" s="1783"/>
      <c r="J681" s="1783"/>
      <c r="K681" s="1783"/>
      <c r="L681" s="1783"/>
      <c r="M681" s="1783"/>
      <c r="N681" s="1783"/>
      <c r="O681" s="1783"/>
      <c r="P681" s="1783"/>
      <c r="Q681" s="1783"/>
      <c r="R681" s="1783"/>
      <c r="S681" s="1783"/>
      <c r="T681" s="1783"/>
      <c r="U681" s="1783"/>
      <c r="V681" s="1783"/>
      <c r="W681" s="1783"/>
      <c r="X681" s="1783"/>
      <c r="Y681" s="1783"/>
      <c r="Z681" s="1783"/>
      <c r="AA681" s="1783"/>
      <c r="AB681" s="1783"/>
      <c r="AC681" s="1783"/>
      <c r="AD681" s="1783"/>
      <c r="AE681" s="1783"/>
      <c r="AF681" s="1783"/>
      <c r="AG681" s="1783"/>
      <c r="AH681" s="1783"/>
      <c r="AI681" s="1783"/>
      <c r="AJ681" s="1783"/>
      <c r="AK681" s="1783"/>
      <c r="AL681" s="1783"/>
      <c r="AM681" s="1783"/>
      <c r="AN681" s="1783"/>
      <c r="AO681" s="1783"/>
      <c r="AP681" s="1783"/>
      <c r="AQ681" s="1783"/>
      <c r="AR681" s="1783"/>
      <c r="AS681" s="1783"/>
      <c r="AT681" s="1783"/>
      <c r="AU681" s="1783"/>
      <c r="AV681" s="1783"/>
      <c r="AW681" s="1783"/>
      <c r="AX681" s="1783"/>
      <c r="AY681" s="1783"/>
      <c r="AZ681" s="1783"/>
      <c r="BA681" s="1783"/>
      <c r="BB681" s="1783"/>
      <c r="BC681" s="1783"/>
      <c r="BD681" s="1783"/>
      <c r="BE681" s="1783"/>
      <c r="BF681" s="1783"/>
      <c r="BG681" s="1783"/>
      <c r="BH681" s="1783"/>
      <c r="BI681" s="1783"/>
    </row>
    <row r="682" spans="1:61">
      <c r="A682" s="1819"/>
      <c r="B682" s="1818"/>
      <c r="C682" s="1818"/>
      <c r="D682" s="1818"/>
      <c r="E682" s="1818"/>
      <c r="F682" s="1818"/>
      <c r="G682" s="1818"/>
      <c r="H682" s="1783"/>
      <c r="I682" s="1783"/>
      <c r="J682" s="1783"/>
      <c r="K682" s="1783"/>
      <c r="L682" s="1783"/>
      <c r="M682" s="1783"/>
      <c r="N682" s="1783"/>
      <c r="O682" s="1783"/>
      <c r="P682" s="1783"/>
      <c r="Q682" s="1783"/>
      <c r="R682" s="1783"/>
      <c r="S682" s="1783"/>
      <c r="T682" s="1783"/>
      <c r="U682" s="1783"/>
      <c r="V682" s="1783"/>
      <c r="W682" s="1783"/>
      <c r="X682" s="1783"/>
      <c r="Y682" s="1783"/>
      <c r="Z682" s="1783"/>
      <c r="AA682" s="1783"/>
      <c r="AB682" s="1783"/>
      <c r="AC682" s="1783"/>
      <c r="AD682" s="1783"/>
      <c r="AE682" s="1783"/>
      <c r="AF682" s="1783"/>
      <c r="AG682" s="1783"/>
      <c r="AH682" s="1783"/>
      <c r="AI682" s="1783"/>
      <c r="AJ682" s="1783"/>
      <c r="AK682" s="1783"/>
      <c r="AL682" s="1783"/>
      <c r="AM682" s="1783"/>
      <c r="AN682" s="1783"/>
      <c r="AO682" s="1783"/>
      <c r="AP682" s="1783"/>
      <c r="AQ682" s="1783"/>
      <c r="AR682" s="1783"/>
      <c r="AS682" s="1783"/>
      <c r="AT682" s="1783"/>
      <c r="AU682" s="1783"/>
      <c r="AV682" s="1783"/>
      <c r="AW682" s="1783"/>
      <c r="AX682" s="1783"/>
      <c r="AY682" s="1783"/>
      <c r="AZ682" s="1783"/>
      <c r="BA682" s="1783"/>
      <c r="BB682" s="1783"/>
      <c r="BC682" s="1783"/>
      <c r="BD682" s="1783"/>
      <c r="BE682" s="1783"/>
      <c r="BF682" s="1783"/>
      <c r="BG682" s="1783"/>
      <c r="BH682" s="1783"/>
      <c r="BI682" s="1783"/>
    </row>
    <row r="683" spans="1:61">
      <c r="A683" s="1819"/>
      <c r="B683" s="1818"/>
      <c r="C683" s="1818"/>
      <c r="D683" s="1818"/>
      <c r="E683" s="1818"/>
      <c r="F683" s="1818"/>
      <c r="G683" s="1818"/>
      <c r="H683" s="1783"/>
      <c r="I683" s="1783"/>
      <c r="J683" s="1783"/>
      <c r="K683" s="1783"/>
      <c r="L683" s="1783"/>
      <c r="M683" s="1783"/>
      <c r="N683" s="1783"/>
      <c r="O683" s="1783"/>
      <c r="P683" s="1783"/>
      <c r="Q683" s="1783"/>
      <c r="R683" s="1783"/>
      <c r="S683" s="1783"/>
      <c r="T683" s="1783"/>
      <c r="U683" s="1783"/>
      <c r="V683" s="1783"/>
      <c r="W683" s="1783"/>
      <c r="X683" s="1783"/>
      <c r="Y683" s="1783"/>
      <c r="Z683" s="1783"/>
      <c r="AA683" s="1783"/>
      <c r="AB683" s="1783"/>
      <c r="AC683" s="1783"/>
      <c r="AD683" s="1783"/>
      <c r="AE683" s="1783"/>
      <c r="AF683" s="1783"/>
      <c r="AG683" s="1783"/>
      <c r="AH683" s="1783"/>
      <c r="AI683" s="1783"/>
      <c r="AJ683" s="1783"/>
      <c r="AK683" s="1783"/>
      <c r="AL683" s="1783"/>
      <c r="AM683" s="1783"/>
      <c r="AN683" s="1783"/>
      <c r="AO683" s="1783"/>
      <c r="AP683" s="1783"/>
      <c r="AQ683" s="1783"/>
      <c r="AR683" s="1783"/>
      <c r="AS683" s="1783"/>
      <c r="AT683" s="1783"/>
      <c r="AU683" s="1783"/>
      <c r="AV683" s="1783"/>
      <c r="AW683" s="1783"/>
      <c r="AX683" s="1783"/>
      <c r="AY683" s="1783"/>
      <c r="AZ683" s="1783"/>
      <c r="BA683" s="1783"/>
      <c r="BB683" s="1783"/>
      <c r="BC683" s="1783"/>
      <c r="BD683" s="1783"/>
      <c r="BE683" s="1783"/>
      <c r="BF683" s="1783"/>
      <c r="BG683" s="1783"/>
      <c r="BH683" s="1783"/>
      <c r="BI683" s="1783"/>
    </row>
    <row r="684" spans="1:61">
      <c r="A684" s="1819"/>
      <c r="B684" s="1818"/>
      <c r="C684" s="1818"/>
      <c r="D684" s="1818"/>
      <c r="E684" s="1818"/>
      <c r="F684" s="1818"/>
      <c r="G684" s="1818"/>
      <c r="H684" s="1783"/>
      <c r="I684" s="1783"/>
      <c r="J684" s="1783"/>
      <c r="K684" s="1783"/>
      <c r="L684" s="1783"/>
      <c r="M684" s="1783"/>
      <c r="N684" s="1783"/>
      <c r="O684" s="1783"/>
      <c r="P684" s="1783"/>
      <c r="Q684" s="1783"/>
      <c r="R684" s="1783"/>
      <c r="S684" s="1783"/>
      <c r="T684" s="1783"/>
      <c r="U684" s="1783"/>
      <c r="V684" s="1783"/>
      <c r="W684" s="1783"/>
      <c r="X684" s="1783"/>
      <c r="Y684" s="1783"/>
      <c r="Z684" s="1783"/>
      <c r="AA684" s="1783"/>
      <c r="AB684" s="1783"/>
      <c r="AC684" s="1783"/>
      <c r="AD684" s="1783"/>
      <c r="AE684" s="1783"/>
      <c r="AF684" s="1783"/>
      <c r="AG684" s="1783"/>
      <c r="AH684" s="1783"/>
      <c r="AI684" s="1783"/>
      <c r="AJ684" s="1783"/>
      <c r="AK684" s="1783"/>
      <c r="AL684" s="1783"/>
      <c r="AM684" s="1783"/>
      <c r="AN684" s="1783"/>
      <c r="AO684" s="1783"/>
      <c r="AP684" s="1783"/>
      <c r="AQ684" s="1783"/>
      <c r="AR684" s="1783"/>
      <c r="AS684" s="1783"/>
      <c r="AT684" s="1783"/>
      <c r="AU684" s="1783"/>
      <c r="AV684" s="1783"/>
      <c r="AW684" s="1783"/>
      <c r="AX684" s="1783"/>
      <c r="AY684" s="1783"/>
      <c r="AZ684" s="1783"/>
      <c r="BA684" s="1783"/>
      <c r="BB684" s="1783"/>
      <c r="BC684" s="1783"/>
      <c r="BD684" s="1783"/>
      <c r="BE684" s="1783"/>
      <c r="BF684" s="1783"/>
      <c r="BG684" s="1783"/>
      <c r="BH684" s="1783"/>
      <c r="BI684" s="1783"/>
    </row>
    <row r="685" spans="1:61">
      <c r="A685" s="1819"/>
      <c r="B685" s="1818"/>
      <c r="C685" s="1818"/>
      <c r="D685" s="1818"/>
      <c r="E685" s="1818"/>
      <c r="F685" s="1818"/>
      <c r="G685" s="1818"/>
      <c r="H685" s="1783"/>
      <c r="I685" s="1783"/>
      <c r="J685" s="1783"/>
      <c r="K685" s="1783"/>
      <c r="L685" s="1783"/>
      <c r="M685" s="1783"/>
      <c r="N685" s="1783"/>
      <c r="O685" s="1783"/>
      <c r="P685" s="1783"/>
      <c r="Q685" s="1783"/>
      <c r="R685" s="1783"/>
      <c r="S685" s="1783"/>
      <c r="T685" s="1783"/>
      <c r="U685" s="1783"/>
      <c r="V685" s="1783"/>
      <c r="W685" s="1783"/>
      <c r="X685" s="1783"/>
      <c r="Y685" s="1783"/>
      <c r="Z685" s="1783"/>
      <c r="AA685" s="1783"/>
      <c r="AB685" s="1783"/>
      <c r="AC685" s="1783"/>
      <c r="AD685" s="1783"/>
      <c r="AE685" s="1783"/>
      <c r="AF685" s="1783"/>
      <c r="AG685" s="1783"/>
      <c r="AH685" s="1783"/>
      <c r="AI685" s="1783"/>
      <c r="AJ685" s="1783"/>
      <c r="AK685" s="1783"/>
      <c r="AL685" s="1783"/>
      <c r="AM685" s="1783"/>
      <c r="AN685" s="1783"/>
      <c r="AO685" s="1783"/>
      <c r="AP685" s="1783"/>
      <c r="AQ685" s="1783"/>
      <c r="AR685" s="1783"/>
      <c r="AS685" s="1783"/>
      <c r="AT685" s="1783"/>
      <c r="AU685" s="1783"/>
      <c r="AV685" s="1783"/>
      <c r="AW685" s="1783"/>
      <c r="AX685" s="1783"/>
      <c r="AY685" s="1783"/>
      <c r="AZ685" s="1783"/>
      <c r="BA685" s="1783"/>
      <c r="BB685" s="1783"/>
      <c r="BC685" s="1783"/>
      <c r="BD685" s="1783"/>
      <c r="BE685" s="1783"/>
      <c r="BF685" s="1783"/>
      <c r="BG685" s="1783"/>
      <c r="BH685" s="1783"/>
      <c r="BI685" s="1783"/>
    </row>
    <row r="686" spans="1:61">
      <c r="A686" s="1819"/>
      <c r="B686" s="1818"/>
      <c r="C686" s="1818"/>
      <c r="D686" s="1818"/>
      <c r="E686" s="1818"/>
      <c r="F686" s="1818"/>
      <c r="G686" s="1818"/>
      <c r="H686" s="1783"/>
      <c r="I686" s="1783"/>
      <c r="J686" s="1783"/>
      <c r="K686" s="1783"/>
      <c r="L686" s="1783"/>
      <c r="M686" s="1783"/>
      <c r="N686" s="1783"/>
      <c r="O686" s="1783"/>
      <c r="P686" s="1783"/>
      <c r="Q686" s="1783"/>
      <c r="R686" s="1783"/>
      <c r="S686" s="1783"/>
      <c r="T686" s="1783"/>
      <c r="U686" s="1783"/>
      <c r="V686" s="1783"/>
      <c r="W686" s="1783"/>
      <c r="X686" s="1783"/>
      <c r="Y686" s="1783"/>
      <c r="Z686" s="1783"/>
      <c r="AA686" s="1783"/>
      <c r="AB686" s="1783"/>
      <c r="AC686" s="1783"/>
      <c r="AD686" s="1783"/>
      <c r="AE686" s="1783"/>
      <c r="AF686" s="1783"/>
      <c r="AG686" s="1783"/>
      <c r="AH686" s="1783"/>
      <c r="AI686" s="1783"/>
      <c r="AJ686" s="1783"/>
      <c r="AK686" s="1783"/>
      <c r="AL686" s="1783"/>
      <c r="AM686" s="1783"/>
      <c r="AN686" s="1783"/>
      <c r="AO686" s="1783"/>
      <c r="AP686" s="1783"/>
      <c r="AQ686" s="1783"/>
      <c r="AR686" s="1783"/>
      <c r="AS686" s="1783"/>
      <c r="AT686" s="1783"/>
      <c r="AU686" s="1783"/>
      <c r="AV686" s="1783"/>
      <c r="AW686" s="1783"/>
      <c r="AX686" s="1783"/>
      <c r="AY686" s="1783"/>
      <c r="AZ686" s="1783"/>
      <c r="BA686" s="1783"/>
      <c r="BB686" s="1783"/>
      <c r="BC686" s="1783"/>
      <c r="BD686" s="1783"/>
      <c r="BE686" s="1783"/>
      <c r="BF686" s="1783"/>
      <c r="BG686" s="1783"/>
      <c r="BH686" s="1783"/>
      <c r="BI686" s="1783"/>
    </row>
    <row r="687" spans="1:61">
      <c r="A687" s="1819"/>
      <c r="B687" s="1818"/>
      <c r="C687" s="1818"/>
      <c r="D687" s="1818"/>
      <c r="E687" s="1818"/>
      <c r="F687" s="1818"/>
      <c r="G687" s="1818"/>
      <c r="H687" s="1783"/>
      <c r="I687" s="1783"/>
      <c r="J687" s="1783"/>
      <c r="K687" s="1783"/>
      <c r="L687" s="1783"/>
      <c r="M687" s="1783"/>
      <c r="N687" s="1783"/>
      <c r="O687" s="1783"/>
      <c r="P687" s="1783"/>
      <c r="Q687" s="1783"/>
      <c r="R687" s="1783"/>
      <c r="S687" s="1783"/>
      <c r="T687" s="1783"/>
      <c r="U687" s="1783"/>
      <c r="V687" s="1783"/>
      <c r="W687" s="1783"/>
      <c r="X687" s="1783"/>
      <c r="Y687" s="1783"/>
      <c r="Z687" s="1783"/>
      <c r="AA687" s="1783"/>
      <c r="AB687" s="1783"/>
      <c r="AC687" s="1783"/>
      <c r="AD687" s="1783"/>
      <c r="AE687" s="1783"/>
      <c r="AF687" s="1783"/>
      <c r="AG687" s="1783"/>
      <c r="AH687" s="1783"/>
      <c r="AI687" s="1783"/>
      <c r="AJ687" s="1783"/>
      <c r="AK687" s="1783"/>
      <c r="AL687" s="1783"/>
      <c r="AM687" s="1783"/>
      <c r="AN687" s="1783"/>
      <c r="AO687" s="1783"/>
      <c r="AP687" s="1783"/>
      <c r="AQ687" s="1783"/>
      <c r="AR687" s="1783"/>
      <c r="AS687" s="1783"/>
      <c r="AT687" s="1783"/>
      <c r="AU687" s="1783"/>
      <c r="AV687" s="1783"/>
      <c r="AW687" s="1783"/>
      <c r="AX687" s="1783"/>
      <c r="AY687" s="1783"/>
      <c r="AZ687" s="1783"/>
      <c r="BA687" s="1783"/>
      <c r="BB687" s="1783"/>
      <c r="BC687" s="1783"/>
      <c r="BD687" s="1783"/>
      <c r="BE687" s="1783"/>
      <c r="BF687" s="1783"/>
      <c r="BG687" s="1783"/>
      <c r="BH687" s="1783"/>
      <c r="BI687" s="1783"/>
    </row>
    <row r="688" spans="1:61">
      <c r="A688" s="1819"/>
      <c r="B688" s="1818"/>
      <c r="C688" s="1818"/>
      <c r="D688" s="1818"/>
      <c r="E688" s="1818"/>
      <c r="F688" s="1818"/>
      <c r="G688" s="1818"/>
      <c r="H688" s="1783"/>
      <c r="I688" s="1783"/>
      <c r="J688" s="1783"/>
      <c r="K688" s="1783"/>
      <c r="L688" s="1783"/>
      <c r="M688" s="1783"/>
      <c r="N688" s="1783"/>
      <c r="O688" s="1783"/>
      <c r="P688" s="1783"/>
      <c r="Q688" s="1783"/>
      <c r="R688" s="1783"/>
      <c r="S688" s="1783"/>
      <c r="T688" s="1783"/>
      <c r="U688" s="1783"/>
      <c r="V688" s="1783"/>
      <c r="W688" s="1783"/>
      <c r="X688" s="1783"/>
      <c r="Y688" s="1783"/>
      <c r="Z688" s="1783"/>
      <c r="AA688" s="1783"/>
      <c r="AB688" s="1783"/>
      <c r="AC688" s="1783"/>
      <c r="AD688" s="1783"/>
      <c r="AE688" s="1783"/>
      <c r="AF688" s="1783"/>
      <c r="AG688" s="1783"/>
      <c r="AH688" s="1783"/>
      <c r="AI688" s="1783"/>
      <c r="AJ688" s="1783"/>
      <c r="AK688" s="1783"/>
      <c r="AL688" s="1783"/>
      <c r="AM688" s="1783"/>
      <c r="AN688" s="1783"/>
      <c r="AO688" s="1783"/>
      <c r="AP688" s="1783"/>
      <c r="AQ688" s="1783"/>
      <c r="AR688" s="1783"/>
      <c r="AS688" s="1783"/>
      <c r="AT688" s="1783"/>
      <c r="AU688" s="1783"/>
      <c r="AV688" s="1783"/>
      <c r="AW688" s="1783"/>
      <c r="AX688" s="1783"/>
      <c r="AY688" s="1783"/>
      <c r="AZ688" s="1783"/>
      <c r="BA688" s="1783"/>
      <c r="BB688" s="1783"/>
      <c r="BC688" s="1783"/>
      <c r="BD688" s="1783"/>
      <c r="BE688" s="1783"/>
      <c r="BF688" s="1783"/>
      <c r="BG688" s="1783"/>
      <c r="BH688" s="1783"/>
      <c r="BI688" s="1783"/>
    </row>
    <row r="689" spans="1:61">
      <c r="A689" s="1819"/>
      <c r="B689" s="1818"/>
      <c r="C689" s="1818"/>
      <c r="D689" s="1818"/>
      <c r="E689" s="1818"/>
      <c r="F689" s="1818"/>
      <c r="G689" s="1818"/>
      <c r="H689" s="1783"/>
      <c r="I689" s="1783"/>
      <c r="J689" s="1783"/>
      <c r="K689" s="1783"/>
      <c r="L689" s="1783"/>
      <c r="M689" s="1783"/>
      <c r="N689" s="1783"/>
      <c r="O689" s="1783"/>
      <c r="P689" s="1783"/>
      <c r="Q689" s="1783"/>
      <c r="R689" s="1783"/>
      <c r="S689" s="1783"/>
      <c r="T689" s="1783"/>
      <c r="U689" s="1783"/>
      <c r="V689" s="1783"/>
      <c r="W689" s="1783"/>
      <c r="X689" s="1783"/>
      <c r="Y689" s="1783"/>
      <c r="Z689" s="1783"/>
      <c r="AA689" s="1783"/>
      <c r="AB689" s="1783"/>
      <c r="AC689" s="1783"/>
      <c r="AD689" s="1783"/>
      <c r="AE689" s="1783"/>
      <c r="AF689" s="1783"/>
      <c r="AG689" s="1783"/>
      <c r="AH689" s="1783"/>
      <c r="AI689" s="1783"/>
      <c r="AJ689" s="1783"/>
      <c r="AK689" s="1783"/>
      <c r="AL689" s="1783"/>
      <c r="AM689" s="1783"/>
      <c r="AN689" s="1783"/>
      <c r="AO689" s="1783"/>
      <c r="AP689" s="1783"/>
      <c r="AQ689" s="1783"/>
      <c r="AR689" s="1783"/>
      <c r="AS689" s="1783"/>
      <c r="AT689" s="1783"/>
      <c r="AU689" s="1783"/>
      <c r="AV689" s="1783"/>
      <c r="AW689" s="1783"/>
      <c r="AX689" s="1783"/>
      <c r="AY689" s="1783"/>
      <c r="AZ689" s="1783"/>
      <c r="BA689" s="1783"/>
      <c r="BB689" s="1783"/>
      <c r="BC689" s="1783"/>
      <c r="BD689" s="1783"/>
      <c r="BE689" s="1783"/>
      <c r="BF689" s="1783"/>
      <c r="BG689" s="1783"/>
      <c r="BH689" s="1783"/>
      <c r="BI689" s="1783"/>
    </row>
    <row r="690" spans="1:61">
      <c r="A690" s="1819"/>
      <c r="B690" s="1818"/>
      <c r="C690" s="1818"/>
      <c r="D690" s="1818"/>
      <c r="E690" s="1818"/>
      <c r="F690" s="1818"/>
      <c r="G690" s="1818"/>
      <c r="H690" s="1783"/>
      <c r="I690" s="1783"/>
      <c r="J690" s="1783"/>
      <c r="K690" s="1783"/>
      <c r="L690" s="1783"/>
      <c r="M690" s="1783"/>
      <c r="N690" s="1783"/>
      <c r="O690" s="1783"/>
      <c r="P690" s="1783"/>
      <c r="Q690" s="1783"/>
      <c r="R690" s="1783"/>
      <c r="S690" s="1783"/>
      <c r="T690" s="1783"/>
      <c r="U690" s="1783"/>
      <c r="V690" s="1783"/>
      <c r="W690" s="1783"/>
      <c r="X690" s="1783"/>
      <c r="Y690" s="1783"/>
      <c r="Z690" s="1783"/>
      <c r="AA690" s="1783"/>
      <c r="AB690" s="1783"/>
      <c r="AC690" s="1783"/>
      <c r="AD690" s="1783"/>
      <c r="AE690" s="1783"/>
      <c r="AF690" s="1783"/>
      <c r="AG690" s="1783"/>
      <c r="AH690" s="1783"/>
      <c r="AI690" s="1783"/>
      <c r="AJ690" s="1783"/>
      <c r="AK690" s="1783"/>
      <c r="AL690" s="1783"/>
      <c r="AM690" s="1783"/>
      <c r="AN690" s="1783"/>
      <c r="AO690" s="1783"/>
      <c r="AP690" s="1783"/>
      <c r="AQ690" s="1783"/>
      <c r="AR690" s="1783"/>
      <c r="AS690" s="1783"/>
      <c r="AT690" s="1783"/>
      <c r="AU690" s="1783"/>
      <c r="AV690" s="1783"/>
      <c r="AW690" s="1783"/>
      <c r="AX690" s="1783"/>
      <c r="AY690" s="1783"/>
      <c r="AZ690" s="1783"/>
      <c r="BA690" s="1783"/>
      <c r="BB690" s="1783"/>
      <c r="BC690" s="1783"/>
      <c r="BD690" s="1783"/>
      <c r="BE690" s="1783"/>
      <c r="BF690" s="1783"/>
      <c r="BG690" s="1783"/>
      <c r="BH690" s="1783"/>
      <c r="BI690" s="1783"/>
    </row>
    <row r="691" spans="1:61">
      <c r="A691" s="1819"/>
      <c r="B691" s="1818"/>
      <c r="C691" s="1818"/>
      <c r="D691" s="1818"/>
      <c r="E691" s="1818"/>
      <c r="F691" s="1818"/>
      <c r="G691" s="1818"/>
      <c r="H691" s="1783"/>
      <c r="I691" s="1783"/>
      <c r="J691" s="1783"/>
      <c r="K691" s="1783"/>
      <c r="L691" s="1783"/>
      <c r="M691" s="1783"/>
      <c r="N691" s="1783"/>
      <c r="O691" s="1783"/>
      <c r="P691" s="1783"/>
      <c r="Q691" s="1783"/>
      <c r="R691" s="1783"/>
      <c r="S691" s="1783"/>
      <c r="T691" s="1783"/>
      <c r="U691" s="1783"/>
      <c r="V691" s="1783"/>
      <c r="W691" s="1783"/>
      <c r="X691" s="1783"/>
      <c r="Y691" s="1783"/>
      <c r="Z691" s="1783"/>
      <c r="AA691" s="1783"/>
      <c r="AB691" s="1783"/>
      <c r="AC691" s="1783"/>
      <c r="AD691" s="1783"/>
      <c r="AE691" s="1783"/>
      <c r="AF691" s="1783"/>
      <c r="AG691" s="1783"/>
      <c r="AH691" s="1783"/>
      <c r="AI691" s="1783"/>
      <c r="AJ691" s="1783"/>
      <c r="AK691" s="1783"/>
      <c r="AL691" s="1783"/>
      <c r="AM691" s="1783"/>
      <c r="AN691" s="1783"/>
      <c r="AO691" s="1783"/>
      <c r="AP691" s="1783"/>
      <c r="AQ691" s="1783"/>
      <c r="AR691" s="1783"/>
      <c r="AS691" s="1783"/>
      <c r="AT691" s="1783"/>
      <c r="AU691" s="1783"/>
      <c r="AV691" s="1783"/>
      <c r="AW691" s="1783"/>
      <c r="AX691" s="1783"/>
      <c r="AY691" s="1783"/>
      <c r="AZ691" s="1783"/>
      <c r="BA691" s="1783"/>
      <c r="BB691" s="1783"/>
      <c r="BC691" s="1783"/>
      <c r="BD691" s="1783"/>
      <c r="BE691" s="1783"/>
      <c r="BF691" s="1783"/>
      <c r="BG691" s="1783"/>
      <c r="BH691" s="1783"/>
      <c r="BI691" s="1783"/>
    </row>
    <row r="692" spans="1:61">
      <c r="A692" s="1819"/>
      <c r="B692" s="1818"/>
      <c r="C692" s="1818"/>
      <c r="D692" s="1818"/>
      <c r="E692" s="1818"/>
      <c r="F692" s="1818"/>
      <c r="G692" s="1818"/>
      <c r="H692" s="1783"/>
      <c r="I692" s="1783"/>
      <c r="J692" s="1783"/>
      <c r="K692" s="1783"/>
      <c r="L692" s="1783"/>
      <c r="M692" s="1783"/>
      <c r="N692" s="1783"/>
      <c r="O692" s="1783"/>
      <c r="P692" s="1783"/>
      <c r="Q692" s="1783"/>
      <c r="R692" s="1783"/>
      <c r="S692" s="1783"/>
      <c r="T692" s="1783"/>
      <c r="U692" s="1783"/>
      <c r="V692" s="1783"/>
      <c r="W692" s="1783"/>
      <c r="X692" s="1783"/>
      <c r="Y692" s="1783"/>
      <c r="Z692" s="1783"/>
      <c r="AA692" s="1783"/>
      <c r="AB692" s="1783"/>
      <c r="AC692" s="1783"/>
      <c r="AD692" s="1783"/>
      <c r="AE692" s="1783"/>
      <c r="AF692" s="1783"/>
      <c r="AG692" s="1783"/>
      <c r="AH692" s="1783"/>
      <c r="AI692" s="1783"/>
      <c r="AJ692" s="1783"/>
      <c r="AK692" s="1783"/>
      <c r="AL692" s="1783"/>
      <c r="AM692" s="1783"/>
      <c r="AN692" s="1783"/>
      <c r="AO692" s="1783"/>
      <c r="AP692" s="1783"/>
      <c r="AQ692" s="1783"/>
      <c r="AR692" s="1783"/>
      <c r="AS692" s="1783"/>
      <c r="AT692" s="1783"/>
      <c r="AU692" s="1783"/>
      <c r="AV692" s="1783"/>
      <c r="AW692" s="1783"/>
      <c r="AX692" s="1783"/>
      <c r="AY692" s="1783"/>
      <c r="AZ692" s="1783"/>
      <c r="BA692" s="1783"/>
      <c r="BB692" s="1783"/>
      <c r="BC692" s="1783"/>
      <c r="BD692" s="1783"/>
      <c r="BE692" s="1783"/>
      <c r="BF692" s="1783"/>
      <c r="BG692" s="1783"/>
      <c r="BH692" s="1783"/>
      <c r="BI692" s="1783"/>
    </row>
    <row r="693" spans="1:61">
      <c r="A693" s="1819"/>
      <c r="B693" s="1818"/>
      <c r="C693" s="1818"/>
      <c r="D693" s="1818"/>
      <c r="E693" s="1818"/>
      <c r="F693" s="1818"/>
      <c r="G693" s="1818"/>
      <c r="H693" s="1783"/>
      <c r="I693" s="1783"/>
      <c r="J693" s="1783"/>
      <c r="K693" s="1783"/>
      <c r="L693" s="1783"/>
      <c r="M693" s="1783"/>
      <c r="N693" s="1783"/>
      <c r="O693" s="1783"/>
      <c r="P693" s="1783"/>
      <c r="Q693" s="1783"/>
      <c r="R693" s="1783"/>
      <c r="S693" s="1783"/>
      <c r="T693" s="1783"/>
      <c r="U693" s="1783"/>
      <c r="V693" s="1783"/>
      <c r="W693" s="1783"/>
      <c r="X693" s="1783"/>
      <c r="Y693" s="1783"/>
      <c r="Z693" s="1783"/>
      <c r="AA693" s="1783"/>
      <c r="AB693" s="1783"/>
      <c r="AC693" s="1783"/>
      <c r="AD693" s="1783"/>
      <c r="AE693" s="1783"/>
      <c r="AF693" s="1783"/>
      <c r="AG693" s="1783"/>
      <c r="AH693" s="1783"/>
      <c r="AI693" s="1783"/>
      <c r="AJ693" s="1783"/>
      <c r="AK693" s="1783"/>
      <c r="AL693" s="1783"/>
      <c r="AM693" s="1783"/>
      <c r="AN693" s="1783"/>
      <c r="AO693" s="1783"/>
      <c r="AP693" s="1783"/>
      <c r="AQ693" s="1783"/>
      <c r="AR693" s="1783"/>
      <c r="AS693" s="1783"/>
      <c r="AT693" s="1783"/>
      <c r="AU693" s="1783"/>
      <c r="AV693" s="1783"/>
      <c r="AW693" s="1783"/>
      <c r="AX693" s="1783"/>
      <c r="AY693" s="1783"/>
      <c r="AZ693" s="1783"/>
      <c r="BA693" s="1783"/>
      <c r="BB693" s="1783"/>
      <c r="BC693" s="1783"/>
      <c r="BD693" s="1783"/>
      <c r="BE693" s="1783"/>
      <c r="BF693" s="1783"/>
      <c r="BG693" s="1783"/>
      <c r="BH693" s="1783"/>
      <c r="BI693" s="1783"/>
    </row>
    <row r="694" spans="1:61">
      <c r="A694" s="1819"/>
      <c r="B694" s="1818"/>
      <c r="C694" s="1818"/>
      <c r="D694" s="1818"/>
      <c r="E694" s="1818"/>
      <c r="F694" s="1818"/>
      <c r="G694" s="1818"/>
      <c r="H694" s="1783"/>
      <c r="I694" s="1783"/>
      <c r="J694" s="1783"/>
      <c r="K694" s="1783"/>
      <c r="L694" s="1783"/>
      <c r="M694" s="1783"/>
      <c r="N694" s="1783"/>
      <c r="O694" s="1783"/>
      <c r="P694" s="1783"/>
      <c r="Q694" s="1783"/>
      <c r="R694" s="1783"/>
      <c r="S694" s="1783"/>
      <c r="T694" s="1783"/>
      <c r="U694" s="1783"/>
      <c r="V694" s="1783"/>
      <c r="W694" s="1783"/>
      <c r="X694" s="1783"/>
      <c r="Y694" s="1783"/>
      <c r="Z694" s="1783"/>
      <c r="AA694" s="1783"/>
      <c r="AB694" s="1783"/>
      <c r="AC694" s="1783"/>
      <c r="AD694" s="1783"/>
      <c r="AE694" s="1783"/>
      <c r="AF694" s="1783"/>
      <c r="AG694" s="1783"/>
      <c r="AH694" s="1783"/>
      <c r="AI694" s="1783"/>
      <c r="AJ694" s="1783"/>
      <c r="AK694" s="1783"/>
      <c r="AL694" s="1783"/>
      <c r="AM694" s="1783"/>
      <c r="AN694" s="1783"/>
      <c r="AO694" s="1783"/>
      <c r="AP694" s="1783"/>
      <c r="AQ694" s="1783"/>
      <c r="AR694" s="1783"/>
      <c r="AS694" s="1783"/>
      <c r="AT694" s="1783"/>
      <c r="AU694" s="1783"/>
      <c r="AV694" s="1783"/>
      <c r="AW694" s="1783"/>
      <c r="AX694" s="1783"/>
      <c r="AY694" s="1783"/>
      <c r="AZ694" s="1783"/>
      <c r="BA694" s="1783"/>
      <c r="BB694" s="1783"/>
      <c r="BC694" s="1783"/>
      <c r="BD694" s="1783"/>
      <c r="BE694" s="1783"/>
      <c r="BF694" s="1783"/>
      <c r="BG694" s="1783"/>
      <c r="BH694" s="1783"/>
      <c r="BI694" s="1783"/>
    </row>
    <row r="695" spans="1:61">
      <c r="A695" s="1819"/>
      <c r="B695" s="1818"/>
      <c r="C695" s="1818"/>
      <c r="D695" s="1818"/>
      <c r="E695" s="1818"/>
      <c r="F695" s="1818"/>
      <c r="G695" s="1818"/>
      <c r="H695" s="1783"/>
      <c r="I695" s="1783"/>
      <c r="J695" s="1783"/>
      <c r="K695" s="1783"/>
      <c r="L695" s="1783"/>
      <c r="M695" s="1783"/>
      <c r="N695" s="1783"/>
      <c r="O695" s="1783"/>
      <c r="P695" s="1783"/>
      <c r="Q695" s="1783"/>
      <c r="R695" s="1783"/>
      <c r="S695" s="1783"/>
      <c r="T695" s="1783"/>
      <c r="U695" s="1783"/>
      <c r="V695" s="1783"/>
      <c r="W695" s="1783"/>
      <c r="X695" s="1783"/>
      <c r="Y695" s="1783"/>
      <c r="Z695" s="1783"/>
      <c r="AA695" s="1783"/>
      <c r="AB695" s="1783"/>
      <c r="AC695" s="1783"/>
      <c r="AD695" s="1783"/>
      <c r="AE695" s="1783"/>
      <c r="AF695" s="1783"/>
      <c r="AG695" s="1783"/>
      <c r="AH695" s="1783"/>
      <c r="AI695" s="1783"/>
      <c r="AJ695" s="1783"/>
      <c r="AK695" s="1783"/>
      <c r="AL695" s="1783"/>
      <c r="AM695" s="1783"/>
      <c r="AN695" s="1783"/>
      <c r="AO695" s="1783"/>
      <c r="AP695" s="1783"/>
      <c r="AQ695" s="1783"/>
      <c r="AR695" s="1783"/>
      <c r="AS695" s="1783"/>
      <c r="AT695" s="1783"/>
      <c r="AU695" s="1783"/>
      <c r="AV695" s="1783"/>
      <c r="AW695" s="1783"/>
      <c r="AX695" s="1783"/>
      <c r="AY695" s="1783"/>
      <c r="AZ695" s="1783"/>
      <c r="BA695" s="1783"/>
      <c r="BB695" s="1783"/>
      <c r="BC695" s="1783"/>
      <c r="BD695" s="1783"/>
      <c r="BE695" s="1783"/>
      <c r="BF695" s="1783"/>
      <c r="BG695" s="1783"/>
      <c r="BH695" s="1783"/>
      <c r="BI695" s="1783"/>
    </row>
    <row r="696" spans="1:61">
      <c r="A696" s="1819"/>
      <c r="B696" s="1818"/>
      <c r="C696" s="1818"/>
      <c r="D696" s="1818"/>
      <c r="E696" s="1818"/>
      <c r="F696" s="1818"/>
      <c r="G696" s="1818"/>
      <c r="H696" s="1783"/>
      <c r="I696" s="1783"/>
      <c r="J696" s="1783"/>
      <c r="K696" s="1783"/>
      <c r="L696" s="1783"/>
      <c r="M696" s="1783"/>
      <c r="N696" s="1783"/>
      <c r="O696" s="1783"/>
      <c r="P696" s="1783"/>
      <c r="Q696" s="1783"/>
      <c r="R696" s="1783"/>
      <c r="S696" s="1783"/>
      <c r="T696" s="1783"/>
      <c r="U696" s="1783"/>
      <c r="V696" s="1783"/>
      <c r="W696" s="1783"/>
      <c r="X696" s="1783"/>
      <c r="Y696" s="1783"/>
      <c r="Z696" s="1783"/>
      <c r="AA696" s="1783"/>
      <c r="AB696" s="1783"/>
      <c r="AC696" s="1783"/>
      <c r="AD696" s="1783"/>
      <c r="AE696" s="1783"/>
      <c r="AF696" s="1783"/>
      <c r="AG696" s="1783"/>
      <c r="AH696" s="1783"/>
      <c r="AI696" s="1783"/>
      <c r="AJ696" s="1783"/>
      <c r="AK696" s="1783"/>
      <c r="AL696" s="1783"/>
      <c r="AM696" s="1783"/>
      <c r="AN696" s="1783"/>
      <c r="AO696" s="1783"/>
      <c r="AP696" s="1783"/>
      <c r="AQ696" s="1783"/>
      <c r="AR696" s="1783"/>
      <c r="AS696" s="1783"/>
      <c r="AT696" s="1783"/>
      <c r="AU696" s="1783"/>
      <c r="AV696" s="1783"/>
      <c r="AW696" s="1783"/>
      <c r="AX696" s="1783"/>
      <c r="AY696" s="1783"/>
      <c r="AZ696" s="1783"/>
      <c r="BA696" s="1783"/>
      <c r="BB696" s="1783"/>
      <c r="BC696" s="1783"/>
      <c r="BD696" s="1783"/>
      <c r="BE696" s="1783"/>
      <c r="BF696" s="1783"/>
      <c r="BG696" s="1783"/>
      <c r="BH696" s="1783"/>
      <c r="BI696" s="1783"/>
    </row>
    <row r="697" spans="1:61">
      <c r="A697" s="1819"/>
      <c r="B697" s="1818"/>
      <c r="C697" s="1818"/>
      <c r="D697" s="1818"/>
      <c r="E697" s="1818"/>
      <c r="F697" s="1818"/>
      <c r="G697" s="1818"/>
      <c r="H697" s="1783"/>
      <c r="I697" s="1783"/>
      <c r="J697" s="1783"/>
      <c r="K697" s="1783"/>
      <c r="L697" s="1783"/>
      <c r="M697" s="1783"/>
      <c r="N697" s="1783"/>
      <c r="O697" s="1783"/>
      <c r="P697" s="1783"/>
      <c r="Q697" s="1783"/>
      <c r="R697" s="1783"/>
      <c r="S697" s="1783"/>
      <c r="T697" s="1783"/>
      <c r="U697" s="1783"/>
      <c r="V697" s="1783"/>
      <c r="W697" s="1783"/>
      <c r="X697" s="1783"/>
      <c r="Y697" s="1783"/>
      <c r="Z697" s="1783"/>
      <c r="AA697" s="1783"/>
      <c r="AB697" s="1783"/>
      <c r="AC697" s="1783"/>
      <c r="AD697" s="1783"/>
      <c r="AE697" s="1783"/>
      <c r="AF697" s="1783"/>
      <c r="AG697" s="1783"/>
      <c r="AH697" s="1783"/>
      <c r="AI697" s="1783"/>
      <c r="AJ697" s="1783"/>
      <c r="AK697" s="1783"/>
      <c r="AL697" s="1783"/>
      <c r="AM697" s="1783"/>
      <c r="AN697" s="1783"/>
      <c r="AO697" s="1783"/>
      <c r="AP697" s="1783"/>
      <c r="AQ697" s="1783"/>
      <c r="AR697" s="1783"/>
      <c r="AS697" s="1783"/>
      <c r="AT697" s="1783"/>
      <c r="AU697" s="1783"/>
      <c r="AV697" s="1783"/>
      <c r="AW697" s="1783"/>
      <c r="AX697" s="1783"/>
      <c r="AY697" s="1783"/>
      <c r="AZ697" s="1783"/>
      <c r="BA697" s="1783"/>
      <c r="BB697" s="1783"/>
      <c r="BC697" s="1783"/>
      <c r="BD697" s="1783"/>
      <c r="BE697" s="1783"/>
      <c r="BF697" s="1783"/>
      <c r="BG697" s="1783"/>
      <c r="BH697" s="1783"/>
      <c r="BI697" s="1783"/>
    </row>
    <row r="698" spans="1:61">
      <c r="A698" s="1819"/>
      <c r="B698" s="1818"/>
      <c r="C698" s="1818"/>
      <c r="D698" s="1818"/>
      <c r="E698" s="1818"/>
      <c r="F698" s="1818"/>
      <c r="G698" s="1818"/>
      <c r="H698" s="1783"/>
      <c r="I698" s="1783"/>
      <c r="J698" s="1783"/>
      <c r="K698" s="1783"/>
      <c r="L698" s="1783"/>
      <c r="M698" s="1783"/>
      <c r="N698" s="1783"/>
      <c r="O698" s="1783"/>
      <c r="P698" s="1783"/>
      <c r="Q698" s="1783"/>
      <c r="R698" s="1783"/>
      <c r="S698" s="1783"/>
      <c r="T698" s="1783"/>
      <c r="U698" s="1783"/>
      <c r="V698" s="1783"/>
      <c r="W698" s="1783"/>
      <c r="X698" s="1783"/>
      <c r="Y698" s="1783"/>
      <c r="Z698" s="1783"/>
      <c r="AA698" s="1783"/>
      <c r="AB698" s="1783"/>
      <c r="AC698" s="1783"/>
      <c r="AD698" s="1783"/>
      <c r="AE698" s="1783"/>
      <c r="AF698" s="1783"/>
      <c r="AG698" s="1783"/>
      <c r="AH698" s="1783"/>
      <c r="AI698" s="1783"/>
      <c r="AJ698" s="1783"/>
      <c r="AK698" s="1783"/>
      <c r="AL698" s="1783"/>
      <c r="AM698" s="1783"/>
      <c r="AN698" s="1783"/>
      <c r="AO698" s="1783"/>
      <c r="AP698" s="1783"/>
      <c r="AQ698" s="1783"/>
      <c r="AR698" s="1783"/>
      <c r="AS698" s="1783"/>
      <c r="AT698" s="1783"/>
      <c r="AU698" s="1783"/>
      <c r="AV698" s="1783"/>
      <c r="AW698" s="1783"/>
      <c r="AX698" s="1783"/>
      <c r="AY698" s="1783"/>
      <c r="AZ698" s="1783"/>
      <c r="BA698" s="1783"/>
      <c r="BB698" s="1783"/>
      <c r="BC698" s="1783"/>
      <c r="BD698" s="1783"/>
      <c r="BE698" s="1783"/>
      <c r="BF698" s="1783"/>
      <c r="BG698" s="1783"/>
      <c r="BH698" s="1783"/>
      <c r="BI698" s="1783"/>
    </row>
    <row r="699" spans="1:61">
      <c r="A699" s="1819"/>
      <c r="B699" s="1818"/>
      <c r="C699" s="1818"/>
      <c r="D699" s="1818"/>
      <c r="E699" s="1818"/>
      <c r="F699" s="1818"/>
      <c r="G699" s="1818"/>
      <c r="H699" s="1783"/>
      <c r="I699" s="1783"/>
      <c r="J699" s="1783"/>
      <c r="K699" s="1783"/>
      <c r="L699" s="1783"/>
      <c r="M699" s="1783"/>
      <c r="N699" s="1783"/>
      <c r="O699" s="1783"/>
      <c r="P699" s="1783"/>
      <c r="Q699" s="1783"/>
      <c r="R699" s="1783"/>
      <c r="S699" s="1783"/>
      <c r="T699" s="1783"/>
      <c r="U699" s="1783"/>
      <c r="V699" s="1783"/>
      <c r="W699" s="1783"/>
      <c r="X699" s="1783"/>
      <c r="Y699" s="1783"/>
      <c r="Z699" s="1783"/>
      <c r="AA699" s="1783"/>
      <c r="AB699" s="1783"/>
      <c r="AC699" s="1783"/>
      <c r="AD699" s="1783"/>
      <c r="AE699" s="1783"/>
      <c r="AF699" s="1783"/>
      <c r="AG699" s="1783"/>
      <c r="AH699" s="1783"/>
      <c r="AI699" s="1783"/>
      <c r="AJ699" s="1783"/>
      <c r="AK699" s="1783"/>
      <c r="AL699" s="1783"/>
      <c r="AM699" s="1783"/>
      <c r="AN699" s="1783"/>
      <c r="AO699" s="1783"/>
      <c r="AP699" s="1783"/>
      <c r="AQ699" s="1783"/>
      <c r="AR699" s="1783"/>
      <c r="AS699" s="1783"/>
      <c r="AT699" s="1783"/>
      <c r="AU699" s="1783"/>
      <c r="AV699" s="1783"/>
      <c r="AW699" s="1783"/>
      <c r="AX699" s="1783"/>
      <c r="AY699" s="1783"/>
      <c r="AZ699" s="1783"/>
      <c r="BA699" s="1783"/>
      <c r="BB699" s="1783"/>
      <c r="BC699" s="1783"/>
      <c r="BD699" s="1783"/>
      <c r="BE699" s="1783"/>
      <c r="BF699" s="1783"/>
      <c r="BG699" s="1783"/>
      <c r="BH699" s="1783"/>
      <c r="BI699" s="1783"/>
    </row>
    <row r="700" spans="1:61">
      <c r="A700" s="1819"/>
      <c r="B700" s="1818"/>
      <c r="C700" s="1818"/>
      <c r="D700" s="1818"/>
      <c r="E700" s="1818"/>
      <c r="F700" s="1818"/>
      <c r="G700" s="1818"/>
      <c r="H700" s="1783"/>
      <c r="I700" s="1783"/>
      <c r="J700" s="1783"/>
      <c r="K700" s="1783"/>
      <c r="L700" s="1783"/>
      <c r="M700" s="1783"/>
      <c r="N700" s="1783"/>
      <c r="O700" s="1783"/>
      <c r="P700" s="1783"/>
      <c r="Q700" s="1783"/>
      <c r="R700" s="1783"/>
      <c r="S700" s="1783"/>
      <c r="T700" s="1783"/>
      <c r="U700" s="1783"/>
      <c r="V700" s="1783"/>
      <c r="W700" s="1783"/>
      <c r="X700" s="1783"/>
      <c r="Y700" s="1783"/>
      <c r="Z700" s="1783"/>
      <c r="AA700" s="1783"/>
      <c r="AB700" s="1783"/>
      <c r="AC700" s="1783"/>
      <c r="AD700" s="1783"/>
      <c r="AE700" s="1783"/>
      <c r="AF700" s="1783"/>
      <c r="AG700" s="1783"/>
      <c r="AH700" s="1783"/>
      <c r="AI700" s="1783"/>
      <c r="AJ700" s="1783"/>
      <c r="AK700" s="1783"/>
      <c r="AL700" s="1783"/>
      <c r="AM700" s="1783"/>
      <c r="AN700" s="1783"/>
      <c r="AO700" s="1783"/>
      <c r="AP700" s="1783"/>
      <c r="AQ700" s="1783"/>
      <c r="AR700" s="1783"/>
      <c r="AS700" s="1783"/>
      <c r="AT700" s="1783"/>
      <c r="AU700" s="1783"/>
      <c r="AV700" s="1783"/>
      <c r="AW700" s="1783"/>
      <c r="AX700" s="1783"/>
      <c r="AY700" s="1783"/>
      <c r="AZ700" s="1783"/>
      <c r="BA700" s="1783"/>
      <c r="BB700" s="1783"/>
      <c r="BC700" s="1783"/>
      <c r="BD700" s="1783"/>
      <c r="BE700" s="1783"/>
      <c r="BF700" s="1783"/>
      <c r="BG700" s="1783"/>
      <c r="BH700" s="1783"/>
      <c r="BI700" s="1783"/>
    </row>
    <row r="701" spans="1:61">
      <c r="A701" s="1819"/>
      <c r="B701" s="1818"/>
      <c r="C701" s="1818"/>
      <c r="D701" s="1818"/>
      <c r="E701" s="1818"/>
      <c r="F701" s="1818"/>
      <c r="G701" s="1818"/>
      <c r="H701" s="1783"/>
      <c r="I701" s="1783"/>
      <c r="J701" s="1783"/>
      <c r="K701" s="1783"/>
      <c r="L701" s="1783"/>
      <c r="M701" s="1783"/>
      <c r="N701" s="1783"/>
      <c r="O701" s="1783"/>
      <c r="P701" s="1783"/>
      <c r="Q701" s="1783"/>
      <c r="R701" s="1783"/>
      <c r="S701" s="1783"/>
      <c r="T701" s="1783"/>
      <c r="U701" s="1783"/>
      <c r="V701" s="1783"/>
      <c r="W701" s="1783"/>
      <c r="X701" s="1783"/>
      <c r="Y701" s="1783"/>
      <c r="Z701" s="1783"/>
      <c r="AA701" s="1783"/>
      <c r="AB701" s="1783"/>
      <c r="AC701" s="1783"/>
      <c r="AD701" s="1783"/>
      <c r="AE701" s="1783"/>
      <c r="AF701" s="1783"/>
      <c r="AG701" s="1783"/>
      <c r="AH701" s="1783"/>
      <c r="AI701" s="1783"/>
      <c r="AJ701" s="1783"/>
      <c r="AK701" s="1783"/>
      <c r="AL701" s="1783"/>
      <c r="AM701" s="1783"/>
      <c r="AN701" s="1783"/>
      <c r="AO701" s="1783"/>
      <c r="AP701" s="1783"/>
      <c r="AQ701" s="1783"/>
      <c r="AR701" s="1783"/>
      <c r="AS701" s="1783"/>
      <c r="AT701" s="1783"/>
      <c r="AU701" s="1783"/>
      <c r="AV701" s="1783"/>
      <c r="AW701" s="1783"/>
      <c r="AX701" s="1783"/>
      <c r="AY701" s="1783"/>
      <c r="AZ701" s="1783"/>
      <c r="BA701" s="1783"/>
      <c r="BB701" s="1783"/>
      <c r="BC701" s="1783"/>
      <c r="BD701" s="1783"/>
      <c r="BE701" s="1783"/>
      <c r="BF701" s="1783"/>
      <c r="BG701" s="1783"/>
      <c r="BH701" s="1783"/>
      <c r="BI701" s="1783"/>
    </row>
    <row r="702" spans="1:61">
      <c r="A702" s="1819"/>
      <c r="B702" s="1818"/>
      <c r="C702" s="1818"/>
      <c r="D702" s="1818"/>
      <c r="E702" s="1818"/>
      <c r="F702" s="1818"/>
      <c r="G702" s="1818"/>
      <c r="H702" s="1783"/>
      <c r="I702" s="1783"/>
      <c r="J702" s="1783"/>
      <c r="K702" s="1783"/>
      <c r="L702" s="1783"/>
      <c r="M702" s="1783"/>
      <c r="N702" s="1783"/>
      <c r="O702" s="1783"/>
      <c r="P702" s="1783"/>
      <c r="Q702" s="1783"/>
      <c r="R702" s="1783"/>
      <c r="S702" s="1783"/>
      <c r="T702" s="1783"/>
      <c r="U702" s="1783"/>
      <c r="V702" s="1783"/>
      <c r="W702" s="1783"/>
      <c r="X702" s="1783"/>
      <c r="Y702" s="1783"/>
      <c r="Z702" s="1783"/>
      <c r="AA702" s="1783"/>
      <c r="AB702" s="1783"/>
      <c r="AC702" s="1783"/>
      <c r="AD702" s="1783"/>
      <c r="AE702" s="1783"/>
      <c r="AF702" s="1783"/>
      <c r="AG702" s="1783"/>
      <c r="AH702" s="1783"/>
      <c r="AI702" s="1783"/>
      <c r="AJ702" s="1783"/>
      <c r="AK702" s="1783"/>
      <c r="AL702" s="1783"/>
      <c r="AM702" s="1783"/>
      <c r="AN702" s="1783"/>
      <c r="AO702" s="1783"/>
      <c r="AP702" s="1783"/>
      <c r="AQ702" s="1783"/>
      <c r="AR702" s="1783"/>
      <c r="AS702" s="1783"/>
      <c r="AT702" s="1783"/>
      <c r="AU702" s="1783"/>
      <c r="AV702" s="1783"/>
      <c r="AW702" s="1783"/>
      <c r="AX702" s="1783"/>
      <c r="AY702" s="1783"/>
      <c r="AZ702" s="1783"/>
      <c r="BA702" s="1783"/>
      <c r="BB702" s="1783"/>
      <c r="BC702" s="1783"/>
      <c r="BD702" s="1783"/>
      <c r="BE702" s="1783"/>
      <c r="BF702" s="1783"/>
      <c r="BG702" s="1783"/>
      <c r="BH702" s="1783"/>
      <c r="BI702" s="1783"/>
    </row>
    <row r="703" spans="1:61">
      <c r="A703" s="1819"/>
      <c r="B703" s="1818"/>
      <c r="C703" s="1818"/>
      <c r="D703" s="1818"/>
      <c r="E703" s="1818"/>
      <c r="F703" s="1818"/>
      <c r="G703" s="1818"/>
      <c r="H703" s="1783"/>
      <c r="I703" s="1783"/>
      <c r="J703" s="1783"/>
      <c r="K703" s="1783"/>
      <c r="L703" s="1783"/>
      <c r="M703" s="1783"/>
      <c r="N703" s="1783"/>
      <c r="O703" s="1783"/>
      <c r="P703" s="1783"/>
      <c r="Q703" s="1783"/>
      <c r="R703" s="1783"/>
      <c r="S703" s="1783"/>
      <c r="T703" s="1783"/>
      <c r="U703" s="1783"/>
      <c r="V703" s="1783"/>
      <c r="W703" s="1783"/>
      <c r="X703" s="1783"/>
      <c r="Y703" s="1783"/>
      <c r="Z703" s="1783"/>
      <c r="AA703" s="1783"/>
      <c r="AB703" s="1783"/>
      <c r="AC703" s="1783"/>
      <c r="AD703" s="1783"/>
      <c r="AE703" s="1783"/>
      <c r="AF703" s="1783"/>
      <c r="AG703" s="1783"/>
      <c r="AH703" s="1783"/>
      <c r="AI703" s="1783"/>
      <c r="AJ703" s="1783"/>
      <c r="AK703" s="1783"/>
      <c r="AL703" s="1783"/>
      <c r="AM703" s="1783"/>
      <c r="AN703" s="1783"/>
      <c r="AO703" s="1783"/>
      <c r="AP703" s="1783"/>
      <c r="AQ703" s="1783"/>
      <c r="AR703" s="1783"/>
      <c r="AS703" s="1783"/>
      <c r="AT703" s="1783"/>
      <c r="AU703" s="1783"/>
      <c r="AV703" s="1783"/>
      <c r="AW703" s="1783"/>
      <c r="AX703" s="1783"/>
      <c r="AY703" s="1783"/>
      <c r="AZ703" s="1783"/>
      <c r="BA703" s="1783"/>
      <c r="BB703" s="1783"/>
      <c r="BC703" s="1783"/>
      <c r="BD703" s="1783"/>
      <c r="BE703" s="1783"/>
      <c r="BF703" s="1783"/>
      <c r="BG703" s="1783"/>
      <c r="BH703" s="1783"/>
      <c r="BI703" s="1783"/>
    </row>
    <row r="704" spans="1:61">
      <c r="A704" s="1819"/>
      <c r="B704" s="1818"/>
      <c r="C704" s="1818"/>
      <c r="D704" s="1818"/>
      <c r="E704" s="1818"/>
      <c r="F704" s="1818"/>
      <c r="G704" s="1818"/>
      <c r="H704" s="1783"/>
      <c r="I704" s="1783"/>
      <c r="J704" s="1783"/>
      <c r="K704" s="1783"/>
      <c r="L704" s="1783"/>
      <c r="M704" s="1783"/>
      <c r="N704" s="1783"/>
      <c r="O704" s="1783"/>
      <c r="P704" s="1783"/>
      <c r="Q704" s="1783"/>
      <c r="R704" s="1783"/>
      <c r="S704" s="1783"/>
      <c r="T704" s="1783"/>
      <c r="U704" s="1783"/>
      <c r="V704" s="1783"/>
      <c r="W704" s="1783"/>
      <c r="X704" s="1783"/>
      <c r="Y704" s="1783"/>
      <c r="Z704" s="1783"/>
      <c r="AA704" s="1783"/>
      <c r="AB704" s="1783"/>
      <c r="AC704" s="1783"/>
      <c r="AD704" s="1783"/>
      <c r="AE704" s="1783"/>
      <c r="AF704" s="1783"/>
      <c r="AG704" s="1783"/>
      <c r="AH704" s="1783"/>
      <c r="AI704" s="1783"/>
      <c r="AJ704" s="1783"/>
      <c r="AK704" s="1783"/>
      <c r="AL704" s="1783"/>
      <c r="AM704" s="1783"/>
      <c r="AN704" s="1783"/>
      <c r="AO704" s="1783"/>
      <c r="AP704" s="1783"/>
      <c r="AQ704" s="1783"/>
      <c r="AR704" s="1783"/>
      <c r="AS704" s="1783"/>
      <c r="AT704" s="1783"/>
      <c r="AU704" s="1783"/>
      <c r="AV704" s="1783"/>
      <c r="AW704" s="1783"/>
      <c r="AX704" s="1783"/>
      <c r="AY704" s="1783"/>
      <c r="AZ704" s="1783"/>
      <c r="BA704" s="1783"/>
      <c r="BB704" s="1783"/>
      <c r="BC704" s="1783"/>
      <c r="BD704" s="1783"/>
      <c r="BE704" s="1783"/>
      <c r="BF704" s="1783"/>
      <c r="BG704" s="1783"/>
      <c r="BH704" s="1783"/>
      <c r="BI704" s="1783"/>
    </row>
    <row r="705" spans="1:61">
      <c r="A705" s="1819"/>
      <c r="B705" s="1818"/>
      <c r="C705" s="1818"/>
      <c r="D705" s="1818"/>
      <c r="E705" s="1818"/>
      <c r="F705" s="1818"/>
      <c r="G705" s="1818"/>
      <c r="H705" s="1783"/>
      <c r="I705" s="1783"/>
      <c r="J705" s="1783"/>
      <c r="K705" s="1783"/>
      <c r="L705" s="1783"/>
      <c r="M705" s="1783"/>
      <c r="N705" s="1783"/>
      <c r="O705" s="1783"/>
      <c r="P705" s="1783"/>
      <c r="Q705" s="1783"/>
      <c r="R705" s="1783"/>
      <c r="S705" s="1783"/>
      <c r="T705" s="1783"/>
      <c r="U705" s="1783"/>
      <c r="V705" s="1783"/>
      <c r="W705" s="1783"/>
      <c r="X705" s="1783"/>
      <c r="Y705" s="1783"/>
      <c r="Z705" s="1783"/>
      <c r="AA705" s="1783"/>
      <c r="AB705" s="1783"/>
      <c r="AC705" s="1783"/>
      <c r="AD705" s="1783"/>
      <c r="AE705" s="1783"/>
      <c r="AF705" s="1783"/>
      <c r="AG705" s="1783"/>
      <c r="AH705" s="1783"/>
      <c r="AI705" s="1783"/>
      <c r="AJ705" s="1783"/>
      <c r="AK705" s="1783"/>
      <c r="AL705" s="1783"/>
      <c r="AM705" s="1783"/>
      <c r="AN705" s="1783"/>
      <c r="AO705" s="1783"/>
      <c r="AP705" s="1783"/>
      <c r="AQ705" s="1783"/>
      <c r="AR705" s="1783"/>
      <c r="AS705" s="1783"/>
      <c r="AT705" s="1783"/>
      <c r="AU705" s="1783"/>
      <c r="AV705" s="1783"/>
      <c r="AW705" s="1783"/>
      <c r="AX705" s="1783"/>
      <c r="AY705" s="1783"/>
      <c r="AZ705" s="1783"/>
      <c r="BA705" s="1783"/>
      <c r="BB705" s="1783"/>
      <c r="BC705" s="1783"/>
      <c r="BD705" s="1783"/>
      <c r="BE705" s="1783"/>
      <c r="BF705" s="1783"/>
      <c r="BG705" s="1783"/>
      <c r="BH705" s="1783"/>
      <c r="BI705" s="1783"/>
    </row>
    <row r="706" spans="1:61">
      <c r="A706" s="1819"/>
      <c r="B706" s="1818"/>
      <c r="C706" s="1818"/>
      <c r="D706" s="1818"/>
      <c r="E706" s="1818"/>
      <c r="F706" s="1818"/>
      <c r="G706" s="1818"/>
      <c r="H706" s="1783"/>
      <c r="I706" s="1783"/>
      <c r="J706" s="1783"/>
      <c r="K706" s="1783"/>
      <c r="L706" s="1783"/>
      <c r="M706" s="1783"/>
      <c r="N706" s="1783"/>
      <c r="O706" s="1783"/>
      <c r="P706" s="1783"/>
      <c r="Q706" s="1783"/>
      <c r="R706" s="1783"/>
      <c r="S706" s="1783"/>
      <c r="T706" s="1783"/>
      <c r="U706" s="1783"/>
      <c r="V706" s="1783"/>
      <c r="W706" s="1783"/>
      <c r="X706" s="1783"/>
      <c r="Y706" s="1783"/>
      <c r="Z706" s="1783"/>
      <c r="AA706" s="1783"/>
      <c r="AB706" s="1783"/>
      <c r="AC706" s="1783"/>
      <c r="AD706" s="1783"/>
      <c r="AE706" s="1783"/>
      <c r="AF706" s="1783"/>
      <c r="AG706" s="1783"/>
      <c r="AH706" s="1783"/>
      <c r="AI706" s="1783"/>
      <c r="AJ706" s="1783"/>
      <c r="AK706" s="1783"/>
      <c r="AL706" s="1783"/>
      <c r="AM706" s="1783"/>
      <c r="AN706" s="1783"/>
      <c r="AO706" s="1783"/>
      <c r="AP706" s="1783"/>
      <c r="AQ706" s="1783"/>
      <c r="AR706" s="1783"/>
      <c r="AS706" s="1783"/>
      <c r="AT706" s="1783"/>
      <c r="AU706" s="1783"/>
      <c r="AV706" s="1783"/>
      <c r="AW706" s="1783"/>
      <c r="AX706" s="1783"/>
      <c r="AY706" s="1783"/>
      <c r="AZ706" s="1783"/>
      <c r="BA706" s="1783"/>
      <c r="BB706" s="1783"/>
      <c r="BC706" s="1783"/>
      <c r="BD706" s="1783"/>
      <c r="BE706" s="1783"/>
      <c r="BF706" s="1783"/>
      <c r="BG706" s="1783"/>
      <c r="BH706" s="1783"/>
      <c r="BI706" s="1783"/>
    </row>
    <row r="707" spans="1:61">
      <c r="A707" s="1819"/>
      <c r="B707" s="1818"/>
      <c r="C707" s="1818"/>
      <c r="D707" s="1818"/>
      <c r="E707" s="1818"/>
      <c r="F707" s="1818"/>
      <c r="G707" s="1818"/>
      <c r="H707" s="1783"/>
      <c r="I707" s="1783"/>
      <c r="J707" s="1783"/>
      <c r="K707" s="1783"/>
      <c r="L707" s="1783"/>
      <c r="M707" s="1783"/>
      <c r="N707" s="1783"/>
      <c r="O707" s="1783"/>
      <c r="P707" s="1783"/>
      <c r="Q707" s="1783"/>
      <c r="R707" s="1783"/>
      <c r="S707" s="1783"/>
      <c r="T707" s="1783"/>
      <c r="U707" s="1783"/>
      <c r="V707" s="1783"/>
      <c r="W707" s="1783"/>
      <c r="X707" s="1783"/>
      <c r="Y707" s="1783"/>
      <c r="Z707" s="1783"/>
      <c r="AA707" s="1783"/>
      <c r="AB707" s="1783"/>
      <c r="AC707" s="1783"/>
      <c r="AD707" s="1783"/>
      <c r="AE707" s="1783"/>
      <c r="AF707" s="1783"/>
      <c r="AG707" s="1783"/>
      <c r="AH707" s="1783"/>
      <c r="AI707" s="1783"/>
      <c r="AJ707" s="1783"/>
      <c r="AK707" s="1783"/>
      <c r="AL707" s="1783"/>
      <c r="AM707" s="1783"/>
      <c r="AN707" s="1783"/>
      <c r="AO707" s="1783"/>
      <c r="AP707" s="1783"/>
      <c r="AQ707" s="1783"/>
      <c r="AR707" s="1783"/>
      <c r="AS707" s="1783"/>
      <c r="AT707" s="1783"/>
      <c r="AU707" s="1783"/>
      <c r="AV707" s="1783"/>
      <c r="AW707" s="1783"/>
      <c r="AX707" s="1783"/>
      <c r="AY707" s="1783"/>
      <c r="AZ707" s="1783"/>
      <c r="BA707" s="1783"/>
      <c r="BB707" s="1783"/>
      <c r="BC707" s="1783"/>
      <c r="BD707" s="1783"/>
      <c r="BE707" s="1783"/>
      <c r="BF707" s="1783"/>
      <c r="BG707" s="1783"/>
      <c r="BH707" s="1783"/>
      <c r="BI707" s="1783"/>
    </row>
    <row r="708" spans="1:61">
      <c r="A708" s="1819"/>
      <c r="B708" s="1818"/>
      <c r="C708" s="1818"/>
      <c r="D708" s="1818"/>
      <c r="E708" s="1818"/>
      <c r="F708" s="1818"/>
      <c r="G708" s="1818"/>
      <c r="H708" s="1783"/>
      <c r="I708" s="1783"/>
      <c r="J708" s="1783"/>
      <c r="K708" s="1783"/>
      <c r="L708" s="1783"/>
      <c r="M708" s="1783"/>
      <c r="N708" s="1783"/>
      <c r="O708" s="1783"/>
      <c r="P708" s="1783"/>
      <c r="Q708" s="1783"/>
      <c r="R708" s="1783"/>
      <c r="S708" s="1783"/>
      <c r="T708" s="1783"/>
      <c r="U708" s="1783"/>
      <c r="V708" s="1783"/>
      <c r="W708" s="1783"/>
      <c r="X708" s="1783"/>
      <c r="Y708" s="1783"/>
      <c r="Z708" s="1783"/>
      <c r="AA708" s="1783"/>
      <c r="AB708" s="1783"/>
      <c r="AC708" s="1783"/>
      <c r="AD708" s="1783"/>
      <c r="AE708" s="1783"/>
      <c r="AF708" s="1783"/>
      <c r="AG708" s="1783"/>
      <c r="AH708" s="1783"/>
      <c r="AI708" s="1783"/>
      <c r="AJ708" s="1783"/>
      <c r="AK708" s="1783"/>
      <c r="AL708" s="1783"/>
      <c r="AM708" s="1783"/>
      <c r="AN708" s="1783"/>
      <c r="AO708" s="1783"/>
      <c r="AP708" s="1783"/>
      <c r="AQ708" s="1783"/>
      <c r="AR708" s="1783"/>
      <c r="AS708" s="1783"/>
      <c r="AT708" s="1783"/>
      <c r="AU708" s="1783"/>
      <c r="AV708" s="1783"/>
      <c r="AW708" s="1783"/>
      <c r="AX708" s="1783"/>
      <c r="AY708" s="1783"/>
      <c r="AZ708" s="1783"/>
      <c r="BA708" s="1783"/>
      <c r="BB708" s="1783"/>
      <c r="BC708" s="1783"/>
      <c r="BD708" s="1783"/>
      <c r="BE708" s="1783"/>
      <c r="BF708" s="1783"/>
      <c r="BG708" s="1783"/>
      <c r="BH708" s="1783"/>
      <c r="BI708" s="1783"/>
    </row>
    <row r="709" spans="1:61">
      <c r="A709" s="1819"/>
      <c r="B709" s="1818"/>
      <c r="C709" s="1818"/>
      <c r="D709" s="1818"/>
      <c r="E709" s="1818"/>
      <c r="F709" s="1818"/>
      <c r="G709" s="1818"/>
      <c r="H709" s="1783"/>
      <c r="I709" s="1783"/>
      <c r="J709" s="1783"/>
      <c r="K709" s="1783"/>
      <c r="L709" s="1783"/>
      <c r="M709" s="1783"/>
      <c r="N709" s="1783"/>
      <c r="O709" s="1783"/>
      <c r="P709" s="1783"/>
      <c r="Q709" s="1783"/>
      <c r="R709" s="1783"/>
      <c r="S709" s="1783"/>
      <c r="T709" s="1783"/>
      <c r="U709" s="1783"/>
      <c r="V709" s="1783"/>
      <c r="W709" s="1783"/>
      <c r="X709" s="1783"/>
      <c r="Y709" s="1783"/>
      <c r="Z709" s="1783"/>
      <c r="AA709" s="1783"/>
      <c r="AB709" s="1783"/>
      <c r="AC709" s="1783"/>
      <c r="AD709" s="1783"/>
      <c r="AE709" s="1783"/>
      <c r="AF709" s="1783"/>
      <c r="AG709" s="1783"/>
      <c r="AH709" s="1783"/>
      <c r="AI709" s="1783"/>
      <c r="AJ709" s="1783"/>
      <c r="AK709" s="1783"/>
      <c r="AL709" s="1783"/>
      <c r="AM709" s="1783"/>
      <c r="AN709" s="1783"/>
      <c r="AO709" s="1783"/>
      <c r="AP709" s="1783"/>
      <c r="AQ709" s="1783"/>
      <c r="AR709" s="1783"/>
      <c r="AS709" s="1783"/>
      <c r="AT709" s="1783"/>
      <c r="AU709" s="1783"/>
      <c r="AV709" s="1783"/>
      <c r="AW709" s="1783"/>
      <c r="AX709" s="1783"/>
      <c r="AY709" s="1783"/>
      <c r="AZ709" s="1783"/>
      <c r="BA709" s="1783"/>
      <c r="BB709" s="1783"/>
      <c r="BC709" s="1783"/>
      <c r="BD709" s="1783"/>
      <c r="BE709" s="1783"/>
      <c r="BF709" s="1783"/>
      <c r="BG709" s="1783"/>
      <c r="BH709" s="1783"/>
      <c r="BI709" s="1783"/>
    </row>
    <row r="710" spans="1:61">
      <c r="A710" s="1819"/>
      <c r="B710" s="1818"/>
      <c r="C710" s="1818"/>
      <c r="D710" s="1818"/>
      <c r="E710" s="1818"/>
      <c r="F710" s="1818"/>
      <c r="G710" s="1818"/>
      <c r="H710" s="1783"/>
      <c r="I710" s="1783"/>
      <c r="J710" s="1783"/>
      <c r="K710" s="1783"/>
      <c r="L710" s="1783"/>
      <c r="M710" s="1783"/>
      <c r="N710" s="1783"/>
      <c r="O710" s="1783"/>
      <c r="P710" s="1783"/>
      <c r="Q710" s="1783"/>
      <c r="R710" s="1783"/>
      <c r="S710" s="1783"/>
      <c r="T710" s="1783"/>
      <c r="U710" s="1783"/>
      <c r="V710" s="1783"/>
      <c r="W710" s="1783"/>
      <c r="X710" s="1783"/>
      <c r="Y710" s="1783"/>
      <c r="Z710" s="1783"/>
      <c r="AA710" s="1783"/>
      <c r="AB710" s="1783"/>
      <c r="AC710" s="1783"/>
      <c r="AD710" s="1783"/>
      <c r="AE710" s="1783"/>
      <c r="AF710" s="1783"/>
      <c r="AG710" s="1783"/>
      <c r="AH710" s="1783"/>
      <c r="AI710" s="1783"/>
      <c r="AJ710" s="1783"/>
      <c r="AK710" s="1783"/>
      <c r="AL710" s="1783"/>
      <c r="AM710" s="1783"/>
      <c r="AN710" s="1783"/>
      <c r="AO710" s="1783"/>
      <c r="AP710" s="1783"/>
      <c r="AQ710" s="1783"/>
      <c r="AR710" s="1783"/>
      <c r="AS710" s="1783"/>
      <c r="AT710" s="1783"/>
      <c r="AU710" s="1783"/>
      <c r="AV710" s="1783"/>
      <c r="AW710" s="1783"/>
      <c r="AX710" s="1783"/>
      <c r="AY710" s="1783"/>
      <c r="AZ710" s="1783"/>
      <c r="BA710" s="1783"/>
      <c r="BB710" s="1783"/>
      <c r="BC710" s="1783"/>
      <c r="BD710" s="1783"/>
      <c r="BE710" s="1783"/>
      <c r="BF710" s="1783"/>
      <c r="BG710" s="1783"/>
      <c r="BH710" s="1783"/>
      <c r="BI710" s="1783"/>
    </row>
    <row r="711" spans="1:61">
      <c r="A711" s="1819"/>
      <c r="B711" s="1818"/>
      <c r="C711" s="1818"/>
      <c r="D711" s="1818"/>
      <c r="E711" s="1818"/>
      <c r="F711" s="1818"/>
      <c r="G711" s="1818"/>
      <c r="H711" s="1783"/>
      <c r="I711" s="1783"/>
      <c r="J711" s="1783"/>
      <c r="K711" s="1783"/>
      <c r="L711" s="1783"/>
      <c r="M711" s="1783"/>
      <c r="N711" s="1783"/>
      <c r="O711" s="1783"/>
      <c r="P711" s="1783"/>
      <c r="Q711" s="1783"/>
      <c r="R711" s="1783"/>
      <c r="S711" s="1783"/>
      <c r="T711" s="1783"/>
      <c r="U711" s="1783"/>
      <c r="V711" s="1783"/>
      <c r="W711" s="1783"/>
      <c r="X711" s="1783"/>
      <c r="Y711" s="1783"/>
      <c r="Z711" s="1783"/>
      <c r="AA711" s="1783"/>
      <c r="AB711" s="1783"/>
      <c r="AC711" s="1783"/>
      <c r="AD711" s="1783"/>
      <c r="AE711" s="1783"/>
      <c r="AF711" s="1783"/>
      <c r="AG711" s="1783"/>
      <c r="AH711" s="1783"/>
      <c r="AI711" s="1783"/>
      <c r="AJ711" s="1783"/>
      <c r="AK711" s="1783"/>
      <c r="AL711" s="1783"/>
      <c r="AM711" s="1783"/>
      <c r="AN711" s="1783"/>
      <c r="AO711" s="1783"/>
      <c r="AP711" s="1783"/>
      <c r="AQ711" s="1783"/>
      <c r="AR711" s="1783"/>
      <c r="AS711" s="1783"/>
      <c r="AT711" s="1783"/>
      <c r="AU711" s="1783"/>
      <c r="AV711" s="1783"/>
      <c r="AW711" s="1783"/>
      <c r="AX711" s="1783"/>
      <c r="AY711" s="1783"/>
      <c r="AZ711" s="1783"/>
      <c r="BA711" s="1783"/>
      <c r="BB711" s="1783"/>
      <c r="BC711" s="1783"/>
      <c r="BD711" s="1783"/>
      <c r="BE711" s="1783"/>
      <c r="BF711" s="1783"/>
      <c r="BG711" s="1783"/>
      <c r="BH711" s="1783"/>
      <c r="BI711" s="1783"/>
    </row>
    <row r="712" spans="1:61">
      <c r="A712" s="1819"/>
      <c r="B712" s="1818"/>
      <c r="C712" s="1818"/>
      <c r="D712" s="1818"/>
      <c r="E712" s="1818"/>
      <c r="F712" s="1818"/>
      <c r="G712" s="1818"/>
      <c r="H712" s="1783"/>
      <c r="I712" s="1783"/>
      <c r="J712" s="1783"/>
      <c r="K712" s="1783"/>
      <c r="L712" s="1783"/>
      <c r="M712" s="1783"/>
      <c r="N712" s="1783"/>
      <c r="O712" s="1783"/>
      <c r="P712" s="1783"/>
      <c r="Q712" s="1783"/>
      <c r="R712" s="1783"/>
      <c r="S712" s="1783"/>
      <c r="T712" s="1783"/>
      <c r="U712" s="1783"/>
      <c r="V712" s="1783"/>
      <c r="W712" s="1783"/>
      <c r="X712" s="1783"/>
      <c r="Y712" s="1783"/>
      <c r="Z712" s="1783"/>
      <c r="AA712" s="1783"/>
      <c r="AB712" s="1783"/>
      <c r="AC712" s="1783"/>
      <c r="AD712" s="1783"/>
      <c r="AE712" s="1783"/>
      <c r="AF712" s="1783"/>
      <c r="AG712" s="1783"/>
      <c r="AH712" s="1783"/>
      <c r="AI712" s="1783"/>
      <c r="AJ712" s="1783"/>
      <c r="AK712" s="1783"/>
      <c r="AL712" s="1783"/>
      <c r="AM712" s="1783"/>
      <c r="AN712" s="1783"/>
      <c r="AO712" s="1783"/>
      <c r="AP712" s="1783"/>
      <c r="AQ712" s="1783"/>
      <c r="AR712" s="1783"/>
      <c r="AS712" s="1783"/>
      <c r="AT712" s="1783"/>
      <c r="AU712" s="1783"/>
      <c r="AV712" s="1783"/>
      <c r="AW712" s="1783"/>
      <c r="AX712" s="1783"/>
      <c r="AY712" s="1783"/>
      <c r="AZ712" s="1783"/>
      <c r="BA712" s="1783"/>
      <c r="BB712" s="1783"/>
      <c r="BC712" s="1783"/>
      <c r="BD712" s="1783"/>
      <c r="BE712" s="1783"/>
      <c r="BF712" s="1783"/>
      <c r="BG712" s="1783"/>
      <c r="BH712" s="1783"/>
      <c r="BI712" s="1783"/>
    </row>
    <row r="713" spans="1:61">
      <c r="A713" s="1819"/>
      <c r="B713" s="1818"/>
      <c r="C713" s="1818"/>
      <c r="D713" s="1818"/>
      <c r="E713" s="1818"/>
      <c r="F713" s="1818"/>
      <c r="G713" s="1818"/>
      <c r="H713" s="1783"/>
      <c r="I713" s="1783"/>
      <c r="J713" s="1783"/>
      <c r="K713" s="1783"/>
      <c r="L713" s="1783"/>
      <c r="M713" s="1783"/>
      <c r="N713" s="1783"/>
      <c r="O713" s="1783"/>
      <c r="P713" s="1783"/>
      <c r="Q713" s="1783"/>
      <c r="R713" s="1783"/>
      <c r="S713" s="1783"/>
      <c r="T713" s="1783"/>
      <c r="U713" s="1783"/>
      <c r="V713" s="1783"/>
      <c r="W713" s="1783"/>
      <c r="X713" s="1783"/>
      <c r="Y713" s="1783"/>
      <c r="Z713" s="1783"/>
      <c r="AA713" s="1783"/>
      <c r="AB713" s="1783"/>
      <c r="AC713" s="1783"/>
      <c r="AD713" s="1783"/>
      <c r="AE713" s="1783"/>
      <c r="AF713" s="1783"/>
      <c r="AG713" s="1783"/>
      <c r="AH713" s="1783"/>
      <c r="AI713" s="1783"/>
      <c r="AJ713" s="1783"/>
      <c r="AK713" s="1783"/>
      <c r="AL713" s="1783"/>
      <c r="AM713" s="1783"/>
      <c r="AN713" s="1783"/>
      <c r="AO713" s="1783"/>
      <c r="AP713" s="1783"/>
      <c r="AQ713" s="1783"/>
      <c r="AR713" s="1783"/>
      <c r="AS713" s="1783"/>
      <c r="AT713" s="1783"/>
      <c r="AU713" s="1783"/>
      <c r="AV713" s="1783"/>
      <c r="AW713" s="1783"/>
      <c r="AX713" s="1783"/>
      <c r="AY713" s="1783"/>
      <c r="AZ713" s="1783"/>
      <c r="BA713" s="1783"/>
      <c r="BB713" s="1783"/>
      <c r="BC713" s="1783"/>
      <c r="BD713" s="1783"/>
      <c r="BE713" s="1783"/>
      <c r="BF713" s="1783"/>
      <c r="BG713" s="1783"/>
      <c r="BH713" s="1783"/>
      <c r="BI713" s="1783"/>
    </row>
    <row r="714" spans="1:61">
      <c r="A714" s="1819"/>
      <c r="B714" s="1818"/>
      <c r="C714" s="1818"/>
      <c r="D714" s="1818"/>
      <c r="E714" s="1818"/>
      <c r="F714" s="1818"/>
      <c r="G714" s="1818"/>
      <c r="H714" s="1783"/>
      <c r="I714" s="1783"/>
      <c r="J714" s="1783"/>
      <c r="K714" s="1783"/>
      <c r="L714" s="1783"/>
      <c r="M714" s="1783"/>
      <c r="N714" s="1783"/>
      <c r="O714" s="1783"/>
      <c r="P714" s="1783"/>
      <c r="Q714" s="1783"/>
      <c r="R714" s="1783"/>
      <c r="S714" s="1783"/>
      <c r="T714" s="1783"/>
      <c r="U714" s="1783"/>
      <c r="V714" s="1783"/>
      <c r="W714" s="1783"/>
      <c r="X714" s="1783"/>
      <c r="Y714" s="1783"/>
      <c r="Z714" s="1783"/>
      <c r="AA714" s="1783"/>
      <c r="AB714" s="1783"/>
      <c r="AC714" s="1783"/>
      <c r="AD714" s="1783"/>
      <c r="AE714" s="1783"/>
      <c r="AF714" s="1783"/>
      <c r="AG714" s="1783"/>
      <c r="AH714" s="1783"/>
      <c r="AI714" s="1783"/>
      <c r="AJ714" s="1783"/>
      <c r="AK714" s="1783"/>
      <c r="AL714" s="1783"/>
      <c r="AM714" s="1783"/>
      <c r="AN714" s="1783"/>
      <c r="AO714" s="1783"/>
      <c r="AP714" s="1783"/>
      <c r="AQ714" s="1783"/>
      <c r="AR714" s="1783"/>
      <c r="AS714" s="1783"/>
      <c r="AT714" s="1783"/>
      <c r="AU714" s="1783"/>
      <c r="AV714" s="1783"/>
      <c r="AW714" s="1783"/>
      <c r="AX714" s="1783"/>
      <c r="AY714" s="1783"/>
      <c r="AZ714" s="1783"/>
      <c r="BA714" s="1783"/>
      <c r="BB714" s="1783"/>
      <c r="BC714" s="1783"/>
      <c r="BD714" s="1783"/>
      <c r="BE714" s="1783"/>
      <c r="BF714" s="1783"/>
      <c r="BG714" s="1783"/>
      <c r="BH714" s="1783"/>
      <c r="BI714" s="1783"/>
    </row>
    <row r="715" spans="1:61">
      <c r="A715" s="1819"/>
      <c r="B715" s="1818"/>
      <c r="C715" s="1818"/>
      <c r="D715" s="1818"/>
      <c r="E715" s="1818"/>
      <c r="F715" s="1818"/>
      <c r="G715" s="1818"/>
      <c r="H715" s="1783"/>
      <c r="I715" s="1783"/>
      <c r="J715" s="1783"/>
      <c r="K715" s="1783"/>
      <c r="L715" s="1783"/>
      <c r="M715" s="1783"/>
      <c r="N715" s="1783"/>
      <c r="O715" s="1783"/>
      <c r="P715" s="1783"/>
      <c r="Q715" s="1783"/>
      <c r="R715" s="1783"/>
      <c r="S715" s="1783"/>
      <c r="T715" s="1783"/>
      <c r="U715" s="1783"/>
      <c r="V715" s="1783"/>
      <c r="W715" s="1783"/>
      <c r="X715" s="1783"/>
      <c r="Y715" s="1783"/>
      <c r="Z715" s="1783"/>
      <c r="AA715" s="1783"/>
      <c r="AB715" s="1783"/>
      <c r="AC715" s="1783"/>
      <c r="AD715" s="1783"/>
      <c r="AE715" s="1783"/>
      <c r="AF715" s="1783"/>
      <c r="AG715" s="1783"/>
      <c r="AH715" s="1783"/>
      <c r="AI715" s="1783"/>
      <c r="AJ715" s="1783"/>
      <c r="AK715" s="1783"/>
      <c r="AL715" s="1783"/>
      <c r="AM715" s="1783"/>
      <c r="AN715" s="1783"/>
      <c r="AO715" s="1783"/>
      <c r="AP715" s="1783"/>
      <c r="AQ715" s="1783"/>
      <c r="AR715" s="1783"/>
      <c r="AS715" s="1783"/>
      <c r="AT715" s="1783"/>
      <c r="AU715" s="1783"/>
      <c r="AV715" s="1783"/>
      <c r="AW715" s="1783"/>
      <c r="AX715" s="1783"/>
      <c r="AY715" s="1783"/>
      <c r="AZ715" s="1783"/>
      <c r="BA715" s="1783"/>
      <c r="BB715" s="1783"/>
      <c r="BC715" s="1783"/>
      <c r="BD715" s="1783"/>
      <c r="BE715" s="1783"/>
      <c r="BF715" s="1783"/>
      <c r="BG715" s="1783"/>
      <c r="BH715" s="1783"/>
      <c r="BI715" s="1783"/>
    </row>
    <row r="716" spans="1:61">
      <c r="A716" s="1819"/>
      <c r="B716" s="1818"/>
      <c r="C716" s="1818"/>
      <c r="D716" s="1818"/>
      <c r="E716" s="1818"/>
      <c r="F716" s="1818"/>
      <c r="G716" s="1818"/>
      <c r="H716" s="1783"/>
      <c r="I716" s="1783"/>
      <c r="J716" s="1783"/>
      <c r="K716" s="1783"/>
      <c r="L716" s="1783"/>
      <c r="M716" s="1783"/>
      <c r="N716" s="1783"/>
      <c r="O716" s="1783"/>
      <c r="P716" s="1783"/>
      <c r="Q716" s="1783"/>
      <c r="R716" s="1783"/>
      <c r="S716" s="1783"/>
      <c r="T716" s="1783"/>
      <c r="U716" s="1783"/>
      <c r="V716" s="1783"/>
      <c r="W716" s="1783"/>
      <c r="X716" s="1783"/>
      <c r="Y716" s="1783"/>
      <c r="Z716" s="1783"/>
      <c r="AA716" s="1783"/>
      <c r="AB716" s="1783"/>
      <c r="AC716" s="1783"/>
      <c r="AD716" s="1783"/>
      <c r="AE716" s="1783"/>
      <c r="AF716" s="1783"/>
      <c r="AG716" s="1783"/>
      <c r="AH716" s="1783"/>
      <c r="AI716" s="1783"/>
      <c r="AJ716" s="1783"/>
      <c r="AK716" s="1783"/>
      <c r="AL716" s="1783"/>
      <c r="AM716" s="1783"/>
      <c r="AN716" s="1783"/>
      <c r="AO716" s="1783"/>
      <c r="AP716" s="1783"/>
      <c r="AQ716" s="1783"/>
      <c r="AR716" s="1783"/>
      <c r="AS716" s="1783"/>
      <c r="AT716" s="1783"/>
      <c r="AU716" s="1783"/>
      <c r="AV716" s="1783"/>
      <c r="AW716" s="1783"/>
      <c r="AX716" s="1783"/>
      <c r="AY716" s="1783"/>
      <c r="AZ716" s="1783"/>
      <c r="BA716" s="1783"/>
      <c r="BB716" s="1783"/>
      <c r="BC716" s="1783"/>
      <c r="BD716" s="1783"/>
      <c r="BE716" s="1783"/>
      <c r="BF716" s="1783"/>
      <c r="BG716" s="1783"/>
      <c r="BH716" s="1783"/>
      <c r="BI716" s="1783"/>
    </row>
    <row r="717" spans="1:61">
      <c r="A717" s="1819"/>
      <c r="B717" s="1818"/>
      <c r="C717" s="1818"/>
      <c r="D717" s="1818"/>
      <c r="E717" s="1818"/>
      <c r="F717" s="1818"/>
      <c r="G717" s="1818"/>
      <c r="H717" s="1783"/>
      <c r="I717" s="1783"/>
      <c r="J717" s="1783"/>
      <c r="K717" s="1783"/>
      <c r="L717" s="1783"/>
      <c r="M717" s="1783"/>
      <c r="N717" s="1783"/>
      <c r="O717" s="1783"/>
      <c r="P717" s="1783"/>
      <c r="Q717" s="1783"/>
      <c r="R717" s="1783"/>
      <c r="S717" s="1783"/>
      <c r="T717" s="1783"/>
      <c r="U717" s="1783"/>
      <c r="V717" s="1783"/>
      <c r="W717" s="1783"/>
      <c r="X717" s="1783"/>
      <c r="Y717" s="1783"/>
      <c r="Z717" s="1783"/>
      <c r="AA717" s="1783"/>
      <c r="AB717" s="1783"/>
      <c r="AC717" s="1783"/>
      <c r="AD717" s="1783"/>
      <c r="AE717" s="1783"/>
      <c r="AF717" s="1783"/>
      <c r="AG717" s="1783"/>
      <c r="AH717" s="1783"/>
      <c r="AI717" s="1783"/>
      <c r="AJ717" s="1783"/>
      <c r="AK717" s="1783"/>
      <c r="AL717" s="1783"/>
      <c r="AM717" s="1783"/>
      <c r="AN717" s="1783"/>
      <c r="AO717" s="1783"/>
      <c r="AP717" s="1783"/>
      <c r="AQ717" s="1783"/>
      <c r="AR717" s="1783"/>
      <c r="AS717" s="1783"/>
      <c r="AT717" s="1783"/>
      <c r="AU717" s="1783"/>
      <c r="AV717" s="1783"/>
      <c r="AW717" s="1783"/>
      <c r="AX717" s="1783"/>
      <c r="AY717" s="1783"/>
      <c r="AZ717" s="1783"/>
      <c r="BA717" s="1783"/>
      <c r="BB717" s="1783"/>
      <c r="BC717" s="1783"/>
      <c r="BD717" s="1783"/>
      <c r="BE717" s="1783"/>
      <c r="BF717" s="1783"/>
      <c r="BG717" s="1783"/>
      <c r="BH717" s="1783"/>
      <c r="BI717" s="1783"/>
    </row>
    <row r="718" spans="1:61">
      <c r="A718" s="1819"/>
      <c r="B718" s="1818"/>
      <c r="C718" s="1818"/>
      <c r="D718" s="1818"/>
      <c r="E718" s="1818"/>
      <c r="F718" s="1818"/>
      <c r="G718" s="1818"/>
      <c r="H718" s="1783"/>
      <c r="I718" s="1783"/>
      <c r="J718" s="1783"/>
      <c r="K718" s="1783"/>
      <c r="L718" s="1783"/>
      <c r="M718" s="1783"/>
      <c r="N718" s="1783"/>
      <c r="O718" s="1783"/>
      <c r="P718" s="1783"/>
      <c r="Q718" s="1783"/>
      <c r="R718" s="1783"/>
      <c r="S718" s="1783"/>
      <c r="T718" s="1783"/>
      <c r="U718" s="1783"/>
      <c r="V718" s="1783"/>
      <c r="W718" s="1783"/>
      <c r="X718" s="1783"/>
      <c r="Y718" s="1783"/>
      <c r="Z718" s="1783"/>
      <c r="AA718" s="1783"/>
      <c r="AB718" s="1783"/>
      <c r="AC718" s="1783"/>
      <c r="AD718" s="1783"/>
      <c r="AE718" s="1783"/>
      <c r="AF718" s="1783"/>
      <c r="AG718" s="1783"/>
      <c r="AH718" s="1783"/>
      <c r="AI718" s="1783"/>
      <c r="AJ718" s="1783"/>
      <c r="AK718" s="1783"/>
      <c r="AL718" s="1783"/>
      <c r="AM718" s="1783"/>
      <c r="AN718" s="1783"/>
      <c r="AO718" s="1783"/>
      <c r="AP718" s="1783"/>
      <c r="AQ718" s="1783"/>
      <c r="AR718" s="1783"/>
      <c r="AS718" s="1783"/>
      <c r="AT718" s="1783"/>
      <c r="AU718" s="1783"/>
      <c r="AV718" s="1783"/>
      <c r="AW718" s="1783"/>
      <c r="AX718" s="1783"/>
      <c r="AY718" s="1783"/>
      <c r="AZ718" s="1783"/>
      <c r="BA718" s="1783"/>
      <c r="BB718" s="1783"/>
      <c r="BC718" s="1783"/>
      <c r="BD718" s="1783"/>
      <c r="BE718" s="1783"/>
      <c r="BF718" s="1783"/>
      <c r="BG718" s="1783"/>
      <c r="BH718" s="1783"/>
      <c r="BI718" s="1783"/>
    </row>
    <row r="719" spans="1:61">
      <c r="A719" s="1819"/>
      <c r="B719" s="1818"/>
      <c r="C719" s="1818"/>
      <c r="D719" s="1818"/>
      <c r="E719" s="1818"/>
      <c r="F719" s="1818"/>
      <c r="G719" s="1818"/>
      <c r="H719" s="1783"/>
      <c r="I719" s="1783"/>
      <c r="J719" s="1783"/>
      <c r="K719" s="1783"/>
      <c r="L719" s="1783"/>
      <c r="M719" s="1783"/>
      <c r="N719" s="1783"/>
      <c r="O719" s="1783"/>
      <c r="P719" s="1783"/>
      <c r="Q719" s="1783"/>
      <c r="R719" s="1783"/>
      <c r="S719" s="1783"/>
      <c r="T719" s="1783"/>
      <c r="U719" s="1783"/>
      <c r="V719" s="1783"/>
      <c r="W719" s="1783"/>
      <c r="X719" s="1783"/>
      <c r="Y719" s="1783"/>
      <c r="Z719" s="1783"/>
      <c r="AA719" s="1783"/>
      <c r="AB719" s="1783"/>
      <c r="AC719" s="1783"/>
      <c r="AD719" s="1783"/>
      <c r="AE719" s="1783"/>
      <c r="AF719" s="1783"/>
      <c r="AG719" s="1783"/>
      <c r="AH719" s="1783"/>
      <c r="AI719" s="1783"/>
      <c r="AJ719" s="1783"/>
      <c r="AK719" s="1783"/>
      <c r="AL719" s="1783"/>
      <c r="AM719" s="1783"/>
      <c r="AN719" s="1783"/>
      <c r="AO719" s="1783"/>
      <c r="AP719" s="1783"/>
      <c r="AQ719" s="1783"/>
      <c r="AR719" s="1783"/>
      <c r="AS719" s="1783"/>
      <c r="AT719" s="1783"/>
      <c r="AU719" s="1783"/>
      <c r="AV719" s="1783"/>
      <c r="AW719" s="1783"/>
      <c r="AX719" s="1783"/>
      <c r="AY719" s="1783"/>
      <c r="AZ719" s="1783"/>
      <c r="BA719" s="1783"/>
      <c r="BB719" s="1783"/>
      <c r="BC719" s="1783"/>
      <c r="BD719" s="1783"/>
      <c r="BE719" s="1783"/>
      <c r="BF719" s="1783"/>
      <c r="BG719" s="1783"/>
      <c r="BH719" s="1783"/>
      <c r="BI719" s="1783"/>
    </row>
    <row r="720" spans="1:61">
      <c r="A720" s="1819"/>
      <c r="B720" s="1818"/>
      <c r="C720" s="1818"/>
      <c r="D720" s="1818"/>
      <c r="E720" s="1818"/>
      <c r="F720" s="1818"/>
      <c r="G720" s="1818"/>
      <c r="H720" s="1783"/>
      <c r="I720" s="1783"/>
      <c r="J720" s="1783"/>
      <c r="K720" s="1783"/>
      <c r="L720" s="1783"/>
      <c r="M720" s="1783"/>
      <c r="N720" s="1783"/>
      <c r="O720" s="1783"/>
      <c r="P720" s="1783"/>
      <c r="Q720" s="1783"/>
      <c r="R720" s="1783"/>
      <c r="S720" s="1783"/>
      <c r="T720" s="1783"/>
      <c r="U720" s="1783"/>
      <c r="V720" s="1783"/>
      <c r="W720" s="1783"/>
      <c r="X720" s="1783"/>
      <c r="Y720" s="1783"/>
      <c r="Z720" s="1783"/>
      <c r="AA720" s="1783"/>
      <c r="AB720" s="1783"/>
      <c r="AC720" s="1783"/>
      <c r="AD720" s="1783"/>
      <c r="AE720" s="1783"/>
      <c r="AF720" s="1783"/>
      <c r="AG720" s="1783"/>
      <c r="AH720" s="1783"/>
      <c r="AI720" s="1783"/>
      <c r="AJ720" s="1783"/>
      <c r="AK720" s="1783"/>
      <c r="AL720" s="1783"/>
      <c r="AM720" s="1783"/>
      <c r="AN720" s="1783"/>
      <c r="AO720" s="1783"/>
      <c r="AP720" s="1783"/>
      <c r="AQ720" s="1783"/>
      <c r="AR720" s="1783"/>
      <c r="AS720" s="1783"/>
      <c r="AT720" s="1783"/>
      <c r="AU720" s="1783"/>
      <c r="AV720" s="1783"/>
      <c r="AW720" s="1783"/>
      <c r="AX720" s="1783"/>
      <c r="AY720" s="1783"/>
      <c r="AZ720" s="1783"/>
      <c r="BA720" s="1783"/>
      <c r="BB720" s="1783"/>
      <c r="BC720" s="1783"/>
      <c r="BD720" s="1783"/>
      <c r="BE720" s="1783"/>
      <c r="BF720" s="1783"/>
      <c r="BG720" s="1783"/>
      <c r="BH720" s="1783"/>
      <c r="BI720" s="1783"/>
    </row>
    <row r="721" spans="1:61">
      <c r="A721" s="1819"/>
      <c r="B721" s="1818"/>
      <c r="C721" s="1818"/>
      <c r="D721" s="1818"/>
      <c r="E721" s="1818"/>
      <c r="F721" s="1818"/>
      <c r="G721" s="1818"/>
      <c r="H721" s="1783"/>
      <c r="I721" s="1783"/>
      <c r="J721" s="1783"/>
      <c r="K721" s="1783"/>
      <c r="L721" s="1783"/>
      <c r="M721" s="1783"/>
      <c r="N721" s="1783"/>
      <c r="O721" s="1783"/>
      <c r="P721" s="1783"/>
      <c r="Q721" s="1783"/>
      <c r="R721" s="1783"/>
      <c r="S721" s="1783"/>
      <c r="T721" s="1783"/>
      <c r="U721" s="1783"/>
      <c r="V721" s="1783"/>
      <c r="W721" s="1783"/>
      <c r="X721" s="1783"/>
      <c r="Y721" s="1783"/>
      <c r="Z721" s="1783"/>
      <c r="AA721" s="1783"/>
      <c r="AB721" s="1783"/>
      <c r="AC721" s="1783"/>
      <c r="AD721" s="1783"/>
      <c r="AE721" s="1783"/>
      <c r="AF721" s="1783"/>
      <c r="AG721" s="1783"/>
      <c r="AH721" s="1783"/>
      <c r="AI721" s="1783"/>
      <c r="AJ721" s="1783"/>
      <c r="AK721" s="1783"/>
      <c r="AL721" s="1783"/>
      <c r="AM721" s="1783"/>
      <c r="AN721" s="1783"/>
      <c r="AO721" s="1783"/>
      <c r="AP721" s="1783"/>
      <c r="AQ721" s="1783"/>
      <c r="AR721" s="1783"/>
      <c r="AS721" s="1783"/>
      <c r="AT721" s="1783"/>
      <c r="AU721" s="1783"/>
      <c r="AV721" s="1783"/>
      <c r="AW721" s="1783"/>
      <c r="AX721" s="1783"/>
      <c r="AY721" s="1783"/>
      <c r="AZ721" s="1783"/>
      <c r="BA721" s="1783"/>
      <c r="BB721" s="1783"/>
      <c r="BC721" s="1783"/>
      <c r="BD721" s="1783"/>
      <c r="BE721" s="1783"/>
      <c r="BF721" s="1783"/>
      <c r="BG721" s="1783"/>
      <c r="BH721" s="1783"/>
      <c r="BI721" s="1783"/>
    </row>
    <row r="722" spans="1:61">
      <c r="A722" s="1819"/>
      <c r="B722" s="1818"/>
      <c r="C722" s="1818"/>
      <c r="D722" s="1818"/>
      <c r="E722" s="1818"/>
      <c r="F722" s="1818"/>
      <c r="G722" s="1818"/>
      <c r="H722" s="1783"/>
      <c r="I722" s="1783"/>
      <c r="J722" s="1783"/>
      <c r="K722" s="1783"/>
      <c r="L722" s="1783"/>
      <c r="M722" s="1783"/>
      <c r="N722" s="1783"/>
      <c r="O722" s="1783"/>
      <c r="P722" s="1783"/>
      <c r="Q722" s="1783"/>
      <c r="R722" s="1783"/>
      <c r="S722" s="1783"/>
      <c r="T722" s="1783"/>
      <c r="U722" s="1783"/>
      <c r="V722" s="1783"/>
      <c r="W722" s="1783"/>
      <c r="X722" s="1783"/>
      <c r="Y722" s="1783"/>
      <c r="Z722" s="1783"/>
      <c r="AA722" s="1783"/>
      <c r="AB722" s="1783"/>
      <c r="AC722" s="1783"/>
      <c r="AD722" s="1783"/>
      <c r="AE722" s="1783"/>
      <c r="AF722" s="1783"/>
      <c r="AG722" s="1783"/>
      <c r="AH722" s="1783"/>
      <c r="AI722" s="1783"/>
      <c r="AJ722" s="1783"/>
      <c r="AK722" s="1783"/>
      <c r="AL722" s="1783"/>
      <c r="AM722" s="1783"/>
      <c r="AN722" s="1783"/>
      <c r="AO722" s="1783"/>
      <c r="AP722" s="1783"/>
      <c r="AQ722" s="1783"/>
      <c r="AR722" s="1783"/>
      <c r="AS722" s="1783"/>
      <c r="AT722" s="1783"/>
      <c r="AU722" s="1783"/>
      <c r="AV722" s="1783"/>
      <c r="AW722" s="1783"/>
      <c r="AX722" s="1783"/>
      <c r="AY722" s="1783"/>
      <c r="AZ722" s="1783"/>
      <c r="BA722" s="1783"/>
      <c r="BB722" s="1783"/>
      <c r="BC722" s="1783"/>
      <c r="BD722" s="1783"/>
      <c r="BE722" s="1783"/>
      <c r="BF722" s="1783"/>
      <c r="BG722" s="1783"/>
      <c r="BH722" s="1783"/>
      <c r="BI722" s="1783"/>
    </row>
    <row r="723" spans="1:61">
      <c r="A723" s="1819"/>
      <c r="B723" s="1818"/>
      <c r="C723" s="1818"/>
      <c r="D723" s="1818"/>
      <c r="E723" s="1818"/>
      <c r="F723" s="1818"/>
      <c r="G723" s="1818"/>
      <c r="H723" s="1783"/>
      <c r="I723" s="1783"/>
      <c r="J723" s="1783"/>
      <c r="K723" s="1783"/>
      <c r="L723" s="1783"/>
      <c r="M723" s="1783"/>
      <c r="N723" s="1783"/>
      <c r="O723" s="1783"/>
      <c r="P723" s="1783"/>
      <c r="Q723" s="1783"/>
      <c r="R723" s="1783"/>
      <c r="S723" s="1783"/>
      <c r="T723" s="1783"/>
      <c r="U723" s="1783"/>
      <c r="V723" s="1783"/>
      <c r="W723" s="1783"/>
      <c r="X723" s="1783"/>
      <c r="Y723" s="1783"/>
      <c r="Z723" s="1783"/>
      <c r="AA723" s="1783"/>
      <c r="AB723" s="1783"/>
      <c r="AC723" s="1783"/>
      <c r="AD723" s="1783"/>
      <c r="AE723" s="1783"/>
      <c r="AF723" s="1783"/>
      <c r="AG723" s="1783"/>
      <c r="AH723" s="1783"/>
      <c r="AI723" s="1783"/>
      <c r="AJ723" s="1783"/>
      <c r="AK723" s="1783"/>
      <c r="AL723" s="1783"/>
      <c r="AM723" s="1783"/>
      <c r="AN723" s="1783"/>
      <c r="AO723" s="1783"/>
      <c r="AP723" s="1783"/>
      <c r="AQ723" s="1783"/>
      <c r="AR723" s="1783"/>
      <c r="AS723" s="1783"/>
      <c r="AT723" s="1783"/>
      <c r="AU723" s="1783"/>
      <c r="AV723" s="1783"/>
      <c r="AW723" s="1783"/>
      <c r="AX723" s="1783"/>
      <c r="AY723" s="1783"/>
      <c r="AZ723" s="1783"/>
      <c r="BA723" s="1783"/>
      <c r="BB723" s="1783"/>
      <c r="BC723" s="1783"/>
      <c r="BD723" s="1783"/>
      <c r="BE723" s="1783"/>
      <c r="BF723" s="1783"/>
      <c r="BG723" s="1783"/>
      <c r="BH723" s="1783"/>
      <c r="BI723" s="1783"/>
    </row>
    <row r="724" spans="1:61">
      <c r="A724" s="1819"/>
      <c r="B724" s="1818"/>
      <c r="C724" s="1818"/>
      <c r="D724" s="1818"/>
      <c r="E724" s="1818"/>
      <c r="F724" s="1818"/>
      <c r="G724" s="1818"/>
      <c r="H724" s="1783"/>
      <c r="I724" s="1783"/>
      <c r="J724" s="1783"/>
      <c r="K724" s="1783"/>
      <c r="L724" s="1783"/>
      <c r="M724" s="1783"/>
      <c r="N724" s="1783"/>
      <c r="O724" s="1783"/>
      <c r="P724" s="1783"/>
      <c r="Q724" s="1783"/>
      <c r="R724" s="1783"/>
      <c r="S724" s="1783"/>
      <c r="T724" s="1783"/>
      <c r="U724" s="1783"/>
      <c r="V724" s="1783"/>
      <c r="W724" s="1783"/>
      <c r="X724" s="1783"/>
      <c r="Y724" s="1783"/>
      <c r="Z724" s="1783"/>
      <c r="AA724" s="1783"/>
      <c r="AB724" s="1783"/>
      <c r="AC724" s="1783"/>
      <c r="AD724" s="1783"/>
      <c r="AE724" s="1783"/>
      <c r="AF724" s="1783"/>
      <c r="AG724" s="1783"/>
      <c r="AH724" s="1783"/>
      <c r="AI724" s="1783"/>
      <c r="AJ724" s="1783"/>
      <c r="AK724" s="1783"/>
      <c r="AL724" s="1783"/>
      <c r="AM724" s="1783"/>
      <c r="AN724" s="1783"/>
      <c r="AO724" s="1783"/>
      <c r="AP724" s="1783"/>
      <c r="AQ724" s="1783"/>
      <c r="AR724" s="1783"/>
      <c r="AS724" s="1783"/>
      <c r="AT724" s="1783"/>
      <c r="AU724" s="1783"/>
      <c r="AV724" s="1783"/>
      <c r="AW724" s="1783"/>
      <c r="AX724" s="1783"/>
      <c r="AY724" s="1783"/>
      <c r="AZ724" s="1783"/>
      <c r="BA724" s="1783"/>
      <c r="BB724" s="1783"/>
      <c r="BC724" s="1783"/>
      <c r="BD724" s="1783"/>
      <c r="BE724" s="1783"/>
      <c r="BF724" s="1783"/>
      <c r="BG724" s="1783"/>
      <c r="BH724" s="1783"/>
      <c r="BI724" s="1783"/>
    </row>
    <row r="725" spans="1:61">
      <c r="A725" s="1819"/>
      <c r="B725" s="1818"/>
      <c r="C725" s="1818"/>
      <c r="D725" s="1818"/>
      <c r="E725" s="1818"/>
      <c r="F725" s="1818"/>
      <c r="G725" s="1818"/>
      <c r="H725" s="1783"/>
      <c r="I725" s="1783"/>
      <c r="J725" s="1783"/>
      <c r="K725" s="1783"/>
      <c r="L725" s="1783"/>
      <c r="M725" s="1783"/>
      <c r="N725" s="1783"/>
      <c r="O725" s="1783"/>
      <c r="P725" s="1783"/>
      <c r="Q725" s="1783"/>
      <c r="R725" s="1783"/>
      <c r="S725" s="1783"/>
      <c r="T725" s="1783"/>
      <c r="U725" s="1783"/>
      <c r="V725" s="1783"/>
      <c r="W725" s="1783"/>
      <c r="X725" s="1783"/>
      <c r="Y725" s="1783"/>
      <c r="Z725" s="1783"/>
      <c r="AA725" s="1783"/>
      <c r="AB725" s="1783"/>
      <c r="AC725" s="1783"/>
      <c r="AD725" s="1783"/>
      <c r="AE725" s="1783"/>
      <c r="AF725" s="1783"/>
      <c r="AG725" s="1783"/>
      <c r="AH725" s="1783"/>
      <c r="AI725" s="1783"/>
      <c r="AJ725" s="1783"/>
      <c r="AK725" s="1783"/>
      <c r="AL725" s="1783"/>
      <c r="AM725" s="1783"/>
      <c r="AN725" s="1783"/>
      <c r="AO725" s="1783"/>
      <c r="AP725" s="1783"/>
      <c r="AQ725" s="1783"/>
      <c r="AR725" s="1783"/>
      <c r="AS725" s="1783"/>
      <c r="AT725" s="1783"/>
      <c r="AU725" s="1783"/>
      <c r="AV725" s="1783"/>
      <c r="AW725" s="1783"/>
      <c r="AX725" s="1783"/>
      <c r="AY725" s="1783"/>
      <c r="AZ725" s="1783"/>
      <c r="BA725" s="1783"/>
      <c r="BB725" s="1783"/>
      <c r="BC725" s="1783"/>
      <c r="BD725" s="1783"/>
      <c r="BE725" s="1783"/>
      <c r="BF725" s="1783"/>
      <c r="BG725" s="1783"/>
      <c r="BH725" s="1783"/>
      <c r="BI725" s="1783"/>
    </row>
    <row r="726" spans="1:61">
      <c r="A726" s="1819"/>
      <c r="B726" s="1818"/>
      <c r="C726" s="1818"/>
      <c r="D726" s="1818"/>
      <c r="E726" s="1818"/>
      <c r="F726" s="1818"/>
      <c r="G726" s="1818"/>
      <c r="H726" s="1783"/>
      <c r="I726" s="1783"/>
      <c r="J726" s="1783"/>
      <c r="K726" s="1783"/>
      <c r="L726" s="1783"/>
      <c r="M726" s="1783"/>
      <c r="N726" s="1783"/>
      <c r="O726" s="1783"/>
      <c r="P726" s="1783"/>
      <c r="Q726" s="1783"/>
      <c r="R726" s="1783"/>
      <c r="S726" s="1783"/>
      <c r="T726" s="1783"/>
      <c r="U726" s="1783"/>
      <c r="V726" s="1783"/>
      <c r="W726" s="1783"/>
      <c r="X726" s="1783"/>
      <c r="Y726" s="1783"/>
      <c r="Z726" s="1783"/>
      <c r="AA726" s="1783"/>
      <c r="AB726" s="1783"/>
      <c r="AC726" s="1783"/>
      <c r="AD726" s="1783"/>
      <c r="AE726" s="1783"/>
      <c r="AF726" s="1783"/>
      <c r="AG726" s="1783"/>
      <c r="AH726" s="1783"/>
      <c r="AI726" s="1783"/>
      <c r="AJ726" s="1783"/>
      <c r="AK726" s="1783"/>
      <c r="AL726" s="1783"/>
      <c r="AM726" s="1783"/>
      <c r="AN726" s="1783"/>
      <c r="AO726" s="1783"/>
      <c r="AP726" s="1783"/>
      <c r="AQ726" s="1783"/>
      <c r="AR726" s="1783"/>
      <c r="AS726" s="1783"/>
      <c r="AT726" s="1783"/>
      <c r="AU726" s="1783"/>
      <c r="AV726" s="1783"/>
      <c r="AW726" s="1783"/>
      <c r="AX726" s="1783"/>
      <c r="AY726" s="1783"/>
      <c r="AZ726" s="1783"/>
      <c r="BA726" s="1783"/>
      <c r="BB726" s="1783"/>
      <c r="BC726" s="1783"/>
      <c r="BD726" s="1783"/>
      <c r="BE726" s="1783"/>
      <c r="BF726" s="1783"/>
      <c r="BG726" s="1783"/>
      <c r="BH726" s="1783"/>
      <c r="BI726" s="1783"/>
    </row>
    <row r="727" spans="1:61">
      <c r="A727" s="1819"/>
      <c r="B727" s="1818"/>
      <c r="C727" s="1818"/>
      <c r="D727" s="1818"/>
      <c r="E727" s="1818"/>
      <c r="F727" s="1818"/>
      <c r="G727" s="1818"/>
      <c r="H727" s="1783"/>
      <c r="I727" s="1783"/>
      <c r="J727" s="1783"/>
      <c r="K727" s="1783"/>
      <c r="L727" s="1783"/>
      <c r="M727" s="1783"/>
      <c r="N727" s="1783"/>
      <c r="O727" s="1783"/>
      <c r="P727" s="1783"/>
      <c r="Q727" s="1783"/>
      <c r="R727" s="1783"/>
      <c r="S727" s="1783"/>
      <c r="T727" s="1783"/>
      <c r="U727" s="1783"/>
      <c r="V727" s="1783"/>
      <c r="W727" s="1783"/>
      <c r="X727" s="1783"/>
      <c r="Y727" s="1783"/>
      <c r="Z727" s="1783"/>
      <c r="AA727" s="1783"/>
      <c r="AB727" s="1783"/>
      <c r="AC727" s="1783"/>
      <c r="AD727" s="1783"/>
      <c r="AE727" s="1783"/>
      <c r="AF727" s="1783"/>
      <c r="AG727" s="1783"/>
      <c r="AH727" s="1783"/>
      <c r="AI727" s="1783"/>
      <c r="AJ727" s="1783"/>
      <c r="AK727" s="1783"/>
      <c r="AL727" s="1783"/>
      <c r="AM727" s="1783"/>
      <c r="AN727" s="1783"/>
      <c r="AO727" s="1783"/>
      <c r="AP727" s="1783"/>
      <c r="AQ727" s="1783"/>
      <c r="AR727" s="1783"/>
      <c r="AS727" s="1783"/>
      <c r="AT727" s="1783"/>
      <c r="AU727" s="1783"/>
      <c r="AV727" s="1783"/>
      <c r="AW727" s="1783"/>
      <c r="AX727" s="1783"/>
      <c r="AY727" s="1783"/>
      <c r="AZ727" s="1783"/>
      <c r="BA727" s="1783"/>
      <c r="BB727" s="1783"/>
      <c r="BC727" s="1783"/>
      <c r="BD727" s="1783"/>
      <c r="BE727" s="1783"/>
      <c r="BF727" s="1783"/>
      <c r="BG727" s="1783"/>
      <c r="BH727" s="1783"/>
      <c r="BI727" s="1783"/>
    </row>
    <row r="728" spans="1:61">
      <c r="A728" s="1819"/>
      <c r="B728" s="1818"/>
      <c r="C728" s="1818"/>
      <c r="D728" s="1818"/>
      <c r="E728" s="1818"/>
      <c r="F728" s="1818"/>
      <c r="G728" s="1818"/>
      <c r="H728" s="1783"/>
      <c r="I728" s="1783"/>
      <c r="J728" s="1783"/>
      <c r="K728" s="1783"/>
      <c r="L728" s="1783"/>
      <c r="M728" s="1783"/>
      <c r="N728" s="1783"/>
      <c r="O728" s="1783"/>
      <c r="P728" s="1783"/>
      <c r="Q728" s="1783"/>
      <c r="R728" s="1783"/>
      <c r="S728" s="1783"/>
      <c r="T728" s="1783"/>
      <c r="U728" s="1783"/>
      <c r="V728" s="1783"/>
      <c r="W728" s="1783"/>
      <c r="X728" s="1783"/>
      <c r="Y728" s="1783"/>
      <c r="Z728" s="1783"/>
      <c r="AA728" s="1783"/>
      <c r="AB728" s="1783"/>
      <c r="AC728" s="1783"/>
      <c r="AD728" s="1783"/>
      <c r="AE728" s="1783"/>
      <c r="AF728" s="1783"/>
      <c r="AG728" s="1783"/>
      <c r="AH728" s="1783"/>
      <c r="AI728" s="1783"/>
      <c r="AJ728" s="1783"/>
      <c r="AK728" s="1783"/>
      <c r="AL728" s="1783"/>
      <c r="AM728" s="1783"/>
      <c r="AN728" s="1783"/>
      <c r="AO728" s="1783"/>
      <c r="AP728" s="1783"/>
      <c r="AQ728" s="1783"/>
      <c r="AR728" s="1783"/>
      <c r="AS728" s="1783"/>
      <c r="AT728" s="1783"/>
      <c r="AU728" s="1783"/>
      <c r="AV728" s="1783"/>
      <c r="AW728" s="1783"/>
      <c r="AX728" s="1783"/>
      <c r="AY728" s="1783"/>
      <c r="AZ728" s="1783"/>
      <c r="BA728" s="1783"/>
      <c r="BB728" s="1783"/>
      <c r="BC728" s="1783"/>
      <c r="BD728" s="1783"/>
      <c r="BE728" s="1783"/>
      <c r="BF728" s="1783"/>
      <c r="BG728" s="1783"/>
      <c r="BH728" s="1783"/>
      <c r="BI728" s="1783"/>
    </row>
    <row r="729" spans="1:61">
      <c r="A729" s="1819"/>
      <c r="B729" s="1818"/>
      <c r="C729" s="1818"/>
      <c r="D729" s="1818"/>
      <c r="E729" s="1818"/>
      <c r="F729" s="1818"/>
      <c r="G729" s="1818"/>
      <c r="H729" s="1783"/>
      <c r="I729" s="1783"/>
      <c r="J729" s="1783"/>
      <c r="K729" s="1783"/>
      <c r="L729" s="1783"/>
      <c r="M729" s="1783"/>
      <c r="N729" s="1783"/>
      <c r="O729" s="1783"/>
      <c r="P729" s="1783"/>
      <c r="Q729" s="1783"/>
      <c r="R729" s="1783"/>
      <c r="S729" s="1783"/>
      <c r="T729" s="1783"/>
      <c r="U729" s="1783"/>
      <c r="V729" s="1783"/>
      <c r="W729" s="1783"/>
      <c r="X729" s="1783"/>
      <c r="Y729" s="1783"/>
      <c r="Z729" s="1783"/>
      <c r="AA729" s="1783"/>
      <c r="AB729" s="1783"/>
      <c r="AC729" s="1783"/>
      <c r="AD729" s="1783"/>
      <c r="AE729" s="1783"/>
      <c r="AF729" s="1783"/>
      <c r="AG729" s="1783"/>
      <c r="AH729" s="1783"/>
      <c r="AI729" s="1783"/>
      <c r="AJ729" s="1783"/>
      <c r="AK729" s="1783"/>
      <c r="AL729" s="1783"/>
      <c r="AM729" s="1783"/>
      <c r="AN729" s="1783"/>
      <c r="AO729" s="1783"/>
      <c r="AP729" s="1783"/>
      <c r="AQ729" s="1783"/>
      <c r="AR729" s="1783"/>
      <c r="AS729" s="1783"/>
      <c r="AT729" s="1783"/>
      <c r="AU729" s="1783"/>
      <c r="AV729" s="1783"/>
      <c r="AW729" s="1783"/>
      <c r="AX729" s="1783"/>
      <c r="AY729" s="1783"/>
      <c r="AZ729" s="1783"/>
      <c r="BA729" s="1783"/>
      <c r="BB729" s="1783"/>
      <c r="BC729" s="1783"/>
      <c r="BD729" s="1783"/>
      <c r="BE729" s="1783"/>
      <c r="BF729" s="1783"/>
      <c r="BG729" s="1783"/>
      <c r="BH729" s="1783"/>
      <c r="BI729" s="1783"/>
    </row>
    <row r="730" spans="1:61">
      <c r="A730" s="1819"/>
      <c r="B730" s="1818"/>
      <c r="C730" s="1818"/>
      <c r="D730" s="1818"/>
      <c r="E730" s="1818"/>
      <c r="F730" s="1818"/>
      <c r="G730" s="1818"/>
      <c r="H730" s="1783"/>
      <c r="I730" s="1783"/>
      <c r="J730" s="1783"/>
      <c r="K730" s="1783"/>
      <c r="L730" s="1783"/>
      <c r="M730" s="1783"/>
      <c r="N730" s="1783"/>
      <c r="O730" s="1783"/>
      <c r="P730" s="1783"/>
      <c r="Q730" s="1783"/>
      <c r="R730" s="1783"/>
      <c r="S730" s="1783"/>
      <c r="T730" s="1783"/>
      <c r="U730" s="1783"/>
      <c r="V730" s="1783"/>
      <c r="W730" s="1783"/>
      <c r="X730" s="1783"/>
      <c r="Y730" s="1783"/>
      <c r="Z730" s="1783"/>
      <c r="AA730" s="1783"/>
      <c r="AB730" s="1783"/>
      <c r="AC730" s="1783"/>
      <c r="AD730" s="1783"/>
      <c r="AE730" s="1783"/>
      <c r="AF730" s="1783"/>
      <c r="AG730" s="1783"/>
      <c r="AH730" s="1783"/>
      <c r="AI730" s="1783"/>
      <c r="AJ730" s="1783"/>
      <c r="AK730" s="1783"/>
      <c r="AL730" s="1783"/>
      <c r="AM730" s="1783"/>
      <c r="AN730" s="1783"/>
      <c r="AO730" s="1783"/>
      <c r="AP730" s="1783"/>
      <c r="AQ730" s="1783"/>
      <c r="AR730" s="1783"/>
      <c r="AS730" s="1783"/>
      <c r="AT730" s="1783"/>
      <c r="AU730" s="1783"/>
      <c r="AV730" s="1783"/>
      <c r="AW730" s="1783"/>
      <c r="AX730" s="1783"/>
      <c r="AY730" s="1783"/>
      <c r="AZ730" s="1783"/>
      <c r="BA730" s="1783"/>
      <c r="BB730" s="1783"/>
      <c r="BC730" s="1783"/>
      <c r="BD730" s="1783"/>
      <c r="BE730" s="1783"/>
      <c r="BF730" s="1783"/>
      <c r="BG730" s="1783"/>
      <c r="BH730" s="1783"/>
      <c r="BI730" s="1783"/>
    </row>
    <row r="731" spans="1:61">
      <c r="A731" s="1819"/>
      <c r="B731" s="1818"/>
      <c r="C731" s="1818"/>
      <c r="D731" s="1818"/>
      <c r="E731" s="1818"/>
      <c r="F731" s="1818"/>
      <c r="G731" s="1818"/>
      <c r="H731" s="1783"/>
      <c r="I731" s="1783"/>
      <c r="J731" s="1783"/>
      <c r="K731" s="1783"/>
      <c r="L731" s="1783"/>
      <c r="M731" s="1783"/>
      <c r="N731" s="1783"/>
      <c r="O731" s="1783"/>
      <c r="P731" s="1783"/>
      <c r="Q731" s="1783"/>
      <c r="R731" s="1783"/>
      <c r="S731" s="1783"/>
      <c r="T731" s="1783"/>
      <c r="U731" s="1783"/>
      <c r="V731" s="1783"/>
      <c r="W731" s="1783"/>
      <c r="X731" s="1783"/>
      <c r="Y731" s="1783"/>
      <c r="Z731" s="1783"/>
      <c r="AA731" s="1783"/>
      <c r="AB731" s="1783"/>
      <c r="AC731" s="1783"/>
      <c r="AD731" s="1783"/>
      <c r="AE731" s="1783"/>
      <c r="AF731" s="1783"/>
      <c r="AG731" s="1783"/>
      <c r="AH731" s="1783"/>
      <c r="AI731" s="1783"/>
      <c r="AJ731" s="1783"/>
      <c r="AK731" s="1783"/>
      <c r="AL731" s="1783"/>
      <c r="AM731" s="1783"/>
      <c r="AN731" s="1783"/>
      <c r="AO731" s="1783"/>
      <c r="AP731" s="1783"/>
      <c r="AQ731" s="1783"/>
      <c r="AR731" s="1783"/>
      <c r="AS731" s="1783"/>
      <c r="AT731" s="1783"/>
      <c r="AU731" s="1783"/>
      <c r="AV731" s="1783"/>
      <c r="AW731" s="1783"/>
      <c r="AX731" s="1783"/>
      <c r="AY731" s="1783"/>
      <c r="AZ731" s="1783"/>
      <c r="BA731" s="1783"/>
      <c r="BB731" s="1783"/>
      <c r="BC731" s="1783"/>
      <c r="BD731" s="1783"/>
      <c r="BE731" s="1783"/>
      <c r="BF731" s="1783"/>
      <c r="BG731" s="1783"/>
      <c r="BH731" s="1783"/>
      <c r="BI731" s="1783"/>
    </row>
    <row r="732" spans="1:61">
      <c r="A732" s="1819"/>
      <c r="B732" s="1818"/>
      <c r="C732" s="1818"/>
      <c r="D732" s="1818"/>
      <c r="E732" s="1818"/>
      <c r="F732" s="1818"/>
      <c r="G732" s="1818"/>
      <c r="H732" s="1783"/>
      <c r="I732" s="1783"/>
      <c r="J732" s="1783"/>
      <c r="K732" s="1783"/>
      <c r="L732" s="1783"/>
      <c r="M732" s="1783"/>
      <c r="N732" s="1783"/>
      <c r="O732" s="1783"/>
      <c r="P732" s="1783"/>
      <c r="Q732" s="1783"/>
      <c r="R732" s="1783"/>
      <c r="S732" s="1783"/>
      <c r="T732" s="1783"/>
      <c r="U732" s="1783"/>
      <c r="V732" s="1783"/>
      <c r="W732" s="1783"/>
      <c r="X732" s="1783"/>
      <c r="Y732" s="1783"/>
      <c r="Z732" s="1783"/>
      <c r="AA732" s="1783"/>
      <c r="AB732" s="1783"/>
      <c r="AC732" s="1783"/>
      <c r="AD732" s="1783"/>
      <c r="AE732" s="1783"/>
      <c r="AF732" s="1783"/>
      <c r="AG732" s="1783"/>
      <c r="AH732" s="1783"/>
      <c r="AI732" s="1783"/>
      <c r="AJ732" s="1783"/>
      <c r="AK732" s="1783"/>
      <c r="AL732" s="1783"/>
      <c r="AM732" s="1783"/>
      <c r="AN732" s="1783"/>
      <c r="AO732" s="1783"/>
      <c r="AP732" s="1783"/>
      <c r="AQ732" s="1783"/>
      <c r="AR732" s="1783"/>
      <c r="AS732" s="1783"/>
      <c r="AT732" s="1783"/>
      <c r="AU732" s="1783"/>
      <c r="AV732" s="1783"/>
      <c r="AW732" s="1783"/>
      <c r="AX732" s="1783"/>
      <c r="AY732" s="1783"/>
      <c r="AZ732" s="1783"/>
      <c r="BA732" s="1783"/>
      <c r="BB732" s="1783"/>
      <c r="BC732" s="1783"/>
      <c r="BD732" s="1783"/>
      <c r="BE732" s="1783"/>
      <c r="BF732" s="1783"/>
      <c r="BG732" s="1783"/>
      <c r="BH732" s="1783"/>
      <c r="BI732" s="1783"/>
    </row>
    <row r="733" spans="1:61">
      <c r="A733" s="1819"/>
      <c r="B733" s="1818"/>
      <c r="C733" s="1818"/>
      <c r="D733" s="1818"/>
      <c r="E733" s="1818"/>
      <c r="F733" s="1818"/>
      <c r="G733" s="1818"/>
      <c r="H733" s="1783"/>
      <c r="I733" s="1783"/>
      <c r="J733" s="1783"/>
      <c r="K733" s="1783"/>
      <c r="L733" s="1783"/>
      <c r="M733" s="1783"/>
      <c r="N733" s="1783"/>
      <c r="O733" s="1783"/>
      <c r="P733" s="1783"/>
      <c r="Q733" s="1783"/>
      <c r="R733" s="1783"/>
      <c r="S733" s="1783"/>
      <c r="T733" s="1783"/>
      <c r="U733" s="1783"/>
      <c r="V733" s="1783"/>
      <c r="W733" s="1783"/>
      <c r="X733" s="1783"/>
      <c r="Y733" s="1783"/>
      <c r="Z733" s="1783"/>
      <c r="AA733" s="1783"/>
      <c r="AB733" s="1783"/>
      <c r="AC733" s="1783"/>
      <c r="AD733" s="1783"/>
      <c r="AE733" s="1783"/>
      <c r="AF733" s="1783"/>
      <c r="AG733" s="1783"/>
      <c r="AH733" s="1783"/>
      <c r="AI733" s="1783"/>
      <c r="AJ733" s="1783"/>
      <c r="AK733" s="1783"/>
      <c r="AL733" s="1783"/>
      <c r="AM733" s="1783"/>
      <c r="AN733" s="1783"/>
      <c r="AO733" s="1783"/>
      <c r="AP733" s="1783"/>
      <c r="AQ733" s="1783"/>
      <c r="AR733" s="1783"/>
      <c r="AS733" s="1783"/>
      <c r="AT733" s="1783"/>
      <c r="AU733" s="1783"/>
      <c r="AV733" s="1783"/>
      <c r="AW733" s="1783"/>
      <c r="AX733" s="1783"/>
      <c r="AY733" s="1783"/>
      <c r="AZ733" s="1783"/>
      <c r="BA733" s="1783"/>
      <c r="BB733" s="1783"/>
      <c r="BC733" s="1783"/>
      <c r="BD733" s="1783"/>
      <c r="BE733" s="1783"/>
      <c r="BF733" s="1783"/>
      <c r="BG733" s="1783"/>
      <c r="BH733" s="1783"/>
      <c r="BI733" s="1783"/>
    </row>
    <row r="734" spans="1:61">
      <c r="A734" s="1819"/>
      <c r="B734" s="1818"/>
      <c r="C734" s="1818"/>
      <c r="D734" s="1818"/>
      <c r="E734" s="1818"/>
      <c r="F734" s="1818"/>
      <c r="G734" s="1818"/>
      <c r="H734" s="1783"/>
      <c r="I734" s="1783"/>
      <c r="J734" s="1783"/>
      <c r="K734" s="1783"/>
      <c r="L734" s="1783"/>
      <c r="M734" s="1783"/>
      <c r="N734" s="1783"/>
      <c r="O734" s="1783"/>
      <c r="P734" s="1783"/>
      <c r="Q734" s="1783"/>
      <c r="R734" s="1783"/>
      <c r="S734" s="1783"/>
      <c r="T734" s="1783"/>
      <c r="U734" s="1783"/>
      <c r="V734" s="1783"/>
      <c r="W734" s="1783"/>
      <c r="X734" s="1783"/>
      <c r="Y734" s="1783"/>
      <c r="Z734" s="1783"/>
      <c r="AA734" s="1783"/>
      <c r="AB734" s="1783"/>
      <c r="AC734" s="1783"/>
      <c r="AD734" s="1783"/>
      <c r="AE734" s="1783"/>
      <c r="AF734" s="1783"/>
      <c r="AG734" s="1783"/>
      <c r="AH734" s="1783"/>
      <c r="AI734" s="1783"/>
      <c r="AJ734" s="1783"/>
      <c r="AK734" s="1783"/>
      <c r="AL734" s="1783"/>
      <c r="AM734" s="1783"/>
      <c r="AN734" s="1783"/>
      <c r="AO734" s="1783"/>
      <c r="AP734" s="1783"/>
      <c r="AQ734" s="1783"/>
      <c r="AR734" s="1783"/>
      <c r="AS734" s="1783"/>
      <c r="AT734" s="1783"/>
      <c r="AU734" s="1783"/>
      <c r="AV734" s="1783"/>
      <c r="AW734" s="1783"/>
      <c r="AX734" s="1783"/>
      <c r="AY734" s="1783"/>
      <c r="AZ734" s="1783"/>
      <c r="BA734" s="1783"/>
      <c r="BB734" s="1783"/>
      <c r="BC734" s="1783"/>
      <c r="BD734" s="1783"/>
      <c r="BE734" s="1783"/>
      <c r="BF734" s="1783"/>
      <c r="BG734" s="1783"/>
      <c r="BH734" s="1783"/>
      <c r="BI734" s="1783"/>
    </row>
    <row r="735" spans="1:61">
      <c r="A735" s="1819"/>
      <c r="B735" s="1818"/>
      <c r="C735" s="1818"/>
      <c r="D735" s="1818"/>
      <c r="E735" s="1818"/>
      <c r="F735" s="1818"/>
      <c r="G735" s="1818"/>
      <c r="H735" s="1783"/>
      <c r="I735" s="1783"/>
      <c r="J735" s="1783"/>
      <c r="K735" s="1783"/>
      <c r="L735" s="1783"/>
      <c r="M735" s="1783"/>
      <c r="N735" s="1783"/>
      <c r="O735" s="1783"/>
      <c r="P735" s="1783"/>
      <c r="Q735" s="1783"/>
      <c r="R735" s="1783"/>
      <c r="S735" s="1783"/>
      <c r="T735" s="1783"/>
      <c r="U735" s="1783"/>
      <c r="V735" s="1783"/>
      <c r="W735" s="1783"/>
      <c r="X735" s="1783"/>
      <c r="Y735" s="1783"/>
      <c r="Z735" s="1783"/>
      <c r="AA735" s="1783"/>
      <c r="AB735" s="1783"/>
      <c r="AC735" s="1783"/>
      <c r="AD735" s="1783"/>
      <c r="AE735" s="1783"/>
      <c r="AF735" s="1783"/>
      <c r="AG735" s="1783"/>
      <c r="AH735" s="1783"/>
      <c r="AI735" s="1783"/>
      <c r="AJ735" s="1783"/>
      <c r="AK735" s="1783"/>
      <c r="AL735" s="1783"/>
      <c r="AM735" s="1783"/>
      <c r="AN735" s="1783"/>
      <c r="AO735" s="1783"/>
      <c r="AP735" s="1783"/>
      <c r="AQ735" s="1783"/>
      <c r="AR735" s="1783"/>
      <c r="AS735" s="1783"/>
      <c r="AT735" s="1783"/>
      <c r="AU735" s="1783"/>
      <c r="AV735" s="1783"/>
      <c r="AW735" s="1783"/>
      <c r="AX735" s="1783"/>
      <c r="AY735" s="1783"/>
      <c r="AZ735" s="1783"/>
      <c r="BA735" s="1783"/>
      <c r="BB735" s="1783"/>
      <c r="BC735" s="1783"/>
      <c r="BD735" s="1783"/>
      <c r="BE735" s="1783"/>
      <c r="BF735" s="1783"/>
      <c r="BG735" s="1783"/>
      <c r="BH735" s="1783"/>
      <c r="BI735" s="1783"/>
    </row>
    <row r="736" spans="1:61">
      <c r="A736" s="1819"/>
      <c r="B736" s="1818"/>
      <c r="C736" s="1818"/>
      <c r="D736" s="1818"/>
      <c r="E736" s="1818"/>
      <c r="F736" s="1818"/>
      <c r="G736" s="1818"/>
      <c r="H736" s="1783"/>
      <c r="I736" s="1783"/>
      <c r="J736" s="1783"/>
      <c r="K736" s="1783"/>
      <c r="L736" s="1783"/>
      <c r="M736" s="1783"/>
      <c r="N736" s="1783"/>
      <c r="O736" s="1783"/>
      <c r="P736" s="1783"/>
      <c r="Q736" s="1783"/>
      <c r="R736" s="1783"/>
      <c r="S736" s="1783"/>
      <c r="T736" s="1783"/>
      <c r="U736" s="1783"/>
      <c r="V736" s="1783"/>
      <c r="W736" s="1783"/>
      <c r="X736" s="1783"/>
      <c r="Y736" s="1783"/>
      <c r="Z736" s="1783"/>
      <c r="AA736" s="1783"/>
      <c r="AB736" s="1783"/>
      <c r="AC736" s="1783"/>
      <c r="AD736" s="1783"/>
      <c r="AE736" s="1783"/>
      <c r="AF736" s="1783"/>
      <c r="AG736" s="1783"/>
      <c r="AH736" s="1783"/>
      <c r="AI736" s="1783"/>
      <c r="AJ736" s="1783"/>
      <c r="AK736" s="1783"/>
      <c r="AL736" s="1783"/>
      <c r="AM736" s="1783"/>
      <c r="AN736" s="1783"/>
      <c r="AO736" s="1783"/>
      <c r="AP736" s="1783"/>
      <c r="AQ736" s="1783"/>
      <c r="AR736" s="1783"/>
      <c r="AS736" s="1783"/>
      <c r="AT736" s="1783"/>
      <c r="AU736" s="1783"/>
      <c r="AV736" s="1783"/>
      <c r="AW736" s="1783"/>
      <c r="AX736" s="1783"/>
      <c r="AY736" s="1783"/>
      <c r="AZ736" s="1783"/>
      <c r="BA736" s="1783"/>
      <c r="BB736" s="1783"/>
      <c r="BC736" s="1783"/>
      <c r="BD736" s="1783"/>
      <c r="BE736" s="1783"/>
      <c r="BF736" s="1783"/>
      <c r="BG736" s="1783"/>
      <c r="BH736" s="1783"/>
      <c r="BI736" s="1783"/>
    </row>
    <row r="737" spans="1:61">
      <c r="A737" s="1819"/>
      <c r="B737" s="1818"/>
      <c r="C737" s="1818"/>
      <c r="D737" s="1818"/>
      <c r="E737" s="1818"/>
      <c r="F737" s="1818"/>
      <c r="G737" s="1818"/>
      <c r="H737" s="1783"/>
      <c r="I737" s="1783"/>
      <c r="J737" s="1783"/>
      <c r="K737" s="1783"/>
      <c r="L737" s="1783"/>
      <c r="M737" s="1783"/>
      <c r="N737" s="1783"/>
      <c r="O737" s="1783"/>
      <c r="P737" s="1783"/>
      <c r="Q737" s="1783"/>
      <c r="R737" s="1783"/>
      <c r="S737" s="1783"/>
      <c r="T737" s="1783"/>
      <c r="U737" s="1783"/>
      <c r="V737" s="1783"/>
      <c r="W737" s="1783"/>
      <c r="X737" s="1783"/>
      <c r="Y737" s="1783"/>
      <c r="Z737" s="1783"/>
      <c r="AA737" s="1783"/>
      <c r="AB737" s="1783"/>
      <c r="AC737" s="1783"/>
      <c r="AD737" s="1783"/>
      <c r="AE737" s="1783"/>
      <c r="AF737" s="1783"/>
      <c r="AG737" s="1783"/>
      <c r="AH737" s="1783"/>
      <c r="AI737" s="1783"/>
      <c r="AJ737" s="1783"/>
      <c r="AK737" s="1783"/>
      <c r="AL737" s="1783"/>
      <c r="AM737" s="1783"/>
      <c r="AN737" s="1783"/>
      <c r="AO737" s="1783"/>
      <c r="AP737" s="1783"/>
      <c r="AQ737" s="1783"/>
      <c r="AR737" s="1783"/>
      <c r="AS737" s="1783"/>
      <c r="AT737" s="1783"/>
      <c r="AU737" s="1783"/>
      <c r="AV737" s="1783"/>
      <c r="AW737" s="1783"/>
      <c r="AX737" s="1783"/>
      <c r="AY737" s="1783"/>
      <c r="AZ737" s="1783"/>
      <c r="BA737" s="1783"/>
      <c r="BB737" s="1783"/>
      <c r="BC737" s="1783"/>
      <c r="BD737" s="1783"/>
      <c r="BE737" s="1783"/>
      <c r="BF737" s="1783"/>
      <c r="BG737" s="1783"/>
      <c r="BH737" s="1783"/>
      <c r="BI737" s="1783"/>
    </row>
    <row r="738" spans="1:61">
      <c r="A738" s="1819"/>
      <c r="B738" s="1818"/>
      <c r="C738" s="1818"/>
      <c r="D738" s="1818"/>
      <c r="E738" s="1818"/>
      <c r="F738" s="1818"/>
      <c r="G738" s="1818"/>
      <c r="H738" s="1783"/>
      <c r="I738" s="1783"/>
      <c r="J738" s="1783"/>
      <c r="K738" s="1783"/>
      <c r="L738" s="1783"/>
      <c r="M738" s="1783"/>
      <c r="N738" s="1783"/>
      <c r="O738" s="1783"/>
      <c r="P738" s="1783"/>
      <c r="Q738" s="1783"/>
      <c r="R738" s="1783"/>
      <c r="S738" s="1783"/>
      <c r="T738" s="1783"/>
      <c r="U738" s="1783"/>
      <c r="V738" s="1783"/>
      <c r="W738" s="1783"/>
      <c r="X738" s="1783"/>
      <c r="Y738" s="1783"/>
      <c r="Z738" s="1783"/>
      <c r="AA738" s="1783"/>
      <c r="AB738" s="1783"/>
      <c r="AC738" s="1783"/>
      <c r="AD738" s="1783"/>
      <c r="AE738" s="1783"/>
      <c r="AF738" s="1783"/>
      <c r="AG738" s="1783"/>
      <c r="AH738" s="1783"/>
      <c r="AI738" s="1783"/>
      <c r="AJ738" s="1783"/>
      <c r="AK738" s="1783"/>
      <c r="AL738" s="1783"/>
      <c r="AM738" s="1783"/>
      <c r="AN738" s="1783"/>
      <c r="AO738" s="1783"/>
      <c r="AP738" s="1783"/>
      <c r="AQ738" s="1783"/>
      <c r="AR738" s="1783"/>
      <c r="AS738" s="1783"/>
      <c r="AT738" s="1783"/>
      <c r="AU738" s="1783"/>
      <c r="AV738" s="1783"/>
      <c r="AW738" s="1783"/>
      <c r="AX738" s="1783"/>
      <c r="AY738" s="1783"/>
      <c r="AZ738" s="1783"/>
      <c r="BA738" s="1783"/>
      <c r="BB738" s="1783"/>
      <c r="BC738" s="1783"/>
      <c r="BD738" s="1783"/>
      <c r="BE738" s="1783"/>
      <c r="BF738" s="1783"/>
      <c r="BG738" s="1783"/>
      <c r="BH738" s="1783"/>
      <c r="BI738" s="1783"/>
    </row>
    <row r="739" spans="1:61">
      <c r="A739" s="1819"/>
      <c r="B739" s="1818"/>
      <c r="C739" s="1818"/>
      <c r="D739" s="1818"/>
      <c r="E739" s="1818"/>
      <c r="F739" s="1818"/>
      <c r="G739" s="1818"/>
      <c r="H739" s="1783"/>
      <c r="I739" s="1783"/>
      <c r="J739" s="1783"/>
      <c r="K739" s="1783"/>
      <c r="L739" s="1783"/>
      <c r="M739" s="1783"/>
      <c r="N739" s="1783"/>
      <c r="O739" s="1783"/>
      <c r="P739" s="1783"/>
      <c r="Q739" s="1783"/>
      <c r="R739" s="1783"/>
      <c r="S739" s="1783"/>
      <c r="T739" s="1783"/>
      <c r="U739" s="1783"/>
      <c r="V739" s="1783"/>
      <c r="W739" s="1783"/>
      <c r="X739" s="1783"/>
      <c r="Y739" s="1783"/>
      <c r="Z739" s="1783"/>
      <c r="AA739" s="1783"/>
      <c r="AB739" s="1783"/>
      <c r="AC739" s="1783"/>
      <c r="AD739" s="1783"/>
      <c r="AE739" s="1783"/>
      <c r="AF739" s="1783"/>
      <c r="AG739" s="1783"/>
      <c r="AH739" s="1783"/>
      <c r="AI739" s="1783"/>
      <c r="AJ739" s="1783"/>
      <c r="AK739" s="1783"/>
      <c r="AL739" s="1783"/>
      <c r="AM739" s="1783"/>
      <c r="AN739" s="1783"/>
      <c r="AO739" s="1783"/>
      <c r="AP739" s="1783"/>
      <c r="AQ739" s="1783"/>
      <c r="AR739" s="1783"/>
      <c r="AS739" s="1783"/>
      <c r="AT739" s="1783"/>
      <c r="AU739" s="1783"/>
      <c r="AV739" s="1783"/>
      <c r="AW739" s="1783"/>
      <c r="AX739" s="1783"/>
      <c r="AY739" s="1783"/>
      <c r="AZ739" s="1783"/>
      <c r="BA739" s="1783"/>
      <c r="BB739" s="1783"/>
      <c r="BC739" s="1783"/>
      <c r="BD739" s="1783"/>
      <c r="BE739" s="1783"/>
      <c r="BF739" s="1783"/>
      <c r="BG739" s="1783"/>
      <c r="BH739" s="1783"/>
      <c r="BI739" s="1783"/>
    </row>
    <row r="740" spans="1:61">
      <c r="A740" s="1819"/>
      <c r="B740" s="1818"/>
      <c r="C740" s="1818"/>
      <c r="D740" s="1818"/>
      <c r="E740" s="1818"/>
      <c r="F740" s="1818"/>
      <c r="G740" s="1818"/>
      <c r="H740" s="1783"/>
      <c r="I740" s="1783"/>
      <c r="J740" s="1783"/>
      <c r="K740" s="1783"/>
      <c r="L740" s="1783"/>
      <c r="M740" s="1783"/>
      <c r="N740" s="1783"/>
      <c r="O740" s="1783"/>
      <c r="P740" s="1783"/>
      <c r="Q740" s="1783"/>
      <c r="R740" s="1783"/>
      <c r="S740" s="1783"/>
      <c r="T740" s="1783"/>
      <c r="U740" s="1783"/>
      <c r="V740" s="1783"/>
      <c r="W740" s="1783"/>
      <c r="X740" s="1783"/>
      <c r="Y740" s="1783"/>
      <c r="Z740" s="1783"/>
      <c r="AA740" s="1783"/>
      <c r="AB740" s="1783"/>
      <c r="AC740" s="1783"/>
      <c r="AD740" s="1783"/>
      <c r="AE740" s="1783"/>
      <c r="AF740" s="1783"/>
      <c r="AG740" s="1783"/>
      <c r="AH740" s="1783"/>
      <c r="AI740" s="1783"/>
      <c r="AJ740" s="1783"/>
      <c r="AK740" s="1783"/>
      <c r="AL740" s="1783"/>
      <c r="AM740" s="1783"/>
      <c r="AN740" s="1783"/>
      <c r="AO740" s="1783"/>
      <c r="AP740" s="1783"/>
      <c r="AQ740" s="1783"/>
      <c r="AR740" s="1783"/>
      <c r="AS740" s="1783"/>
      <c r="AT740" s="1783"/>
      <c r="AU740" s="1783"/>
      <c r="AV740" s="1783"/>
      <c r="AW740" s="1783"/>
      <c r="AX740" s="1783"/>
      <c r="AY740" s="1783"/>
      <c r="AZ740" s="1783"/>
      <c r="BA740" s="1783"/>
      <c r="BB740" s="1783"/>
      <c r="BC740" s="1783"/>
      <c r="BD740" s="1783"/>
      <c r="BE740" s="1783"/>
      <c r="BF740" s="1783"/>
      <c r="BG740" s="1783"/>
      <c r="BH740" s="1783"/>
      <c r="BI740" s="1783"/>
    </row>
    <row r="741" spans="1:61">
      <c r="A741" s="1819"/>
      <c r="B741" s="1818"/>
      <c r="C741" s="1818"/>
      <c r="D741" s="1818"/>
      <c r="E741" s="1818"/>
      <c r="F741" s="1818"/>
      <c r="G741" s="1818"/>
      <c r="H741" s="1783"/>
      <c r="I741" s="1783"/>
      <c r="J741" s="1783"/>
      <c r="K741" s="1783"/>
      <c r="L741" s="1783"/>
      <c r="M741" s="1783"/>
      <c r="N741" s="1783"/>
      <c r="O741" s="1783"/>
      <c r="P741" s="1783"/>
      <c r="Q741" s="1783"/>
      <c r="R741" s="1783"/>
      <c r="S741" s="1783"/>
      <c r="T741" s="1783"/>
      <c r="U741" s="1783"/>
      <c r="V741" s="1783"/>
      <c r="W741" s="1783"/>
      <c r="X741" s="1783"/>
      <c r="Y741" s="1783"/>
      <c r="Z741" s="1783"/>
      <c r="AA741" s="1783"/>
      <c r="AB741" s="1783"/>
      <c r="AC741" s="1783"/>
      <c r="AD741" s="1783"/>
      <c r="AE741" s="1783"/>
      <c r="AF741" s="1783"/>
      <c r="AG741" s="1783"/>
      <c r="AH741" s="1783"/>
      <c r="AI741" s="1783"/>
      <c r="AJ741" s="1783"/>
      <c r="AK741" s="1783"/>
      <c r="AL741" s="1783"/>
      <c r="AM741" s="1783"/>
      <c r="AN741" s="1783"/>
      <c r="AO741" s="1783"/>
      <c r="AP741" s="1783"/>
      <c r="AQ741" s="1783"/>
      <c r="AR741" s="1783"/>
      <c r="AS741" s="1783"/>
      <c r="AT741" s="1783"/>
      <c r="AU741" s="1783"/>
      <c r="AV741" s="1783"/>
      <c r="AW741" s="1783"/>
      <c r="AX741" s="1783"/>
      <c r="AY741" s="1783"/>
      <c r="AZ741" s="1783"/>
      <c r="BA741" s="1783"/>
      <c r="BB741" s="1783"/>
      <c r="BC741" s="1783"/>
      <c r="BD741" s="1783"/>
      <c r="BE741" s="1783"/>
      <c r="BF741" s="1783"/>
      <c r="BG741" s="1783"/>
      <c r="BH741" s="1783"/>
      <c r="BI741" s="1783"/>
    </row>
    <row r="742" spans="1:61">
      <c r="A742" s="1819"/>
      <c r="B742" s="1818"/>
      <c r="C742" s="1818"/>
      <c r="D742" s="1818"/>
      <c r="E742" s="1818"/>
      <c r="F742" s="1818"/>
      <c r="G742" s="1818"/>
      <c r="H742" s="1783"/>
      <c r="I742" s="1783"/>
      <c r="J742" s="1783"/>
      <c r="K742" s="1783"/>
      <c r="L742" s="1783"/>
      <c r="M742" s="1783"/>
      <c r="N742" s="1783"/>
      <c r="O742" s="1783"/>
      <c r="P742" s="1783"/>
      <c r="Q742" s="1783"/>
      <c r="R742" s="1783"/>
      <c r="S742" s="1783"/>
      <c r="T742" s="1783"/>
      <c r="U742" s="1783"/>
      <c r="V742" s="1783"/>
      <c r="W742" s="1783"/>
      <c r="X742" s="1783"/>
      <c r="Y742" s="1783"/>
      <c r="Z742" s="1783"/>
      <c r="AA742" s="1783"/>
      <c r="AB742" s="1783"/>
      <c r="AC742" s="1783"/>
      <c r="AD742" s="1783"/>
      <c r="AE742" s="1783"/>
      <c r="AF742" s="1783"/>
      <c r="AG742" s="1783"/>
      <c r="AH742" s="1783"/>
      <c r="AI742" s="1783"/>
      <c r="AJ742" s="1783"/>
      <c r="AK742" s="1783"/>
      <c r="AL742" s="1783"/>
      <c r="AM742" s="1783"/>
      <c r="AN742" s="1783"/>
      <c r="AO742" s="1783"/>
      <c r="AP742" s="1783"/>
      <c r="AQ742" s="1783"/>
      <c r="AR742" s="1783"/>
      <c r="AS742" s="1783"/>
      <c r="AT742" s="1783"/>
      <c r="AU742" s="1783"/>
      <c r="AV742" s="1783"/>
      <c r="AW742" s="1783"/>
      <c r="AX742" s="1783"/>
      <c r="AY742" s="1783"/>
      <c r="AZ742" s="1783"/>
      <c r="BA742" s="1783"/>
      <c r="BB742" s="1783"/>
      <c r="BC742" s="1783"/>
      <c r="BD742" s="1783"/>
      <c r="BE742" s="1783"/>
      <c r="BF742" s="1783"/>
      <c r="BG742" s="1783"/>
      <c r="BH742" s="1783"/>
      <c r="BI742" s="1783"/>
    </row>
    <row r="743" spans="1:61">
      <c r="A743" s="1819"/>
      <c r="B743" s="1818"/>
      <c r="C743" s="1818"/>
      <c r="D743" s="1818"/>
      <c r="E743" s="1818"/>
      <c r="F743" s="1818"/>
      <c r="G743" s="1818"/>
      <c r="H743" s="1783"/>
      <c r="I743" s="1783"/>
      <c r="J743" s="1783"/>
      <c r="K743" s="1783"/>
      <c r="L743" s="1783"/>
      <c r="M743" s="1783"/>
      <c r="N743" s="1783"/>
      <c r="O743" s="1783"/>
      <c r="P743" s="1783"/>
      <c r="Q743" s="1783"/>
      <c r="R743" s="1783"/>
      <c r="S743" s="1783"/>
      <c r="T743" s="1783"/>
      <c r="U743" s="1783"/>
      <c r="V743" s="1783"/>
      <c r="W743" s="1783"/>
      <c r="X743" s="1783"/>
      <c r="Y743" s="1783"/>
      <c r="Z743" s="1783"/>
      <c r="AA743" s="1783"/>
      <c r="AB743" s="1783"/>
      <c r="AC743" s="1783"/>
      <c r="AD743" s="1783"/>
      <c r="AE743" s="1783"/>
      <c r="AF743" s="1783"/>
      <c r="AG743" s="1783"/>
      <c r="AH743" s="1783"/>
      <c r="AI743" s="1783"/>
      <c r="AJ743" s="1783"/>
      <c r="AK743" s="1783"/>
      <c r="AL743" s="1783"/>
      <c r="AM743" s="1783"/>
      <c r="AN743" s="1783"/>
      <c r="AO743" s="1783"/>
      <c r="AP743" s="1783"/>
      <c r="AQ743" s="1783"/>
      <c r="AR743" s="1783"/>
      <c r="AS743" s="1783"/>
      <c r="AT743" s="1783"/>
      <c r="AU743" s="1783"/>
      <c r="AV743" s="1783"/>
      <c r="AW743" s="1783"/>
      <c r="AX743" s="1783"/>
      <c r="AY743" s="1783"/>
      <c r="AZ743" s="1783"/>
      <c r="BA743" s="1783"/>
      <c r="BB743" s="1783"/>
      <c r="BC743" s="1783"/>
      <c r="BD743" s="1783"/>
      <c r="BE743" s="1783"/>
      <c r="BF743" s="1783"/>
      <c r="BG743" s="1783"/>
      <c r="BH743" s="1783"/>
      <c r="BI743" s="1783"/>
    </row>
    <row r="744" spans="1:61">
      <c r="A744" s="1819"/>
      <c r="B744" s="1818"/>
      <c r="C744" s="1818"/>
      <c r="D744" s="1818"/>
      <c r="E744" s="1818"/>
      <c r="F744" s="1818"/>
      <c r="G744" s="1818"/>
      <c r="H744" s="1783"/>
      <c r="I744" s="1783"/>
      <c r="J744" s="1783"/>
      <c r="K744" s="1783"/>
      <c r="L744" s="1783"/>
      <c r="M744" s="1783"/>
      <c r="N744" s="1783"/>
      <c r="O744" s="1783"/>
      <c r="P744" s="1783"/>
      <c r="Q744" s="1783"/>
      <c r="R744" s="1783"/>
      <c r="S744" s="1783"/>
      <c r="T744" s="1783"/>
      <c r="U744" s="1783"/>
      <c r="V744" s="1783"/>
      <c r="W744" s="1783"/>
      <c r="X744" s="1783"/>
      <c r="Y744" s="1783"/>
      <c r="Z744" s="1783"/>
      <c r="AA744" s="1783"/>
      <c r="AB744" s="1783"/>
      <c r="AC744" s="1783"/>
      <c r="AD744" s="1783"/>
      <c r="AE744" s="1783"/>
      <c r="AF744" s="1783"/>
      <c r="AG744" s="1783"/>
      <c r="AH744" s="1783"/>
      <c r="AI744" s="1783"/>
      <c r="AJ744" s="1783"/>
      <c r="AK744" s="1783"/>
      <c r="AL744" s="1783"/>
      <c r="AM744" s="1783"/>
      <c r="AN744" s="1783"/>
      <c r="AO744" s="1783"/>
      <c r="AP744" s="1783"/>
      <c r="AQ744" s="1783"/>
      <c r="AR744" s="1783"/>
      <c r="AS744" s="1783"/>
      <c r="AT744" s="1783"/>
      <c r="AU744" s="1783"/>
      <c r="AV744" s="1783"/>
      <c r="AW744" s="1783"/>
      <c r="AX744" s="1783"/>
      <c r="AY744" s="1783"/>
      <c r="AZ744" s="1783"/>
      <c r="BA744" s="1783"/>
      <c r="BB744" s="1783"/>
      <c r="BC744" s="1783"/>
      <c r="BD744" s="1783"/>
      <c r="BE744" s="1783"/>
      <c r="BF744" s="1783"/>
      <c r="BG744" s="1783"/>
      <c r="BH744" s="1783"/>
      <c r="BI744" s="1783"/>
    </row>
    <row r="745" spans="1:61">
      <c r="A745" s="1819"/>
      <c r="B745" s="1818"/>
      <c r="C745" s="1818"/>
      <c r="D745" s="1818"/>
      <c r="E745" s="1818"/>
      <c r="F745" s="1818"/>
      <c r="G745" s="1818"/>
      <c r="H745" s="1783"/>
      <c r="I745" s="1783"/>
      <c r="J745" s="1783"/>
      <c r="K745" s="1783"/>
      <c r="L745" s="1783"/>
      <c r="M745" s="1783"/>
      <c r="N745" s="1783"/>
      <c r="O745" s="1783"/>
      <c r="P745" s="1783"/>
      <c r="Q745" s="1783"/>
      <c r="R745" s="1783"/>
      <c r="S745" s="1783"/>
      <c r="T745" s="1783"/>
      <c r="U745" s="1783"/>
      <c r="V745" s="1783"/>
      <c r="W745" s="1783"/>
      <c r="X745" s="1783"/>
      <c r="Y745" s="1783"/>
      <c r="Z745" s="1783"/>
      <c r="AA745" s="1783"/>
      <c r="AB745" s="1783"/>
      <c r="AC745" s="1783"/>
      <c r="AD745" s="1783"/>
      <c r="AE745" s="1783"/>
      <c r="AF745" s="1783"/>
      <c r="AG745" s="1783"/>
      <c r="AH745" s="1783"/>
      <c r="AI745" s="1783"/>
      <c r="AJ745" s="1783"/>
      <c r="AK745" s="1783"/>
      <c r="AL745" s="1783"/>
      <c r="AM745" s="1783"/>
      <c r="AN745" s="1783"/>
      <c r="AO745" s="1783"/>
      <c r="AP745" s="1783"/>
      <c r="AQ745" s="1783"/>
      <c r="AR745" s="1783"/>
      <c r="AS745" s="1783"/>
      <c r="AT745" s="1783"/>
      <c r="AU745" s="1783"/>
      <c r="AV745" s="1783"/>
      <c r="AW745" s="1783"/>
      <c r="AX745" s="1783"/>
      <c r="AY745" s="1783"/>
      <c r="AZ745" s="1783"/>
      <c r="BA745" s="1783"/>
      <c r="BB745" s="1783"/>
      <c r="BC745" s="1783"/>
      <c r="BD745" s="1783"/>
      <c r="BE745" s="1783"/>
      <c r="BF745" s="1783"/>
      <c r="BG745" s="1783"/>
      <c r="BH745" s="1783"/>
      <c r="BI745" s="1783"/>
    </row>
    <row r="746" spans="1:61">
      <c r="A746" s="1819"/>
      <c r="B746" s="1818"/>
      <c r="C746" s="1818"/>
      <c r="D746" s="1818"/>
      <c r="E746" s="1818"/>
      <c r="F746" s="1818"/>
      <c r="G746" s="1818"/>
      <c r="H746" s="1783"/>
      <c r="I746" s="1783"/>
      <c r="J746" s="1783"/>
      <c r="K746" s="1783"/>
      <c r="L746" s="1783"/>
      <c r="M746" s="1783"/>
      <c r="N746" s="1783"/>
      <c r="O746" s="1783"/>
      <c r="P746" s="1783"/>
      <c r="Q746" s="1783"/>
      <c r="R746" s="1783"/>
      <c r="S746" s="1783"/>
      <c r="T746" s="1783"/>
      <c r="U746" s="1783"/>
      <c r="V746" s="1783"/>
      <c r="W746" s="1783"/>
      <c r="X746" s="1783"/>
      <c r="Y746" s="1783"/>
      <c r="Z746" s="1783"/>
      <c r="AA746" s="1783"/>
      <c r="AB746" s="1783"/>
      <c r="AC746" s="1783"/>
      <c r="AD746" s="1783"/>
      <c r="AE746" s="1783"/>
      <c r="AF746" s="1783"/>
      <c r="AG746" s="1783"/>
      <c r="AH746" s="1783"/>
      <c r="AI746" s="1783"/>
      <c r="AJ746" s="1783"/>
      <c r="AK746" s="1783"/>
      <c r="AL746" s="1783"/>
      <c r="AM746" s="1783"/>
      <c r="AN746" s="1783"/>
      <c r="AO746" s="1783"/>
      <c r="AP746" s="1783"/>
      <c r="AQ746" s="1783"/>
      <c r="AR746" s="1783"/>
      <c r="AS746" s="1783"/>
      <c r="AT746" s="1783"/>
      <c r="AU746" s="1783"/>
      <c r="AV746" s="1783"/>
      <c r="AW746" s="1783"/>
      <c r="AX746" s="1783"/>
      <c r="AY746" s="1783"/>
      <c r="AZ746" s="1783"/>
      <c r="BA746" s="1783"/>
      <c r="BB746" s="1783"/>
      <c r="BC746" s="1783"/>
      <c r="BD746" s="1783"/>
      <c r="BE746" s="1783"/>
      <c r="BF746" s="1783"/>
      <c r="BG746" s="1783"/>
      <c r="BH746" s="1783"/>
      <c r="BI746" s="1783"/>
    </row>
    <row r="747" spans="1:61">
      <c r="A747" s="1819"/>
      <c r="B747" s="1818"/>
      <c r="C747" s="1818"/>
      <c r="D747" s="1818"/>
      <c r="E747" s="1818"/>
      <c r="F747" s="1818"/>
      <c r="G747" s="1818"/>
      <c r="H747" s="1783"/>
      <c r="I747" s="1783"/>
      <c r="J747" s="1783"/>
      <c r="K747" s="1783"/>
      <c r="L747" s="1783"/>
      <c r="M747" s="1783"/>
      <c r="N747" s="1783"/>
      <c r="O747" s="1783"/>
      <c r="P747" s="1783"/>
      <c r="Q747" s="1783"/>
      <c r="R747" s="1783"/>
      <c r="S747" s="1783"/>
      <c r="T747" s="1783"/>
      <c r="U747" s="1783"/>
      <c r="V747" s="1783"/>
      <c r="W747" s="1783"/>
      <c r="X747" s="1783"/>
      <c r="Y747" s="1783"/>
      <c r="Z747" s="1783"/>
      <c r="AA747" s="1783"/>
      <c r="AB747" s="1783"/>
      <c r="AC747" s="1783"/>
      <c r="AD747" s="1783"/>
      <c r="AE747" s="1783"/>
      <c r="AF747" s="1783"/>
      <c r="AG747" s="1783"/>
      <c r="AH747" s="1783"/>
      <c r="AI747" s="1783"/>
      <c r="AJ747" s="1783"/>
      <c r="AK747" s="1783"/>
      <c r="AL747" s="1783"/>
      <c r="AM747" s="1783"/>
      <c r="AN747" s="1783"/>
      <c r="AO747" s="1783"/>
      <c r="AP747" s="1783"/>
      <c r="AQ747" s="1783"/>
      <c r="AR747" s="1783"/>
      <c r="AS747" s="1783"/>
      <c r="AT747" s="1783"/>
      <c r="AU747" s="1783"/>
      <c r="AV747" s="1783"/>
      <c r="AW747" s="1783"/>
      <c r="AX747" s="1783"/>
      <c r="AY747" s="1783"/>
      <c r="AZ747" s="1783"/>
      <c r="BA747" s="1783"/>
      <c r="BB747" s="1783"/>
      <c r="BC747" s="1783"/>
      <c r="BD747" s="1783"/>
      <c r="BE747" s="1783"/>
      <c r="BF747" s="1783"/>
      <c r="BG747" s="1783"/>
      <c r="BH747" s="1783"/>
      <c r="BI747" s="1783"/>
    </row>
    <row r="748" spans="1:61">
      <c r="A748" s="1819"/>
      <c r="B748" s="1818"/>
      <c r="C748" s="1818"/>
      <c r="D748" s="1818"/>
      <c r="E748" s="1818"/>
      <c r="F748" s="1818"/>
      <c r="G748" s="1818"/>
      <c r="H748" s="1783"/>
      <c r="I748" s="1783"/>
      <c r="J748" s="1783"/>
      <c r="K748" s="1783"/>
      <c r="L748" s="1783"/>
      <c r="M748" s="1783"/>
      <c r="N748" s="1783"/>
      <c r="O748" s="1783"/>
      <c r="P748" s="1783"/>
      <c r="Q748" s="1783"/>
      <c r="R748" s="1783"/>
      <c r="S748" s="1783"/>
      <c r="T748" s="1783"/>
      <c r="U748" s="1783"/>
      <c r="V748" s="1783"/>
      <c r="W748" s="1783"/>
      <c r="X748" s="1783"/>
      <c r="Y748" s="1783"/>
      <c r="Z748" s="1783"/>
      <c r="AA748" s="1783"/>
      <c r="AB748" s="1783"/>
      <c r="AC748" s="1783"/>
      <c r="AD748" s="1783"/>
      <c r="AE748" s="1783"/>
      <c r="AF748" s="1783"/>
      <c r="AG748" s="1783"/>
      <c r="AH748" s="1783"/>
      <c r="AI748" s="1783"/>
      <c r="AJ748" s="1783"/>
      <c r="AK748" s="1783"/>
      <c r="AL748" s="1783"/>
      <c r="AM748" s="1783"/>
      <c r="AN748" s="1783"/>
      <c r="AO748" s="1783"/>
      <c r="AP748" s="1783"/>
      <c r="AQ748" s="1783"/>
      <c r="AR748" s="1783"/>
      <c r="AS748" s="1783"/>
      <c r="AT748" s="1783"/>
      <c r="AU748" s="1783"/>
      <c r="AV748" s="1783"/>
      <c r="AW748" s="1783"/>
      <c r="AX748" s="1783"/>
      <c r="AY748" s="1783"/>
      <c r="AZ748" s="1783"/>
      <c r="BA748" s="1783"/>
      <c r="BB748" s="1783"/>
      <c r="BC748" s="1783"/>
      <c r="BD748" s="1783"/>
      <c r="BE748" s="1783"/>
      <c r="BF748" s="1783"/>
      <c r="BG748" s="1783"/>
      <c r="BH748" s="1783"/>
      <c r="BI748" s="1783"/>
    </row>
    <row r="749" spans="1:61">
      <c r="A749" s="1819"/>
      <c r="B749" s="1818"/>
      <c r="C749" s="1818"/>
      <c r="D749" s="1818"/>
      <c r="E749" s="1818"/>
      <c r="F749" s="1818"/>
      <c r="G749" s="1818"/>
      <c r="H749" s="1783"/>
      <c r="I749" s="1783"/>
      <c r="J749" s="1783"/>
      <c r="K749" s="1783"/>
      <c r="L749" s="1783"/>
      <c r="M749" s="1783"/>
      <c r="N749" s="1783"/>
      <c r="O749" s="1783"/>
      <c r="P749" s="1783"/>
      <c r="Q749" s="1783"/>
      <c r="R749" s="1783"/>
      <c r="S749" s="1783"/>
      <c r="T749" s="1783"/>
      <c r="U749" s="1783"/>
      <c r="V749" s="1783"/>
      <c r="W749" s="1783"/>
      <c r="X749" s="1783"/>
      <c r="Y749" s="1783"/>
      <c r="Z749" s="1783"/>
      <c r="AA749" s="1783"/>
      <c r="AB749" s="1783"/>
      <c r="AC749" s="1783"/>
      <c r="AD749" s="1783"/>
      <c r="AE749" s="1783"/>
      <c r="AF749" s="1783"/>
      <c r="AG749" s="1783"/>
      <c r="AH749" s="1783"/>
      <c r="AI749" s="1783"/>
      <c r="AJ749" s="1783"/>
      <c r="AK749" s="1783"/>
      <c r="AL749" s="1783"/>
      <c r="AM749" s="1783"/>
      <c r="AN749" s="1783"/>
      <c r="AO749" s="1783"/>
      <c r="AP749" s="1783"/>
      <c r="AQ749" s="1783"/>
      <c r="AR749" s="1783"/>
      <c r="AS749" s="1783"/>
      <c r="AT749" s="1783"/>
      <c r="AU749" s="1783"/>
      <c r="AV749" s="1783"/>
      <c r="AW749" s="1783"/>
      <c r="AX749" s="1783"/>
      <c r="AY749" s="1783"/>
      <c r="AZ749" s="1783"/>
      <c r="BA749" s="1783"/>
      <c r="BB749" s="1783"/>
      <c r="BC749" s="1783"/>
      <c r="BD749" s="1783"/>
      <c r="BE749" s="1783"/>
      <c r="BF749" s="1783"/>
      <c r="BG749" s="1783"/>
      <c r="BH749" s="1783"/>
      <c r="BI749" s="1783"/>
    </row>
    <row r="750" spans="1:61">
      <c r="A750" s="1819"/>
      <c r="B750" s="1818"/>
      <c r="C750" s="1818"/>
      <c r="D750" s="1818"/>
      <c r="E750" s="1818"/>
      <c r="F750" s="1818"/>
      <c r="G750" s="1818"/>
      <c r="H750" s="1783"/>
      <c r="I750" s="1783"/>
      <c r="J750" s="1783"/>
      <c r="K750" s="1783"/>
      <c r="L750" s="1783"/>
      <c r="M750" s="1783"/>
      <c r="N750" s="1783"/>
      <c r="O750" s="1783"/>
      <c r="P750" s="1783"/>
      <c r="Q750" s="1783"/>
      <c r="R750" s="1783"/>
      <c r="S750" s="1783"/>
      <c r="T750" s="1783"/>
      <c r="U750" s="1783"/>
      <c r="V750" s="1783"/>
      <c r="W750" s="1783"/>
      <c r="X750" s="1783"/>
      <c r="Y750" s="1783"/>
      <c r="Z750" s="1783"/>
      <c r="AA750" s="1783"/>
      <c r="AB750" s="1783"/>
      <c r="AC750" s="1783"/>
      <c r="AD750" s="1783"/>
      <c r="AE750" s="1783"/>
      <c r="AF750" s="1783"/>
      <c r="AG750" s="1783"/>
      <c r="AH750" s="1783"/>
      <c r="AI750" s="1783"/>
      <c r="AJ750" s="1783"/>
      <c r="AK750" s="1783"/>
      <c r="AL750" s="1783"/>
      <c r="AM750" s="1783"/>
      <c r="AN750" s="1783"/>
      <c r="AO750" s="1783"/>
      <c r="AP750" s="1783"/>
      <c r="AQ750" s="1783"/>
      <c r="AR750" s="1783"/>
      <c r="AS750" s="1783"/>
      <c r="AT750" s="1783"/>
      <c r="AU750" s="1783"/>
      <c r="AV750" s="1783"/>
      <c r="AW750" s="1783"/>
      <c r="AX750" s="1783"/>
      <c r="AY750" s="1783"/>
      <c r="AZ750" s="1783"/>
      <c r="BA750" s="1783"/>
      <c r="BB750" s="1783"/>
      <c r="BC750" s="1783"/>
      <c r="BD750" s="1783"/>
      <c r="BE750" s="1783"/>
      <c r="BF750" s="1783"/>
      <c r="BG750" s="1783"/>
      <c r="BH750" s="1783"/>
      <c r="BI750" s="1783"/>
    </row>
    <row r="751" spans="1:61">
      <c r="A751" s="1819"/>
      <c r="B751" s="1818"/>
      <c r="C751" s="1818"/>
      <c r="D751" s="1818"/>
      <c r="E751" s="1818"/>
      <c r="F751" s="1818"/>
      <c r="G751" s="1818"/>
      <c r="H751" s="1783"/>
      <c r="I751" s="1783"/>
      <c r="J751" s="1783"/>
      <c r="K751" s="1783"/>
      <c r="L751" s="1783"/>
      <c r="M751" s="1783"/>
      <c r="N751" s="1783"/>
      <c r="O751" s="1783"/>
      <c r="P751" s="1783"/>
      <c r="Q751" s="1783"/>
      <c r="R751" s="1783"/>
      <c r="S751" s="1783"/>
      <c r="T751" s="1783"/>
      <c r="U751" s="1783"/>
      <c r="V751" s="1783"/>
      <c r="W751" s="1783"/>
      <c r="X751" s="1783"/>
      <c r="Y751" s="1783"/>
      <c r="Z751" s="1783"/>
      <c r="AA751" s="1783"/>
      <c r="AB751" s="1783"/>
      <c r="AC751" s="1783"/>
      <c r="AD751" s="1783"/>
      <c r="AE751" s="1783"/>
      <c r="AF751" s="1783"/>
      <c r="AG751" s="1783"/>
      <c r="AH751" s="1783"/>
      <c r="AI751" s="1783"/>
      <c r="AJ751" s="1783"/>
      <c r="AK751" s="1783"/>
      <c r="AL751" s="1783"/>
      <c r="AM751" s="1783"/>
      <c r="AN751" s="1783"/>
      <c r="AO751" s="1783"/>
      <c r="AP751" s="1783"/>
      <c r="AQ751" s="1783"/>
      <c r="AR751" s="1783"/>
      <c r="AS751" s="1783"/>
      <c r="AT751" s="1783"/>
      <c r="AU751" s="1783"/>
      <c r="AV751" s="1783"/>
      <c r="AW751" s="1783"/>
      <c r="AX751" s="1783"/>
      <c r="AY751" s="1783"/>
      <c r="AZ751" s="1783"/>
      <c r="BA751" s="1783"/>
      <c r="BB751" s="1783"/>
      <c r="BC751" s="1783"/>
      <c r="BD751" s="1783"/>
      <c r="BE751" s="1783"/>
      <c r="BF751" s="1783"/>
      <c r="BG751" s="1783"/>
      <c r="BH751" s="1783"/>
      <c r="BI751" s="1783"/>
    </row>
    <row r="752" spans="1:61">
      <c r="A752" s="1819"/>
      <c r="B752" s="1818"/>
      <c r="C752" s="1818"/>
      <c r="D752" s="1818"/>
      <c r="E752" s="1818"/>
      <c r="F752" s="1818"/>
      <c r="G752" s="1818"/>
      <c r="H752" s="1783"/>
      <c r="I752" s="1783"/>
      <c r="J752" s="1783"/>
      <c r="K752" s="1783"/>
      <c r="L752" s="1783"/>
      <c r="M752" s="1783"/>
      <c r="N752" s="1783"/>
      <c r="O752" s="1783"/>
      <c r="P752" s="1783"/>
      <c r="Q752" s="1783"/>
      <c r="R752" s="1783"/>
      <c r="S752" s="1783"/>
      <c r="T752" s="1783"/>
      <c r="U752" s="1783"/>
      <c r="V752" s="1783"/>
      <c r="W752" s="1783"/>
      <c r="X752" s="1783"/>
      <c r="Y752" s="1783"/>
      <c r="Z752" s="1783"/>
      <c r="AA752" s="1783"/>
      <c r="AB752" s="1783"/>
      <c r="AC752" s="1783"/>
      <c r="AD752" s="1783"/>
      <c r="AE752" s="1783"/>
      <c r="AF752" s="1783"/>
      <c r="AG752" s="1783"/>
      <c r="AH752" s="1783"/>
      <c r="AI752" s="1783"/>
      <c r="AJ752" s="1783"/>
      <c r="AK752" s="1783"/>
      <c r="AL752" s="1783"/>
      <c r="AM752" s="1783"/>
      <c r="AN752" s="1783"/>
      <c r="AO752" s="1783"/>
      <c r="AP752" s="1783"/>
      <c r="AQ752" s="1783"/>
      <c r="AR752" s="1783"/>
      <c r="AS752" s="1783"/>
      <c r="AT752" s="1783"/>
      <c r="AU752" s="1783"/>
      <c r="AV752" s="1783"/>
      <c r="AW752" s="1783"/>
      <c r="AX752" s="1783"/>
      <c r="AY752" s="1783"/>
      <c r="AZ752" s="1783"/>
      <c r="BA752" s="1783"/>
      <c r="BB752" s="1783"/>
      <c r="BC752" s="1783"/>
      <c r="BD752" s="1783"/>
      <c r="BE752" s="1783"/>
      <c r="BF752" s="1783"/>
      <c r="BG752" s="1783"/>
      <c r="BH752" s="1783"/>
      <c r="BI752" s="1783"/>
    </row>
    <row r="753" spans="1:61">
      <c r="A753" s="1819"/>
      <c r="B753" s="1818"/>
      <c r="C753" s="1818"/>
      <c r="D753" s="1818"/>
      <c r="E753" s="1818"/>
      <c r="F753" s="1818"/>
      <c r="G753" s="1818"/>
      <c r="H753" s="1783"/>
      <c r="I753" s="1783"/>
      <c r="J753" s="1783"/>
      <c r="K753" s="1783"/>
      <c r="L753" s="1783"/>
      <c r="M753" s="1783"/>
      <c r="N753" s="1783"/>
      <c r="O753" s="1783"/>
      <c r="P753" s="1783"/>
      <c r="Q753" s="1783"/>
      <c r="R753" s="1783"/>
      <c r="S753" s="1783"/>
      <c r="T753" s="1783"/>
      <c r="U753" s="1783"/>
      <c r="V753" s="1783"/>
      <c r="W753" s="1783"/>
      <c r="X753" s="1783"/>
      <c r="Y753" s="1783"/>
      <c r="Z753" s="1783"/>
      <c r="AA753" s="1783"/>
      <c r="AB753" s="1783"/>
      <c r="AC753" s="1783"/>
      <c r="AD753" s="1783"/>
      <c r="AE753" s="1783"/>
      <c r="AF753" s="1783"/>
      <c r="AG753" s="1783"/>
      <c r="AH753" s="1783"/>
      <c r="AI753" s="1783"/>
      <c r="AJ753" s="1783"/>
      <c r="AK753" s="1783"/>
      <c r="AL753" s="1783"/>
      <c r="AM753" s="1783"/>
      <c r="AN753" s="1783"/>
      <c r="AO753" s="1783"/>
      <c r="AP753" s="1783"/>
      <c r="AQ753" s="1783"/>
      <c r="AR753" s="1783"/>
      <c r="AS753" s="1783"/>
      <c r="AT753" s="1783"/>
      <c r="AU753" s="1783"/>
      <c r="AV753" s="1783"/>
      <c r="AW753" s="1783"/>
      <c r="AX753" s="1783"/>
      <c r="AY753" s="1783"/>
      <c r="AZ753" s="1783"/>
      <c r="BA753" s="1783"/>
      <c r="BB753" s="1783"/>
      <c r="BC753" s="1783"/>
      <c r="BD753" s="1783"/>
      <c r="BE753" s="1783"/>
      <c r="BF753" s="1783"/>
      <c r="BG753" s="1783"/>
      <c r="BH753" s="1783"/>
      <c r="BI753" s="1783"/>
    </row>
    <row r="754" spans="1:61">
      <c r="A754" s="1819"/>
      <c r="B754" s="1818"/>
      <c r="C754" s="1818"/>
      <c r="D754" s="1818"/>
      <c r="E754" s="1818"/>
      <c r="F754" s="1818"/>
      <c r="G754" s="1818"/>
      <c r="H754" s="1783"/>
      <c r="I754" s="1783"/>
      <c r="J754" s="1783"/>
      <c r="K754" s="1783"/>
      <c r="L754" s="1783"/>
      <c r="M754" s="1783"/>
      <c r="N754" s="1783"/>
      <c r="O754" s="1783"/>
      <c r="P754" s="1783"/>
      <c r="Q754" s="1783"/>
      <c r="R754" s="1783"/>
      <c r="S754" s="1783"/>
      <c r="T754" s="1783"/>
      <c r="U754" s="1783"/>
      <c r="V754" s="1783"/>
      <c r="W754" s="1783"/>
      <c r="X754" s="1783"/>
      <c r="Y754" s="1783"/>
      <c r="Z754" s="1783"/>
      <c r="AA754" s="1783"/>
      <c r="AB754" s="1783"/>
      <c r="AC754" s="1783"/>
      <c r="AD754" s="1783"/>
      <c r="AE754" s="1783"/>
      <c r="AF754" s="1783"/>
      <c r="AG754" s="1783"/>
      <c r="AH754" s="1783"/>
      <c r="AI754" s="1783"/>
      <c r="AJ754" s="1783"/>
      <c r="AK754" s="1783"/>
      <c r="AL754" s="1783"/>
      <c r="AM754" s="1783"/>
      <c r="AN754" s="1783"/>
      <c r="AO754" s="1783"/>
      <c r="AP754" s="1783"/>
      <c r="AQ754" s="1783"/>
      <c r="AR754" s="1783"/>
      <c r="AS754" s="1783"/>
      <c r="AT754" s="1783"/>
      <c r="AU754" s="1783"/>
      <c r="AV754" s="1783"/>
      <c r="AW754" s="1783"/>
      <c r="AX754" s="1783"/>
      <c r="AY754" s="1783"/>
      <c r="AZ754" s="1783"/>
      <c r="BA754" s="1783"/>
      <c r="BB754" s="1783"/>
      <c r="BC754" s="1783"/>
      <c r="BD754" s="1783"/>
      <c r="BE754" s="1783"/>
      <c r="BF754" s="1783"/>
      <c r="BG754" s="1783"/>
      <c r="BH754" s="1783"/>
      <c r="BI754" s="1783"/>
    </row>
    <row r="755" spans="1:61">
      <c r="A755" s="1819"/>
      <c r="B755" s="1818"/>
      <c r="C755" s="1818"/>
      <c r="D755" s="1818"/>
      <c r="E755" s="1818"/>
      <c r="F755" s="1818"/>
      <c r="G755" s="1818"/>
      <c r="H755" s="1783"/>
      <c r="I755" s="1783"/>
      <c r="J755" s="1783"/>
      <c r="K755" s="1783"/>
      <c r="L755" s="1783"/>
      <c r="M755" s="1783"/>
      <c r="N755" s="1783"/>
      <c r="O755" s="1783"/>
      <c r="P755" s="1783"/>
      <c r="Q755" s="1783"/>
      <c r="R755" s="1783"/>
      <c r="S755" s="1783"/>
      <c r="T755" s="1783"/>
      <c r="U755" s="1783"/>
      <c r="V755" s="1783"/>
      <c r="W755" s="1783"/>
      <c r="X755" s="1783"/>
      <c r="Y755" s="1783"/>
      <c r="Z755" s="1783"/>
      <c r="AA755" s="1783"/>
      <c r="AB755" s="1783"/>
      <c r="AC755" s="1783"/>
      <c r="AD755" s="1783"/>
      <c r="AE755" s="1783"/>
      <c r="AF755" s="1783"/>
      <c r="AG755" s="1783"/>
      <c r="AH755" s="1783"/>
      <c r="AI755" s="1783"/>
      <c r="AJ755" s="1783"/>
      <c r="AK755" s="1783"/>
      <c r="AL755" s="1783"/>
      <c r="AM755" s="1783"/>
      <c r="AN755" s="1783"/>
      <c r="AO755" s="1783"/>
      <c r="AP755" s="1783"/>
      <c r="AQ755" s="1783"/>
      <c r="AR755" s="1783"/>
      <c r="AS755" s="1783"/>
      <c r="AT755" s="1783"/>
      <c r="AU755" s="1783"/>
      <c r="AV755" s="1783"/>
      <c r="AW755" s="1783"/>
      <c r="AX755" s="1783"/>
      <c r="AY755" s="1783"/>
      <c r="AZ755" s="1783"/>
      <c r="BA755" s="1783"/>
      <c r="BB755" s="1783"/>
      <c r="BC755" s="1783"/>
      <c r="BD755" s="1783"/>
      <c r="BE755" s="1783"/>
      <c r="BF755" s="1783"/>
      <c r="BG755" s="1783"/>
      <c r="BH755" s="1783"/>
      <c r="BI755" s="1783"/>
    </row>
    <row r="756" spans="1:61">
      <c r="A756" s="1819"/>
      <c r="B756" s="1818"/>
      <c r="C756" s="1818"/>
      <c r="D756" s="1818"/>
      <c r="E756" s="1818"/>
      <c r="F756" s="1818"/>
      <c r="G756" s="1818"/>
      <c r="H756" s="1783"/>
      <c r="I756" s="1783"/>
      <c r="J756" s="1783"/>
      <c r="K756" s="1783"/>
      <c r="L756" s="1783"/>
      <c r="M756" s="1783"/>
      <c r="N756" s="1783"/>
      <c r="O756" s="1783"/>
      <c r="P756" s="1783"/>
      <c r="Q756" s="1783"/>
      <c r="R756" s="1783"/>
      <c r="S756" s="1783"/>
      <c r="T756" s="1783"/>
      <c r="U756" s="1783"/>
      <c r="V756" s="1783"/>
      <c r="W756" s="1783"/>
      <c r="X756" s="1783"/>
      <c r="Y756" s="1783"/>
      <c r="Z756" s="1783"/>
      <c r="AA756" s="1783"/>
      <c r="AB756" s="1783"/>
      <c r="AC756" s="1783"/>
      <c r="AD756" s="1783"/>
      <c r="AE756" s="1783"/>
      <c r="AF756" s="1783"/>
      <c r="AG756" s="1783"/>
      <c r="AH756" s="1783"/>
      <c r="AI756" s="1783"/>
      <c r="AJ756" s="1783"/>
      <c r="AK756" s="1783"/>
      <c r="AL756" s="1783"/>
      <c r="AM756" s="1783"/>
      <c r="AN756" s="1783"/>
      <c r="AO756" s="1783"/>
      <c r="AP756" s="1783"/>
      <c r="AQ756" s="1783"/>
      <c r="AR756" s="1783"/>
      <c r="AS756" s="1783"/>
      <c r="AT756" s="1783"/>
      <c r="AU756" s="1783"/>
      <c r="AV756" s="1783"/>
      <c r="AW756" s="1783"/>
      <c r="AX756" s="1783"/>
      <c r="AY756" s="1783"/>
      <c r="AZ756" s="1783"/>
      <c r="BA756" s="1783"/>
      <c r="BB756" s="1783"/>
      <c r="BC756" s="1783"/>
      <c r="BD756" s="1783"/>
      <c r="BE756" s="1783"/>
      <c r="BF756" s="1783"/>
      <c r="BG756" s="1783"/>
      <c r="BH756" s="1783"/>
      <c r="BI756" s="1783"/>
    </row>
    <row r="757" spans="1:61">
      <c r="A757" s="1819"/>
      <c r="B757" s="1818"/>
      <c r="C757" s="1818"/>
      <c r="D757" s="1818"/>
      <c r="E757" s="1818"/>
      <c r="F757" s="1818"/>
      <c r="G757" s="1818"/>
      <c r="H757" s="1783"/>
      <c r="I757" s="1783"/>
      <c r="J757" s="1783"/>
      <c r="K757" s="1783"/>
      <c r="L757" s="1783"/>
      <c r="M757" s="1783"/>
      <c r="N757" s="1783"/>
      <c r="O757" s="1783"/>
      <c r="P757" s="1783"/>
      <c r="Q757" s="1783"/>
      <c r="R757" s="1783"/>
      <c r="S757" s="1783"/>
      <c r="T757" s="1783"/>
      <c r="U757" s="1783"/>
      <c r="V757" s="1783"/>
      <c r="W757" s="1783"/>
      <c r="X757" s="1783"/>
      <c r="Y757" s="1783"/>
      <c r="Z757" s="1783"/>
      <c r="AA757" s="1783"/>
      <c r="AB757" s="1783"/>
      <c r="AC757" s="1783"/>
      <c r="AD757" s="1783"/>
      <c r="AE757" s="1783"/>
      <c r="AF757" s="1783"/>
      <c r="AG757" s="1783"/>
      <c r="AH757" s="1783"/>
      <c r="AI757" s="1783"/>
      <c r="AJ757" s="1783"/>
      <c r="AK757" s="1783"/>
      <c r="AL757" s="1783"/>
      <c r="AM757" s="1783"/>
      <c r="AN757" s="1783"/>
      <c r="AO757" s="1783"/>
      <c r="AP757" s="1783"/>
      <c r="AQ757" s="1783"/>
      <c r="AR757" s="1783"/>
      <c r="AS757" s="1783"/>
      <c r="AT757" s="1783"/>
      <c r="AU757" s="1783"/>
      <c r="AV757" s="1783"/>
      <c r="AW757" s="1783"/>
      <c r="AX757" s="1783"/>
      <c r="AY757" s="1783"/>
      <c r="AZ757" s="1783"/>
      <c r="BA757" s="1783"/>
      <c r="BB757" s="1783"/>
      <c r="BC757" s="1783"/>
      <c r="BD757" s="1783"/>
      <c r="BE757" s="1783"/>
      <c r="BF757" s="1783"/>
      <c r="BG757" s="1783"/>
      <c r="BH757" s="1783"/>
      <c r="BI757" s="1783"/>
    </row>
    <row r="758" spans="1:61">
      <c r="A758" s="1819"/>
      <c r="B758" s="1818"/>
      <c r="C758" s="1818"/>
      <c r="D758" s="1818"/>
      <c r="E758" s="1818"/>
      <c r="F758" s="1818"/>
      <c r="G758" s="1818"/>
      <c r="H758" s="1783"/>
      <c r="I758" s="1783"/>
      <c r="J758" s="1783"/>
      <c r="K758" s="1783"/>
      <c r="L758" s="1783"/>
      <c r="M758" s="1783"/>
      <c r="N758" s="1783"/>
      <c r="O758" s="1783"/>
      <c r="P758" s="1783"/>
      <c r="Q758" s="1783"/>
      <c r="R758" s="1783"/>
      <c r="S758" s="1783"/>
      <c r="T758" s="1783"/>
      <c r="U758" s="1783"/>
      <c r="V758" s="1783"/>
      <c r="W758" s="1783"/>
      <c r="X758" s="1783"/>
      <c r="Y758" s="1783"/>
      <c r="Z758" s="1783"/>
      <c r="AA758" s="1783"/>
      <c r="AB758" s="1783"/>
      <c r="AC758" s="1783"/>
      <c r="AD758" s="1783"/>
      <c r="AE758" s="1783"/>
      <c r="AF758" s="1783"/>
      <c r="AG758" s="1783"/>
      <c r="AH758" s="1783"/>
      <c r="AI758" s="1783"/>
      <c r="AJ758" s="1783"/>
      <c r="AK758" s="1783"/>
      <c r="AL758" s="1783"/>
      <c r="AM758" s="1783"/>
      <c r="AN758" s="1783"/>
      <c r="AO758" s="1783"/>
      <c r="AP758" s="1783"/>
      <c r="AQ758" s="1783"/>
      <c r="AR758" s="1783"/>
      <c r="AS758" s="1783"/>
      <c r="AT758" s="1783"/>
      <c r="AU758" s="1783"/>
      <c r="AV758" s="1783"/>
      <c r="AW758" s="1783"/>
      <c r="AX758" s="1783"/>
      <c r="AY758" s="1783"/>
      <c r="AZ758" s="1783"/>
      <c r="BA758" s="1783"/>
      <c r="BB758" s="1783"/>
      <c r="BC758" s="1783"/>
      <c r="BD758" s="1783"/>
      <c r="BE758" s="1783"/>
      <c r="BF758" s="1783"/>
      <c r="BG758" s="1783"/>
      <c r="BH758" s="1783"/>
      <c r="BI758" s="1783"/>
    </row>
    <row r="759" spans="1:61">
      <c r="A759" s="1819"/>
      <c r="B759" s="1818"/>
      <c r="C759" s="1818"/>
      <c r="D759" s="1818"/>
      <c r="E759" s="1818"/>
      <c r="F759" s="1818"/>
      <c r="G759" s="1818"/>
      <c r="H759" s="1783"/>
      <c r="I759" s="1783"/>
      <c r="J759" s="1783"/>
      <c r="K759" s="1783"/>
      <c r="L759" s="1783"/>
      <c r="M759" s="1783"/>
      <c r="N759" s="1783"/>
      <c r="O759" s="1783"/>
      <c r="P759" s="1783"/>
      <c r="Q759" s="1783"/>
      <c r="R759" s="1783"/>
      <c r="S759" s="1783"/>
      <c r="T759" s="1783"/>
      <c r="U759" s="1783"/>
      <c r="V759" s="1783"/>
      <c r="W759" s="1783"/>
      <c r="X759" s="1783"/>
      <c r="Y759" s="1783"/>
      <c r="Z759" s="1783"/>
      <c r="AA759" s="1783"/>
      <c r="AB759" s="1783"/>
      <c r="AC759" s="1783"/>
      <c r="AD759" s="1783"/>
      <c r="AE759" s="1783"/>
      <c r="AF759" s="1783"/>
      <c r="AG759" s="1783"/>
      <c r="AH759" s="1783"/>
      <c r="AI759" s="1783"/>
      <c r="AJ759" s="1783"/>
      <c r="AK759" s="1783"/>
      <c r="AL759" s="1783"/>
      <c r="AM759" s="1783"/>
      <c r="AN759" s="1783"/>
      <c r="AO759" s="1783"/>
      <c r="AP759" s="1783"/>
      <c r="AQ759" s="1783"/>
      <c r="AR759" s="1783"/>
      <c r="AS759" s="1783"/>
      <c r="AT759" s="1783"/>
      <c r="AU759" s="1783"/>
      <c r="AV759" s="1783"/>
      <c r="AW759" s="1783"/>
      <c r="AX759" s="1783"/>
      <c r="AY759" s="1783"/>
      <c r="AZ759" s="1783"/>
      <c r="BA759" s="1783"/>
      <c r="BB759" s="1783"/>
      <c r="BC759" s="1783"/>
      <c r="BD759" s="1783"/>
      <c r="BE759" s="1783"/>
      <c r="BF759" s="1783"/>
      <c r="BG759" s="1783"/>
      <c r="BH759" s="1783"/>
      <c r="BI759" s="1783"/>
    </row>
    <row r="760" spans="1:61">
      <c r="A760" s="1819"/>
      <c r="B760" s="1818"/>
      <c r="C760" s="1818"/>
      <c r="D760" s="1818"/>
      <c r="E760" s="1818"/>
      <c r="F760" s="1818"/>
      <c r="G760" s="1818"/>
      <c r="H760" s="1783"/>
      <c r="I760" s="1783"/>
      <c r="J760" s="1783"/>
      <c r="K760" s="1783"/>
      <c r="L760" s="1783"/>
      <c r="M760" s="1783"/>
      <c r="N760" s="1783"/>
      <c r="O760" s="1783"/>
      <c r="P760" s="1783"/>
      <c r="Q760" s="1783"/>
      <c r="R760" s="1783"/>
      <c r="S760" s="1783"/>
      <c r="T760" s="1783"/>
      <c r="U760" s="1783"/>
      <c r="V760" s="1783"/>
      <c r="W760" s="1783"/>
      <c r="X760" s="1783"/>
      <c r="Y760" s="1783"/>
      <c r="Z760" s="1783"/>
      <c r="AA760" s="1783"/>
      <c r="AB760" s="1783"/>
      <c r="AC760" s="1783"/>
      <c r="AD760" s="1783"/>
      <c r="AE760" s="1783"/>
      <c r="AF760" s="1783"/>
      <c r="AG760" s="1783"/>
      <c r="AH760" s="1783"/>
      <c r="AI760" s="1783"/>
      <c r="AJ760" s="1783"/>
      <c r="AK760" s="1783"/>
      <c r="AL760" s="1783"/>
      <c r="AM760" s="1783"/>
      <c r="AN760" s="1783"/>
      <c r="AO760" s="1783"/>
      <c r="AP760" s="1783"/>
      <c r="AQ760" s="1783"/>
      <c r="AR760" s="1783"/>
      <c r="AS760" s="1783"/>
      <c r="AT760" s="1783"/>
      <c r="AU760" s="1783"/>
      <c r="AV760" s="1783"/>
      <c r="AW760" s="1783"/>
      <c r="AX760" s="1783"/>
      <c r="AY760" s="1783"/>
      <c r="AZ760" s="1783"/>
      <c r="BA760" s="1783"/>
      <c r="BB760" s="1783"/>
      <c r="BC760" s="1783"/>
      <c r="BD760" s="1783"/>
      <c r="BE760" s="1783"/>
      <c r="BF760" s="1783"/>
      <c r="BG760" s="1783"/>
      <c r="BH760" s="1783"/>
      <c r="BI760" s="1783"/>
    </row>
    <row r="761" spans="1:61">
      <c r="A761" s="1819"/>
      <c r="B761" s="1818"/>
      <c r="C761" s="1818"/>
      <c r="D761" s="1818"/>
      <c r="E761" s="1818"/>
      <c r="F761" s="1818"/>
      <c r="G761" s="1818"/>
      <c r="H761" s="1783"/>
      <c r="I761" s="1783"/>
      <c r="J761" s="1783"/>
      <c r="K761" s="1783"/>
      <c r="L761" s="1783"/>
      <c r="M761" s="1783"/>
      <c r="N761" s="1783"/>
      <c r="O761" s="1783"/>
      <c r="P761" s="1783"/>
      <c r="Q761" s="1783"/>
      <c r="R761" s="1783"/>
      <c r="S761" s="1783"/>
      <c r="T761" s="1783"/>
      <c r="U761" s="1783"/>
      <c r="V761" s="1783"/>
      <c r="W761" s="1783"/>
      <c r="X761" s="1783"/>
      <c r="Y761" s="1783"/>
      <c r="Z761" s="1783"/>
      <c r="AA761" s="1783"/>
      <c r="AB761" s="1783"/>
      <c r="AC761" s="1783"/>
      <c r="AD761" s="1783"/>
      <c r="AE761" s="1783"/>
      <c r="AF761" s="1783"/>
      <c r="AG761" s="1783"/>
      <c r="AH761" s="1783"/>
      <c r="AI761" s="1783"/>
      <c r="AJ761" s="1783"/>
      <c r="AK761" s="1783"/>
      <c r="AL761" s="1783"/>
      <c r="AM761" s="1783"/>
      <c r="AN761" s="1783"/>
      <c r="AO761" s="1783"/>
      <c r="AP761" s="1783"/>
      <c r="AQ761" s="1783"/>
      <c r="AR761" s="1783"/>
      <c r="AS761" s="1783"/>
      <c r="AT761" s="1783"/>
      <c r="AU761" s="1783"/>
      <c r="AV761" s="1783"/>
      <c r="AW761" s="1783"/>
      <c r="AX761" s="1783"/>
      <c r="AY761" s="1783"/>
      <c r="AZ761" s="1783"/>
      <c r="BA761" s="1783"/>
      <c r="BB761" s="1783"/>
      <c r="BC761" s="1783"/>
      <c r="BD761" s="1783"/>
      <c r="BE761" s="1783"/>
      <c r="BF761" s="1783"/>
      <c r="BG761" s="1783"/>
      <c r="BH761" s="1783"/>
      <c r="BI761" s="1783"/>
    </row>
    <row r="762" spans="1:61">
      <c r="A762" s="1819"/>
      <c r="B762" s="1818"/>
      <c r="C762" s="1818"/>
      <c r="D762" s="1818"/>
      <c r="E762" s="1818"/>
      <c r="F762" s="1818"/>
      <c r="G762" s="1818"/>
      <c r="H762" s="1783"/>
      <c r="I762" s="1783"/>
      <c r="J762" s="1783"/>
      <c r="K762" s="1783"/>
      <c r="L762" s="1783"/>
      <c r="M762" s="1783"/>
      <c r="N762" s="1783"/>
      <c r="O762" s="1783"/>
      <c r="P762" s="1783"/>
      <c r="Q762" s="1783"/>
      <c r="R762" s="1783"/>
      <c r="S762" s="1783"/>
      <c r="T762" s="1783"/>
      <c r="U762" s="1783"/>
      <c r="V762" s="1783"/>
      <c r="W762" s="1783"/>
      <c r="X762" s="1783"/>
      <c r="Y762" s="1783"/>
      <c r="Z762" s="1783"/>
      <c r="AA762" s="1783"/>
      <c r="AB762" s="1783"/>
      <c r="AC762" s="1783"/>
      <c r="AD762" s="1783"/>
      <c r="AE762" s="1783"/>
      <c r="AF762" s="1783"/>
      <c r="AG762" s="1783"/>
      <c r="AH762" s="1783"/>
      <c r="AI762" s="1783"/>
      <c r="AJ762" s="1783"/>
      <c r="AK762" s="1783"/>
      <c r="AL762" s="1783"/>
      <c r="AM762" s="1783"/>
      <c r="AN762" s="1783"/>
      <c r="AO762" s="1783"/>
      <c r="AP762" s="1783"/>
      <c r="AQ762" s="1783"/>
      <c r="AR762" s="1783"/>
      <c r="AS762" s="1783"/>
      <c r="AT762" s="1783"/>
      <c r="AU762" s="1783"/>
      <c r="AV762" s="1783"/>
      <c r="AW762" s="1783"/>
      <c r="AX762" s="1783"/>
      <c r="AY762" s="1783"/>
      <c r="AZ762" s="1783"/>
      <c r="BA762" s="1783"/>
      <c r="BB762" s="1783"/>
      <c r="BC762" s="1783"/>
      <c r="BD762" s="1783"/>
      <c r="BE762" s="1783"/>
      <c r="BF762" s="1783"/>
      <c r="BG762" s="1783"/>
      <c r="BH762" s="1783"/>
      <c r="BI762" s="1783"/>
    </row>
    <row r="763" spans="1:61">
      <c r="A763" s="1819"/>
      <c r="B763" s="1818"/>
      <c r="C763" s="1818"/>
      <c r="D763" s="1818"/>
      <c r="E763" s="1818"/>
      <c r="F763" s="1818"/>
      <c r="G763" s="1818"/>
      <c r="H763" s="1783"/>
      <c r="I763" s="1783"/>
      <c r="J763" s="1783"/>
      <c r="K763" s="1783"/>
      <c r="L763" s="1783"/>
      <c r="M763" s="1783"/>
      <c r="N763" s="1783"/>
      <c r="O763" s="1783"/>
      <c r="P763" s="1783"/>
      <c r="Q763" s="1783"/>
      <c r="R763" s="1783"/>
      <c r="S763" s="1783"/>
      <c r="T763" s="1783"/>
      <c r="U763" s="1783"/>
      <c r="V763" s="1783"/>
      <c r="W763" s="1783"/>
      <c r="X763" s="1783"/>
      <c r="Y763" s="1783"/>
      <c r="Z763" s="1783"/>
      <c r="AA763" s="1783"/>
      <c r="AB763" s="1783"/>
      <c r="AC763" s="1783"/>
      <c r="AD763" s="1783"/>
      <c r="AE763" s="1783"/>
      <c r="AF763" s="1783"/>
      <c r="AG763" s="1783"/>
      <c r="AH763" s="1783"/>
      <c r="AI763" s="1783"/>
      <c r="AJ763" s="1783"/>
      <c r="AK763" s="1783"/>
      <c r="AL763" s="1783"/>
      <c r="AM763" s="1783"/>
      <c r="AN763" s="1783"/>
      <c r="AO763" s="1783"/>
      <c r="AP763" s="1783"/>
      <c r="AQ763" s="1783"/>
      <c r="AR763" s="1783"/>
      <c r="AS763" s="1783"/>
      <c r="AT763" s="1783"/>
      <c r="AU763" s="1783"/>
      <c r="AV763" s="1783"/>
      <c r="AW763" s="1783"/>
      <c r="AX763" s="1783"/>
      <c r="AY763" s="1783"/>
      <c r="AZ763" s="1783"/>
      <c r="BA763" s="1783"/>
      <c r="BB763" s="1783"/>
      <c r="BC763" s="1783"/>
      <c r="BD763" s="1783"/>
      <c r="BE763" s="1783"/>
      <c r="BF763" s="1783"/>
      <c r="BG763" s="1783"/>
      <c r="BH763" s="1783"/>
      <c r="BI763" s="1783"/>
    </row>
    <row r="764" spans="1:61">
      <c r="A764" s="1819"/>
      <c r="B764" s="1818"/>
      <c r="C764" s="1818"/>
      <c r="D764" s="1818"/>
      <c r="E764" s="1818"/>
      <c r="F764" s="1818"/>
      <c r="G764" s="1818"/>
      <c r="H764" s="1783"/>
      <c r="I764" s="1783"/>
      <c r="J764" s="1783"/>
      <c r="K764" s="1783"/>
      <c r="L764" s="1783"/>
      <c r="M764" s="1783"/>
      <c r="N764" s="1783"/>
      <c r="O764" s="1783"/>
      <c r="P764" s="1783"/>
      <c r="Q764" s="1783"/>
      <c r="R764" s="1783"/>
      <c r="S764" s="1783"/>
      <c r="T764" s="1783"/>
      <c r="U764" s="1783"/>
      <c r="V764" s="1783"/>
      <c r="W764" s="1783"/>
      <c r="X764" s="1783"/>
      <c r="Y764" s="1783"/>
      <c r="Z764" s="1783"/>
      <c r="AA764" s="1783"/>
      <c r="AB764" s="1783"/>
      <c r="AC764" s="1783"/>
      <c r="AD764" s="1783"/>
      <c r="AE764" s="1783"/>
      <c r="AF764" s="1783"/>
      <c r="AG764" s="1783"/>
      <c r="AH764" s="1783"/>
      <c r="AI764" s="1783"/>
      <c r="AJ764" s="1783"/>
      <c r="AK764" s="1783"/>
      <c r="AL764" s="1783"/>
      <c r="AM764" s="1783"/>
      <c r="AN764" s="1783"/>
      <c r="AO764" s="1783"/>
      <c r="AP764" s="1783"/>
      <c r="AQ764" s="1783"/>
      <c r="AR764" s="1783"/>
      <c r="AS764" s="1783"/>
      <c r="AT764" s="1783"/>
      <c r="AU764" s="1783"/>
      <c r="AV764" s="1783"/>
      <c r="AW764" s="1783"/>
      <c r="AX764" s="1783"/>
      <c r="AY764" s="1783"/>
      <c r="AZ764" s="1783"/>
      <c r="BA764" s="1783"/>
      <c r="BB764" s="1783"/>
      <c r="BC764" s="1783"/>
      <c r="BD764" s="1783"/>
      <c r="BE764" s="1783"/>
      <c r="BF764" s="1783"/>
      <c r="BG764" s="1783"/>
      <c r="BH764" s="1783"/>
      <c r="BI764" s="1783"/>
    </row>
    <row r="765" spans="1:61">
      <c r="A765" s="1819"/>
      <c r="B765" s="1818"/>
      <c r="C765" s="1818"/>
      <c r="D765" s="1818"/>
      <c r="E765" s="1818"/>
      <c r="F765" s="1818"/>
      <c r="G765" s="1818"/>
      <c r="H765" s="1783"/>
      <c r="I765" s="1783"/>
      <c r="J765" s="1783"/>
      <c r="K765" s="1783"/>
      <c r="L765" s="1783"/>
      <c r="M765" s="1783"/>
      <c r="N765" s="1783"/>
      <c r="O765" s="1783"/>
      <c r="P765" s="1783"/>
      <c r="Q765" s="1783"/>
      <c r="R765" s="1783"/>
      <c r="S765" s="1783"/>
      <c r="T765" s="1783"/>
      <c r="U765" s="1783"/>
      <c r="V765" s="1783"/>
      <c r="W765" s="1783"/>
      <c r="X765" s="1783"/>
      <c r="Y765" s="1783"/>
      <c r="Z765" s="1783"/>
      <c r="AA765" s="1783"/>
      <c r="AB765" s="1783"/>
      <c r="AC765" s="1783"/>
      <c r="AD765" s="1783"/>
      <c r="AE765" s="1783"/>
      <c r="AF765" s="1783"/>
      <c r="AG765" s="1783"/>
      <c r="AH765" s="1783"/>
      <c r="AI765" s="1783"/>
      <c r="AJ765" s="1783"/>
      <c r="AK765" s="1783"/>
      <c r="AL765" s="1783"/>
      <c r="AM765" s="1783"/>
      <c r="AN765" s="1783"/>
      <c r="AO765" s="1783"/>
      <c r="AP765" s="1783"/>
      <c r="AQ765" s="1783"/>
      <c r="AR765" s="1783"/>
      <c r="AS765" s="1783"/>
      <c r="AT765" s="1783"/>
      <c r="AU765" s="1783"/>
      <c r="AV765" s="1783"/>
      <c r="AW765" s="1783"/>
      <c r="AX765" s="1783"/>
      <c r="AY765" s="1783"/>
      <c r="AZ765" s="1783"/>
      <c r="BA765" s="1783"/>
      <c r="BB765" s="1783"/>
      <c r="BC765" s="1783"/>
      <c r="BD765" s="1783"/>
      <c r="BE765" s="1783"/>
      <c r="BF765" s="1783"/>
      <c r="BG765" s="1783"/>
      <c r="BH765" s="1783"/>
      <c r="BI765" s="1783"/>
    </row>
    <row r="766" spans="1:61">
      <c r="A766" s="1819"/>
      <c r="B766" s="1818"/>
      <c r="C766" s="1818"/>
      <c r="D766" s="1818"/>
      <c r="E766" s="1818"/>
      <c r="F766" s="1818"/>
      <c r="G766" s="1818"/>
      <c r="H766" s="1783"/>
      <c r="I766" s="1783"/>
      <c r="J766" s="1783"/>
      <c r="K766" s="1783"/>
      <c r="L766" s="1783"/>
      <c r="M766" s="1783"/>
      <c r="N766" s="1783"/>
      <c r="O766" s="1783"/>
      <c r="P766" s="1783"/>
      <c r="Q766" s="1783"/>
      <c r="R766" s="1783"/>
      <c r="S766" s="1783"/>
      <c r="T766" s="1783"/>
      <c r="U766" s="1783"/>
      <c r="V766" s="1783"/>
      <c r="W766" s="1783"/>
      <c r="X766" s="1783"/>
      <c r="Y766" s="1783"/>
      <c r="Z766" s="1783"/>
      <c r="AA766" s="1783"/>
      <c r="AB766" s="1783"/>
      <c r="AC766" s="1783"/>
      <c r="AD766" s="1783"/>
      <c r="AE766" s="1783"/>
      <c r="AF766" s="1783"/>
      <c r="AG766" s="1783"/>
      <c r="AH766" s="1783"/>
      <c r="AI766" s="1783"/>
      <c r="AJ766" s="1783"/>
      <c r="AK766" s="1783"/>
      <c r="AL766" s="1783"/>
      <c r="AM766" s="1783"/>
      <c r="AN766" s="1783"/>
      <c r="AO766" s="1783"/>
      <c r="AP766" s="1783"/>
      <c r="AQ766" s="1783"/>
      <c r="AR766" s="1783"/>
      <c r="AS766" s="1783"/>
      <c r="AT766" s="1783"/>
      <c r="AU766" s="1783"/>
      <c r="AV766" s="1783"/>
      <c r="AW766" s="1783"/>
      <c r="AX766" s="1783"/>
      <c r="AY766" s="1783"/>
      <c r="AZ766" s="1783"/>
      <c r="BA766" s="1783"/>
      <c r="BB766" s="1783"/>
      <c r="BC766" s="1783"/>
      <c r="BD766" s="1783"/>
      <c r="BE766" s="1783"/>
      <c r="BF766" s="1783"/>
      <c r="BG766" s="1783"/>
      <c r="BH766" s="1783"/>
      <c r="BI766" s="1783"/>
    </row>
    <row r="767" spans="1:61">
      <c r="A767" s="1819"/>
      <c r="B767" s="1818"/>
      <c r="C767" s="1818"/>
      <c r="D767" s="1818"/>
      <c r="E767" s="1818"/>
      <c r="F767" s="1818"/>
      <c r="G767" s="1818"/>
      <c r="H767" s="1783"/>
      <c r="I767" s="1783"/>
      <c r="J767" s="1783"/>
      <c r="K767" s="1783"/>
      <c r="L767" s="1783"/>
      <c r="M767" s="1783"/>
      <c r="N767" s="1783"/>
      <c r="O767" s="1783"/>
      <c r="P767" s="1783"/>
      <c r="Q767" s="1783"/>
      <c r="R767" s="1783"/>
      <c r="S767" s="1783"/>
      <c r="T767" s="1783"/>
      <c r="U767" s="1783"/>
      <c r="V767" s="1783"/>
      <c r="W767" s="1783"/>
      <c r="X767" s="1783"/>
      <c r="Y767" s="1783"/>
      <c r="Z767" s="1783"/>
      <c r="AA767" s="1783"/>
      <c r="AB767" s="1783"/>
      <c r="AC767" s="1783"/>
      <c r="AD767" s="1783"/>
      <c r="AE767" s="1783"/>
      <c r="AF767" s="1783"/>
      <c r="AG767" s="1783"/>
      <c r="AH767" s="1783"/>
      <c r="AI767" s="1783"/>
      <c r="AJ767" s="1783"/>
      <c r="AK767" s="1783"/>
      <c r="AL767" s="1783"/>
      <c r="AM767" s="1783"/>
      <c r="AN767" s="1783"/>
      <c r="AO767" s="1783"/>
      <c r="AP767" s="1783"/>
      <c r="AQ767" s="1783"/>
      <c r="AR767" s="1783"/>
      <c r="AS767" s="1783"/>
      <c r="AT767" s="1783"/>
      <c r="AU767" s="1783"/>
      <c r="AV767" s="1783"/>
      <c r="AW767" s="1783"/>
      <c r="AX767" s="1783"/>
      <c r="AY767" s="1783"/>
      <c r="AZ767" s="1783"/>
      <c r="BA767" s="1783"/>
      <c r="BB767" s="1783"/>
      <c r="BC767" s="1783"/>
      <c r="BD767" s="1783"/>
      <c r="BE767" s="1783"/>
      <c r="BF767" s="1783"/>
      <c r="BG767" s="1783"/>
      <c r="BH767" s="1783"/>
      <c r="BI767" s="1783"/>
    </row>
    <row r="768" spans="1:61">
      <c r="A768" s="1819"/>
      <c r="B768" s="1818"/>
      <c r="C768" s="1818"/>
      <c r="D768" s="1818"/>
      <c r="E768" s="1818"/>
      <c r="F768" s="1818"/>
      <c r="G768" s="1818"/>
      <c r="H768" s="1783"/>
      <c r="I768" s="1783"/>
      <c r="J768" s="1783"/>
      <c r="K768" s="1783"/>
      <c r="L768" s="1783"/>
      <c r="M768" s="1783"/>
      <c r="N768" s="1783"/>
      <c r="O768" s="1783"/>
      <c r="P768" s="1783"/>
      <c r="Q768" s="1783"/>
      <c r="R768" s="1783"/>
      <c r="S768" s="1783"/>
      <c r="T768" s="1783"/>
      <c r="U768" s="1783"/>
      <c r="V768" s="1783"/>
      <c r="W768" s="1783"/>
      <c r="X768" s="1783"/>
      <c r="Y768" s="1783"/>
      <c r="Z768" s="1783"/>
      <c r="AA768" s="1783"/>
      <c r="AB768" s="1783"/>
      <c r="AC768" s="1783"/>
      <c r="AD768" s="1783"/>
      <c r="AE768" s="1783"/>
      <c r="AF768" s="1783"/>
      <c r="AG768" s="1783"/>
      <c r="AH768" s="1783"/>
      <c r="AI768" s="1783"/>
      <c r="AJ768" s="1783"/>
      <c r="AK768" s="1783"/>
      <c r="AL768" s="1783"/>
      <c r="AM768" s="1783"/>
      <c r="AN768" s="1783"/>
      <c r="AO768" s="1783"/>
      <c r="AP768" s="1783"/>
      <c r="AQ768" s="1783"/>
      <c r="AR768" s="1783"/>
      <c r="AS768" s="1783"/>
      <c r="AT768" s="1783"/>
      <c r="AU768" s="1783"/>
      <c r="AV768" s="1783"/>
      <c r="AW768" s="1783"/>
      <c r="AX768" s="1783"/>
      <c r="AY768" s="1783"/>
      <c r="AZ768" s="1783"/>
      <c r="BA768" s="1783"/>
      <c r="BB768" s="1783"/>
      <c r="BC768" s="1783"/>
      <c r="BD768" s="1783"/>
      <c r="BE768" s="1783"/>
      <c r="BF768" s="1783"/>
      <c r="BG768" s="1783"/>
      <c r="BH768" s="1783"/>
      <c r="BI768" s="1783"/>
    </row>
    <row r="769" spans="1:61">
      <c r="A769" s="1819"/>
      <c r="B769" s="1818"/>
      <c r="C769" s="1818"/>
      <c r="D769" s="1818"/>
      <c r="E769" s="1818"/>
      <c r="F769" s="1818"/>
      <c r="G769" s="1818"/>
      <c r="H769" s="1783"/>
      <c r="I769" s="1783"/>
      <c r="J769" s="1783"/>
      <c r="K769" s="1783"/>
      <c r="L769" s="1783"/>
      <c r="M769" s="1783"/>
      <c r="N769" s="1783"/>
      <c r="O769" s="1783"/>
      <c r="P769" s="1783"/>
      <c r="Q769" s="1783"/>
      <c r="R769" s="1783"/>
      <c r="S769" s="1783"/>
      <c r="T769" s="1783"/>
      <c r="U769" s="1783"/>
      <c r="V769" s="1783"/>
      <c r="W769" s="1783"/>
      <c r="X769" s="1783"/>
      <c r="Y769" s="1783"/>
      <c r="Z769" s="1783"/>
      <c r="AA769" s="1783"/>
      <c r="AB769" s="1783"/>
      <c r="AC769" s="1783"/>
      <c r="AD769" s="1783"/>
      <c r="AE769" s="1783"/>
      <c r="AF769" s="1783"/>
      <c r="AG769" s="1783"/>
      <c r="AH769" s="1783"/>
      <c r="AI769" s="1783"/>
      <c r="AJ769" s="1783"/>
      <c r="AK769" s="1783"/>
      <c r="AL769" s="1783"/>
      <c r="AM769" s="1783"/>
      <c r="AN769" s="1783"/>
      <c r="AO769" s="1783"/>
      <c r="AP769" s="1783"/>
      <c r="AQ769" s="1783"/>
      <c r="AR769" s="1783"/>
      <c r="AS769" s="1783"/>
      <c r="AT769" s="1783"/>
      <c r="AU769" s="1783"/>
      <c r="AV769" s="1783"/>
      <c r="AW769" s="1783"/>
      <c r="AX769" s="1783"/>
      <c r="AY769" s="1783"/>
      <c r="AZ769" s="1783"/>
      <c r="BA769" s="1783"/>
      <c r="BB769" s="1783"/>
      <c r="BC769" s="1783"/>
      <c r="BD769" s="1783"/>
      <c r="BE769" s="1783"/>
      <c r="BF769" s="1783"/>
      <c r="BG769" s="1783"/>
      <c r="BH769" s="1783"/>
      <c r="BI769" s="1783"/>
    </row>
    <row r="770" spans="1:61">
      <c r="A770" s="1819"/>
      <c r="B770" s="1818"/>
      <c r="C770" s="1818"/>
      <c r="D770" s="1818"/>
      <c r="E770" s="1818"/>
      <c r="F770" s="1818"/>
      <c r="G770" s="1818"/>
      <c r="H770" s="1783"/>
      <c r="I770" s="1783"/>
      <c r="J770" s="1783"/>
      <c r="K770" s="1783"/>
      <c r="L770" s="1783"/>
      <c r="M770" s="1783"/>
      <c r="N770" s="1783"/>
      <c r="O770" s="1783"/>
      <c r="P770" s="1783"/>
      <c r="Q770" s="1783"/>
      <c r="R770" s="1783"/>
      <c r="S770" s="1783"/>
      <c r="T770" s="1783"/>
      <c r="U770" s="1783"/>
      <c r="V770" s="1783"/>
      <c r="W770" s="1783"/>
      <c r="X770" s="1783"/>
      <c r="Y770" s="1783"/>
      <c r="Z770" s="1783"/>
      <c r="AA770" s="1783"/>
      <c r="AB770" s="1783"/>
      <c r="AC770" s="1783"/>
      <c r="AD770" s="1783"/>
      <c r="AE770" s="1783"/>
      <c r="AF770" s="1783"/>
      <c r="AG770" s="1783"/>
      <c r="AH770" s="1783"/>
      <c r="AI770" s="1783"/>
      <c r="AJ770" s="1783"/>
      <c r="AK770" s="1783"/>
      <c r="AL770" s="1783"/>
      <c r="AM770" s="1783"/>
      <c r="AN770" s="1783"/>
      <c r="AO770" s="1783"/>
      <c r="AP770" s="1783"/>
      <c r="AQ770" s="1783"/>
      <c r="AR770" s="1783"/>
      <c r="AS770" s="1783"/>
      <c r="AT770" s="1783"/>
      <c r="AU770" s="1783"/>
      <c r="AV770" s="1783"/>
      <c r="AW770" s="1783"/>
      <c r="AX770" s="1783"/>
      <c r="AY770" s="1783"/>
      <c r="AZ770" s="1783"/>
      <c r="BA770" s="1783"/>
      <c r="BB770" s="1783"/>
      <c r="BC770" s="1783"/>
      <c r="BD770" s="1783"/>
      <c r="BE770" s="1783"/>
      <c r="BF770" s="1783"/>
      <c r="BG770" s="1783"/>
      <c r="BH770" s="1783"/>
      <c r="BI770" s="1783"/>
    </row>
    <row r="771" spans="1:61">
      <c r="A771" s="1819"/>
      <c r="B771" s="1818"/>
      <c r="C771" s="1818"/>
      <c r="D771" s="1818"/>
      <c r="E771" s="1818"/>
      <c r="F771" s="1818"/>
      <c r="G771" s="1818"/>
      <c r="H771" s="1783"/>
      <c r="I771" s="1783"/>
      <c r="J771" s="1783"/>
      <c r="K771" s="1783"/>
      <c r="L771" s="1783"/>
      <c r="M771" s="1783"/>
      <c r="N771" s="1783"/>
      <c r="O771" s="1783"/>
      <c r="P771" s="1783"/>
      <c r="Q771" s="1783"/>
      <c r="R771" s="1783"/>
      <c r="S771" s="1783"/>
      <c r="T771" s="1783"/>
      <c r="U771" s="1783"/>
      <c r="V771" s="1783"/>
      <c r="W771" s="1783"/>
      <c r="X771" s="1783"/>
      <c r="Y771" s="1783"/>
      <c r="Z771" s="1783"/>
      <c r="AA771" s="1783"/>
      <c r="AB771" s="1783"/>
      <c r="AC771" s="1783"/>
      <c r="AD771" s="1783"/>
      <c r="AE771" s="1783"/>
      <c r="AF771" s="1783"/>
      <c r="AG771" s="1783"/>
      <c r="AH771" s="1783"/>
      <c r="AI771" s="1783"/>
      <c r="AJ771" s="1783"/>
      <c r="AK771" s="1783"/>
      <c r="AL771" s="1783"/>
      <c r="AM771" s="1783"/>
      <c r="AN771" s="1783"/>
      <c r="AO771" s="1783"/>
      <c r="AP771" s="1783"/>
      <c r="AQ771" s="1783"/>
      <c r="AR771" s="1783"/>
      <c r="AS771" s="1783"/>
      <c r="AT771" s="1783"/>
      <c r="AU771" s="1783"/>
      <c r="AV771" s="1783"/>
      <c r="AW771" s="1783"/>
      <c r="AX771" s="1783"/>
      <c r="AY771" s="1783"/>
      <c r="AZ771" s="1783"/>
      <c r="BA771" s="1783"/>
      <c r="BB771" s="1783"/>
      <c r="BC771" s="1783"/>
      <c r="BD771" s="1783"/>
      <c r="BE771" s="1783"/>
      <c r="BF771" s="1783"/>
      <c r="BG771" s="1783"/>
      <c r="BH771" s="1783"/>
      <c r="BI771" s="1783"/>
    </row>
    <row r="772" spans="1:61">
      <c r="A772" s="1819"/>
      <c r="B772" s="1818"/>
      <c r="C772" s="1818"/>
      <c r="D772" s="1818"/>
      <c r="E772" s="1818"/>
      <c r="F772" s="1818"/>
      <c r="G772" s="1818"/>
      <c r="H772" s="1783"/>
      <c r="I772" s="1783"/>
      <c r="J772" s="1783"/>
      <c r="K772" s="1783"/>
      <c r="L772" s="1783"/>
      <c r="M772" s="1783"/>
      <c r="N772" s="1783"/>
      <c r="O772" s="1783"/>
      <c r="P772" s="1783"/>
      <c r="Q772" s="1783"/>
      <c r="R772" s="1783"/>
      <c r="S772" s="1783"/>
      <c r="T772" s="1783"/>
      <c r="U772" s="1783"/>
      <c r="V772" s="1783"/>
      <c r="W772" s="1783"/>
      <c r="X772" s="1783"/>
      <c r="Y772" s="1783"/>
      <c r="Z772" s="1783"/>
      <c r="AA772" s="1783"/>
      <c r="AB772" s="1783"/>
      <c r="AC772" s="1783"/>
      <c r="AD772" s="1783"/>
      <c r="AE772" s="1783"/>
      <c r="AF772" s="1783"/>
      <c r="AG772" s="1783"/>
      <c r="AH772" s="1783"/>
      <c r="AI772" s="1783"/>
      <c r="AJ772" s="1783"/>
      <c r="AK772" s="1783"/>
      <c r="AL772" s="1783"/>
      <c r="AM772" s="1783"/>
      <c r="AN772" s="1783"/>
      <c r="AO772" s="1783"/>
      <c r="AP772" s="1783"/>
      <c r="AQ772" s="1783"/>
      <c r="AR772" s="1783"/>
      <c r="AS772" s="1783"/>
      <c r="AT772" s="1783"/>
      <c r="AU772" s="1783"/>
      <c r="AV772" s="1783"/>
      <c r="AW772" s="1783"/>
      <c r="AX772" s="1783"/>
      <c r="AY772" s="1783"/>
      <c r="AZ772" s="1783"/>
      <c r="BA772" s="1783"/>
      <c r="BB772" s="1783"/>
      <c r="BC772" s="1783"/>
      <c r="BD772" s="1783"/>
      <c r="BE772" s="1783"/>
      <c r="BF772" s="1783"/>
      <c r="BG772" s="1783"/>
      <c r="BH772" s="1783"/>
      <c r="BI772" s="1783"/>
    </row>
    <row r="773" spans="1:61">
      <c r="A773" s="1819"/>
      <c r="B773" s="1818"/>
      <c r="C773" s="1818"/>
      <c r="D773" s="1818"/>
      <c r="E773" s="1818"/>
      <c r="F773" s="1818"/>
      <c r="G773" s="1818"/>
      <c r="H773" s="1783"/>
      <c r="I773" s="1783"/>
      <c r="J773" s="1783"/>
      <c r="K773" s="1783"/>
      <c r="L773" s="1783"/>
      <c r="M773" s="1783"/>
      <c r="N773" s="1783"/>
      <c r="O773" s="1783"/>
      <c r="P773" s="1783"/>
      <c r="Q773" s="1783"/>
      <c r="R773" s="1783"/>
      <c r="S773" s="1783"/>
      <c r="T773" s="1783"/>
      <c r="U773" s="1783"/>
      <c r="V773" s="1783"/>
      <c r="W773" s="1783"/>
      <c r="X773" s="1783"/>
      <c r="Y773" s="1783"/>
      <c r="Z773" s="1783"/>
      <c r="AA773" s="1783"/>
      <c r="AB773" s="1783"/>
      <c r="AC773" s="1783"/>
      <c r="AD773" s="1783"/>
      <c r="AE773" s="1783"/>
      <c r="AF773" s="1783"/>
      <c r="AG773" s="1783"/>
      <c r="AH773" s="1783"/>
      <c r="AI773" s="1783"/>
      <c r="AJ773" s="1783"/>
      <c r="AK773" s="1783"/>
      <c r="AL773" s="1783"/>
      <c r="AM773" s="1783"/>
      <c r="AN773" s="1783"/>
      <c r="AO773" s="1783"/>
      <c r="AP773" s="1783"/>
      <c r="AQ773" s="1783"/>
      <c r="AR773" s="1783"/>
      <c r="AS773" s="1783"/>
      <c r="AT773" s="1783"/>
      <c r="AU773" s="1783"/>
      <c r="AV773" s="1783"/>
      <c r="AW773" s="1783"/>
      <c r="AX773" s="1783"/>
      <c r="AY773" s="1783"/>
      <c r="AZ773" s="1783"/>
      <c r="BA773" s="1783"/>
      <c r="BB773" s="1783"/>
      <c r="BC773" s="1783"/>
      <c r="BD773" s="1783"/>
      <c r="BE773" s="1783"/>
      <c r="BF773" s="1783"/>
      <c r="BG773" s="1783"/>
      <c r="BH773" s="1783"/>
      <c r="BI773" s="1783"/>
    </row>
    <row r="774" spans="1:61">
      <c r="A774" s="1819"/>
      <c r="B774" s="1818"/>
      <c r="C774" s="1818"/>
      <c r="D774" s="1818"/>
      <c r="E774" s="1818"/>
      <c r="F774" s="1818"/>
      <c r="G774" s="1818"/>
      <c r="H774" s="1783"/>
      <c r="I774" s="1783"/>
      <c r="J774" s="1783"/>
      <c r="K774" s="1783"/>
      <c r="L774" s="1783"/>
      <c r="M774" s="1783"/>
      <c r="N774" s="1783"/>
      <c r="O774" s="1783"/>
      <c r="P774" s="1783"/>
      <c r="Q774" s="1783"/>
      <c r="R774" s="1783"/>
      <c r="S774" s="1783"/>
      <c r="T774" s="1783"/>
      <c r="U774" s="1783"/>
      <c r="V774" s="1783"/>
      <c r="W774" s="1783"/>
      <c r="X774" s="1783"/>
      <c r="Y774" s="1783"/>
      <c r="Z774" s="1783"/>
      <c r="AA774" s="1783"/>
      <c r="AB774" s="1783"/>
      <c r="AC774" s="1783"/>
      <c r="AD774" s="1783"/>
      <c r="AE774" s="1783"/>
      <c r="AF774" s="1783"/>
      <c r="AG774" s="1783"/>
      <c r="AH774" s="1783"/>
      <c r="AI774" s="1783"/>
      <c r="AJ774" s="1783"/>
      <c r="AK774" s="1783"/>
      <c r="AL774" s="1783"/>
      <c r="AM774" s="1783"/>
      <c r="AN774" s="1783"/>
      <c r="AO774" s="1783"/>
      <c r="AP774" s="1783"/>
      <c r="AQ774" s="1783"/>
      <c r="AR774" s="1783"/>
      <c r="AS774" s="1783"/>
      <c r="AT774" s="1783"/>
      <c r="AU774" s="1783"/>
      <c r="AV774" s="1783"/>
      <c r="AW774" s="1783"/>
      <c r="AX774" s="1783"/>
      <c r="AY774" s="1783"/>
      <c r="AZ774" s="1783"/>
      <c r="BA774" s="1783"/>
      <c r="BB774" s="1783"/>
      <c r="BC774" s="1783"/>
      <c r="BD774" s="1783"/>
      <c r="BE774" s="1783"/>
      <c r="BF774" s="1783"/>
      <c r="BG774" s="1783"/>
      <c r="BH774" s="1783"/>
      <c r="BI774" s="1783"/>
    </row>
    <row r="775" spans="1:61">
      <c r="A775" s="1819"/>
      <c r="B775" s="1818"/>
      <c r="C775" s="1818"/>
      <c r="D775" s="1818"/>
      <c r="E775" s="1818"/>
      <c r="F775" s="1818"/>
      <c r="G775" s="1818"/>
      <c r="H775" s="1783"/>
      <c r="I775" s="1783"/>
      <c r="J775" s="1783"/>
      <c r="K775" s="1783"/>
      <c r="L775" s="1783"/>
      <c r="M775" s="1783"/>
      <c r="N775" s="1783"/>
      <c r="O775" s="1783"/>
      <c r="P775" s="1783"/>
      <c r="Q775" s="1783"/>
      <c r="R775" s="1783"/>
      <c r="S775" s="1783"/>
      <c r="T775" s="1783"/>
      <c r="U775" s="1783"/>
      <c r="V775" s="1783"/>
      <c r="W775" s="1783"/>
      <c r="X775" s="1783"/>
      <c r="Y775" s="1783"/>
      <c r="Z775" s="1783"/>
      <c r="AA775" s="1783"/>
      <c r="AB775" s="1783"/>
      <c r="AC775" s="1783"/>
      <c r="AD775" s="1783"/>
      <c r="AE775" s="1783"/>
      <c r="AF775" s="1783"/>
      <c r="AG775" s="1783"/>
      <c r="AH775" s="1783"/>
      <c r="AI775" s="1783"/>
      <c r="AJ775" s="1783"/>
      <c r="AK775" s="1783"/>
      <c r="AL775" s="1783"/>
      <c r="AM775" s="1783"/>
      <c r="AN775" s="1783"/>
      <c r="AO775" s="1783"/>
      <c r="AP775" s="1783"/>
      <c r="AQ775" s="1783"/>
      <c r="AR775" s="1783"/>
      <c r="AS775" s="1783"/>
      <c r="AT775" s="1783"/>
      <c r="AU775" s="1783"/>
      <c r="AV775" s="1783"/>
      <c r="AW775" s="1783"/>
      <c r="AX775" s="1783"/>
      <c r="AY775" s="1783"/>
      <c r="AZ775" s="1783"/>
      <c r="BA775" s="1783"/>
      <c r="BB775" s="1783"/>
      <c r="BC775" s="1783"/>
      <c r="BD775" s="1783"/>
      <c r="BE775" s="1783"/>
      <c r="BF775" s="1783"/>
      <c r="BG775" s="1783"/>
      <c r="BH775" s="1783"/>
      <c r="BI775" s="1783"/>
    </row>
    <row r="776" spans="1:61">
      <c r="A776" s="1819"/>
      <c r="B776" s="1818"/>
      <c r="C776" s="1818"/>
      <c r="D776" s="1818"/>
      <c r="E776" s="1818"/>
      <c r="F776" s="1818"/>
      <c r="G776" s="1818"/>
      <c r="H776" s="1783"/>
      <c r="I776" s="1783"/>
      <c r="J776" s="1783"/>
      <c r="K776" s="1783"/>
      <c r="L776" s="1783"/>
      <c r="M776" s="1783"/>
      <c r="N776" s="1783"/>
      <c r="O776" s="1783"/>
      <c r="P776" s="1783"/>
      <c r="Q776" s="1783"/>
      <c r="R776" s="1783"/>
      <c r="S776" s="1783"/>
      <c r="T776" s="1783"/>
      <c r="U776" s="1783"/>
      <c r="V776" s="1783"/>
      <c r="W776" s="1783"/>
      <c r="X776" s="1783"/>
      <c r="Y776" s="1783"/>
      <c r="Z776" s="1783"/>
      <c r="AA776" s="1783"/>
      <c r="AB776" s="1783"/>
      <c r="AC776" s="1783"/>
      <c r="AD776" s="1783"/>
      <c r="AE776" s="1783"/>
      <c r="AF776" s="1783"/>
      <c r="AG776" s="1783"/>
      <c r="AH776" s="1783"/>
      <c r="AI776" s="1783"/>
      <c r="AJ776" s="1783"/>
      <c r="AK776" s="1783"/>
      <c r="AL776" s="1783"/>
      <c r="AM776" s="1783"/>
      <c r="AN776" s="1783"/>
      <c r="AO776" s="1783"/>
      <c r="AP776" s="1783"/>
      <c r="AQ776" s="1783"/>
      <c r="AR776" s="1783"/>
      <c r="AS776" s="1783"/>
      <c r="AT776" s="1783"/>
      <c r="AU776" s="1783"/>
      <c r="AV776" s="1783"/>
      <c r="AW776" s="1783"/>
      <c r="AX776" s="1783"/>
      <c r="AY776" s="1783"/>
      <c r="AZ776" s="1783"/>
      <c r="BA776" s="1783"/>
      <c r="BB776" s="1783"/>
      <c r="BC776" s="1783"/>
      <c r="BD776" s="1783"/>
      <c r="BE776" s="1783"/>
      <c r="BF776" s="1783"/>
      <c r="BG776" s="1783"/>
      <c r="BH776" s="1783"/>
      <c r="BI776" s="1783"/>
    </row>
    <row r="777" spans="1:61">
      <c r="A777" s="1819"/>
      <c r="B777" s="1818"/>
      <c r="C777" s="1818"/>
      <c r="D777" s="1818"/>
      <c r="E777" s="1818"/>
      <c r="F777" s="1818"/>
      <c r="G777" s="1818"/>
      <c r="H777" s="1783"/>
      <c r="I777" s="1783"/>
      <c r="J777" s="1783"/>
      <c r="K777" s="1783"/>
      <c r="L777" s="1783"/>
      <c r="M777" s="1783"/>
      <c r="N777" s="1783"/>
      <c r="O777" s="1783"/>
      <c r="P777" s="1783"/>
      <c r="Q777" s="1783"/>
      <c r="R777" s="1783"/>
      <c r="S777" s="1783"/>
      <c r="T777" s="1783"/>
      <c r="U777" s="1783"/>
      <c r="V777" s="1783"/>
      <c r="W777" s="1783"/>
      <c r="X777" s="1783"/>
      <c r="Y777" s="1783"/>
      <c r="Z777" s="1783"/>
      <c r="AA777" s="1783"/>
      <c r="AB777" s="1783"/>
      <c r="AC777" s="1783"/>
      <c r="AD777" s="1783"/>
      <c r="AE777" s="1783"/>
      <c r="AF777" s="1783"/>
      <c r="AG777" s="1783"/>
      <c r="AH777" s="1783"/>
      <c r="AI777" s="1783"/>
      <c r="AJ777" s="1783"/>
      <c r="AK777" s="1783"/>
      <c r="AL777" s="1783"/>
      <c r="AM777" s="1783"/>
      <c r="AN777" s="1783"/>
      <c r="AO777" s="1783"/>
      <c r="AP777" s="1783"/>
      <c r="AQ777" s="1783"/>
      <c r="AR777" s="1783"/>
      <c r="AS777" s="1783"/>
      <c r="AT777" s="1783"/>
      <c r="AU777" s="1783"/>
      <c r="AV777" s="1783"/>
      <c r="AW777" s="1783"/>
      <c r="AX777" s="1783"/>
      <c r="AY777" s="1783"/>
      <c r="AZ777" s="1783"/>
      <c r="BA777" s="1783"/>
      <c r="BB777" s="1783"/>
      <c r="BC777" s="1783"/>
      <c r="BD777" s="1783"/>
      <c r="BE777" s="1783"/>
      <c r="BF777" s="1783"/>
      <c r="BG777" s="1783"/>
      <c r="BH777" s="1783"/>
      <c r="BI777" s="1783"/>
    </row>
    <row r="778" spans="1:61">
      <c r="A778" s="1819"/>
      <c r="B778" s="1818"/>
      <c r="C778" s="1818"/>
      <c r="D778" s="1818"/>
      <c r="E778" s="1818"/>
      <c r="F778" s="1818"/>
      <c r="G778" s="1818"/>
      <c r="H778" s="1783"/>
      <c r="I778" s="1783"/>
      <c r="J778" s="1783"/>
      <c r="K778" s="1783"/>
      <c r="L778" s="1783"/>
      <c r="M778" s="1783"/>
      <c r="N778" s="1783"/>
      <c r="O778" s="1783"/>
      <c r="P778" s="1783"/>
      <c r="Q778" s="1783"/>
      <c r="R778" s="1783"/>
      <c r="S778" s="1783"/>
      <c r="T778" s="1783"/>
      <c r="U778" s="1783"/>
      <c r="V778" s="1783"/>
      <c r="W778" s="1783"/>
      <c r="X778" s="1783"/>
      <c r="Y778" s="1783"/>
      <c r="Z778" s="1783"/>
      <c r="AA778" s="1783"/>
      <c r="AB778" s="1783"/>
      <c r="AC778" s="1783"/>
      <c r="AD778" s="1783"/>
      <c r="AE778" s="1783"/>
      <c r="AF778" s="1783"/>
      <c r="AG778" s="1783"/>
      <c r="AH778" s="1783"/>
      <c r="AI778" s="1783"/>
      <c r="AJ778" s="1783"/>
      <c r="AK778" s="1783"/>
      <c r="AL778" s="1783"/>
      <c r="AM778" s="1783"/>
      <c r="AN778" s="1783"/>
      <c r="AO778" s="1783"/>
      <c r="AP778" s="1783"/>
      <c r="AQ778" s="1783"/>
      <c r="AR778" s="1783"/>
      <c r="AS778" s="1783"/>
      <c r="AT778" s="1783"/>
      <c r="AU778" s="1783"/>
      <c r="AV778" s="1783"/>
      <c r="AW778" s="1783"/>
      <c r="AX778" s="1783"/>
      <c r="AY778" s="1783"/>
      <c r="AZ778" s="1783"/>
      <c r="BA778" s="1783"/>
      <c r="BB778" s="1783"/>
      <c r="BC778" s="1783"/>
      <c r="BD778" s="1783"/>
      <c r="BE778" s="1783"/>
      <c r="BF778" s="1783"/>
      <c r="BG778" s="1783"/>
      <c r="BH778" s="1783"/>
      <c r="BI778" s="1783"/>
    </row>
    <row r="779" spans="1:61">
      <c r="A779" s="1819"/>
      <c r="B779" s="1818"/>
      <c r="C779" s="1818"/>
      <c r="D779" s="1818"/>
      <c r="E779" s="1818"/>
      <c r="F779" s="1818"/>
      <c r="G779" s="1818"/>
      <c r="H779" s="1783"/>
      <c r="I779" s="1783"/>
      <c r="J779" s="1783"/>
      <c r="K779" s="1783"/>
      <c r="L779" s="1783"/>
      <c r="M779" s="1783"/>
      <c r="N779" s="1783"/>
      <c r="O779" s="1783"/>
      <c r="P779" s="1783"/>
      <c r="Q779" s="1783"/>
      <c r="R779" s="1783"/>
      <c r="S779" s="1783"/>
      <c r="T779" s="1783"/>
      <c r="U779" s="1783"/>
      <c r="V779" s="1783"/>
      <c r="W779" s="1783"/>
      <c r="X779" s="1783"/>
      <c r="Y779" s="1783"/>
      <c r="Z779" s="1783"/>
      <c r="AA779" s="1783"/>
      <c r="AB779" s="1783"/>
      <c r="AC779" s="1783"/>
      <c r="AD779" s="1783"/>
      <c r="AE779" s="1783"/>
      <c r="AF779" s="1783"/>
      <c r="AG779" s="1783"/>
      <c r="AH779" s="1783"/>
      <c r="AI779" s="1783"/>
      <c r="AJ779" s="1783"/>
      <c r="AK779" s="1783"/>
      <c r="AL779" s="1783"/>
      <c r="AM779" s="1783"/>
      <c r="AN779" s="1783"/>
      <c r="AO779" s="1783"/>
      <c r="AP779" s="1783"/>
      <c r="AQ779" s="1783"/>
      <c r="AR779" s="1783"/>
      <c r="AS779" s="1783"/>
      <c r="AT779" s="1783"/>
      <c r="AU779" s="1783"/>
      <c r="AV779" s="1783"/>
      <c r="AW779" s="1783"/>
      <c r="AX779" s="1783"/>
      <c r="AY779" s="1783"/>
      <c r="AZ779" s="1783"/>
      <c r="BA779" s="1783"/>
      <c r="BB779" s="1783"/>
      <c r="BC779" s="1783"/>
      <c r="BD779" s="1783"/>
      <c r="BE779" s="1783"/>
      <c r="BF779" s="1783"/>
      <c r="BG779" s="1783"/>
      <c r="BH779" s="1783"/>
      <c r="BI779" s="1783"/>
    </row>
    <row r="780" spans="1:61">
      <c r="A780" s="1819"/>
      <c r="B780" s="1818"/>
      <c r="C780" s="1818"/>
      <c r="D780" s="1818"/>
      <c r="E780" s="1818"/>
      <c r="F780" s="1818"/>
      <c r="G780" s="1818"/>
      <c r="H780" s="1783"/>
      <c r="I780" s="1783"/>
      <c r="J780" s="1783"/>
      <c r="K780" s="1783"/>
      <c r="L780" s="1783"/>
      <c r="M780" s="1783"/>
      <c r="N780" s="1783"/>
      <c r="O780" s="1783"/>
      <c r="P780" s="1783"/>
      <c r="Q780" s="1783"/>
      <c r="R780" s="1783"/>
      <c r="S780" s="1783"/>
      <c r="T780" s="1783"/>
      <c r="U780" s="1783"/>
      <c r="V780" s="1783"/>
      <c r="W780" s="1783"/>
      <c r="X780" s="1783"/>
      <c r="Y780" s="1783"/>
      <c r="Z780" s="1783"/>
      <c r="AA780" s="1783"/>
      <c r="AB780" s="1783"/>
      <c r="AC780" s="1783"/>
      <c r="AD780" s="1783"/>
      <c r="AE780" s="1783"/>
      <c r="AF780" s="1783"/>
      <c r="AG780" s="1783"/>
      <c r="AH780" s="1783"/>
      <c r="AI780" s="1783"/>
      <c r="AJ780" s="1783"/>
      <c r="AK780" s="1783"/>
      <c r="AL780" s="1783"/>
      <c r="AM780" s="1783"/>
      <c r="AN780" s="1783"/>
      <c r="AO780" s="1783"/>
      <c r="AP780" s="1783"/>
      <c r="AQ780" s="1783"/>
      <c r="AR780" s="1783"/>
      <c r="AS780" s="1783"/>
      <c r="AT780" s="1783"/>
      <c r="AU780" s="1783"/>
      <c r="AV780" s="1783"/>
      <c r="AW780" s="1783"/>
      <c r="AX780" s="1783"/>
      <c r="AY780" s="1783"/>
      <c r="AZ780" s="1783"/>
      <c r="BA780" s="1783"/>
      <c r="BB780" s="1783"/>
      <c r="BC780" s="1783"/>
      <c r="BD780" s="1783"/>
      <c r="BE780" s="1783"/>
      <c r="BF780" s="1783"/>
      <c r="BG780" s="1783"/>
      <c r="BH780" s="1783"/>
      <c r="BI780" s="1783"/>
    </row>
    <row r="781" spans="1:61">
      <c r="A781" s="1819"/>
      <c r="B781" s="1818"/>
      <c r="C781" s="1818"/>
      <c r="D781" s="1818"/>
      <c r="E781" s="1818"/>
      <c r="F781" s="1818"/>
      <c r="G781" s="1818"/>
      <c r="H781" s="1783"/>
      <c r="I781" s="1783"/>
      <c r="J781" s="1783"/>
      <c r="K781" s="1783"/>
      <c r="L781" s="1783"/>
      <c r="M781" s="1783"/>
      <c r="N781" s="1783"/>
      <c r="O781" s="1783"/>
      <c r="P781" s="1783"/>
      <c r="Q781" s="1783"/>
      <c r="R781" s="1783"/>
      <c r="S781" s="1783"/>
      <c r="T781" s="1783"/>
      <c r="U781" s="1783"/>
      <c r="V781" s="1783"/>
      <c r="W781" s="1783"/>
      <c r="X781" s="1783"/>
      <c r="Y781" s="1783"/>
      <c r="Z781" s="1783"/>
      <c r="AA781" s="1783"/>
      <c r="AB781" s="1783"/>
      <c r="AC781" s="1783"/>
      <c r="AD781" s="1783"/>
      <c r="AE781" s="1783"/>
      <c r="AF781" s="1783"/>
      <c r="AG781" s="1783"/>
      <c r="AH781" s="1783"/>
      <c r="AI781" s="1783"/>
      <c r="AJ781" s="1783"/>
      <c r="AK781" s="1783"/>
      <c r="AL781" s="1783"/>
      <c r="AM781" s="1783"/>
      <c r="AN781" s="1783"/>
      <c r="AO781" s="1783"/>
      <c r="AP781" s="1783"/>
      <c r="AQ781" s="1783"/>
      <c r="AR781" s="1783"/>
      <c r="AS781" s="1783"/>
      <c r="AT781" s="1783"/>
      <c r="AU781" s="1783"/>
      <c r="AV781" s="1783"/>
      <c r="AW781" s="1783"/>
      <c r="AX781" s="1783"/>
      <c r="AY781" s="1783"/>
      <c r="AZ781" s="1783"/>
      <c r="BA781" s="1783"/>
      <c r="BB781" s="1783"/>
      <c r="BC781" s="1783"/>
      <c r="BD781" s="1783"/>
      <c r="BE781" s="1783"/>
      <c r="BF781" s="1783"/>
      <c r="BG781" s="1783"/>
      <c r="BH781" s="1783"/>
      <c r="BI781" s="1783"/>
    </row>
    <row r="782" spans="1:61">
      <c r="A782" s="1819"/>
      <c r="B782" s="1818"/>
      <c r="C782" s="1818"/>
      <c r="D782" s="1818"/>
      <c r="E782" s="1818"/>
      <c r="F782" s="1818"/>
      <c r="G782" s="1818"/>
      <c r="H782" s="1783"/>
      <c r="I782" s="1783"/>
      <c r="J782" s="1783"/>
      <c r="K782" s="1783"/>
      <c r="L782" s="1783"/>
      <c r="M782" s="1783"/>
      <c r="N782" s="1783"/>
      <c r="O782" s="1783"/>
      <c r="P782" s="1783"/>
      <c r="Q782" s="1783"/>
      <c r="R782" s="1783"/>
      <c r="S782" s="1783"/>
      <c r="T782" s="1783"/>
      <c r="U782" s="1783"/>
      <c r="V782" s="1783"/>
      <c r="W782" s="1783"/>
      <c r="X782" s="1783"/>
      <c r="Y782" s="1783"/>
      <c r="Z782" s="1783"/>
      <c r="AA782" s="1783"/>
      <c r="AB782" s="1783"/>
      <c r="AC782" s="1783"/>
      <c r="AD782" s="1783"/>
      <c r="AE782" s="1783"/>
      <c r="AF782" s="1783"/>
      <c r="AG782" s="1783"/>
      <c r="AH782" s="1783"/>
      <c r="AI782" s="1783"/>
      <c r="AJ782" s="1783"/>
      <c r="AK782" s="1783"/>
      <c r="AL782" s="1783"/>
      <c r="AM782" s="1783"/>
      <c r="AN782" s="1783"/>
      <c r="AO782" s="1783"/>
      <c r="AP782" s="1783"/>
      <c r="AQ782" s="1783"/>
      <c r="AR782" s="1783"/>
      <c r="AS782" s="1783"/>
      <c r="AT782" s="1783"/>
      <c r="AU782" s="1783"/>
      <c r="AV782" s="1783"/>
      <c r="AW782" s="1783"/>
      <c r="AX782" s="1783"/>
      <c r="AY782" s="1783"/>
      <c r="AZ782" s="1783"/>
      <c r="BA782" s="1783"/>
      <c r="BB782" s="1783"/>
      <c r="BC782" s="1783"/>
      <c r="BD782" s="1783"/>
      <c r="BE782" s="1783"/>
      <c r="BF782" s="1783"/>
      <c r="BG782" s="1783"/>
      <c r="BH782" s="1783"/>
      <c r="BI782" s="1783"/>
    </row>
    <row r="783" spans="1:61">
      <c r="A783" s="1819"/>
      <c r="B783" s="1818"/>
      <c r="C783" s="1818"/>
      <c r="D783" s="1818"/>
      <c r="E783" s="1818"/>
      <c r="F783" s="1818"/>
      <c r="G783" s="1818"/>
      <c r="H783" s="1783"/>
      <c r="I783" s="1783"/>
      <c r="J783" s="1783"/>
      <c r="K783" s="1783"/>
      <c r="L783" s="1783"/>
      <c r="M783" s="1783"/>
      <c r="N783" s="1783"/>
      <c r="O783" s="1783"/>
      <c r="P783" s="1783"/>
      <c r="Q783" s="1783"/>
      <c r="R783" s="1783"/>
      <c r="S783" s="1783"/>
      <c r="T783" s="1783"/>
      <c r="U783" s="1783"/>
      <c r="V783" s="1783"/>
      <c r="W783" s="1783"/>
      <c r="X783" s="1783"/>
      <c r="Y783" s="1783"/>
      <c r="Z783" s="1783"/>
      <c r="AA783" s="1783"/>
      <c r="AB783" s="1783"/>
      <c r="AC783" s="1783"/>
      <c r="AD783" s="1783"/>
      <c r="AE783" s="1783"/>
      <c r="AF783" s="1783"/>
      <c r="AG783" s="1783"/>
      <c r="AH783" s="1783"/>
      <c r="AI783" s="1783"/>
      <c r="AJ783" s="1783"/>
      <c r="AK783" s="1783"/>
      <c r="AL783" s="1783"/>
      <c r="AM783" s="1783"/>
      <c r="AN783" s="1783"/>
      <c r="AO783" s="1783"/>
      <c r="AP783" s="1783"/>
      <c r="AQ783" s="1783"/>
      <c r="AR783" s="1783"/>
      <c r="AS783" s="1783"/>
      <c r="AT783" s="1783"/>
      <c r="AU783" s="1783"/>
      <c r="AV783" s="1783"/>
      <c r="AW783" s="1783"/>
      <c r="AX783" s="1783"/>
      <c r="AY783" s="1783"/>
      <c r="AZ783" s="1783"/>
      <c r="BA783" s="1783"/>
      <c r="BB783" s="1783"/>
      <c r="BC783" s="1783"/>
      <c r="BD783" s="1783"/>
      <c r="BE783" s="1783"/>
      <c r="BF783" s="1783"/>
      <c r="BG783" s="1783"/>
      <c r="BH783" s="1783"/>
      <c r="BI783" s="1783"/>
    </row>
    <row r="784" spans="1:61">
      <c r="A784" s="1819"/>
      <c r="B784" s="1818"/>
      <c r="C784" s="1818"/>
      <c r="D784" s="1818"/>
      <c r="E784" s="1818"/>
      <c r="F784" s="1818"/>
      <c r="G784" s="1818"/>
      <c r="H784" s="1783"/>
      <c r="I784" s="1783"/>
      <c r="J784" s="1783"/>
      <c r="K784" s="1783"/>
      <c r="L784" s="1783"/>
      <c r="M784" s="1783"/>
      <c r="N784" s="1783"/>
      <c r="O784" s="1783"/>
      <c r="P784" s="1783"/>
      <c r="Q784" s="1783"/>
      <c r="R784" s="1783"/>
      <c r="S784" s="1783"/>
      <c r="T784" s="1783"/>
      <c r="U784" s="1783"/>
      <c r="V784" s="1783"/>
      <c r="W784" s="1783"/>
      <c r="X784" s="1783"/>
      <c r="Y784" s="1783"/>
      <c r="Z784" s="1783"/>
      <c r="AA784" s="1783"/>
      <c r="AB784" s="1783"/>
      <c r="AC784" s="1783"/>
      <c r="AD784" s="1783"/>
      <c r="AE784" s="1783"/>
      <c r="AF784" s="1783"/>
      <c r="AG784" s="1783"/>
      <c r="AH784" s="1783"/>
      <c r="AI784" s="1783"/>
      <c r="AJ784" s="1783"/>
      <c r="AK784" s="1783"/>
      <c r="AL784" s="1783"/>
      <c r="AM784" s="1783"/>
      <c r="AN784" s="1783"/>
      <c r="AO784" s="1783"/>
      <c r="AP784" s="1783"/>
      <c r="AQ784" s="1783"/>
      <c r="AR784" s="1783"/>
      <c r="AS784" s="1783"/>
      <c r="AT784" s="1783"/>
      <c r="AU784" s="1783"/>
      <c r="AV784" s="1783"/>
      <c r="AW784" s="1783"/>
      <c r="AX784" s="1783"/>
      <c r="AY784" s="1783"/>
      <c r="AZ784" s="1783"/>
      <c r="BA784" s="1783"/>
      <c r="BB784" s="1783"/>
      <c r="BC784" s="1783"/>
      <c r="BD784" s="1783"/>
      <c r="BE784" s="1783"/>
      <c r="BF784" s="1783"/>
      <c r="BG784" s="1783"/>
      <c r="BH784" s="1783"/>
      <c r="BI784" s="1783"/>
    </row>
    <row r="785" spans="1:61">
      <c r="A785" s="1819"/>
      <c r="B785" s="1818"/>
      <c r="C785" s="1818"/>
      <c r="D785" s="1818"/>
      <c r="E785" s="1818"/>
      <c r="F785" s="1818"/>
      <c r="G785" s="1818"/>
      <c r="H785" s="1783"/>
      <c r="I785" s="1783"/>
      <c r="J785" s="1783"/>
      <c r="K785" s="1783"/>
      <c r="L785" s="1783"/>
      <c r="M785" s="1783"/>
      <c r="N785" s="1783"/>
      <c r="O785" s="1783"/>
      <c r="P785" s="1783"/>
      <c r="Q785" s="1783"/>
      <c r="R785" s="1783"/>
      <c r="S785" s="1783"/>
      <c r="T785" s="1783"/>
      <c r="U785" s="1783"/>
      <c r="V785" s="1783"/>
      <c r="W785" s="1783"/>
      <c r="X785" s="1783"/>
      <c r="Y785" s="1783"/>
      <c r="Z785" s="1783"/>
      <c r="AA785" s="1783"/>
      <c r="AB785" s="1783"/>
      <c r="AC785" s="1783"/>
      <c r="AD785" s="1783"/>
      <c r="AE785" s="1783"/>
      <c r="AF785" s="1783"/>
      <c r="AG785" s="1783"/>
      <c r="AH785" s="1783"/>
      <c r="AI785" s="1783"/>
      <c r="AJ785" s="1783"/>
      <c r="AK785" s="1783"/>
      <c r="AL785" s="1783"/>
      <c r="AM785" s="1783"/>
      <c r="AN785" s="1783"/>
      <c r="AO785" s="1783"/>
      <c r="AP785" s="1783"/>
      <c r="AQ785" s="1783"/>
      <c r="AR785" s="1783"/>
      <c r="AS785" s="1783"/>
      <c r="AT785" s="1783"/>
      <c r="AU785" s="1783"/>
      <c r="AV785" s="1783"/>
      <c r="AW785" s="1783"/>
      <c r="AX785" s="1783"/>
      <c r="AY785" s="1783"/>
      <c r="AZ785" s="1783"/>
      <c r="BA785" s="1783"/>
      <c r="BB785" s="1783"/>
      <c r="BC785" s="1783"/>
      <c r="BD785" s="1783"/>
      <c r="BE785" s="1783"/>
      <c r="BF785" s="1783"/>
      <c r="BG785" s="1783"/>
      <c r="BH785" s="1783"/>
      <c r="BI785" s="1783"/>
    </row>
    <row r="786" spans="1:61">
      <c r="A786" s="1819"/>
      <c r="B786" s="1818"/>
      <c r="C786" s="1818"/>
      <c r="D786" s="1818"/>
      <c r="E786" s="1818"/>
      <c r="F786" s="1818"/>
      <c r="G786" s="1818"/>
      <c r="H786" s="1783"/>
      <c r="I786" s="1783"/>
      <c r="J786" s="1783"/>
      <c r="K786" s="1783"/>
      <c r="L786" s="1783"/>
      <c r="M786" s="1783"/>
      <c r="N786" s="1783"/>
      <c r="O786" s="1783"/>
      <c r="P786" s="1783"/>
      <c r="Q786" s="1783"/>
      <c r="R786" s="1783"/>
      <c r="S786" s="1783"/>
      <c r="T786" s="1783"/>
      <c r="U786" s="1783"/>
      <c r="V786" s="1783"/>
      <c r="W786" s="1783"/>
      <c r="X786" s="1783"/>
      <c r="Y786" s="1783"/>
      <c r="Z786" s="1783"/>
      <c r="AA786" s="1783"/>
      <c r="AB786" s="1783"/>
      <c r="AC786" s="1783"/>
      <c r="AD786" s="1783"/>
      <c r="AE786" s="1783"/>
      <c r="AF786" s="1783"/>
      <c r="AG786" s="1783"/>
      <c r="AH786" s="1783"/>
      <c r="AI786" s="1783"/>
      <c r="AJ786" s="1783"/>
      <c r="AK786" s="1783"/>
      <c r="AL786" s="1783"/>
      <c r="AM786" s="1783"/>
      <c r="AN786" s="1783"/>
      <c r="AO786" s="1783"/>
      <c r="AP786" s="1783"/>
      <c r="AQ786" s="1783"/>
      <c r="AR786" s="1783"/>
      <c r="AS786" s="1783"/>
      <c r="AT786" s="1783"/>
      <c r="AU786" s="1783"/>
      <c r="AV786" s="1783"/>
      <c r="AW786" s="1783"/>
      <c r="AX786" s="1783"/>
      <c r="AY786" s="1783"/>
      <c r="AZ786" s="1783"/>
      <c r="BA786" s="1783"/>
      <c r="BB786" s="1783"/>
      <c r="BC786" s="1783"/>
      <c r="BD786" s="1783"/>
      <c r="BE786" s="1783"/>
      <c r="BF786" s="1783"/>
      <c r="BG786" s="1783"/>
      <c r="BH786" s="1783"/>
      <c r="BI786" s="1783"/>
    </row>
    <row r="787" spans="1:61">
      <c r="A787" s="1819"/>
      <c r="B787" s="1818"/>
      <c r="C787" s="1818"/>
      <c r="D787" s="1818"/>
      <c r="E787" s="1818"/>
      <c r="F787" s="1818"/>
      <c r="G787" s="1818"/>
      <c r="H787" s="1783"/>
      <c r="I787" s="1783"/>
      <c r="J787" s="1783"/>
      <c r="K787" s="1783"/>
      <c r="L787" s="1783"/>
      <c r="M787" s="1783"/>
      <c r="N787" s="1783"/>
      <c r="O787" s="1783"/>
      <c r="P787" s="1783"/>
      <c r="Q787" s="1783"/>
      <c r="R787" s="1783"/>
      <c r="S787" s="1783"/>
      <c r="T787" s="1783"/>
      <c r="U787" s="1783"/>
      <c r="V787" s="1783"/>
      <c r="W787" s="1783"/>
      <c r="X787" s="1783"/>
      <c r="Y787" s="1783"/>
      <c r="Z787" s="1783"/>
      <c r="AA787" s="1783"/>
      <c r="AB787" s="1783"/>
      <c r="AC787" s="1783"/>
      <c r="AD787" s="1783"/>
      <c r="AE787" s="1783"/>
      <c r="AF787" s="1783"/>
      <c r="AG787" s="1783"/>
      <c r="AH787" s="1783"/>
      <c r="AI787" s="1783"/>
      <c r="AJ787" s="1783"/>
      <c r="AK787" s="1783"/>
      <c r="AL787" s="1783"/>
      <c r="AM787" s="1783"/>
      <c r="AN787" s="1783"/>
      <c r="AO787" s="1783"/>
      <c r="AP787" s="1783"/>
      <c r="AQ787" s="1783"/>
      <c r="AR787" s="1783"/>
      <c r="AS787" s="1783"/>
      <c r="AT787" s="1783"/>
      <c r="AU787" s="1783"/>
      <c r="AV787" s="1783"/>
      <c r="AW787" s="1783"/>
      <c r="AX787" s="1783"/>
      <c r="AY787" s="1783"/>
      <c r="AZ787" s="1783"/>
      <c r="BA787" s="1783"/>
      <c r="BB787" s="1783"/>
      <c r="BC787" s="1783"/>
      <c r="BD787" s="1783"/>
      <c r="BE787" s="1783"/>
      <c r="BF787" s="1783"/>
      <c r="BG787" s="1783"/>
      <c r="BH787" s="1783"/>
      <c r="BI787" s="1783"/>
    </row>
    <row r="788" spans="1:61">
      <c r="A788" s="1819"/>
      <c r="B788" s="1818"/>
      <c r="C788" s="1818"/>
      <c r="D788" s="1818"/>
      <c r="E788" s="1818"/>
      <c r="F788" s="1818"/>
      <c r="G788" s="1818"/>
      <c r="H788" s="1783"/>
      <c r="I788" s="1783"/>
      <c r="J788" s="1783"/>
      <c r="K788" s="1783"/>
      <c r="L788" s="1783"/>
      <c r="M788" s="1783"/>
      <c r="N788" s="1783"/>
      <c r="O788" s="1783"/>
      <c r="P788" s="1783"/>
      <c r="Q788" s="1783"/>
      <c r="R788" s="1783"/>
      <c r="S788" s="1783"/>
      <c r="T788" s="1783"/>
      <c r="U788" s="1783"/>
      <c r="V788" s="1783"/>
      <c r="W788" s="1783"/>
      <c r="X788" s="1783"/>
      <c r="Y788" s="1783"/>
      <c r="Z788" s="1783"/>
      <c r="AA788" s="1783"/>
      <c r="AB788" s="1783"/>
      <c r="AC788" s="1783"/>
      <c r="AD788" s="1783"/>
      <c r="AE788" s="1783"/>
      <c r="AF788" s="1783"/>
      <c r="AG788" s="1783"/>
      <c r="AH788" s="1783"/>
      <c r="AI788" s="1783"/>
      <c r="AJ788" s="1783"/>
      <c r="AK788" s="1783"/>
      <c r="AL788" s="1783"/>
      <c r="AM788" s="1783"/>
      <c r="AN788" s="1783"/>
      <c r="AO788" s="1783"/>
      <c r="AP788" s="1783"/>
      <c r="AQ788" s="1783"/>
      <c r="AR788" s="1783"/>
      <c r="AS788" s="1783"/>
      <c r="AT788" s="1783"/>
      <c r="AU788" s="1783"/>
      <c r="AV788" s="1783"/>
      <c r="AW788" s="1783"/>
      <c r="AX788" s="1783"/>
      <c r="AY788" s="1783"/>
      <c r="AZ788" s="1783"/>
      <c r="BA788" s="1783"/>
      <c r="BB788" s="1783"/>
      <c r="BC788" s="1783"/>
      <c r="BD788" s="1783"/>
      <c r="BE788" s="1783"/>
      <c r="BF788" s="1783"/>
      <c r="BG788" s="1783"/>
      <c r="BH788" s="1783"/>
      <c r="BI788" s="1783"/>
    </row>
    <row r="789" spans="1:61">
      <c r="A789" s="1819"/>
      <c r="B789" s="1818"/>
      <c r="C789" s="1818"/>
      <c r="D789" s="1818"/>
      <c r="E789" s="1818"/>
      <c r="F789" s="1818"/>
      <c r="G789" s="1818"/>
      <c r="H789" s="1783"/>
      <c r="I789" s="1783"/>
      <c r="J789" s="1783"/>
      <c r="K789" s="1783"/>
      <c r="L789" s="1783"/>
      <c r="M789" s="1783"/>
      <c r="N789" s="1783"/>
      <c r="O789" s="1783"/>
      <c r="P789" s="1783"/>
      <c r="Q789" s="1783"/>
      <c r="R789" s="1783"/>
      <c r="S789" s="1783"/>
      <c r="T789" s="1783"/>
      <c r="U789" s="1783"/>
      <c r="V789" s="1783"/>
      <c r="W789" s="1783"/>
      <c r="X789" s="1783"/>
      <c r="Y789" s="1783"/>
      <c r="Z789" s="1783"/>
      <c r="AA789" s="1783"/>
      <c r="AB789" s="1783"/>
      <c r="AC789" s="1783"/>
      <c r="AD789" s="1783"/>
      <c r="AE789" s="1783"/>
      <c r="AF789" s="1783"/>
      <c r="AG789" s="1783"/>
      <c r="AH789" s="1783"/>
      <c r="AI789" s="1783"/>
      <c r="AJ789" s="1783"/>
      <c r="AK789" s="1783"/>
      <c r="AL789" s="1783"/>
      <c r="AM789" s="1783"/>
      <c r="AN789" s="1783"/>
      <c r="AO789" s="1783"/>
      <c r="AP789" s="1783"/>
      <c r="AQ789" s="1783"/>
      <c r="AR789" s="1783"/>
      <c r="AS789" s="1783"/>
      <c r="AT789" s="1783"/>
      <c r="AU789" s="1783"/>
      <c r="AV789" s="1783"/>
      <c r="AW789" s="1783"/>
      <c r="AX789" s="1783"/>
      <c r="AY789" s="1783"/>
      <c r="AZ789" s="1783"/>
      <c r="BA789" s="1783"/>
      <c r="BB789" s="1783"/>
      <c r="BC789" s="1783"/>
      <c r="BD789" s="1783"/>
      <c r="BE789" s="1783"/>
      <c r="BF789" s="1783"/>
      <c r="BG789" s="1783"/>
      <c r="BH789" s="1783"/>
      <c r="BI789" s="1783"/>
    </row>
    <row r="790" spans="1:61">
      <c r="A790" s="1819"/>
      <c r="B790" s="1818"/>
      <c r="C790" s="1818"/>
      <c r="D790" s="1818"/>
      <c r="E790" s="1818"/>
      <c r="F790" s="1818"/>
      <c r="G790" s="1818"/>
      <c r="H790" s="1783"/>
      <c r="I790" s="1783"/>
      <c r="J790" s="1783"/>
      <c r="K790" s="1783"/>
      <c r="L790" s="1783"/>
      <c r="M790" s="1783"/>
      <c r="N790" s="1783"/>
      <c r="O790" s="1783"/>
      <c r="P790" s="1783"/>
      <c r="Q790" s="1783"/>
      <c r="R790" s="1783"/>
      <c r="S790" s="1783"/>
      <c r="T790" s="1783"/>
      <c r="U790" s="1783"/>
      <c r="V790" s="1783"/>
      <c r="W790" s="1783"/>
      <c r="X790" s="1783"/>
      <c r="Y790" s="1783"/>
      <c r="Z790" s="1783"/>
      <c r="AA790" s="1783"/>
      <c r="AB790" s="1783"/>
      <c r="AC790" s="1783"/>
      <c r="AD790" s="1783"/>
      <c r="AE790" s="1783"/>
      <c r="AF790" s="1783"/>
      <c r="AG790" s="1783"/>
      <c r="AH790" s="1783"/>
      <c r="AI790" s="1783"/>
      <c r="AJ790" s="1783"/>
      <c r="AK790" s="1783"/>
      <c r="AL790" s="1783"/>
      <c r="AM790" s="1783"/>
      <c r="AN790" s="1783"/>
      <c r="AO790" s="1783"/>
      <c r="AP790" s="1783"/>
      <c r="AQ790" s="1783"/>
      <c r="AR790" s="1783"/>
      <c r="AS790" s="1783"/>
      <c r="AT790" s="1783"/>
      <c r="AU790" s="1783"/>
      <c r="AV790" s="1783"/>
      <c r="AW790" s="1783"/>
      <c r="AX790" s="1783"/>
      <c r="AY790" s="1783"/>
      <c r="AZ790" s="1783"/>
      <c r="BA790" s="1783"/>
      <c r="BB790" s="1783"/>
      <c r="BC790" s="1783"/>
      <c r="BD790" s="1783"/>
      <c r="BE790" s="1783"/>
      <c r="BF790" s="1783"/>
      <c r="BG790" s="1783"/>
      <c r="BH790" s="1783"/>
      <c r="BI790" s="1783"/>
    </row>
    <row r="791" spans="1:61">
      <c r="A791" s="1819"/>
      <c r="B791" s="1818"/>
      <c r="C791" s="1818"/>
      <c r="D791" s="1818"/>
      <c r="E791" s="1818"/>
      <c r="F791" s="1818"/>
      <c r="G791" s="1818"/>
      <c r="H791" s="1783"/>
      <c r="I791" s="1783"/>
      <c r="J791" s="1783"/>
      <c r="K791" s="1783"/>
      <c r="L791" s="1783"/>
      <c r="M791" s="1783"/>
      <c r="N791" s="1783"/>
      <c r="O791" s="1783"/>
      <c r="P791" s="1783"/>
      <c r="Q791" s="1783"/>
      <c r="R791" s="1783"/>
      <c r="S791" s="1783"/>
      <c r="T791" s="1783"/>
      <c r="U791" s="1783"/>
      <c r="V791" s="1783"/>
      <c r="W791" s="1783"/>
      <c r="X791" s="1783"/>
      <c r="Y791" s="1783"/>
      <c r="Z791" s="1783"/>
      <c r="AA791" s="1783"/>
      <c r="AB791" s="1783"/>
      <c r="AC791" s="1783"/>
      <c r="AD791" s="1783"/>
      <c r="AE791" s="1783"/>
      <c r="AF791" s="1783"/>
      <c r="AG791" s="1783"/>
      <c r="AH791" s="1783"/>
      <c r="AI791" s="1783"/>
      <c r="AJ791" s="1783"/>
      <c r="AK791" s="1783"/>
      <c r="AL791" s="1783"/>
      <c r="AM791" s="1783"/>
      <c r="AN791" s="1783"/>
      <c r="AO791" s="1783"/>
      <c r="AP791" s="1783"/>
      <c r="AQ791" s="1783"/>
      <c r="AR791" s="1783"/>
      <c r="AS791" s="1783"/>
      <c r="AT791" s="1783"/>
      <c r="AU791" s="1783"/>
      <c r="AV791" s="1783"/>
      <c r="AW791" s="1783"/>
      <c r="AX791" s="1783"/>
      <c r="AY791" s="1783"/>
      <c r="AZ791" s="1783"/>
      <c r="BA791" s="1783"/>
      <c r="BB791" s="1783"/>
      <c r="BC791" s="1783"/>
      <c r="BD791" s="1783"/>
      <c r="BE791" s="1783"/>
      <c r="BF791" s="1783"/>
      <c r="BG791" s="1783"/>
      <c r="BH791" s="1783"/>
      <c r="BI791" s="1783"/>
    </row>
    <row r="792" spans="1:61">
      <c r="A792" s="1819"/>
      <c r="B792" s="1818"/>
      <c r="C792" s="1818"/>
      <c r="D792" s="1818"/>
      <c r="E792" s="1818"/>
      <c r="F792" s="1818"/>
      <c r="G792" s="1818"/>
      <c r="H792" s="1783"/>
      <c r="I792" s="1783"/>
      <c r="J792" s="1783"/>
      <c r="K792" s="1783"/>
      <c r="L792" s="1783"/>
      <c r="M792" s="1783"/>
      <c r="N792" s="1783"/>
      <c r="O792" s="1783"/>
      <c r="P792" s="1783"/>
      <c r="Q792" s="1783"/>
      <c r="R792" s="1783"/>
      <c r="S792" s="1783"/>
      <c r="T792" s="1783"/>
      <c r="U792" s="1783"/>
      <c r="V792" s="1783"/>
      <c r="W792" s="1783"/>
      <c r="X792" s="1783"/>
      <c r="Y792" s="1783"/>
      <c r="Z792" s="1783"/>
      <c r="AA792" s="1783"/>
      <c r="AB792" s="1783"/>
      <c r="AC792" s="1783"/>
      <c r="AD792" s="1783"/>
      <c r="AE792" s="1783"/>
      <c r="AF792" s="1783"/>
      <c r="AG792" s="1783"/>
      <c r="AH792" s="1783"/>
      <c r="AI792" s="1783"/>
      <c r="AJ792" s="1783"/>
      <c r="AK792" s="1783"/>
      <c r="AL792" s="1783"/>
      <c r="AM792" s="1783"/>
      <c r="AN792" s="1783"/>
      <c r="AO792" s="1783"/>
      <c r="AP792" s="1783"/>
      <c r="AQ792" s="1783"/>
      <c r="AR792" s="1783"/>
      <c r="AS792" s="1783"/>
      <c r="AT792" s="1783"/>
      <c r="AU792" s="1783"/>
      <c r="AV792" s="1783"/>
      <c r="AW792" s="1783"/>
      <c r="AX792" s="1783"/>
      <c r="AY792" s="1783"/>
      <c r="AZ792" s="1783"/>
      <c r="BA792" s="1783"/>
      <c r="BB792" s="1783"/>
      <c r="BC792" s="1783"/>
      <c r="BD792" s="1783"/>
      <c r="BE792" s="1783"/>
      <c r="BF792" s="1783"/>
      <c r="BG792" s="1783"/>
      <c r="BH792" s="1783"/>
      <c r="BI792" s="1783"/>
    </row>
    <row r="793" spans="1:61">
      <c r="A793" s="1819"/>
      <c r="B793" s="1818"/>
      <c r="C793" s="1818"/>
      <c r="D793" s="1818"/>
      <c r="E793" s="1818"/>
      <c r="F793" s="1818"/>
      <c r="G793" s="1818"/>
      <c r="H793" s="1783"/>
      <c r="I793" s="1783"/>
      <c r="J793" s="1783"/>
      <c r="K793" s="1783"/>
      <c r="L793" s="1783"/>
      <c r="M793" s="1783"/>
      <c r="N793" s="1783"/>
      <c r="O793" s="1783"/>
      <c r="P793" s="1783"/>
      <c r="Q793" s="1783"/>
      <c r="R793" s="1783"/>
      <c r="S793" s="1783"/>
      <c r="T793" s="1783"/>
      <c r="U793" s="1783"/>
      <c r="V793" s="1783"/>
      <c r="W793" s="1783"/>
      <c r="X793" s="1783"/>
      <c r="Y793" s="1783"/>
      <c r="Z793" s="1783"/>
      <c r="AA793" s="1783"/>
      <c r="AB793" s="1783"/>
      <c r="AC793" s="1783"/>
      <c r="AD793" s="1783"/>
      <c r="AE793" s="1783"/>
      <c r="AF793" s="1783"/>
      <c r="AG793" s="1783"/>
      <c r="AH793" s="1783"/>
      <c r="AI793" s="1783"/>
      <c r="AJ793" s="1783"/>
      <c r="AK793" s="1783"/>
      <c r="AL793" s="1783"/>
      <c r="AM793" s="1783"/>
      <c r="AN793" s="1783"/>
      <c r="AO793" s="1783"/>
      <c r="AP793" s="1783"/>
      <c r="AQ793" s="1783"/>
      <c r="AR793" s="1783"/>
      <c r="AS793" s="1783"/>
      <c r="AT793" s="1783"/>
      <c r="AU793" s="1783"/>
      <c r="AV793" s="1783"/>
      <c r="AW793" s="1783"/>
      <c r="AX793" s="1783"/>
      <c r="AY793" s="1783"/>
      <c r="AZ793" s="1783"/>
      <c r="BA793" s="1783"/>
      <c r="BB793" s="1783"/>
      <c r="BC793" s="1783"/>
      <c r="BD793" s="1783"/>
      <c r="BE793" s="1783"/>
      <c r="BF793" s="1783"/>
      <c r="BG793" s="1783"/>
      <c r="BH793" s="1783"/>
      <c r="BI793" s="1783"/>
    </row>
    <row r="794" spans="1:61">
      <c r="A794" s="1819"/>
      <c r="B794" s="1818"/>
      <c r="C794" s="1818"/>
      <c r="D794" s="1818"/>
      <c r="E794" s="1818"/>
      <c r="F794" s="1818"/>
      <c r="G794" s="1818"/>
      <c r="H794" s="1783"/>
      <c r="I794" s="1783"/>
      <c r="J794" s="1783"/>
      <c r="K794" s="1783"/>
      <c r="L794" s="1783"/>
      <c r="M794" s="1783"/>
      <c r="N794" s="1783"/>
      <c r="O794" s="1783"/>
      <c r="P794" s="1783"/>
      <c r="Q794" s="1783"/>
      <c r="R794" s="1783"/>
      <c r="S794" s="1783"/>
      <c r="T794" s="1783"/>
      <c r="U794" s="1783"/>
      <c r="V794" s="1783"/>
      <c r="W794" s="1783"/>
      <c r="X794" s="1783"/>
      <c r="Y794" s="1783"/>
      <c r="Z794" s="1783"/>
      <c r="AA794" s="1783"/>
      <c r="AB794" s="1783"/>
      <c r="AC794" s="1783"/>
      <c r="AD794" s="1783"/>
      <c r="AE794" s="1783"/>
      <c r="AF794" s="1783"/>
      <c r="AG794" s="1783"/>
      <c r="AH794" s="1783"/>
      <c r="AI794" s="1783"/>
      <c r="AJ794" s="1783"/>
      <c r="AK794" s="1783"/>
      <c r="AL794" s="1783"/>
      <c r="AM794" s="1783"/>
      <c r="AN794" s="1783"/>
      <c r="AO794" s="1783"/>
      <c r="AP794" s="1783"/>
      <c r="AQ794" s="1783"/>
      <c r="AR794" s="1783"/>
      <c r="AS794" s="1783"/>
      <c r="AT794" s="1783"/>
      <c r="AU794" s="1783"/>
      <c r="AV794" s="1783"/>
      <c r="AW794" s="1783"/>
      <c r="AX794" s="1783"/>
      <c r="AY794" s="1783"/>
      <c r="AZ794" s="1783"/>
      <c r="BA794" s="1783"/>
      <c r="BB794" s="1783"/>
      <c r="BC794" s="1783"/>
      <c r="BD794" s="1783"/>
      <c r="BE794" s="1783"/>
      <c r="BF794" s="1783"/>
      <c r="BG794" s="1783"/>
      <c r="BH794" s="1783"/>
      <c r="BI794" s="1783"/>
    </row>
    <row r="795" spans="1:61">
      <c r="A795" s="1819"/>
      <c r="B795" s="1818"/>
      <c r="C795" s="1818"/>
      <c r="D795" s="1818"/>
      <c r="E795" s="1818"/>
      <c r="F795" s="1818"/>
      <c r="G795" s="1818"/>
      <c r="H795" s="1783"/>
      <c r="I795" s="1783"/>
      <c r="J795" s="1783"/>
      <c r="K795" s="1783"/>
      <c r="L795" s="1783"/>
      <c r="M795" s="1783"/>
      <c r="N795" s="1783"/>
      <c r="O795" s="1783"/>
      <c r="P795" s="1783"/>
      <c r="Q795" s="1783"/>
      <c r="R795" s="1783"/>
      <c r="S795" s="1783"/>
      <c r="T795" s="1783"/>
      <c r="U795" s="1783"/>
      <c r="V795" s="1783"/>
      <c r="W795" s="1783"/>
      <c r="X795" s="1783"/>
      <c r="Y795" s="1783"/>
      <c r="Z795" s="1783"/>
      <c r="AA795" s="1783"/>
      <c r="AB795" s="1783"/>
      <c r="AC795" s="1783"/>
      <c r="AD795" s="1783"/>
      <c r="AE795" s="1783"/>
      <c r="AF795" s="1783"/>
      <c r="AG795" s="1783"/>
      <c r="AH795" s="1783"/>
      <c r="AI795" s="1783"/>
      <c r="AJ795" s="1783"/>
      <c r="AK795" s="1783"/>
      <c r="AL795" s="1783"/>
      <c r="AM795" s="1783"/>
      <c r="AN795" s="1783"/>
      <c r="AO795" s="1783"/>
      <c r="AP795" s="1783"/>
      <c r="AQ795" s="1783"/>
      <c r="AR795" s="1783"/>
      <c r="AS795" s="1783"/>
      <c r="AT795" s="1783"/>
      <c r="AU795" s="1783"/>
      <c r="AV795" s="1783"/>
      <c r="AW795" s="1783"/>
      <c r="AX795" s="1783"/>
      <c r="AY795" s="1783"/>
      <c r="AZ795" s="1783"/>
      <c r="BA795" s="1783"/>
      <c r="BB795" s="1783"/>
      <c r="BC795" s="1783"/>
      <c r="BD795" s="1783"/>
      <c r="BE795" s="1783"/>
      <c r="BF795" s="1783"/>
      <c r="BG795" s="1783"/>
      <c r="BH795" s="1783"/>
      <c r="BI795" s="1783"/>
    </row>
    <row r="796" spans="1:61">
      <c r="A796" s="1819"/>
      <c r="B796" s="1818"/>
      <c r="C796" s="1818"/>
      <c r="D796" s="1818"/>
      <c r="E796" s="1818"/>
      <c r="F796" s="1818"/>
      <c r="G796" s="1818"/>
      <c r="H796" s="1783"/>
      <c r="I796" s="1783"/>
      <c r="J796" s="1783"/>
      <c r="K796" s="1783"/>
      <c r="L796" s="1783"/>
      <c r="M796" s="1783"/>
      <c r="N796" s="1783"/>
      <c r="O796" s="1783"/>
      <c r="P796" s="1783"/>
      <c r="Q796" s="1783"/>
      <c r="R796" s="1783"/>
      <c r="S796" s="1783"/>
      <c r="T796" s="1783"/>
      <c r="U796" s="1783"/>
      <c r="V796" s="1783"/>
      <c r="W796" s="1783"/>
      <c r="X796" s="1783"/>
      <c r="Y796" s="1783"/>
      <c r="Z796" s="1783"/>
      <c r="AA796" s="1783"/>
      <c r="AB796" s="1783"/>
      <c r="AC796" s="1783"/>
      <c r="AD796" s="1783"/>
      <c r="AE796" s="1783"/>
      <c r="AF796" s="1783"/>
      <c r="AG796" s="1783"/>
      <c r="AH796" s="1783"/>
      <c r="AI796" s="1783"/>
      <c r="AJ796" s="1783"/>
      <c r="AK796" s="1783"/>
      <c r="AL796" s="1783"/>
      <c r="AM796" s="1783"/>
      <c r="AN796" s="1783"/>
      <c r="AO796" s="1783"/>
      <c r="AP796" s="1783"/>
      <c r="AQ796" s="1783"/>
      <c r="AR796" s="1783"/>
      <c r="AS796" s="1783"/>
      <c r="AT796" s="1783"/>
      <c r="AU796" s="1783"/>
      <c r="AV796" s="1783"/>
      <c r="AW796" s="1783"/>
      <c r="AX796" s="1783"/>
      <c r="AY796" s="1783"/>
      <c r="AZ796" s="1783"/>
      <c r="BA796" s="1783"/>
      <c r="BB796" s="1783"/>
      <c r="BC796" s="1783"/>
      <c r="BD796" s="1783"/>
      <c r="BE796" s="1783"/>
      <c r="BF796" s="1783"/>
      <c r="BG796" s="1783"/>
      <c r="BH796" s="1783"/>
      <c r="BI796" s="1783"/>
    </row>
    <row r="797" spans="1:61">
      <c r="A797" s="1819"/>
      <c r="B797" s="1818"/>
      <c r="C797" s="1818"/>
      <c r="D797" s="1818"/>
      <c r="E797" s="1818"/>
      <c r="F797" s="1818"/>
      <c r="G797" s="1818"/>
      <c r="H797" s="1783"/>
      <c r="I797" s="1783"/>
      <c r="J797" s="1783"/>
      <c r="K797" s="1783"/>
      <c r="L797" s="1783"/>
      <c r="M797" s="1783"/>
      <c r="N797" s="1783"/>
      <c r="O797" s="1783"/>
      <c r="P797" s="1783"/>
      <c r="Q797" s="1783"/>
      <c r="R797" s="1783"/>
      <c r="S797" s="1783"/>
      <c r="T797" s="1783"/>
      <c r="U797" s="1783"/>
      <c r="V797" s="1783"/>
      <c r="W797" s="1783"/>
      <c r="X797" s="1783"/>
      <c r="Y797" s="1783"/>
      <c r="Z797" s="1783"/>
      <c r="AA797" s="1783"/>
      <c r="AB797" s="1783"/>
      <c r="AC797" s="1783"/>
      <c r="AD797" s="1783"/>
      <c r="AE797" s="1783"/>
      <c r="AF797" s="1783"/>
      <c r="AG797" s="1783"/>
      <c r="AH797" s="1783"/>
      <c r="AI797" s="1783"/>
      <c r="AJ797" s="1783"/>
      <c r="AK797" s="1783"/>
      <c r="AL797" s="1783"/>
      <c r="AM797" s="1783"/>
      <c r="AN797" s="1783"/>
      <c r="AO797" s="1783"/>
      <c r="AP797" s="1783"/>
      <c r="AQ797" s="1783"/>
      <c r="AR797" s="1783"/>
      <c r="AS797" s="1783"/>
      <c r="AT797" s="1783"/>
      <c r="AU797" s="1783"/>
      <c r="AV797" s="1783"/>
      <c r="AW797" s="1783"/>
      <c r="AX797" s="1783"/>
      <c r="AY797" s="1783"/>
      <c r="AZ797" s="1783"/>
      <c r="BA797" s="1783"/>
      <c r="BB797" s="1783"/>
      <c r="BC797" s="1783"/>
      <c r="BD797" s="1783"/>
      <c r="BE797" s="1783"/>
      <c r="BF797" s="1783"/>
      <c r="BG797" s="1783"/>
      <c r="BH797" s="1783"/>
      <c r="BI797" s="1783"/>
    </row>
    <row r="798" spans="1:61">
      <c r="A798" s="1819"/>
      <c r="B798" s="1818"/>
      <c r="C798" s="1818"/>
      <c r="D798" s="1818"/>
      <c r="E798" s="1818"/>
      <c r="F798" s="1818"/>
      <c r="G798" s="1818"/>
      <c r="H798" s="1783"/>
      <c r="I798" s="1783"/>
      <c r="J798" s="1783"/>
      <c r="K798" s="1783"/>
      <c r="L798" s="1783"/>
      <c r="M798" s="1783"/>
      <c r="N798" s="1783"/>
      <c r="O798" s="1783"/>
      <c r="P798" s="1783"/>
      <c r="Q798" s="1783"/>
      <c r="R798" s="1783"/>
      <c r="S798" s="1783"/>
      <c r="T798" s="1783"/>
      <c r="U798" s="1783"/>
      <c r="V798" s="1783"/>
      <c r="W798" s="1783"/>
      <c r="X798" s="1783"/>
      <c r="Y798" s="1783"/>
      <c r="Z798" s="1783"/>
      <c r="AA798" s="1783"/>
      <c r="AB798" s="1783"/>
      <c r="AC798" s="1783"/>
      <c r="AD798" s="1783"/>
      <c r="AE798" s="1783"/>
      <c r="AF798" s="1783"/>
      <c r="AG798" s="1783"/>
      <c r="AH798" s="1783"/>
      <c r="AI798" s="1783"/>
      <c r="AJ798" s="1783"/>
      <c r="AK798" s="1783"/>
      <c r="AL798" s="1783"/>
      <c r="AM798" s="1783"/>
      <c r="AN798" s="1783"/>
      <c r="AO798" s="1783"/>
      <c r="AP798" s="1783"/>
      <c r="AQ798" s="1783"/>
      <c r="AR798" s="1783"/>
      <c r="AS798" s="1783"/>
      <c r="AT798" s="1783"/>
      <c r="AU798" s="1783"/>
      <c r="AV798" s="1783"/>
      <c r="AW798" s="1783"/>
      <c r="AX798" s="1783"/>
      <c r="AY798" s="1783"/>
      <c r="AZ798" s="1783"/>
      <c r="BA798" s="1783"/>
      <c r="BB798" s="1783"/>
      <c r="BC798" s="1783"/>
      <c r="BD798" s="1783"/>
      <c r="BE798" s="1783"/>
      <c r="BF798" s="1783"/>
      <c r="BG798" s="1783"/>
      <c r="BH798" s="1783"/>
      <c r="BI798" s="1783"/>
    </row>
    <row r="799" spans="1:61">
      <c r="A799" s="1819"/>
      <c r="B799" s="1818"/>
      <c r="C799" s="1818"/>
      <c r="D799" s="1818"/>
      <c r="E799" s="1818"/>
      <c r="F799" s="1818"/>
      <c r="G799" s="1818"/>
      <c r="H799" s="1783"/>
      <c r="I799" s="1783"/>
      <c r="J799" s="1783"/>
      <c r="K799" s="1783"/>
      <c r="L799" s="1783"/>
      <c r="M799" s="1783"/>
      <c r="N799" s="1783"/>
      <c r="O799" s="1783"/>
      <c r="P799" s="1783"/>
      <c r="Q799" s="1783"/>
      <c r="R799" s="1783"/>
      <c r="S799" s="1783"/>
      <c r="T799" s="1783"/>
      <c r="U799" s="1783"/>
      <c r="V799" s="1783"/>
      <c r="W799" s="1783"/>
      <c r="X799" s="1783"/>
      <c r="Y799" s="1783"/>
      <c r="Z799" s="1783"/>
      <c r="AA799" s="1783"/>
      <c r="AB799" s="1783"/>
      <c r="AC799" s="1783"/>
      <c r="AD799" s="1783"/>
      <c r="AE799" s="1783"/>
      <c r="AF799" s="1783"/>
      <c r="AG799" s="1783"/>
      <c r="AH799" s="1783"/>
      <c r="AI799" s="1783"/>
      <c r="AJ799" s="1783"/>
      <c r="AK799" s="1783"/>
      <c r="AL799" s="1783"/>
      <c r="AM799" s="1783"/>
      <c r="AN799" s="1783"/>
      <c r="AO799" s="1783"/>
      <c r="AP799" s="1783"/>
      <c r="AQ799" s="1783"/>
      <c r="AR799" s="1783"/>
      <c r="AS799" s="1783"/>
      <c r="AT799" s="1783"/>
      <c r="AU799" s="1783"/>
      <c r="AV799" s="1783"/>
      <c r="AW799" s="1783"/>
      <c r="AX799" s="1783"/>
      <c r="AY799" s="1783"/>
      <c r="AZ799" s="1783"/>
      <c r="BA799" s="1783"/>
      <c r="BB799" s="1783"/>
      <c r="BC799" s="1783"/>
      <c r="BD799" s="1783"/>
      <c r="BE799" s="1783"/>
      <c r="BF799" s="1783"/>
      <c r="BG799" s="1783"/>
      <c r="BH799" s="1783"/>
      <c r="BI799" s="1783"/>
    </row>
    <row r="800" spans="1:61">
      <c r="A800" s="1819"/>
      <c r="B800" s="1818"/>
      <c r="C800" s="1818"/>
      <c r="D800" s="1818"/>
      <c r="E800" s="1818"/>
      <c r="F800" s="1818"/>
      <c r="G800" s="1818"/>
      <c r="H800" s="1783"/>
      <c r="I800" s="1783"/>
      <c r="J800" s="1783"/>
      <c r="K800" s="1783"/>
      <c r="L800" s="1783"/>
      <c r="M800" s="1783"/>
      <c r="N800" s="1783"/>
      <c r="O800" s="1783"/>
      <c r="P800" s="1783"/>
      <c r="Q800" s="1783"/>
      <c r="R800" s="1783"/>
      <c r="S800" s="1783"/>
      <c r="T800" s="1783"/>
      <c r="U800" s="1783"/>
      <c r="V800" s="1783"/>
      <c r="W800" s="1783"/>
      <c r="X800" s="1783"/>
      <c r="Y800" s="1783"/>
      <c r="Z800" s="1783"/>
      <c r="AA800" s="1783"/>
      <c r="AB800" s="1783"/>
      <c r="AC800" s="1783"/>
      <c r="AD800" s="1783"/>
      <c r="AE800" s="1783"/>
      <c r="AF800" s="1783"/>
      <c r="AG800" s="1783"/>
      <c r="AH800" s="1783"/>
      <c r="AI800" s="1783"/>
      <c r="AJ800" s="1783"/>
      <c r="AK800" s="1783"/>
      <c r="AL800" s="1783"/>
      <c r="AM800" s="1783"/>
      <c r="AN800" s="1783"/>
      <c r="AO800" s="1783"/>
      <c r="AP800" s="1783"/>
      <c r="AQ800" s="1783"/>
      <c r="AR800" s="1783"/>
      <c r="AS800" s="1783"/>
      <c r="AT800" s="1783"/>
      <c r="AU800" s="1783"/>
      <c r="AV800" s="1783"/>
      <c r="AW800" s="1783"/>
      <c r="AX800" s="1783"/>
      <c r="AY800" s="1783"/>
      <c r="AZ800" s="1783"/>
      <c r="BA800" s="1783"/>
      <c r="BB800" s="1783"/>
      <c r="BC800" s="1783"/>
      <c r="BD800" s="1783"/>
      <c r="BE800" s="1783"/>
      <c r="BF800" s="1783"/>
      <c r="BG800" s="1783"/>
      <c r="BH800" s="1783"/>
      <c r="BI800" s="1783"/>
    </row>
    <row r="801" spans="1:61">
      <c r="A801" s="1819"/>
      <c r="B801" s="1818"/>
      <c r="C801" s="1818"/>
      <c r="D801" s="1818"/>
      <c r="E801" s="1818"/>
      <c r="F801" s="1818"/>
      <c r="G801" s="1818"/>
      <c r="H801" s="1783"/>
      <c r="I801" s="1783"/>
      <c r="J801" s="1783"/>
      <c r="K801" s="1783"/>
      <c r="L801" s="1783"/>
      <c r="M801" s="1783"/>
      <c r="N801" s="1783"/>
      <c r="O801" s="1783"/>
      <c r="P801" s="1783"/>
      <c r="Q801" s="1783"/>
      <c r="R801" s="1783"/>
      <c r="S801" s="1783"/>
      <c r="T801" s="1783"/>
      <c r="U801" s="1783"/>
      <c r="V801" s="1783"/>
      <c r="W801" s="1783"/>
      <c r="X801" s="1783"/>
      <c r="Y801" s="1783"/>
      <c r="Z801" s="1783"/>
      <c r="AA801" s="1783"/>
      <c r="AB801" s="1783"/>
      <c r="AC801" s="1783"/>
      <c r="AD801" s="1783"/>
      <c r="AE801" s="1783"/>
      <c r="AF801" s="1783"/>
      <c r="AG801" s="1783"/>
      <c r="AH801" s="1783"/>
      <c r="AI801" s="1783"/>
      <c r="AJ801" s="1783"/>
      <c r="AK801" s="1783"/>
      <c r="AL801" s="1783"/>
      <c r="AM801" s="1783"/>
      <c r="AN801" s="1783"/>
      <c r="AO801" s="1783"/>
      <c r="AP801" s="1783"/>
      <c r="AQ801" s="1783"/>
      <c r="AR801" s="1783"/>
      <c r="AS801" s="1783"/>
      <c r="AT801" s="1783"/>
      <c r="AU801" s="1783"/>
      <c r="AV801" s="1783"/>
      <c r="AW801" s="1783"/>
      <c r="AX801" s="1783"/>
      <c r="AY801" s="1783"/>
      <c r="AZ801" s="1783"/>
      <c r="BA801" s="1783"/>
      <c r="BB801" s="1783"/>
      <c r="BC801" s="1783"/>
      <c r="BD801" s="1783"/>
      <c r="BE801" s="1783"/>
      <c r="BF801" s="1783"/>
      <c r="BG801" s="1783"/>
      <c r="BH801" s="1783"/>
      <c r="BI801" s="1783"/>
    </row>
    <row r="802" spans="1:61">
      <c r="A802" s="1819"/>
      <c r="B802" s="1818"/>
      <c r="C802" s="1818"/>
      <c r="D802" s="1818"/>
      <c r="E802" s="1818"/>
      <c r="F802" s="1818"/>
      <c r="G802" s="1818"/>
      <c r="H802" s="1783"/>
      <c r="I802" s="1783"/>
      <c r="J802" s="1783"/>
      <c r="K802" s="1783"/>
      <c r="L802" s="1783"/>
      <c r="M802" s="1783"/>
      <c r="N802" s="1783"/>
      <c r="O802" s="1783"/>
      <c r="P802" s="1783"/>
      <c r="Q802" s="1783"/>
      <c r="R802" s="1783"/>
      <c r="S802" s="1783"/>
      <c r="T802" s="1783"/>
      <c r="U802" s="1783"/>
      <c r="V802" s="1783"/>
      <c r="W802" s="1783"/>
      <c r="X802" s="1783"/>
      <c r="Y802" s="1783"/>
      <c r="Z802" s="1783"/>
      <c r="AA802" s="1783"/>
      <c r="AB802" s="1783"/>
      <c r="AC802" s="1783"/>
      <c r="AD802" s="1783"/>
      <c r="AE802" s="1783"/>
      <c r="AF802" s="1783"/>
      <c r="AG802" s="1783"/>
      <c r="AH802" s="1783"/>
      <c r="AI802" s="1783"/>
      <c r="AJ802" s="1783"/>
      <c r="AK802" s="1783"/>
      <c r="AL802" s="1783"/>
      <c r="AM802" s="1783"/>
      <c r="AN802" s="1783"/>
      <c r="AO802" s="1783"/>
      <c r="AP802" s="1783"/>
      <c r="AQ802" s="1783"/>
      <c r="AR802" s="1783"/>
      <c r="AS802" s="1783"/>
      <c r="AT802" s="1783"/>
      <c r="AU802" s="1783"/>
      <c r="AV802" s="1783"/>
      <c r="AW802" s="1783"/>
      <c r="AX802" s="1783"/>
      <c r="AY802" s="1783"/>
      <c r="AZ802" s="1783"/>
      <c r="BA802" s="1783"/>
      <c r="BB802" s="1783"/>
      <c r="BC802" s="1783"/>
      <c r="BD802" s="1783"/>
      <c r="BE802" s="1783"/>
      <c r="BF802" s="1783"/>
      <c r="BG802" s="1783"/>
      <c r="BH802" s="1783"/>
      <c r="BI802" s="1783"/>
    </row>
    <row r="803" spans="1:61">
      <c r="A803" s="1819"/>
      <c r="B803" s="1818"/>
      <c r="C803" s="1818"/>
      <c r="D803" s="1818"/>
      <c r="E803" s="1818"/>
      <c r="F803" s="1818"/>
      <c r="G803" s="1818"/>
      <c r="H803" s="1783"/>
      <c r="I803" s="1783"/>
      <c r="J803" s="1783"/>
      <c r="K803" s="1783"/>
      <c r="L803" s="1783"/>
      <c r="M803" s="1783"/>
      <c r="N803" s="1783"/>
      <c r="O803" s="1783"/>
      <c r="P803" s="1783"/>
      <c r="Q803" s="1783"/>
      <c r="R803" s="1783"/>
      <c r="S803" s="1783"/>
      <c r="T803" s="1783"/>
      <c r="U803" s="1783"/>
      <c r="V803" s="1783"/>
      <c r="W803" s="1783"/>
      <c r="X803" s="1783"/>
      <c r="Y803" s="1783"/>
      <c r="Z803" s="1783"/>
      <c r="AA803" s="1783"/>
      <c r="AB803" s="1783"/>
      <c r="AC803" s="1783"/>
      <c r="AD803" s="1783"/>
      <c r="AE803" s="1783"/>
      <c r="AF803" s="1783"/>
      <c r="AG803" s="1783"/>
      <c r="AH803" s="1783"/>
      <c r="AI803" s="1783"/>
      <c r="AJ803" s="1783"/>
      <c r="AK803" s="1783"/>
      <c r="AL803" s="1783"/>
      <c r="AM803" s="1783"/>
      <c r="AN803" s="1783"/>
      <c r="AO803" s="1783"/>
      <c r="AP803" s="1783"/>
      <c r="AQ803" s="1783"/>
      <c r="AR803" s="1783"/>
      <c r="AS803" s="1783"/>
      <c r="AT803" s="1783"/>
      <c r="AU803" s="1783"/>
      <c r="AV803" s="1783"/>
      <c r="AW803" s="1783"/>
      <c r="AX803" s="1783"/>
      <c r="AY803" s="1783"/>
      <c r="AZ803" s="1783"/>
      <c r="BA803" s="1783"/>
      <c r="BB803" s="1783"/>
      <c r="BC803" s="1783"/>
      <c r="BD803" s="1783"/>
      <c r="BE803" s="1783"/>
      <c r="BF803" s="1783"/>
      <c r="BG803" s="1783"/>
      <c r="BH803" s="1783"/>
      <c r="BI803" s="1783"/>
    </row>
    <row r="804" spans="1:61">
      <c r="A804" s="1819"/>
      <c r="B804" s="1818"/>
      <c r="C804" s="1818"/>
      <c r="D804" s="1818"/>
      <c r="E804" s="1818"/>
      <c r="F804" s="1818"/>
      <c r="G804" s="1818"/>
      <c r="H804" s="1783"/>
      <c r="I804" s="1783"/>
      <c r="J804" s="1783"/>
      <c r="K804" s="1783"/>
      <c r="L804" s="1783"/>
      <c r="M804" s="1783"/>
      <c r="N804" s="1783"/>
      <c r="O804" s="1783"/>
      <c r="P804" s="1783"/>
      <c r="Q804" s="1783"/>
      <c r="R804" s="1783"/>
      <c r="S804" s="1783"/>
      <c r="T804" s="1783"/>
      <c r="U804" s="1783"/>
      <c r="V804" s="1783"/>
      <c r="W804" s="1783"/>
      <c r="X804" s="1783"/>
      <c r="Y804" s="1783"/>
      <c r="Z804" s="1783"/>
      <c r="AA804" s="1783"/>
      <c r="AB804" s="1783"/>
      <c r="AC804" s="1783"/>
      <c r="AD804" s="1783"/>
      <c r="AE804" s="1783"/>
      <c r="AF804" s="1783"/>
      <c r="AG804" s="1783"/>
      <c r="AH804" s="1783"/>
      <c r="AI804" s="1783"/>
      <c r="AJ804" s="1783"/>
      <c r="AK804" s="1783"/>
      <c r="AL804" s="1783"/>
      <c r="AM804" s="1783"/>
      <c r="AN804" s="1783"/>
      <c r="AO804" s="1783"/>
      <c r="AP804" s="1783"/>
      <c r="AQ804" s="1783"/>
      <c r="AR804" s="1783"/>
      <c r="AS804" s="1783"/>
      <c r="AT804" s="1783"/>
      <c r="AU804" s="1783"/>
      <c r="AV804" s="1783"/>
      <c r="AW804" s="1783"/>
      <c r="AX804" s="1783"/>
      <c r="AY804" s="1783"/>
      <c r="AZ804" s="1783"/>
      <c r="BA804" s="1783"/>
      <c r="BB804" s="1783"/>
      <c r="BC804" s="1783"/>
      <c r="BD804" s="1783"/>
      <c r="BE804" s="1783"/>
      <c r="BF804" s="1783"/>
      <c r="BG804" s="1783"/>
      <c r="BH804" s="1783"/>
      <c r="BI804" s="1783"/>
    </row>
    <row r="805" spans="1:61">
      <c r="A805" s="1819"/>
      <c r="B805" s="1818"/>
      <c r="C805" s="1818"/>
      <c r="D805" s="1818"/>
      <c r="E805" s="1818"/>
      <c r="F805" s="1818"/>
      <c r="G805" s="1818"/>
      <c r="H805" s="1783"/>
      <c r="I805" s="1783"/>
      <c r="J805" s="1783"/>
      <c r="K805" s="1783"/>
      <c r="L805" s="1783"/>
      <c r="M805" s="1783"/>
      <c r="N805" s="1783"/>
      <c r="O805" s="1783"/>
      <c r="P805" s="1783"/>
      <c r="Q805" s="1783"/>
      <c r="R805" s="1783"/>
      <c r="S805" s="1783"/>
      <c r="T805" s="1783"/>
      <c r="U805" s="1783"/>
      <c r="V805" s="1783"/>
      <c r="W805" s="1783"/>
      <c r="X805" s="1783"/>
      <c r="Y805" s="1783"/>
      <c r="Z805" s="1783"/>
      <c r="AA805" s="1783"/>
      <c r="AB805" s="1783"/>
      <c r="AC805" s="1783"/>
      <c r="AD805" s="1783"/>
      <c r="AE805" s="1783"/>
      <c r="AF805" s="1783"/>
      <c r="AG805" s="1783"/>
      <c r="AH805" s="1783"/>
      <c r="AI805" s="1783"/>
      <c r="AJ805" s="1783"/>
      <c r="AK805" s="1783"/>
      <c r="AL805" s="1783"/>
      <c r="AM805" s="1783"/>
      <c r="AN805" s="1783"/>
      <c r="AO805" s="1783"/>
      <c r="AP805" s="1783"/>
      <c r="AQ805" s="1783"/>
      <c r="AR805" s="1783"/>
      <c r="AS805" s="1783"/>
      <c r="AT805" s="1783"/>
      <c r="AU805" s="1783"/>
      <c r="AV805" s="1783"/>
      <c r="AW805" s="1783"/>
      <c r="AX805" s="1783"/>
      <c r="AY805" s="1783"/>
      <c r="AZ805" s="1783"/>
      <c r="BA805" s="1783"/>
      <c r="BB805" s="1783"/>
      <c r="BC805" s="1783"/>
      <c r="BD805" s="1783"/>
      <c r="BE805" s="1783"/>
      <c r="BF805" s="1783"/>
      <c r="BG805" s="1783"/>
      <c r="BH805" s="1783"/>
      <c r="BI805" s="1783"/>
    </row>
    <row r="806" spans="1:61">
      <c r="A806" s="1819"/>
      <c r="B806" s="1818"/>
      <c r="C806" s="1818"/>
      <c r="D806" s="1818"/>
      <c r="E806" s="1818"/>
      <c r="F806" s="1818"/>
      <c r="G806" s="1818"/>
      <c r="H806" s="1783"/>
      <c r="I806" s="1783"/>
      <c r="J806" s="1783"/>
      <c r="K806" s="1783"/>
      <c r="L806" s="1783"/>
      <c r="M806" s="1783"/>
      <c r="N806" s="1783"/>
      <c r="O806" s="1783"/>
      <c r="P806" s="1783"/>
      <c r="Q806" s="1783"/>
      <c r="R806" s="1783"/>
      <c r="S806" s="1783"/>
      <c r="T806" s="1783"/>
      <c r="U806" s="1783"/>
      <c r="V806" s="1783"/>
      <c r="W806" s="1783"/>
      <c r="X806" s="1783"/>
      <c r="Y806" s="1783"/>
      <c r="Z806" s="1783"/>
      <c r="AA806" s="1783"/>
      <c r="AB806" s="1783"/>
      <c r="AC806" s="1783"/>
      <c r="AD806" s="1783"/>
      <c r="AE806" s="1783"/>
      <c r="AF806" s="1783"/>
      <c r="AG806" s="1783"/>
      <c r="AH806" s="1783"/>
      <c r="AI806" s="1783"/>
      <c r="AJ806" s="1783"/>
      <c r="AK806" s="1783"/>
      <c r="AL806" s="1783"/>
      <c r="AM806" s="1783"/>
      <c r="AN806" s="1783"/>
      <c r="AO806" s="1783"/>
      <c r="AP806" s="1783"/>
      <c r="AQ806" s="1783"/>
      <c r="AR806" s="1783"/>
      <c r="AS806" s="1783"/>
      <c r="AT806" s="1783"/>
      <c r="AU806" s="1783"/>
      <c r="AV806" s="1783"/>
      <c r="AW806" s="1783"/>
      <c r="AX806" s="1783"/>
      <c r="AY806" s="1783"/>
      <c r="AZ806" s="1783"/>
      <c r="BA806" s="1783"/>
      <c r="BB806" s="1783"/>
      <c r="BC806" s="1783"/>
      <c r="BD806" s="1783"/>
      <c r="BE806" s="1783"/>
      <c r="BF806" s="1783"/>
      <c r="BG806" s="1783"/>
      <c r="BH806" s="1783"/>
      <c r="BI806" s="1783"/>
    </row>
    <row r="807" spans="1:61">
      <c r="A807" s="1819"/>
      <c r="B807" s="1818"/>
      <c r="C807" s="1818"/>
      <c r="D807" s="1818"/>
      <c r="E807" s="1818"/>
      <c r="F807" s="1818"/>
      <c r="G807" s="1818"/>
      <c r="H807" s="1783"/>
      <c r="I807" s="1783"/>
      <c r="J807" s="1783"/>
      <c r="K807" s="1783"/>
      <c r="L807" s="1783"/>
      <c r="M807" s="1783"/>
      <c r="N807" s="1783"/>
      <c r="O807" s="1783"/>
      <c r="P807" s="1783"/>
      <c r="Q807" s="1783"/>
      <c r="R807" s="1783"/>
      <c r="S807" s="1783"/>
      <c r="T807" s="1783"/>
      <c r="U807" s="1783"/>
      <c r="V807" s="1783"/>
      <c r="W807" s="1783"/>
      <c r="X807" s="1783"/>
      <c r="Y807" s="1783"/>
      <c r="Z807" s="1783"/>
      <c r="AA807" s="1783"/>
      <c r="AB807" s="1783"/>
      <c r="AC807" s="1783"/>
      <c r="AD807" s="1783"/>
      <c r="AE807" s="1783"/>
      <c r="AF807" s="1783"/>
      <c r="AG807" s="1783"/>
      <c r="AH807" s="1783"/>
      <c r="AI807" s="1783"/>
      <c r="AJ807" s="1783"/>
      <c r="AK807" s="1783"/>
      <c r="AL807" s="1783"/>
      <c r="AM807" s="1783"/>
      <c r="AN807" s="1783"/>
      <c r="AO807" s="1783"/>
      <c r="AP807" s="1783"/>
      <c r="AQ807" s="1783"/>
      <c r="AR807" s="1783"/>
      <c r="AS807" s="1783"/>
      <c r="AT807" s="1783"/>
      <c r="AU807" s="1783"/>
      <c r="AV807" s="1783"/>
      <c r="AW807" s="1783"/>
      <c r="AX807" s="1783"/>
      <c r="AY807" s="1783"/>
      <c r="AZ807" s="1783"/>
      <c r="BA807" s="1783"/>
      <c r="BB807" s="1783"/>
      <c r="BC807" s="1783"/>
      <c r="BD807" s="1783"/>
      <c r="BE807" s="1783"/>
      <c r="BF807" s="1783"/>
      <c r="BG807" s="1783"/>
      <c r="BH807" s="1783"/>
      <c r="BI807" s="1783"/>
    </row>
    <row r="808" spans="1:61">
      <c r="A808" s="1819"/>
      <c r="B808" s="1818"/>
      <c r="C808" s="1818"/>
      <c r="D808" s="1818"/>
      <c r="E808" s="1818"/>
      <c r="F808" s="1818"/>
      <c r="G808" s="1818"/>
      <c r="H808" s="1783"/>
      <c r="I808" s="1783"/>
      <c r="J808" s="1783"/>
      <c r="K808" s="1783"/>
      <c r="L808" s="1783"/>
      <c r="M808" s="1783"/>
      <c r="N808" s="1783"/>
      <c r="O808" s="1783"/>
      <c r="P808" s="1783"/>
      <c r="Q808" s="1783"/>
      <c r="R808" s="1783"/>
      <c r="S808" s="1783"/>
      <c r="T808" s="1783"/>
      <c r="U808" s="1783"/>
      <c r="V808" s="1783"/>
      <c r="W808" s="1783"/>
      <c r="X808" s="1783"/>
      <c r="Y808" s="1783"/>
      <c r="Z808" s="1783"/>
      <c r="AA808" s="1783"/>
      <c r="AB808" s="1783"/>
      <c r="AC808" s="1783"/>
      <c r="AD808" s="1783"/>
      <c r="AE808" s="1783"/>
      <c r="AF808" s="1783"/>
      <c r="AG808" s="1783"/>
      <c r="AH808" s="1783"/>
      <c r="AI808" s="1783"/>
      <c r="AJ808" s="1783"/>
      <c r="AK808" s="1783"/>
      <c r="AL808" s="1783"/>
      <c r="AM808" s="1783"/>
      <c r="AN808" s="1783"/>
      <c r="AO808" s="1783"/>
      <c r="AP808" s="1783"/>
      <c r="AQ808" s="1783"/>
      <c r="AR808" s="1783"/>
      <c r="AS808" s="1783"/>
      <c r="AT808" s="1783"/>
      <c r="AU808" s="1783"/>
      <c r="AV808" s="1783"/>
      <c r="AW808" s="1783"/>
      <c r="AX808" s="1783"/>
      <c r="AY808" s="1783"/>
      <c r="AZ808" s="1783"/>
      <c r="BA808" s="1783"/>
      <c r="BB808" s="1783"/>
      <c r="BC808" s="1783"/>
      <c r="BD808" s="1783"/>
      <c r="BE808" s="1783"/>
      <c r="BF808" s="1783"/>
      <c r="BG808" s="1783"/>
      <c r="BH808" s="1783"/>
      <c r="BI808" s="1783"/>
    </row>
    <row r="809" spans="1:61">
      <c r="A809" s="1819"/>
      <c r="B809" s="1818"/>
      <c r="C809" s="1818"/>
      <c r="D809" s="1818"/>
      <c r="E809" s="1818"/>
      <c r="F809" s="1818"/>
      <c r="G809" s="1818"/>
      <c r="H809" s="1783"/>
      <c r="I809" s="1783"/>
      <c r="J809" s="1783"/>
      <c r="K809" s="1783"/>
      <c r="L809" s="1783"/>
      <c r="M809" s="1783"/>
      <c r="N809" s="1783"/>
      <c r="O809" s="1783"/>
      <c r="P809" s="1783"/>
      <c r="Q809" s="1783"/>
      <c r="R809" s="1783"/>
      <c r="S809" s="1783"/>
      <c r="T809" s="1783"/>
      <c r="U809" s="1783"/>
      <c r="V809" s="1783"/>
      <c r="W809" s="1783"/>
      <c r="X809" s="1783"/>
      <c r="Y809" s="1783"/>
      <c r="Z809" s="1783"/>
      <c r="AA809" s="1783"/>
      <c r="AB809" s="1783"/>
      <c r="AC809" s="1783"/>
      <c r="AD809" s="1783"/>
      <c r="AE809" s="1783"/>
      <c r="AF809" s="1783"/>
      <c r="AG809" s="1783"/>
      <c r="AH809" s="1783"/>
      <c r="AI809" s="1783"/>
      <c r="AJ809" s="1783"/>
      <c r="AK809" s="1783"/>
      <c r="AL809" s="1783"/>
      <c r="AM809" s="1783"/>
      <c r="AN809" s="1783"/>
      <c r="AO809" s="1783"/>
      <c r="AP809" s="1783"/>
      <c r="AQ809" s="1783"/>
      <c r="AR809" s="1783"/>
      <c r="AS809" s="1783"/>
      <c r="AT809" s="1783"/>
      <c r="AU809" s="1783"/>
      <c r="AV809" s="1783"/>
      <c r="AW809" s="1783"/>
      <c r="AX809" s="1783"/>
      <c r="AY809" s="1783"/>
      <c r="AZ809" s="1783"/>
      <c r="BA809" s="1783"/>
      <c r="BB809" s="1783"/>
      <c r="BC809" s="1783"/>
      <c r="BD809" s="1783"/>
      <c r="BE809" s="1783"/>
      <c r="BF809" s="1783"/>
      <c r="BG809" s="1783"/>
      <c r="BH809" s="1783"/>
      <c r="BI809" s="1783"/>
    </row>
    <row r="810" spans="1:61">
      <c r="A810" s="1819"/>
      <c r="B810" s="1818"/>
      <c r="C810" s="1818"/>
      <c r="D810" s="1818"/>
      <c r="E810" s="1818"/>
      <c r="F810" s="1818"/>
      <c r="G810" s="1818"/>
      <c r="H810" s="1783"/>
      <c r="I810" s="1783"/>
      <c r="J810" s="1783"/>
      <c r="K810" s="1783"/>
      <c r="L810" s="1783"/>
      <c r="M810" s="1783"/>
      <c r="N810" s="1783"/>
      <c r="O810" s="1783"/>
      <c r="P810" s="1783"/>
      <c r="Q810" s="1783"/>
      <c r="R810" s="1783"/>
      <c r="S810" s="1783"/>
      <c r="T810" s="1783"/>
      <c r="U810" s="1783"/>
      <c r="V810" s="1783"/>
      <c r="W810" s="1783"/>
      <c r="X810" s="1783"/>
      <c r="Y810" s="1783"/>
      <c r="Z810" s="1783"/>
      <c r="AA810" s="1783"/>
      <c r="AB810" s="1783"/>
      <c r="AC810" s="1783"/>
      <c r="AD810" s="1783"/>
      <c r="AE810" s="1783"/>
      <c r="AF810" s="1783"/>
      <c r="AG810" s="1783"/>
      <c r="AH810" s="1783"/>
      <c r="AI810" s="1783"/>
      <c r="AJ810" s="1783"/>
      <c r="AK810" s="1783"/>
      <c r="AL810" s="1783"/>
      <c r="AM810" s="1783"/>
      <c r="AN810" s="1783"/>
      <c r="AO810" s="1783"/>
      <c r="AP810" s="1783"/>
      <c r="AQ810" s="1783"/>
      <c r="AR810" s="1783"/>
      <c r="AS810" s="1783"/>
      <c r="AT810" s="1783"/>
      <c r="AU810" s="1783"/>
      <c r="AV810" s="1783"/>
      <c r="AW810" s="1783"/>
      <c r="AX810" s="1783"/>
      <c r="AY810" s="1783"/>
      <c r="AZ810" s="1783"/>
      <c r="BA810" s="1783"/>
      <c r="BB810" s="1783"/>
      <c r="BC810" s="1783"/>
      <c r="BD810" s="1783"/>
      <c r="BE810" s="1783"/>
      <c r="BF810" s="1783"/>
      <c r="BG810" s="1783"/>
      <c r="BH810" s="1783"/>
      <c r="BI810" s="1783"/>
    </row>
    <row r="811" spans="1:61">
      <c r="A811" s="1819"/>
      <c r="B811" s="1818"/>
      <c r="C811" s="1818"/>
      <c r="D811" s="1818"/>
      <c r="E811" s="1818"/>
      <c r="F811" s="1818"/>
      <c r="G811" s="1818"/>
      <c r="H811" s="1783"/>
      <c r="I811" s="1783"/>
      <c r="J811" s="1783"/>
      <c r="K811" s="1783"/>
      <c r="L811" s="1783"/>
      <c r="M811" s="1783"/>
      <c r="N811" s="1783"/>
      <c r="O811" s="1783"/>
      <c r="P811" s="1783"/>
      <c r="Q811" s="1783"/>
      <c r="R811" s="1783"/>
      <c r="S811" s="1783"/>
      <c r="T811" s="1783"/>
      <c r="U811" s="1783"/>
      <c r="V811" s="1783"/>
      <c r="W811" s="1783"/>
      <c r="X811" s="1783"/>
      <c r="Y811" s="1783"/>
      <c r="Z811" s="1783"/>
      <c r="AA811" s="1783"/>
      <c r="AB811" s="1783"/>
      <c r="AC811" s="1783"/>
      <c r="AD811" s="1783"/>
      <c r="AE811" s="1783"/>
      <c r="AF811" s="1783"/>
      <c r="AG811" s="1783"/>
      <c r="AH811" s="1783"/>
      <c r="AI811" s="1783"/>
      <c r="AJ811" s="1783"/>
      <c r="AK811" s="1783"/>
      <c r="AL811" s="1783"/>
      <c r="AM811" s="1783"/>
      <c r="AN811" s="1783"/>
      <c r="AO811" s="1783"/>
      <c r="AP811" s="1783"/>
      <c r="AQ811" s="1783"/>
      <c r="AR811" s="1783"/>
      <c r="AS811" s="1783"/>
      <c r="AT811" s="1783"/>
      <c r="AU811" s="1783"/>
      <c r="AV811" s="1783"/>
      <c r="AW811" s="1783"/>
      <c r="AX811" s="1783"/>
      <c r="AY811" s="1783"/>
      <c r="AZ811" s="1783"/>
      <c r="BA811" s="1783"/>
      <c r="BB811" s="1783"/>
      <c r="BC811" s="1783"/>
      <c r="BD811" s="1783"/>
      <c r="BE811" s="1783"/>
      <c r="BF811" s="1783"/>
      <c r="BG811" s="1783"/>
      <c r="BH811" s="1783"/>
      <c r="BI811" s="1783"/>
    </row>
    <row r="812" spans="1:61">
      <c r="A812" s="1819"/>
      <c r="B812" s="1818"/>
      <c r="C812" s="1818"/>
      <c r="D812" s="1818"/>
      <c r="E812" s="1818"/>
      <c r="F812" s="1818"/>
      <c r="G812" s="1818"/>
      <c r="H812" s="1783"/>
      <c r="I812" s="1783"/>
      <c r="J812" s="1783"/>
      <c r="K812" s="1783"/>
      <c r="L812" s="1783"/>
      <c r="M812" s="1783"/>
      <c r="N812" s="1783"/>
      <c r="O812" s="1783"/>
      <c r="P812" s="1783"/>
      <c r="Q812" s="1783"/>
      <c r="R812" s="1783"/>
      <c r="S812" s="1783"/>
      <c r="T812" s="1783"/>
      <c r="U812" s="1783"/>
      <c r="V812" s="1783"/>
      <c r="W812" s="1783"/>
      <c r="X812" s="1783"/>
      <c r="Y812" s="1783"/>
      <c r="Z812" s="1783"/>
      <c r="AA812" s="1783"/>
      <c r="AB812" s="1783"/>
      <c r="AC812" s="1783"/>
      <c r="AD812" s="1783"/>
      <c r="AE812" s="1783"/>
      <c r="AF812" s="1783"/>
      <c r="AG812" s="1783"/>
      <c r="AH812" s="1783"/>
      <c r="AI812" s="1783"/>
      <c r="AJ812" s="1783"/>
      <c r="AK812" s="1783"/>
      <c r="AL812" s="1783"/>
      <c r="AM812" s="1783"/>
      <c r="AN812" s="1783"/>
      <c r="AO812" s="1783"/>
      <c r="AP812" s="1783"/>
      <c r="AQ812" s="1783"/>
      <c r="AR812" s="1783"/>
      <c r="AS812" s="1783"/>
      <c r="AT812" s="1783"/>
      <c r="AU812" s="1783"/>
      <c r="AV812" s="1783"/>
      <c r="AW812" s="1783"/>
      <c r="AX812" s="1783"/>
      <c r="AY812" s="1783"/>
      <c r="AZ812" s="1783"/>
      <c r="BA812" s="1783"/>
      <c r="BB812" s="1783"/>
      <c r="BC812" s="1783"/>
      <c r="BD812" s="1783"/>
      <c r="BE812" s="1783"/>
      <c r="BF812" s="1783"/>
      <c r="BG812" s="1783"/>
      <c r="BH812" s="1783"/>
      <c r="BI812" s="1783"/>
    </row>
    <row r="813" spans="1:61">
      <c r="A813" s="1819"/>
      <c r="B813" s="1818"/>
      <c r="C813" s="1818"/>
      <c r="D813" s="1818"/>
      <c r="E813" s="1818"/>
      <c r="F813" s="1818"/>
      <c r="G813" s="1818"/>
      <c r="H813" s="1783"/>
      <c r="I813" s="1783"/>
      <c r="J813" s="1783"/>
      <c r="K813" s="1783"/>
      <c r="L813" s="1783"/>
      <c r="M813" s="1783"/>
      <c r="N813" s="1783"/>
      <c r="O813" s="1783"/>
      <c r="P813" s="1783"/>
      <c r="Q813" s="1783"/>
      <c r="R813" s="1783"/>
      <c r="S813" s="1783"/>
      <c r="T813" s="1783"/>
      <c r="U813" s="1783"/>
      <c r="V813" s="1783"/>
      <c r="W813" s="1783"/>
      <c r="X813" s="1783"/>
      <c r="Y813" s="1783"/>
      <c r="Z813" s="1783"/>
      <c r="AA813" s="1783"/>
      <c r="AB813" s="1783"/>
      <c r="AC813" s="1783"/>
      <c r="AD813" s="1783"/>
      <c r="AE813" s="1783"/>
      <c r="AF813" s="1783"/>
      <c r="AG813" s="1783"/>
      <c r="AH813" s="1783"/>
      <c r="AI813" s="1783"/>
      <c r="AJ813" s="1783"/>
      <c r="AK813" s="1783"/>
      <c r="AL813" s="1783"/>
      <c r="AM813" s="1783"/>
      <c r="AN813" s="1783"/>
      <c r="AO813" s="1783"/>
      <c r="AP813" s="1783"/>
      <c r="AQ813" s="1783"/>
      <c r="AR813" s="1783"/>
      <c r="AS813" s="1783"/>
      <c r="AT813" s="1783"/>
      <c r="AU813" s="1783"/>
      <c r="AV813" s="1783"/>
      <c r="AW813" s="1783"/>
      <c r="AX813" s="1783"/>
      <c r="AY813" s="1783"/>
      <c r="AZ813" s="1783"/>
      <c r="BA813" s="1783"/>
      <c r="BB813" s="1783"/>
      <c r="BC813" s="1783"/>
      <c r="BD813" s="1783"/>
      <c r="BE813" s="1783"/>
      <c r="BF813" s="1783"/>
      <c r="BG813" s="1783"/>
      <c r="BH813" s="1783"/>
      <c r="BI813" s="1783"/>
    </row>
    <row r="814" spans="1:61">
      <c r="A814" s="1819"/>
      <c r="B814" s="1818"/>
      <c r="C814" s="1818"/>
      <c r="D814" s="1818"/>
      <c r="E814" s="1818"/>
      <c r="F814" s="1818"/>
      <c r="G814" s="1818"/>
      <c r="H814" s="1783"/>
      <c r="I814" s="1783"/>
      <c r="J814" s="1783"/>
      <c r="K814" s="1783"/>
      <c r="L814" s="1783"/>
      <c r="M814" s="1783"/>
      <c r="N814" s="1783"/>
      <c r="O814" s="1783"/>
      <c r="P814" s="1783"/>
      <c r="Q814" s="1783"/>
      <c r="R814" s="1783"/>
      <c r="S814" s="1783"/>
      <c r="T814" s="1783"/>
      <c r="U814" s="1783"/>
      <c r="V814" s="1783"/>
      <c r="W814" s="1783"/>
      <c r="X814" s="1783"/>
      <c r="Y814" s="1783"/>
      <c r="Z814" s="1783"/>
      <c r="AA814" s="1783"/>
      <c r="AB814" s="1783"/>
      <c r="AC814" s="1783"/>
      <c r="AD814" s="1783"/>
      <c r="AE814" s="1783"/>
      <c r="AF814" s="1783"/>
      <c r="AG814" s="1783"/>
      <c r="AH814" s="1783"/>
      <c r="AI814" s="1783"/>
      <c r="AJ814" s="1783"/>
      <c r="AK814" s="1783"/>
      <c r="AL814" s="1783"/>
      <c r="AM814" s="1783"/>
      <c r="AN814" s="1783"/>
      <c r="AO814" s="1783"/>
      <c r="AP814" s="1783"/>
      <c r="AQ814" s="1783"/>
      <c r="AR814" s="1783"/>
      <c r="AS814" s="1783"/>
      <c r="AT814" s="1783"/>
      <c r="AU814" s="1783"/>
      <c r="AV814" s="1783"/>
      <c r="AW814" s="1783"/>
      <c r="AX814" s="1783"/>
      <c r="AY814" s="1783"/>
      <c r="AZ814" s="1783"/>
      <c r="BA814" s="1783"/>
      <c r="BB814" s="1783"/>
      <c r="BC814" s="1783"/>
      <c r="BD814" s="1783"/>
      <c r="BE814" s="1783"/>
      <c r="BF814" s="1783"/>
      <c r="BG814" s="1783"/>
      <c r="BH814" s="1783"/>
      <c r="BI814" s="1783"/>
    </row>
    <row r="815" spans="1:61">
      <c r="A815" s="1819"/>
      <c r="B815" s="1818"/>
      <c r="C815" s="1818"/>
      <c r="D815" s="1818"/>
      <c r="E815" s="1818"/>
      <c r="F815" s="1818"/>
      <c r="G815" s="1818"/>
      <c r="H815" s="1783"/>
      <c r="I815" s="1783"/>
      <c r="J815" s="1783"/>
      <c r="K815" s="1783"/>
      <c r="L815" s="1783"/>
      <c r="M815" s="1783"/>
      <c r="N815" s="1783"/>
      <c r="O815" s="1783"/>
      <c r="P815" s="1783"/>
      <c r="Q815" s="1783"/>
      <c r="R815" s="1783"/>
      <c r="S815" s="1783"/>
      <c r="T815" s="1783"/>
      <c r="U815" s="1783"/>
      <c r="V815" s="1783"/>
      <c r="W815" s="1783"/>
      <c r="X815" s="1783"/>
      <c r="Y815" s="1783"/>
      <c r="Z815" s="1783"/>
      <c r="AA815" s="1783"/>
      <c r="AB815" s="1783"/>
      <c r="AC815" s="1783"/>
      <c r="AD815" s="1783"/>
      <c r="AE815" s="1783"/>
      <c r="AF815" s="1783"/>
      <c r="AG815" s="1783"/>
      <c r="AH815" s="1783"/>
      <c r="AI815" s="1783"/>
      <c r="AJ815" s="1783"/>
      <c r="AK815" s="1783"/>
      <c r="AL815" s="1783"/>
      <c r="AM815" s="1783"/>
      <c r="AN815" s="1783"/>
      <c r="AO815" s="1783"/>
      <c r="AP815" s="1783"/>
      <c r="AQ815" s="1783"/>
      <c r="AR815" s="1783"/>
      <c r="AS815" s="1783"/>
      <c r="AT815" s="1783"/>
      <c r="AU815" s="1783"/>
      <c r="AV815" s="1783"/>
      <c r="AW815" s="1783"/>
      <c r="AX815" s="1783"/>
      <c r="AY815" s="1783"/>
      <c r="AZ815" s="1783"/>
      <c r="BA815" s="1783"/>
      <c r="BB815" s="1783"/>
      <c r="BC815" s="1783"/>
      <c r="BD815" s="1783"/>
      <c r="BE815" s="1783"/>
      <c r="BF815" s="1783"/>
      <c r="BG815" s="1783"/>
      <c r="BH815" s="1783"/>
      <c r="BI815" s="1783"/>
    </row>
    <row r="816" spans="1:61">
      <c r="A816" s="1819"/>
      <c r="B816" s="1818"/>
      <c r="C816" s="1818"/>
      <c r="D816" s="1818"/>
      <c r="E816" s="1818"/>
      <c r="F816" s="1818"/>
      <c r="G816" s="1818"/>
      <c r="H816" s="1783"/>
      <c r="I816" s="1783"/>
      <c r="J816" s="1783"/>
      <c r="K816" s="1783"/>
      <c r="L816" s="1783"/>
      <c r="M816" s="1783"/>
      <c r="N816" s="1783"/>
      <c r="O816" s="1783"/>
      <c r="P816" s="1783"/>
      <c r="Q816" s="1783"/>
      <c r="R816" s="1783"/>
      <c r="S816" s="1783"/>
      <c r="T816" s="1783"/>
      <c r="U816" s="1783"/>
      <c r="V816" s="1783"/>
      <c r="W816" s="1783"/>
      <c r="X816" s="1783"/>
      <c r="Y816" s="1783"/>
      <c r="Z816" s="1783"/>
      <c r="AA816" s="1783"/>
      <c r="AB816" s="1783"/>
      <c r="AC816" s="1783"/>
      <c r="AD816" s="1783"/>
      <c r="AE816" s="1783"/>
      <c r="AF816" s="1783"/>
      <c r="AG816" s="1783"/>
      <c r="AH816" s="1783"/>
      <c r="AI816" s="1783"/>
      <c r="AJ816" s="1783"/>
      <c r="AK816" s="1783"/>
      <c r="AL816" s="1783"/>
      <c r="AM816" s="1783"/>
      <c r="AN816" s="1783"/>
      <c r="AO816" s="1783"/>
      <c r="AP816" s="1783"/>
      <c r="AQ816" s="1783"/>
      <c r="AR816" s="1783"/>
      <c r="AS816" s="1783"/>
      <c r="AT816" s="1783"/>
      <c r="AU816" s="1783"/>
      <c r="AV816" s="1783"/>
      <c r="AW816" s="1783"/>
      <c r="AX816" s="1783"/>
      <c r="AY816" s="1783"/>
      <c r="AZ816" s="1783"/>
      <c r="BA816" s="1783"/>
      <c r="BB816" s="1783"/>
      <c r="BC816" s="1783"/>
      <c r="BD816" s="1783"/>
      <c r="BE816" s="1783"/>
      <c r="BF816" s="1783"/>
      <c r="BG816" s="1783"/>
      <c r="BH816" s="1783"/>
      <c r="BI816" s="1783"/>
    </row>
    <row r="817" spans="1:61">
      <c r="A817" s="1819"/>
      <c r="B817" s="1818"/>
      <c r="C817" s="1818"/>
      <c r="D817" s="1818"/>
      <c r="E817" s="1818"/>
      <c r="F817" s="1818"/>
      <c r="G817" s="1818"/>
      <c r="H817" s="1783"/>
      <c r="I817" s="1783"/>
      <c r="J817" s="1783"/>
      <c r="K817" s="1783"/>
      <c r="L817" s="1783"/>
      <c r="M817" s="1783"/>
      <c r="N817" s="1783"/>
      <c r="O817" s="1783"/>
      <c r="P817" s="1783"/>
      <c r="Q817" s="1783"/>
      <c r="R817" s="1783"/>
      <c r="S817" s="1783"/>
      <c r="T817" s="1783"/>
      <c r="U817" s="1783"/>
      <c r="V817" s="1783"/>
      <c r="W817" s="1783"/>
      <c r="X817" s="1783"/>
      <c r="Y817" s="1783"/>
      <c r="Z817" s="1783"/>
      <c r="AA817" s="1783"/>
      <c r="AB817" s="1783"/>
      <c r="AC817" s="1783"/>
      <c r="AD817" s="1783"/>
      <c r="AE817" s="1783"/>
      <c r="AF817" s="1783"/>
      <c r="AG817" s="1783"/>
      <c r="AH817" s="1783"/>
      <c r="AI817" s="1783"/>
      <c r="AJ817" s="1783"/>
      <c r="AK817" s="1783"/>
      <c r="AL817" s="1783"/>
      <c r="AM817" s="1783"/>
      <c r="AN817" s="1783"/>
      <c r="AO817" s="1783"/>
      <c r="AP817" s="1783"/>
      <c r="AQ817" s="1783"/>
      <c r="AR817" s="1783"/>
      <c r="AS817" s="1783"/>
      <c r="AT817" s="1783"/>
      <c r="AU817" s="1783"/>
      <c r="AV817" s="1783"/>
      <c r="AW817" s="1783"/>
      <c r="AX817" s="1783"/>
      <c r="AY817" s="1783"/>
      <c r="AZ817" s="1783"/>
      <c r="BA817" s="1783"/>
      <c r="BB817" s="1783"/>
      <c r="BC817" s="1783"/>
      <c r="BD817" s="1783"/>
      <c r="BE817" s="1783"/>
      <c r="BF817" s="1783"/>
      <c r="BG817" s="1783"/>
      <c r="BH817" s="1783"/>
      <c r="BI817" s="1783"/>
    </row>
    <row r="818" spans="1:61">
      <c r="A818" s="1819"/>
      <c r="B818" s="1818"/>
      <c r="C818" s="1818"/>
      <c r="D818" s="1818"/>
      <c r="E818" s="1818"/>
      <c r="F818" s="1818"/>
      <c r="G818" s="1818"/>
      <c r="H818" s="1783"/>
      <c r="I818" s="1783"/>
      <c r="J818" s="1783"/>
      <c r="K818" s="1783"/>
      <c r="L818" s="1783"/>
      <c r="M818" s="1783"/>
      <c r="N818" s="1783"/>
      <c r="O818" s="1783"/>
      <c r="P818" s="1783"/>
      <c r="Q818" s="1783"/>
      <c r="R818" s="1783"/>
      <c r="S818" s="1783"/>
      <c r="T818" s="1783"/>
      <c r="U818" s="1783"/>
      <c r="V818" s="1783"/>
      <c r="W818" s="1783"/>
      <c r="X818" s="1783"/>
      <c r="Y818" s="1783"/>
      <c r="Z818" s="1783"/>
      <c r="AA818" s="1783"/>
      <c r="AB818" s="1783"/>
      <c r="AC818" s="1783"/>
      <c r="AD818" s="1783"/>
      <c r="AE818" s="1783"/>
      <c r="AF818" s="1783"/>
      <c r="AG818" s="1783"/>
      <c r="AH818" s="1783"/>
      <c r="AI818" s="1783"/>
      <c r="AJ818" s="1783"/>
      <c r="AK818" s="1783"/>
      <c r="AL818" s="1783"/>
      <c r="AM818" s="1783"/>
      <c r="AN818" s="1783"/>
      <c r="AO818" s="1783"/>
      <c r="AP818" s="1783"/>
      <c r="AQ818" s="1783"/>
      <c r="AR818" s="1783"/>
      <c r="AS818" s="1783"/>
      <c r="AT818" s="1783"/>
      <c r="AU818" s="1783"/>
      <c r="AV818" s="1783"/>
      <c r="AW818" s="1783"/>
      <c r="AX818" s="1783"/>
      <c r="AY818" s="1783"/>
      <c r="AZ818" s="1783"/>
      <c r="BA818" s="1783"/>
      <c r="BB818" s="1783"/>
      <c r="BC818" s="1783"/>
      <c r="BD818" s="1783"/>
      <c r="BE818" s="1783"/>
      <c r="BF818" s="1783"/>
      <c r="BG818" s="1783"/>
      <c r="BH818" s="1783"/>
      <c r="BI818" s="1783"/>
    </row>
    <row r="819" spans="1:61">
      <c r="A819" s="1819"/>
      <c r="B819" s="1818"/>
      <c r="C819" s="1818"/>
      <c r="D819" s="1818"/>
      <c r="E819" s="1818"/>
      <c r="F819" s="1818"/>
      <c r="G819" s="1818"/>
      <c r="H819" s="1783"/>
      <c r="I819" s="1783"/>
      <c r="J819" s="1783"/>
      <c r="K819" s="1783"/>
      <c r="L819" s="1783"/>
      <c r="M819" s="1783"/>
      <c r="N819" s="1783"/>
      <c r="O819" s="1783"/>
      <c r="P819" s="1783"/>
      <c r="Q819" s="1783"/>
      <c r="R819" s="1783"/>
      <c r="S819" s="1783"/>
      <c r="T819" s="1783"/>
      <c r="U819" s="1783"/>
      <c r="V819" s="1783"/>
      <c r="W819" s="1783"/>
      <c r="X819" s="1783"/>
      <c r="Y819" s="1783"/>
      <c r="Z819" s="1783"/>
      <c r="AA819" s="1783"/>
      <c r="AB819" s="1783"/>
      <c r="AC819" s="1783"/>
      <c r="AD819" s="1783"/>
      <c r="AE819" s="1783"/>
      <c r="AF819" s="1783"/>
      <c r="AG819" s="1783"/>
      <c r="AH819" s="1783"/>
      <c r="AI819" s="1783"/>
      <c r="AJ819" s="1783"/>
      <c r="AK819" s="1783"/>
      <c r="AL819" s="1783"/>
      <c r="AM819" s="1783"/>
      <c r="AN819" s="1783"/>
      <c r="AO819" s="1783"/>
      <c r="AP819" s="1783"/>
      <c r="AQ819" s="1783"/>
      <c r="AR819" s="1783"/>
      <c r="AS819" s="1783"/>
      <c r="AT819" s="1783"/>
      <c r="AU819" s="1783"/>
      <c r="AV819" s="1783"/>
      <c r="AW819" s="1783"/>
      <c r="AX819" s="1783"/>
      <c r="AY819" s="1783"/>
      <c r="AZ819" s="1783"/>
      <c r="BA819" s="1783"/>
      <c r="BB819" s="1783"/>
      <c r="BC819" s="1783"/>
      <c r="BD819" s="1783"/>
      <c r="BE819" s="1783"/>
      <c r="BF819" s="1783"/>
      <c r="BG819" s="1783"/>
      <c r="BH819" s="1783"/>
      <c r="BI819" s="1783"/>
    </row>
    <row r="820" spans="1:61">
      <c r="A820" s="1819"/>
      <c r="B820" s="1818"/>
      <c r="C820" s="1818"/>
      <c r="D820" s="1818"/>
      <c r="E820" s="1818"/>
      <c r="F820" s="1818"/>
      <c r="G820" s="1818"/>
      <c r="H820" s="1783"/>
      <c r="I820" s="1783"/>
      <c r="J820" s="1783"/>
      <c r="K820" s="1783"/>
      <c r="L820" s="1783"/>
      <c r="M820" s="1783"/>
      <c r="N820" s="1783"/>
      <c r="O820" s="1783"/>
      <c r="P820" s="1783"/>
      <c r="Q820" s="1783"/>
      <c r="R820" s="1783"/>
      <c r="S820" s="1783"/>
      <c r="T820" s="1783"/>
      <c r="U820" s="1783"/>
      <c r="V820" s="1783"/>
      <c r="W820" s="1783"/>
      <c r="X820" s="1783"/>
      <c r="Y820" s="1783"/>
      <c r="Z820" s="1783"/>
      <c r="AA820" s="1783"/>
      <c r="AB820" s="1783"/>
      <c r="AC820" s="1783"/>
      <c r="AD820" s="1783"/>
      <c r="AE820" s="1783"/>
      <c r="AF820" s="1783"/>
      <c r="AG820" s="1783"/>
      <c r="AH820" s="1783"/>
      <c r="AI820" s="1783"/>
      <c r="AJ820" s="1783"/>
      <c r="AK820" s="1783"/>
      <c r="AL820" s="1783"/>
      <c r="AM820" s="1783"/>
      <c r="AN820" s="1783"/>
      <c r="AO820" s="1783"/>
      <c r="AP820" s="1783"/>
      <c r="AQ820" s="1783"/>
      <c r="AR820" s="1783"/>
      <c r="AS820" s="1783"/>
      <c r="AT820" s="1783"/>
      <c r="AU820" s="1783"/>
      <c r="AV820" s="1783"/>
      <c r="AW820" s="1783"/>
      <c r="AX820" s="1783"/>
      <c r="AY820" s="1783"/>
      <c r="AZ820" s="1783"/>
      <c r="BA820" s="1783"/>
      <c r="BB820" s="1783"/>
      <c r="BC820" s="1783"/>
      <c r="BD820" s="1783"/>
      <c r="BE820" s="1783"/>
      <c r="BF820" s="1783"/>
      <c r="BG820" s="1783"/>
      <c r="BH820" s="1783"/>
      <c r="BI820" s="1783"/>
    </row>
    <row r="821" spans="1:61">
      <c r="A821" s="1819"/>
      <c r="B821" s="1818"/>
      <c r="C821" s="1818"/>
      <c r="D821" s="1818"/>
      <c r="E821" s="1818"/>
      <c r="F821" s="1818"/>
      <c r="G821" s="1818"/>
      <c r="H821" s="1783"/>
      <c r="I821" s="1783"/>
      <c r="J821" s="1783"/>
      <c r="K821" s="1783"/>
      <c r="L821" s="1783"/>
      <c r="M821" s="1783"/>
      <c r="N821" s="1783"/>
      <c r="O821" s="1783"/>
      <c r="P821" s="1783"/>
      <c r="Q821" s="1783"/>
      <c r="R821" s="1783"/>
      <c r="S821" s="1783"/>
      <c r="T821" s="1783"/>
      <c r="U821" s="1783"/>
      <c r="V821" s="1783"/>
      <c r="W821" s="1783"/>
      <c r="X821" s="1783"/>
      <c r="Y821" s="1783"/>
      <c r="Z821" s="1783"/>
      <c r="AA821" s="1783"/>
      <c r="AB821" s="1783"/>
      <c r="AC821" s="1783"/>
      <c r="AD821" s="1783"/>
      <c r="AE821" s="1783"/>
      <c r="AF821" s="1783"/>
      <c r="AG821" s="1783"/>
      <c r="AH821" s="1783"/>
      <c r="AI821" s="1783"/>
      <c r="AJ821" s="1783"/>
      <c r="AK821" s="1783"/>
      <c r="AL821" s="1783"/>
      <c r="AM821" s="1783"/>
      <c r="AN821" s="1783"/>
      <c r="AO821" s="1783"/>
      <c r="AP821" s="1783"/>
      <c r="AQ821" s="1783"/>
      <c r="AR821" s="1783"/>
      <c r="AS821" s="1783"/>
      <c r="AT821" s="1783"/>
      <c r="AU821" s="1783"/>
      <c r="AV821" s="1783"/>
      <c r="AW821" s="1783"/>
      <c r="AX821" s="1783"/>
      <c r="AY821" s="1783"/>
      <c r="AZ821" s="1783"/>
      <c r="BA821" s="1783"/>
      <c r="BB821" s="1783"/>
      <c r="BC821" s="1783"/>
      <c r="BD821" s="1783"/>
      <c r="BE821" s="1783"/>
      <c r="BF821" s="1783"/>
      <c r="BG821" s="1783"/>
      <c r="BH821" s="1783"/>
      <c r="BI821" s="1783"/>
    </row>
    <row r="822" spans="1:61">
      <c r="A822" s="1819"/>
      <c r="B822" s="1818"/>
      <c r="C822" s="1818"/>
      <c r="D822" s="1818"/>
      <c r="E822" s="1818"/>
      <c r="F822" s="1818"/>
      <c r="G822" s="1818"/>
      <c r="H822" s="1783"/>
      <c r="I822" s="1783"/>
      <c r="J822" s="1783"/>
      <c r="K822" s="1783"/>
      <c r="L822" s="1783"/>
      <c r="M822" s="1783"/>
      <c r="N822" s="1783"/>
      <c r="O822" s="1783"/>
      <c r="P822" s="1783"/>
      <c r="Q822" s="1783"/>
      <c r="R822" s="1783"/>
      <c r="S822" s="1783"/>
      <c r="T822" s="1783"/>
      <c r="U822" s="1783"/>
      <c r="V822" s="1783"/>
      <c r="W822" s="1783"/>
      <c r="X822" s="1783"/>
      <c r="Y822" s="1783"/>
      <c r="Z822" s="1783"/>
      <c r="AA822" s="1783"/>
      <c r="AB822" s="1783"/>
      <c r="AC822" s="1783"/>
      <c r="AD822" s="1783"/>
      <c r="AE822" s="1783"/>
      <c r="AF822" s="1783"/>
      <c r="AG822" s="1783"/>
      <c r="AH822" s="1783"/>
      <c r="AI822" s="1783"/>
      <c r="AJ822" s="1783"/>
      <c r="AK822" s="1783"/>
      <c r="AL822" s="1783"/>
      <c r="AM822" s="1783"/>
      <c r="AN822" s="1783"/>
      <c r="AO822" s="1783"/>
      <c r="AP822" s="1783"/>
      <c r="AQ822" s="1783"/>
      <c r="AR822" s="1783"/>
      <c r="AS822" s="1783"/>
      <c r="AT822" s="1783"/>
      <c r="AU822" s="1783"/>
      <c r="AV822" s="1783"/>
      <c r="AW822" s="1783"/>
      <c r="AX822" s="1783"/>
      <c r="AY822" s="1783"/>
      <c r="AZ822" s="1783"/>
      <c r="BA822" s="1783"/>
      <c r="BB822" s="1783"/>
      <c r="BC822" s="1783"/>
      <c r="BD822" s="1783"/>
      <c r="BE822" s="1783"/>
      <c r="BF822" s="1783"/>
      <c r="BG822" s="1783"/>
      <c r="BH822" s="1783"/>
      <c r="BI822" s="1783"/>
    </row>
    <row r="823" spans="1:61">
      <c r="A823" s="1819"/>
      <c r="B823" s="1818"/>
      <c r="C823" s="1818"/>
      <c r="D823" s="1818"/>
      <c r="E823" s="1818"/>
      <c r="F823" s="1818"/>
      <c r="G823" s="1818"/>
      <c r="H823" s="1783"/>
      <c r="I823" s="1783"/>
      <c r="J823" s="1783"/>
      <c r="K823" s="1783"/>
      <c r="L823" s="1783"/>
      <c r="M823" s="1783"/>
      <c r="N823" s="1783"/>
      <c r="O823" s="1783"/>
      <c r="P823" s="1783"/>
      <c r="Q823" s="1783"/>
      <c r="R823" s="1783"/>
      <c r="S823" s="1783"/>
      <c r="T823" s="1783"/>
      <c r="U823" s="1783"/>
      <c r="V823" s="1783"/>
      <c r="W823" s="1783"/>
      <c r="X823" s="1783"/>
      <c r="Y823" s="1783"/>
      <c r="Z823" s="1783"/>
      <c r="AA823" s="1783"/>
      <c r="AB823" s="1783"/>
      <c r="AC823" s="1783"/>
      <c r="AD823" s="1783"/>
      <c r="AE823" s="1783"/>
      <c r="AF823" s="1783"/>
      <c r="AG823" s="1783"/>
      <c r="AH823" s="1783"/>
      <c r="AI823" s="1783"/>
      <c r="AJ823" s="1783"/>
      <c r="AK823" s="1783"/>
      <c r="AL823" s="1783"/>
      <c r="AM823" s="1783"/>
      <c r="AN823" s="1783"/>
      <c r="AO823" s="1783"/>
      <c r="AP823" s="1783"/>
      <c r="AQ823" s="1783"/>
      <c r="AR823" s="1783"/>
      <c r="AS823" s="1783"/>
      <c r="AT823" s="1783"/>
      <c r="AU823" s="1783"/>
      <c r="AV823" s="1783"/>
      <c r="AW823" s="1783"/>
      <c r="AX823" s="1783"/>
      <c r="AY823" s="1783"/>
      <c r="AZ823" s="1783"/>
      <c r="BA823" s="1783"/>
      <c r="BB823" s="1783"/>
      <c r="BC823" s="1783"/>
      <c r="BD823" s="1783"/>
      <c r="BE823" s="1783"/>
      <c r="BF823" s="1783"/>
      <c r="BG823" s="1783"/>
      <c r="BH823" s="1783"/>
      <c r="BI823" s="1783"/>
    </row>
    <row r="824" spans="1:61">
      <c r="A824" s="1819"/>
      <c r="B824" s="1818"/>
      <c r="C824" s="1818"/>
      <c r="D824" s="1818"/>
      <c r="E824" s="1818"/>
      <c r="F824" s="1818"/>
      <c r="G824" s="1818"/>
      <c r="H824" s="1783"/>
      <c r="I824" s="1783"/>
      <c r="J824" s="1783"/>
      <c r="K824" s="1783"/>
      <c r="L824" s="1783"/>
      <c r="M824" s="1783"/>
      <c r="N824" s="1783"/>
      <c r="O824" s="1783"/>
      <c r="P824" s="1783"/>
      <c r="Q824" s="1783"/>
      <c r="R824" s="1783"/>
      <c r="S824" s="1783"/>
      <c r="T824" s="1783"/>
      <c r="U824" s="1783"/>
      <c r="V824" s="1783"/>
      <c r="W824" s="1783"/>
      <c r="X824" s="1783"/>
      <c r="Y824" s="1783"/>
      <c r="Z824" s="1783"/>
      <c r="AA824" s="1783"/>
      <c r="AB824" s="1783"/>
      <c r="AC824" s="1783"/>
      <c r="AD824" s="1783"/>
      <c r="AE824" s="1783"/>
      <c r="AF824" s="1783"/>
      <c r="AG824" s="1783"/>
      <c r="AH824" s="1783"/>
      <c r="AI824" s="1783"/>
      <c r="AJ824" s="1783"/>
      <c r="AK824" s="1783"/>
      <c r="AL824" s="1783"/>
      <c r="AM824" s="1783"/>
      <c r="AN824" s="1783"/>
      <c r="AO824" s="1783"/>
      <c r="AP824" s="1783"/>
      <c r="AQ824" s="1783"/>
      <c r="AR824" s="1783"/>
      <c r="AS824" s="1783"/>
      <c r="AT824" s="1783"/>
      <c r="AU824" s="1783"/>
      <c r="AV824" s="1783"/>
      <c r="AW824" s="1783"/>
      <c r="AX824" s="1783"/>
      <c r="AY824" s="1783"/>
      <c r="AZ824" s="1783"/>
      <c r="BA824" s="1783"/>
      <c r="BB824" s="1783"/>
      <c r="BC824" s="1783"/>
      <c r="BD824" s="1783"/>
      <c r="BE824" s="1783"/>
      <c r="BF824" s="1783"/>
      <c r="BG824" s="1783"/>
      <c r="BH824" s="1783"/>
      <c r="BI824" s="1783"/>
    </row>
    <row r="825" spans="1:61">
      <c r="A825" s="1819"/>
      <c r="B825" s="1818"/>
      <c r="C825" s="1818"/>
      <c r="D825" s="1818"/>
      <c r="E825" s="1818"/>
      <c r="F825" s="1818"/>
      <c r="G825" s="1818"/>
      <c r="H825" s="1783"/>
      <c r="I825" s="1783"/>
      <c r="J825" s="1783"/>
      <c r="K825" s="1783"/>
      <c r="L825" s="1783"/>
      <c r="M825" s="1783"/>
      <c r="N825" s="1783"/>
      <c r="O825" s="1783"/>
      <c r="P825" s="1783"/>
      <c r="Q825" s="1783"/>
      <c r="R825" s="1783"/>
      <c r="S825" s="1783"/>
      <c r="T825" s="1783"/>
      <c r="U825" s="1783"/>
      <c r="V825" s="1783"/>
      <c r="W825" s="1783"/>
      <c r="X825" s="1783"/>
      <c r="Y825" s="1783"/>
      <c r="Z825" s="1783"/>
      <c r="AA825" s="1783"/>
      <c r="AB825" s="1783"/>
      <c r="AC825" s="1783"/>
      <c r="AD825" s="1783"/>
      <c r="AE825" s="1783"/>
      <c r="AF825" s="1783"/>
      <c r="AG825" s="1783"/>
      <c r="AH825" s="1783"/>
      <c r="AI825" s="1783"/>
      <c r="AJ825" s="1783"/>
      <c r="AK825" s="1783"/>
      <c r="AL825" s="1783"/>
      <c r="AM825" s="1783"/>
      <c r="AN825" s="1783"/>
      <c r="AO825" s="1783"/>
      <c r="AP825" s="1783"/>
      <c r="AQ825" s="1783"/>
      <c r="AR825" s="1783"/>
      <c r="AS825" s="1783"/>
      <c r="AT825" s="1783"/>
      <c r="AU825" s="1783"/>
      <c r="AV825" s="1783"/>
      <c r="AW825" s="1783"/>
      <c r="AX825" s="1783"/>
      <c r="AY825" s="1783"/>
      <c r="AZ825" s="1783"/>
      <c r="BA825" s="1783"/>
      <c r="BB825" s="1783"/>
      <c r="BC825" s="1783"/>
      <c r="BD825" s="1783"/>
      <c r="BE825" s="1783"/>
      <c r="BF825" s="1783"/>
      <c r="BG825" s="1783"/>
      <c r="BH825" s="1783"/>
      <c r="BI825" s="1783"/>
    </row>
    <row r="826" spans="1:61">
      <c r="A826" s="1819"/>
      <c r="B826" s="1818"/>
      <c r="C826" s="1818"/>
      <c r="D826" s="1818"/>
      <c r="E826" s="1818"/>
      <c r="F826" s="1818"/>
      <c r="G826" s="1818"/>
      <c r="H826" s="1783"/>
      <c r="I826" s="1783"/>
      <c r="J826" s="1783"/>
      <c r="K826" s="1783"/>
      <c r="L826" s="1783"/>
      <c r="M826" s="1783"/>
      <c r="N826" s="1783"/>
      <c r="O826" s="1783"/>
      <c r="P826" s="1783"/>
      <c r="Q826" s="1783"/>
      <c r="R826" s="1783"/>
      <c r="S826" s="1783"/>
      <c r="T826" s="1783"/>
      <c r="U826" s="1783"/>
      <c r="V826" s="1783"/>
      <c r="W826" s="1783"/>
      <c r="X826" s="1783"/>
      <c r="Y826" s="1783"/>
      <c r="Z826" s="1783"/>
      <c r="AA826" s="1783"/>
      <c r="AB826" s="1783"/>
      <c r="AC826" s="1783"/>
      <c r="AD826" s="1783"/>
      <c r="AE826" s="1783"/>
      <c r="AF826" s="1783"/>
      <c r="AG826" s="1783"/>
      <c r="AH826" s="1783"/>
      <c r="AI826" s="1783"/>
      <c r="AJ826" s="1783"/>
      <c r="AK826" s="1783"/>
      <c r="AL826" s="1783"/>
      <c r="AM826" s="1783"/>
      <c r="AN826" s="1783"/>
      <c r="AO826" s="1783"/>
      <c r="AP826" s="1783"/>
      <c r="AQ826" s="1783"/>
      <c r="AR826" s="1783"/>
      <c r="AS826" s="1783"/>
      <c r="AT826" s="1783"/>
      <c r="AU826" s="1783"/>
      <c r="AV826" s="1783"/>
      <c r="AW826" s="1783"/>
      <c r="AX826" s="1783"/>
      <c r="AY826" s="1783"/>
      <c r="AZ826" s="1783"/>
      <c r="BA826" s="1783"/>
      <c r="BB826" s="1783"/>
      <c r="BC826" s="1783"/>
      <c r="BD826" s="1783"/>
      <c r="BE826" s="1783"/>
      <c r="BF826" s="1783"/>
      <c r="BG826" s="1783"/>
      <c r="BH826" s="1783"/>
      <c r="BI826" s="1783"/>
    </row>
    <row r="827" spans="1:61">
      <c r="A827" s="1819"/>
      <c r="B827" s="1818"/>
      <c r="C827" s="1818"/>
      <c r="D827" s="1818"/>
      <c r="E827" s="1818"/>
      <c r="F827" s="1818"/>
      <c r="G827" s="1818"/>
      <c r="H827" s="1783"/>
      <c r="I827" s="1783"/>
      <c r="J827" s="1783"/>
      <c r="K827" s="1783"/>
      <c r="L827" s="1783"/>
      <c r="M827" s="1783"/>
      <c r="N827" s="1783"/>
      <c r="O827" s="1783"/>
      <c r="P827" s="1783"/>
      <c r="Q827" s="1783"/>
      <c r="R827" s="1783"/>
      <c r="S827" s="1783"/>
      <c r="T827" s="1783"/>
      <c r="U827" s="1783"/>
      <c r="V827" s="1783"/>
      <c r="W827" s="1783"/>
      <c r="X827" s="1783"/>
      <c r="Y827" s="1783"/>
      <c r="Z827" s="1783"/>
      <c r="AA827" s="1783"/>
      <c r="AB827" s="1783"/>
      <c r="AC827" s="1783"/>
      <c r="AD827" s="1783"/>
      <c r="AE827" s="1783"/>
      <c r="AF827" s="1783"/>
      <c r="AG827" s="1783"/>
      <c r="AH827" s="1783"/>
      <c r="AI827" s="1783"/>
      <c r="AJ827" s="1783"/>
      <c r="AK827" s="1783"/>
      <c r="AL827" s="1783"/>
      <c r="AM827" s="1783"/>
      <c r="AN827" s="1783"/>
      <c r="AO827" s="1783"/>
      <c r="AP827" s="1783"/>
      <c r="AQ827" s="1783"/>
      <c r="AR827" s="1783"/>
      <c r="AS827" s="1783"/>
      <c r="AT827" s="1783"/>
      <c r="AU827" s="1783"/>
      <c r="AV827" s="1783"/>
      <c r="AW827" s="1783"/>
      <c r="AX827" s="1783"/>
      <c r="AY827" s="1783"/>
      <c r="AZ827" s="1783"/>
      <c r="BA827" s="1783"/>
      <c r="BB827" s="1783"/>
      <c r="BC827" s="1783"/>
      <c r="BD827" s="1783"/>
      <c r="BE827" s="1783"/>
      <c r="BF827" s="1783"/>
      <c r="BG827" s="1783"/>
      <c r="BH827" s="1783"/>
      <c r="BI827" s="1783"/>
    </row>
    <row r="828" spans="1:61">
      <c r="A828" s="1819"/>
      <c r="B828" s="1818"/>
      <c r="C828" s="1818"/>
      <c r="D828" s="1818"/>
      <c r="E828" s="1818"/>
      <c r="F828" s="1818"/>
      <c r="G828" s="1818"/>
      <c r="H828" s="1783"/>
      <c r="I828" s="1783"/>
      <c r="J828" s="1783"/>
      <c r="K828" s="1783"/>
      <c r="L828" s="1783"/>
      <c r="M828" s="1783"/>
      <c r="N828" s="1783"/>
      <c r="O828" s="1783"/>
      <c r="P828" s="1783"/>
      <c r="Q828" s="1783"/>
      <c r="R828" s="1783"/>
      <c r="S828" s="1783"/>
      <c r="T828" s="1783"/>
      <c r="U828" s="1783"/>
      <c r="V828" s="1783"/>
      <c r="W828" s="1783"/>
      <c r="X828" s="1783"/>
      <c r="Y828" s="1783"/>
      <c r="Z828" s="1783"/>
      <c r="AA828" s="1783"/>
      <c r="AB828" s="1783"/>
      <c r="AC828" s="1783"/>
      <c r="AD828" s="1783"/>
      <c r="AE828" s="1783"/>
      <c r="AF828" s="1783"/>
      <c r="AG828" s="1783"/>
      <c r="AH828" s="1783"/>
      <c r="AI828" s="1783"/>
      <c r="AJ828" s="1783"/>
      <c r="AK828" s="1783"/>
      <c r="AL828" s="1783"/>
      <c r="AM828" s="1783"/>
      <c r="AN828" s="1783"/>
      <c r="AO828" s="1783"/>
      <c r="AP828" s="1783"/>
      <c r="AQ828" s="1783"/>
      <c r="AR828" s="1783"/>
      <c r="AS828" s="1783"/>
      <c r="AT828" s="1783"/>
      <c r="AU828" s="1783"/>
      <c r="AV828" s="1783"/>
      <c r="AW828" s="1783"/>
      <c r="AX828" s="1783"/>
      <c r="AY828" s="1783"/>
      <c r="AZ828" s="1783"/>
      <c r="BA828" s="1783"/>
      <c r="BB828" s="1783"/>
      <c r="BC828" s="1783"/>
      <c r="BD828" s="1783"/>
      <c r="BE828" s="1783"/>
      <c r="BF828" s="1783"/>
      <c r="BG828" s="1783"/>
      <c r="BH828" s="1783"/>
      <c r="BI828" s="1783"/>
    </row>
    <row r="829" spans="1:61">
      <c r="A829" s="1819"/>
      <c r="B829" s="1818"/>
      <c r="C829" s="1818"/>
      <c r="D829" s="1818"/>
      <c r="E829" s="1818"/>
      <c r="F829" s="1818"/>
      <c r="G829" s="1818"/>
      <c r="H829" s="1783"/>
      <c r="I829" s="1783"/>
      <c r="J829" s="1783"/>
      <c r="K829" s="1783"/>
      <c r="L829" s="1783"/>
      <c r="M829" s="1783"/>
      <c r="N829" s="1783"/>
      <c r="O829" s="1783"/>
      <c r="P829" s="1783"/>
      <c r="Q829" s="1783"/>
      <c r="R829" s="1783"/>
      <c r="S829" s="1783"/>
      <c r="T829" s="1783"/>
      <c r="U829" s="1783"/>
      <c r="V829" s="1783"/>
      <c r="W829" s="1783"/>
      <c r="X829" s="1783"/>
      <c r="Y829" s="1783"/>
      <c r="Z829" s="1783"/>
      <c r="AA829" s="1783"/>
      <c r="AB829" s="1783"/>
      <c r="AC829" s="1783"/>
      <c r="AD829" s="1783"/>
      <c r="AE829" s="1783"/>
      <c r="AF829" s="1783"/>
      <c r="AG829" s="1783"/>
      <c r="AH829" s="1783"/>
      <c r="AI829" s="1783"/>
      <c r="AJ829" s="1783"/>
      <c r="AK829" s="1783"/>
      <c r="AL829" s="1783"/>
      <c r="AM829" s="1783"/>
      <c r="AN829" s="1783"/>
      <c r="AO829" s="1783"/>
      <c r="AP829" s="1783"/>
      <c r="AQ829" s="1783"/>
      <c r="AR829" s="1783"/>
      <c r="AS829" s="1783"/>
      <c r="AT829" s="1783"/>
      <c r="AU829" s="1783"/>
      <c r="AV829" s="1783"/>
      <c r="AW829" s="1783"/>
      <c r="AX829" s="1783"/>
      <c r="AY829" s="1783"/>
      <c r="AZ829" s="1783"/>
      <c r="BA829" s="1783"/>
      <c r="BB829" s="1783"/>
      <c r="BC829" s="1783"/>
      <c r="BD829" s="1783"/>
      <c r="BE829" s="1783"/>
      <c r="BF829" s="1783"/>
      <c r="BG829" s="1783"/>
      <c r="BH829" s="1783"/>
      <c r="BI829" s="1783"/>
    </row>
    <row r="830" spans="1:61">
      <c r="A830" s="1819"/>
      <c r="B830" s="1818"/>
      <c r="C830" s="1818"/>
      <c r="D830" s="1818"/>
      <c r="E830" s="1818"/>
      <c r="F830" s="1818"/>
      <c r="G830" s="1818"/>
      <c r="H830" s="1783"/>
      <c r="I830" s="1783"/>
      <c r="J830" s="1783"/>
      <c r="K830" s="1783"/>
      <c r="L830" s="1783"/>
      <c r="M830" s="1783"/>
      <c r="N830" s="1783"/>
      <c r="O830" s="1783"/>
      <c r="P830" s="1783"/>
      <c r="Q830" s="1783"/>
      <c r="R830" s="1783"/>
      <c r="S830" s="1783"/>
      <c r="T830" s="1783"/>
      <c r="U830" s="1783"/>
      <c r="V830" s="1783"/>
      <c r="W830" s="1783"/>
      <c r="X830" s="1783"/>
      <c r="Y830" s="1783"/>
      <c r="Z830" s="1783"/>
      <c r="AA830" s="1783"/>
      <c r="AB830" s="1783"/>
      <c r="AC830" s="1783"/>
      <c r="AD830" s="1783"/>
      <c r="AE830" s="1783"/>
      <c r="AF830" s="1783"/>
      <c r="AG830" s="1783"/>
      <c r="AH830" s="1783"/>
      <c r="AI830" s="1783"/>
      <c r="AJ830" s="1783"/>
      <c r="AK830" s="1783"/>
      <c r="AL830" s="1783"/>
      <c r="AM830" s="1783"/>
      <c r="AN830" s="1783"/>
      <c r="AO830" s="1783"/>
      <c r="AP830" s="1783"/>
      <c r="AQ830" s="1783"/>
      <c r="AR830" s="1783"/>
      <c r="AS830" s="1783"/>
      <c r="AT830" s="1783"/>
      <c r="AU830" s="1783"/>
      <c r="AV830" s="1783"/>
      <c r="AW830" s="1783"/>
      <c r="AX830" s="1783"/>
      <c r="AY830" s="1783"/>
      <c r="AZ830" s="1783"/>
      <c r="BA830" s="1783"/>
      <c r="BB830" s="1783"/>
      <c r="BC830" s="1783"/>
      <c r="BD830" s="1783"/>
      <c r="BE830" s="1783"/>
      <c r="BF830" s="1783"/>
      <c r="BG830" s="1783"/>
      <c r="BH830" s="1783"/>
      <c r="BI830" s="1783"/>
    </row>
    <row r="831" spans="1:61">
      <c r="A831" s="1819"/>
      <c r="B831" s="1818"/>
      <c r="C831" s="1818"/>
      <c r="D831" s="1818"/>
      <c r="E831" s="1818"/>
      <c r="F831" s="1818"/>
      <c r="G831" s="1818"/>
      <c r="H831" s="1783"/>
      <c r="I831" s="1783"/>
      <c r="J831" s="1783"/>
      <c r="K831" s="1783"/>
      <c r="L831" s="1783"/>
      <c r="M831" s="1783"/>
      <c r="N831" s="1783"/>
      <c r="O831" s="1783"/>
      <c r="P831" s="1783"/>
      <c r="Q831" s="1783"/>
      <c r="R831" s="1783"/>
      <c r="S831" s="1783"/>
      <c r="T831" s="1783"/>
      <c r="U831" s="1783"/>
      <c r="V831" s="1783"/>
      <c r="W831" s="1783"/>
      <c r="X831" s="1783"/>
      <c r="Y831" s="1783"/>
      <c r="Z831" s="1783"/>
      <c r="AA831" s="1783"/>
      <c r="AB831" s="1783"/>
      <c r="AC831" s="1783"/>
      <c r="AD831" s="1783"/>
      <c r="AE831" s="1783"/>
      <c r="AF831" s="1783"/>
      <c r="AG831" s="1783"/>
      <c r="AH831" s="1783"/>
      <c r="AI831" s="1783"/>
      <c r="AJ831" s="1783"/>
      <c r="AK831" s="1783"/>
      <c r="AL831" s="1783"/>
      <c r="AM831" s="1783"/>
      <c r="AN831" s="1783"/>
      <c r="AO831" s="1783"/>
      <c r="AP831" s="1783"/>
      <c r="AQ831" s="1783"/>
      <c r="AR831" s="1783"/>
      <c r="AS831" s="1783"/>
      <c r="AT831" s="1783"/>
      <c r="AU831" s="1783"/>
      <c r="AV831" s="1783"/>
      <c r="AW831" s="1783"/>
      <c r="AX831" s="1783"/>
      <c r="AY831" s="1783"/>
      <c r="AZ831" s="1783"/>
      <c r="BA831" s="1783"/>
      <c r="BB831" s="1783"/>
      <c r="BC831" s="1783"/>
      <c r="BD831" s="1783"/>
      <c r="BE831" s="1783"/>
      <c r="BF831" s="1783"/>
      <c r="BG831" s="1783"/>
      <c r="BH831" s="1783"/>
      <c r="BI831" s="1783"/>
    </row>
    <row r="832" spans="1:61">
      <c r="A832" s="1819"/>
      <c r="B832" s="1818"/>
      <c r="C832" s="1818"/>
      <c r="D832" s="1818"/>
      <c r="E832" s="1818"/>
      <c r="F832" s="1818"/>
      <c r="G832" s="1818"/>
      <c r="H832" s="1783"/>
      <c r="I832" s="1783"/>
      <c r="J832" s="1783"/>
      <c r="K832" s="1783"/>
      <c r="L832" s="1783"/>
      <c r="M832" s="1783"/>
      <c r="N832" s="1783"/>
      <c r="O832" s="1783"/>
      <c r="P832" s="1783"/>
      <c r="Q832" s="1783"/>
      <c r="R832" s="1783"/>
      <c r="S832" s="1783"/>
      <c r="T832" s="1783"/>
      <c r="U832" s="1783"/>
      <c r="V832" s="1783"/>
      <c r="W832" s="1783"/>
      <c r="X832" s="1783"/>
      <c r="Y832" s="1783"/>
      <c r="Z832" s="1783"/>
      <c r="AA832" s="1783"/>
      <c r="AB832" s="1783"/>
      <c r="AC832" s="1783"/>
      <c r="AD832" s="1783"/>
      <c r="AE832" s="1783"/>
      <c r="AF832" s="1783"/>
      <c r="AG832" s="1783"/>
      <c r="AH832" s="1783"/>
      <c r="AI832" s="1783"/>
      <c r="AJ832" s="1783"/>
      <c r="AK832" s="1783"/>
      <c r="AL832" s="1783"/>
      <c r="AM832" s="1783"/>
      <c r="AN832" s="1783"/>
      <c r="AO832" s="1783"/>
      <c r="AP832" s="1783"/>
      <c r="AQ832" s="1783"/>
      <c r="AR832" s="1783"/>
      <c r="AS832" s="1783"/>
      <c r="AT832" s="1783"/>
      <c r="AU832" s="1783"/>
      <c r="AV832" s="1783"/>
      <c r="AW832" s="1783"/>
      <c r="AX832" s="1783"/>
      <c r="AY832" s="1783"/>
      <c r="AZ832" s="1783"/>
      <c r="BA832" s="1783"/>
      <c r="BB832" s="1783"/>
      <c r="BC832" s="1783"/>
      <c r="BD832" s="1783"/>
      <c r="BE832" s="1783"/>
      <c r="BF832" s="1783"/>
      <c r="BG832" s="1783"/>
      <c r="BH832" s="1783"/>
      <c r="BI832" s="1783"/>
    </row>
    <row r="833" spans="1:61">
      <c r="A833" s="1819"/>
      <c r="B833" s="1818"/>
      <c r="C833" s="1818"/>
      <c r="D833" s="1818"/>
      <c r="E833" s="1818"/>
      <c r="F833" s="1818"/>
      <c r="G833" s="1818"/>
      <c r="H833" s="1783"/>
      <c r="I833" s="1783"/>
      <c r="J833" s="1783"/>
      <c r="K833" s="1783"/>
      <c r="L833" s="1783"/>
      <c r="M833" s="1783"/>
      <c r="N833" s="1783"/>
      <c r="O833" s="1783"/>
      <c r="P833" s="1783"/>
      <c r="Q833" s="1783"/>
      <c r="R833" s="1783"/>
      <c r="S833" s="1783"/>
      <c r="T833" s="1783"/>
      <c r="U833" s="1783"/>
      <c r="V833" s="1783"/>
      <c r="W833" s="1783"/>
      <c r="X833" s="1783"/>
      <c r="Y833" s="1783"/>
      <c r="Z833" s="1783"/>
      <c r="AA833" s="1783"/>
      <c r="AB833" s="1783"/>
      <c r="AC833" s="1783"/>
      <c r="AD833" s="1783"/>
      <c r="AE833" s="1783"/>
      <c r="AF833" s="1783"/>
      <c r="AG833" s="1783"/>
      <c r="AH833" s="1783"/>
      <c r="AI833" s="1783"/>
      <c r="AJ833" s="1783"/>
      <c r="AK833" s="1783"/>
      <c r="AL833" s="1783"/>
      <c r="AM833" s="1783"/>
      <c r="AN833" s="1783"/>
      <c r="AO833" s="1783"/>
      <c r="AP833" s="1783"/>
      <c r="AQ833" s="1783"/>
      <c r="AR833" s="1783"/>
      <c r="AS833" s="1783"/>
      <c r="AT833" s="1783"/>
      <c r="AU833" s="1783"/>
      <c r="AV833" s="1783"/>
      <c r="AW833" s="1783"/>
      <c r="AX833" s="1783"/>
      <c r="AY833" s="1783"/>
      <c r="AZ833" s="1783"/>
      <c r="BA833" s="1783"/>
      <c r="BB833" s="1783"/>
      <c r="BC833" s="1783"/>
      <c r="BD833" s="1783"/>
      <c r="BE833" s="1783"/>
      <c r="BF833" s="1783"/>
      <c r="BG833" s="1783"/>
      <c r="BH833" s="1783"/>
      <c r="BI833" s="1783"/>
    </row>
    <row r="834" spans="1:61">
      <c r="A834" s="1819"/>
      <c r="B834" s="1818"/>
      <c r="C834" s="1818"/>
      <c r="D834" s="1818"/>
      <c r="E834" s="1818"/>
      <c r="F834" s="1818"/>
      <c r="G834" s="1818"/>
      <c r="H834" s="1783"/>
      <c r="I834" s="1783"/>
      <c r="J834" s="1783"/>
      <c r="K834" s="1783"/>
      <c r="L834" s="1783"/>
      <c r="M834" s="1783"/>
      <c r="N834" s="1783"/>
      <c r="O834" s="1783"/>
      <c r="P834" s="1783"/>
      <c r="Q834" s="1783"/>
      <c r="R834" s="1783"/>
      <c r="S834" s="1783"/>
      <c r="T834" s="1783"/>
      <c r="U834" s="1783"/>
      <c r="V834" s="1783"/>
      <c r="W834" s="1783"/>
      <c r="X834" s="1783"/>
      <c r="Y834" s="1783"/>
      <c r="Z834" s="1783"/>
      <c r="AA834" s="1783"/>
      <c r="AB834" s="1783"/>
      <c r="AC834" s="1783"/>
      <c r="AD834" s="1783"/>
      <c r="AE834" s="1783"/>
      <c r="AF834" s="1783"/>
      <c r="AG834" s="1783"/>
      <c r="AH834" s="1783"/>
      <c r="AI834" s="1783"/>
      <c r="AJ834" s="1783"/>
      <c r="AK834" s="1783"/>
      <c r="AL834" s="1783"/>
      <c r="AM834" s="1783"/>
      <c r="AN834" s="1783"/>
      <c r="AO834" s="1783"/>
      <c r="AP834" s="1783"/>
      <c r="AQ834" s="1783"/>
      <c r="AR834" s="1783"/>
      <c r="AS834" s="1783"/>
      <c r="AT834" s="1783"/>
      <c r="AU834" s="1783"/>
      <c r="AV834" s="1783"/>
      <c r="AW834" s="1783"/>
      <c r="AX834" s="1783"/>
      <c r="AY834" s="1783"/>
      <c r="AZ834" s="1783"/>
      <c r="BA834" s="1783"/>
      <c r="BB834" s="1783"/>
      <c r="BC834" s="1783"/>
      <c r="BD834" s="1783"/>
      <c r="BE834" s="1783"/>
      <c r="BF834" s="1783"/>
      <c r="BG834" s="1783"/>
      <c r="BH834" s="1783"/>
      <c r="BI834" s="1783"/>
    </row>
    <row r="835" spans="1:61">
      <c r="A835" s="1819"/>
      <c r="B835" s="1818"/>
      <c r="C835" s="1818"/>
      <c r="D835" s="1818"/>
      <c r="E835" s="1818"/>
      <c r="F835" s="1818"/>
      <c r="G835" s="1818"/>
      <c r="H835" s="1783"/>
      <c r="I835" s="1783"/>
      <c r="J835" s="1783"/>
      <c r="K835" s="1783"/>
      <c r="L835" s="1783"/>
      <c r="M835" s="1783"/>
      <c r="N835" s="1783"/>
      <c r="O835" s="1783"/>
      <c r="P835" s="1783"/>
      <c r="Q835" s="1783"/>
      <c r="R835" s="1783"/>
      <c r="S835" s="1783"/>
      <c r="T835" s="1783"/>
      <c r="U835" s="1783"/>
      <c r="V835" s="1783"/>
      <c r="W835" s="1783"/>
      <c r="X835" s="1783"/>
      <c r="Y835" s="1783"/>
      <c r="Z835" s="1783"/>
      <c r="AA835" s="1783"/>
      <c r="AB835" s="1783"/>
      <c r="AC835" s="1783"/>
      <c r="AD835" s="1783"/>
      <c r="AE835" s="1783"/>
      <c r="AF835" s="1783"/>
      <c r="AG835" s="1783"/>
      <c r="AH835" s="1783"/>
      <c r="AI835" s="1783"/>
      <c r="AJ835" s="1783"/>
      <c r="AK835" s="1783"/>
      <c r="AL835" s="1783"/>
      <c r="AM835" s="1783"/>
      <c r="AN835" s="1783"/>
      <c r="AO835" s="1783"/>
      <c r="AP835" s="1783"/>
      <c r="AQ835" s="1783"/>
      <c r="AR835" s="1783"/>
      <c r="AS835" s="1783"/>
      <c r="AT835" s="1783"/>
      <c r="AU835" s="1783"/>
      <c r="AV835" s="1783"/>
      <c r="AW835" s="1783"/>
      <c r="AX835" s="1783"/>
      <c r="AY835" s="1783"/>
      <c r="AZ835" s="1783"/>
      <c r="BA835" s="1783"/>
      <c r="BB835" s="1783"/>
      <c r="BC835" s="1783"/>
      <c r="BD835" s="1783"/>
      <c r="BE835" s="1783"/>
      <c r="BF835" s="1783"/>
      <c r="BG835" s="1783"/>
      <c r="BH835" s="1783"/>
      <c r="BI835" s="1783"/>
    </row>
    <row r="836" spans="1:61">
      <c r="A836" s="1819"/>
      <c r="B836" s="1818"/>
      <c r="C836" s="1818"/>
      <c r="D836" s="1818"/>
      <c r="E836" s="1818"/>
      <c r="F836" s="1818"/>
      <c r="G836" s="1818"/>
      <c r="H836" s="1783"/>
      <c r="I836" s="1783"/>
      <c r="J836" s="1783"/>
      <c r="K836" s="1783"/>
      <c r="L836" s="1783"/>
      <c r="M836" s="1783"/>
      <c r="N836" s="1783"/>
      <c r="O836" s="1783"/>
      <c r="P836" s="1783"/>
      <c r="Q836" s="1783"/>
      <c r="R836" s="1783"/>
      <c r="S836" s="1783"/>
      <c r="T836" s="1783"/>
      <c r="U836" s="1783"/>
      <c r="V836" s="1783"/>
      <c r="W836" s="1783"/>
      <c r="X836" s="1783"/>
      <c r="Y836" s="1783"/>
      <c r="Z836" s="1783"/>
      <c r="AA836" s="1783"/>
      <c r="AB836" s="1783"/>
      <c r="AC836" s="1783"/>
      <c r="AD836" s="1783"/>
      <c r="AE836" s="1783"/>
      <c r="AF836" s="1783"/>
      <c r="AG836" s="1783"/>
      <c r="AH836" s="1783"/>
      <c r="AI836" s="1783"/>
      <c r="AJ836" s="1783"/>
      <c r="AK836" s="1783"/>
      <c r="AL836" s="1783"/>
      <c r="AM836" s="1783"/>
      <c r="AN836" s="1783"/>
      <c r="AO836" s="1783"/>
      <c r="AP836" s="1783"/>
      <c r="AQ836" s="1783"/>
      <c r="AR836" s="1783"/>
      <c r="AS836" s="1783"/>
      <c r="AT836" s="1783"/>
      <c r="AU836" s="1783"/>
      <c r="AV836" s="1783"/>
      <c r="AW836" s="1783"/>
      <c r="AX836" s="1783"/>
      <c r="AY836" s="1783"/>
      <c r="AZ836" s="1783"/>
      <c r="BA836" s="1783"/>
      <c r="BB836" s="1783"/>
      <c r="BC836" s="1783"/>
      <c r="BD836" s="1783"/>
      <c r="BE836" s="1783"/>
      <c r="BF836" s="1783"/>
      <c r="BG836" s="1783"/>
      <c r="BH836" s="1783"/>
      <c r="BI836" s="1783"/>
    </row>
    <row r="837" spans="1:61">
      <c r="A837" s="1819"/>
      <c r="B837" s="1818"/>
      <c r="C837" s="1818"/>
      <c r="D837" s="1818"/>
      <c r="E837" s="1818"/>
      <c r="F837" s="1818"/>
      <c r="G837" s="1818"/>
      <c r="H837" s="1783"/>
      <c r="I837" s="1783"/>
      <c r="J837" s="1783"/>
      <c r="K837" s="1783"/>
      <c r="L837" s="1783"/>
      <c r="M837" s="1783"/>
      <c r="N837" s="1783"/>
      <c r="O837" s="1783"/>
      <c r="P837" s="1783"/>
      <c r="Q837" s="1783"/>
      <c r="R837" s="1783"/>
      <c r="S837" s="1783"/>
      <c r="T837" s="1783"/>
      <c r="U837" s="1783"/>
      <c r="V837" s="1783"/>
      <c r="W837" s="1783"/>
      <c r="X837" s="1783"/>
      <c r="Y837" s="1783"/>
      <c r="Z837" s="1783"/>
      <c r="AA837" s="1783"/>
      <c r="AB837" s="1783"/>
      <c r="AC837" s="1783"/>
      <c r="AD837" s="1783"/>
      <c r="AE837" s="1783"/>
      <c r="AF837" s="1783"/>
      <c r="AG837" s="1783"/>
      <c r="AH837" s="1783"/>
      <c r="AI837" s="1783"/>
      <c r="AJ837" s="1783"/>
      <c r="AK837" s="1783"/>
      <c r="AL837" s="1783"/>
      <c r="AM837" s="1783"/>
      <c r="AN837" s="1783"/>
      <c r="AO837" s="1783"/>
      <c r="AP837" s="1783"/>
      <c r="AQ837" s="1783"/>
      <c r="AR837" s="1783"/>
      <c r="AS837" s="1783"/>
      <c r="AT837" s="1783"/>
      <c r="AU837" s="1783"/>
      <c r="AV837" s="1783"/>
      <c r="AW837" s="1783"/>
      <c r="AX837" s="1783"/>
      <c r="AY837" s="1783"/>
      <c r="AZ837" s="1783"/>
      <c r="BA837" s="1783"/>
      <c r="BB837" s="1783"/>
      <c r="BC837" s="1783"/>
      <c r="BD837" s="1783"/>
      <c r="BE837" s="1783"/>
      <c r="BF837" s="1783"/>
      <c r="BG837" s="1783"/>
      <c r="BH837" s="1783"/>
      <c r="BI837" s="1783"/>
    </row>
    <row r="838" spans="1:61">
      <c r="A838" s="1819"/>
      <c r="B838" s="1818"/>
      <c r="C838" s="1818"/>
      <c r="D838" s="1818"/>
      <c r="E838" s="1818"/>
      <c r="F838" s="1818"/>
      <c r="G838" s="1818"/>
      <c r="H838" s="1783"/>
      <c r="I838" s="1783"/>
      <c r="J838" s="1783"/>
      <c r="K838" s="1783"/>
      <c r="L838" s="1783"/>
      <c r="M838" s="1783"/>
      <c r="N838" s="1783"/>
      <c r="O838" s="1783"/>
      <c r="P838" s="1783"/>
      <c r="Q838" s="1783"/>
      <c r="R838" s="1783"/>
      <c r="S838" s="1783"/>
      <c r="T838" s="1783"/>
      <c r="U838" s="1783"/>
      <c r="V838" s="1783"/>
      <c r="W838" s="1783"/>
      <c r="X838" s="1783"/>
      <c r="Y838" s="1783"/>
      <c r="Z838" s="1783"/>
      <c r="AA838" s="1783"/>
      <c r="AB838" s="1783"/>
      <c r="AC838" s="1783"/>
      <c r="AD838" s="1783"/>
      <c r="AE838" s="1783"/>
      <c r="AF838" s="1783"/>
      <c r="AG838" s="1783"/>
      <c r="AH838" s="1783"/>
      <c r="AI838" s="1783"/>
      <c r="AJ838" s="1783"/>
      <c r="AK838" s="1783"/>
      <c r="AL838" s="1783"/>
      <c r="AM838" s="1783"/>
      <c r="AN838" s="1783"/>
      <c r="AO838" s="1783"/>
      <c r="AP838" s="1783"/>
      <c r="AQ838" s="1783"/>
      <c r="AR838" s="1783"/>
      <c r="AS838" s="1783"/>
      <c r="AT838" s="1783"/>
      <c r="AU838" s="1783"/>
      <c r="AV838" s="1783"/>
      <c r="AW838" s="1783"/>
      <c r="AX838" s="1783"/>
      <c r="AY838" s="1783"/>
      <c r="AZ838" s="1783"/>
      <c r="BA838" s="1783"/>
      <c r="BB838" s="1783"/>
      <c r="BC838" s="1783"/>
      <c r="BD838" s="1783"/>
      <c r="BE838" s="1783"/>
      <c r="BF838" s="1783"/>
      <c r="BG838" s="1783"/>
      <c r="BH838" s="1783"/>
      <c r="BI838" s="1783"/>
    </row>
    <row r="839" spans="1:61">
      <c r="A839" s="1819"/>
      <c r="B839" s="1818"/>
      <c r="C839" s="1818"/>
      <c r="D839" s="1818"/>
      <c r="E839" s="1818"/>
      <c r="F839" s="1818"/>
      <c r="G839" s="1818"/>
      <c r="H839" s="1783"/>
      <c r="I839" s="1783"/>
      <c r="J839" s="1783"/>
      <c r="K839" s="1783"/>
      <c r="L839" s="1783"/>
      <c r="M839" s="1783"/>
      <c r="N839" s="1783"/>
      <c r="O839" s="1783"/>
      <c r="P839" s="1783"/>
      <c r="Q839" s="1783"/>
      <c r="R839" s="1783"/>
      <c r="S839" s="1783"/>
      <c r="T839" s="1783"/>
      <c r="U839" s="1783"/>
      <c r="V839" s="1783"/>
      <c r="W839" s="1783"/>
      <c r="X839" s="1783"/>
      <c r="Y839" s="1783"/>
      <c r="Z839" s="1783"/>
      <c r="AA839" s="1783"/>
      <c r="AB839" s="1783"/>
      <c r="AC839" s="1783"/>
      <c r="AD839" s="1783"/>
      <c r="AE839" s="1783"/>
      <c r="AF839" s="1783"/>
      <c r="AG839" s="1783"/>
      <c r="AH839" s="1783"/>
      <c r="AI839" s="1783"/>
      <c r="AJ839" s="1783"/>
      <c r="AK839" s="1783"/>
      <c r="AL839" s="1783"/>
      <c r="AM839" s="1783"/>
      <c r="AN839" s="1783"/>
      <c r="AO839" s="1783"/>
      <c r="AP839" s="1783"/>
      <c r="AQ839" s="1783"/>
      <c r="AR839" s="1783"/>
      <c r="AS839" s="1783"/>
      <c r="AT839" s="1783"/>
      <c r="AU839" s="1783"/>
      <c r="AV839" s="1783"/>
      <c r="AW839" s="1783"/>
      <c r="AX839" s="1783"/>
      <c r="AY839" s="1783"/>
      <c r="AZ839" s="1783"/>
      <c r="BA839" s="1783"/>
      <c r="BB839" s="1783"/>
      <c r="BC839" s="1783"/>
      <c r="BD839" s="1783"/>
      <c r="BE839" s="1783"/>
      <c r="BF839" s="1783"/>
      <c r="BG839" s="1783"/>
      <c r="BH839" s="1783"/>
      <c r="BI839" s="1783"/>
    </row>
    <row r="840" spans="1:61">
      <c r="A840" s="1819"/>
      <c r="B840" s="1818"/>
      <c r="C840" s="1818"/>
      <c r="D840" s="1818"/>
      <c r="E840" s="1818"/>
      <c r="F840" s="1818"/>
      <c r="G840" s="1818"/>
      <c r="H840" s="1783"/>
      <c r="I840" s="1783"/>
      <c r="J840" s="1783"/>
      <c r="K840" s="1783"/>
      <c r="L840" s="1783"/>
      <c r="M840" s="1783"/>
      <c r="N840" s="1783"/>
      <c r="O840" s="1783"/>
      <c r="P840" s="1783"/>
      <c r="Q840" s="1783"/>
      <c r="R840" s="1783"/>
      <c r="S840" s="1783"/>
      <c r="T840" s="1783"/>
      <c r="U840" s="1783"/>
      <c r="V840" s="1783"/>
      <c r="W840" s="1783"/>
      <c r="X840" s="1783"/>
      <c r="Y840" s="1783"/>
      <c r="Z840" s="1783"/>
      <c r="AA840" s="1783"/>
      <c r="AB840" s="1783"/>
      <c r="AC840" s="1783"/>
      <c r="AD840" s="1783"/>
      <c r="AE840" s="1783"/>
      <c r="AF840" s="1783"/>
      <c r="AG840" s="1783"/>
      <c r="AH840" s="1783"/>
      <c r="AI840" s="1783"/>
      <c r="AJ840" s="1783"/>
      <c r="AK840" s="1783"/>
      <c r="AL840" s="1783"/>
      <c r="AM840" s="1783"/>
      <c r="AN840" s="1783"/>
      <c r="AO840" s="1783"/>
      <c r="AP840" s="1783"/>
      <c r="AQ840" s="1783"/>
      <c r="AR840" s="1783"/>
      <c r="AS840" s="1783"/>
      <c r="AT840" s="1783"/>
      <c r="AU840" s="1783"/>
      <c r="AV840" s="1783"/>
      <c r="AW840" s="1783"/>
      <c r="AX840" s="1783"/>
      <c r="AY840" s="1783"/>
      <c r="AZ840" s="1783"/>
      <c r="BA840" s="1783"/>
      <c r="BB840" s="1783"/>
      <c r="BC840" s="1783"/>
      <c r="BD840" s="1783"/>
      <c r="BE840" s="1783"/>
      <c r="BF840" s="1783"/>
      <c r="BG840" s="1783"/>
      <c r="BH840" s="1783"/>
      <c r="BI840" s="1783"/>
    </row>
    <row r="841" spans="1:61">
      <c r="A841" s="1819"/>
      <c r="B841" s="1818"/>
      <c r="C841" s="1818"/>
      <c r="D841" s="1818"/>
      <c r="E841" s="1818"/>
      <c r="F841" s="1818"/>
      <c r="G841" s="1818"/>
      <c r="H841" s="1783"/>
      <c r="I841" s="1783"/>
      <c r="J841" s="1783"/>
      <c r="K841" s="1783"/>
      <c r="L841" s="1783"/>
      <c r="M841" s="1783"/>
      <c r="N841" s="1783"/>
      <c r="O841" s="1783"/>
      <c r="P841" s="1783"/>
      <c r="Q841" s="1783"/>
      <c r="R841" s="1783"/>
      <c r="S841" s="1783"/>
      <c r="T841" s="1783"/>
      <c r="U841" s="1783"/>
      <c r="V841" s="1783"/>
      <c r="W841" s="1783"/>
      <c r="X841" s="1783"/>
      <c r="Y841" s="1783"/>
      <c r="Z841" s="1783"/>
      <c r="AA841" s="1783"/>
      <c r="AB841" s="1783"/>
      <c r="AC841" s="1783"/>
      <c r="AD841" s="1783"/>
      <c r="AE841" s="1783"/>
      <c r="AF841" s="1783"/>
      <c r="AG841" s="1783"/>
      <c r="AH841" s="1783"/>
      <c r="AI841" s="1783"/>
      <c r="AJ841" s="1783"/>
      <c r="AK841" s="1783"/>
      <c r="AL841" s="1783"/>
      <c r="AM841" s="1783"/>
      <c r="AN841" s="1783"/>
      <c r="AO841" s="1783"/>
      <c r="AP841" s="1783"/>
      <c r="AQ841" s="1783"/>
      <c r="AR841" s="1783"/>
      <c r="AS841" s="1783"/>
      <c r="AT841" s="1783"/>
      <c r="AU841" s="1783"/>
      <c r="AV841" s="1783"/>
      <c r="AW841" s="1783"/>
      <c r="AX841" s="1783"/>
      <c r="AY841" s="1783"/>
      <c r="AZ841" s="1783"/>
      <c r="BA841" s="1783"/>
      <c r="BB841" s="1783"/>
      <c r="BC841" s="1783"/>
      <c r="BD841" s="1783"/>
      <c r="BE841" s="1783"/>
      <c r="BF841" s="1783"/>
      <c r="BG841" s="1783"/>
      <c r="BH841" s="1783"/>
      <c r="BI841" s="1783"/>
    </row>
    <row r="842" spans="1:61">
      <c r="A842" s="1819"/>
      <c r="B842" s="1818"/>
      <c r="C842" s="1818"/>
      <c r="D842" s="1818"/>
      <c r="E842" s="1818"/>
      <c r="F842" s="1818"/>
      <c r="G842" s="1818"/>
      <c r="H842" s="1783"/>
      <c r="I842" s="1783"/>
      <c r="J842" s="1783"/>
      <c r="K842" s="1783"/>
      <c r="L842" s="1783"/>
      <c r="M842" s="1783"/>
      <c r="N842" s="1783"/>
      <c r="O842" s="1783"/>
      <c r="P842" s="1783"/>
      <c r="Q842" s="1783"/>
      <c r="R842" s="1783"/>
      <c r="S842" s="1783"/>
      <c r="T842" s="1783"/>
      <c r="U842" s="1783"/>
      <c r="V842" s="1783"/>
      <c r="W842" s="1783"/>
      <c r="X842" s="1783"/>
      <c r="Y842" s="1783"/>
      <c r="Z842" s="1783"/>
      <c r="AA842" s="1783"/>
      <c r="AB842" s="1783"/>
      <c r="AC842" s="1783"/>
      <c r="AD842" s="1783"/>
      <c r="AE842" s="1783"/>
      <c r="AF842" s="1783"/>
      <c r="AG842" s="1783"/>
      <c r="AH842" s="1783"/>
      <c r="AI842" s="1783"/>
      <c r="AJ842" s="1783"/>
      <c r="AK842" s="1783"/>
      <c r="AL842" s="1783"/>
      <c r="AM842" s="1783"/>
      <c r="AN842" s="1783"/>
      <c r="AO842" s="1783"/>
      <c r="AP842" s="1783"/>
      <c r="AQ842" s="1783"/>
      <c r="AR842" s="1783"/>
      <c r="AS842" s="1783"/>
      <c r="AT842" s="1783"/>
      <c r="AU842" s="1783"/>
      <c r="AV842" s="1783"/>
      <c r="AW842" s="1783"/>
      <c r="AX842" s="1783"/>
      <c r="AY842" s="1783"/>
      <c r="AZ842" s="1783"/>
      <c r="BA842" s="1783"/>
      <c r="BB842" s="1783"/>
      <c r="BC842" s="1783"/>
      <c r="BD842" s="1783"/>
      <c r="BE842" s="1783"/>
      <c r="BF842" s="1783"/>
      <c r="BG842" s="1783"/>
      <c r="BH842" s="1783"/>
      <c r="BI842" s="1783"/>
    </row>
    <row r="843" spans="1:61">
      <c r="A843" s="1819"/>
      <c r="B843" s="1818"/>
      <c r="C843" s="1818"/>
      <c r="D843" s="1818"/>
      <c r="E843" s="1818"/>
      <c r="F843" s="1818"/>
      <c r="G843" s="1818"/>
      <c r="H843" s="1783"/>
      <c r="I843" s="1783"/>
      <c r="J843" s="1783"/>
      <c r="K843" s="1783"/>
      <c r="L843" s="1783"/>
      <c r="M843" s="1783"/>
      <c r="N843" s="1783"/>
      <c r="O843" s="1783"/>
      <c r="P843" s="1783"/>
      <c r="Q843" s="1783"/>
      <c r="R843" s="1783"/>
      <c r="S843" s="1783"/>
      <c r="T843" s="1783"/>
      <c r="U843" s="1783"/>
      <c r="V843" s="1783"/>
      <c r="W843" s="1783"/>
      <c r="X843" s="1783"/>
      <c r="Y843" s="1783"/>
      <c r="Z843" s="1783"/>
      <c r="AA843" s="1783"/>
      <c r="AB843" s="1783"/>
      <c r="AC843" s="1783"/>
      <c r="AD843" s="1783"/>
      <c r="AE843" s="1783"/>
      <c r="AF843" s="1783"/>
      <c r="AG843" s="1783"/>
      <c r="AH843" s="1783"/>
      <c r="AI843" s="1783"/>
      <c r="AJ843" s="1783"/>
      <c r="AK843" s="1783"/>
      <c r="AL843" s="1783"/>
      <c r="AM843" s="1783"/>
      <c r="AN843" s="1783"/>
      <c r="AO843" s="1783"/>
      <c r="AP843" s="1783"/>
      <c r="AQ843" s="1783"/>
      <c r="AR843" s="1783"/>
      <c r="AS843" s="1783"/>
      <c r="AT843" s="1783"/>
      <c r="AU843" s="1783"/>
      <c r="AV843" s="1783"/>
      <c r="AW843" s="1783"/>
      <c r="AX843" s="1783"/>
      <c r="AY843" s="1783"/>
      <c r="AZ843" s="1783"/>
      <c r="BA843" s="1783"/>
      <c r="BB843" s="1783"/>
      <c r="BC843" s="1783"/>
      <c r="BD843" s="1783"/>
      <c r="BE843" s="1783"/>
      <c r="BF843" s="1783"/>
      <c r="BG843" s="1783"/>
      <c r="BH843" s="1783"/>
      <c r="BI843" s="1783"/>
    </row>
    <row r="844" spans="1:61">
      <c r="A844" s="1819"/>
      <c r="B844" s="1818"/>
      <c r="C844" s="1818"/>
      <c r="D844" s="1818"/>
      <c r="E844" s="1818"/>
      <c r="F844" s="1818"/>
      <c r="G844" s="1818"/>
      <c r="H844" s="1783"/>
      <c r="I844" s="1783"/>
      <c r="J844" s="1783"/>
      <c r="K844" s="1783"/>
      <c r="L844" s="1783"/>
      <c r="M844" s="1783"/>
      <c r="N844" s="1783"/>
      <c r="O844" s="1783"/>
      <c r="P844" s="1783"/>
      <c r="Q844" s="1783"/>
      <c r="R844" s="1783"/>
      <c r="S844" s="1783"/>
      <c r="T844" s="1783"/>
      <c r="U844" s="1783"/>
      <c r="V844" s="1783"/>
      <c r="W844" s="1783"/>
      <c r="X844" s="1783"/>
      <c r="Y844" s="1783"/>
      <c r="Z844" s="1783"/>
      <c r="AA844" s="1783"/>
      <c r="AB844" s="1783"/>
      <c r="AC844" s="1783"/>
      <c r="AD844" s="1783"/>
      <c r="AE844" s="1783"/>
      <c r="AF844" s="1783"/>
      <c r="AG844" s="1783"/>
      <c r="AH844" s="1783"/>
      <c r="AI844" s="1783"/>
      <c r="AJ844" s="1783"/>
      <c r="AK844" s="1783"/>
      <c r="AL844" s="1783"/>
      <c r="AM844" s="1783"/>
      <c r="AN844" s="1783"/>
      <c r="AO844" s="1783"/>
      <c r="AP844" s="1783"/>
      <c r="AQ844" s="1783"/>
      <c r="AR844" s="1783"/>
      <c r="AS844" s="1783"/>
      <c r="AT844" s="1783"/>
      <c r="AU844" s="1783"/>
      <c r="AV844" s="1783"/>
      <c r="AW844" s="1783"/>
      <c r="AX844" s="1783"/>
      <c r="AY844" s="1783"/>
      <c r="AZ844" s="1783"/>
      <c r="BA844" s="1783"/>
      <c r="BB844" s="1783"/>
      <c r="BC844" s="1783"/>
      <c r="BD844" s="1783"/>
      <c r="BE844" s="1783"/>
      <c r="BF844" s="1783"/>
      <c r="BG844" s="1783"/>
      <c r="BH844" s="1783"/>
      <c r="BI844" s="1783"/>
    </row>
    <row r="845" spans="1:61">
      <c r="A845" s="1819"/>
      <c r="B845" s="1818"/>
      <c r="C845" s="1818"/>
      <c r="D845" s="1818"/>
      <c r="E845" s="1818"/>
      <c r="F845" s="1818"/>
      <c r="G845" s="1818"/>
      <c r="H845" s="1783"/>
      <c r="I845" s="1783"/>
      <c r="J845" s="1783"/>
      <c r="K845" s="1783"/>
      <c r="L845" s="1783"/>
      <c r="M845" s="1783"/>
      <c r="N845" s="1783"/>
      <c r="O845" s="1783"/>
      <c r="P845" s="1783"/>
      <c r="Q845" s="1783"/>
      <c r="R845" s="1783"/>
      <c r="S845" s="1783"/>
      <c r="T845" s="1783"/>
      <c r="U845" s="1783"/>
      <c r="V845" s="1783"/>
      <c r="W845" s="1783"/>
      <c r="X845" s="1783"/>
      <c r="Y845" s="1783"/>
      <c r="Z845" s="1783"/>
      <c r="AA845" s="1783"/>
      <c r="AB845" s="1783"/>
      <c r="AC845" s="1783"/>
      <c r="AD845" s="1783"/>
      <c r="AE845" s="1783"/>
      <c r="AF845" s="1783"/>
      <c r="AG845" s="1783"/>
      <c r="AH845" s="1783"/>
      <c r="AI845" s="1783"/>
      <c r="AJ845" s="1783"/>
      <c r="AK845" s="1783"/>
      <c r="AL845" s="1783"/>
      <c r="AM845" s="1783"/>
      <c r="AN845" s="1783"/>
      <c r="AO845" s="1783"/>
      <c r="AP845" s="1783"/>
      <c r="AQ845" s="1783"/>
      <c r="AR845" s="1783"/>
      <c r="AS845" s="1783"/>
      <c r="AT845" s="1783"/>
      <c r="AU845" s="1783"/>
      <c r="AV845" s="1783"/>
      <c r="AW845" s="1783"/>
      <c r="AX845" s="1783"/>
      <c r="AY845" s="1783"/>
      <c r="AZ845" s="1783"/>
      <c r="BA845" s="1783"/>
      <c r="BB845" s="1783"/>
      <c r="BC845" s="1783"/>
      <c r="BD845" s="1783"/>
      <c r="BE845" s="1783"/>
      <c r="BF845" s="1783"/>
      <c r="BG845" s="1783"/>
      <c r="BH845" s="1783"/>
      <c r="BI845" s="1783"/>
    </row>
    <row r="846" spans="1:61">
      <c r="A846" s="1819"/>
      <c r="B846" s="1818"/>
      <c r="C846" s="1818"/>
      <c r="D846" s="1818"/>
      <c r="E846" s="1818"/>
      <c r="F846" s="1818"/>
      <c r="G846" s="1818"/>
      <c r="H846" s="1783"/>
      <c r="I846" s="1783"/>
      <c r="J846" s="1783"/>
      <c r="K846" s="1783"/>
      <c r="L846" s="1783"/>
      <c r="M846" s="1783"/>
      <c r="N846" s="1783"/>
      <c r="O846" s="1783"/>
      <c r="P846" s="1783"/>
      <c r="Q846" s="1783"/>
      <c r="R846" s="1783"/>
      <c r="S846" s="1783"/>
      <c r="T846" s="1783"/>
      <c r="U846" s="1783"/>
      <c r="V846" s="1783"/>
      <c r="W846" s="1783"/>
      <c r="X846" s="1783"/>
      <c r="Y846" s="1783"/>
      <c r="Z846" s="1783"/>
      <c r="AA846" s="1783"/>
      <c r="AB846" s="1783"/>
      <c r="AC846" s="1783"/>
      <c r="AD846" s="1783"/>
      <c r="AE846" s="1783"/>
      <c r="AF846" s="1783"/>
      <c r="AG846" s="1783"/>
      <c r="AH846" s="1783"/>
      <c r="AI846" s="1783"/>
      <c r="AJ846" s="1783"/>
      <c r="AK846" s="1783"/>
      <c r="AL846" s="1783"/>
      <c r="AM846" s="1783"/>
      <c r="AN846" s="1783"/>
      <c r="AO846" s="1783"/>
      <c r="AP846" s="1783"/>
      <c r="AQ846" s="1783"/>
      <c r="AR846" s="1783"/>
      <c r="AS846" s="1783"/>
      <c r="AT846" s="1783"/>
      <c r="AU846" s="1783"/>
      <c r="AV846" s="1783"/>
      <c r="AW846" s="1783"/>
      <c r="AX846" s="1783"/>
      <c r="AY846" s="1783"/>
      <c r="AZ846" s="1783"/>
      <c r="BA846" s="1783"/>
      <c r="BB846" s="1783"/>
      <c r="BC846" s="1783"/>
      <c r="BD846" s="1783"/>
      <c r="BE846" s="1783"/>
      <c r="BF846" s="1783"/>
      <c r="BG846" s="1783"/>
      <c r="BH846" s="1783"/>
      <c r="BI846" s="1783"/>
    </row>
    <row r="847" spans="1:61">
      <c r="A847" s="1819"/>
      <c r="B847" s="1818"/>
      <c r="C847" s="1818"/>
      <c r="D847" s="1818"/>
      <c r="E847" s="1818"/>
      <c r="F847" s="1818"/>
      <c r="G847" s="1818"/>
      <c r="H847" s="1783"/>
      <c r="I847" s="1783"/>
      <c r="J847" s="1783"/>
      <c r="K847" s="1783"/>
      <c r="L847" s="1783"/>
      <c r="M847" s="1783"/>
      <c r="N847" s="1783"/>
      <c r="O847" s="1783"/>
      <c r="P847" s="1783"/>
      <c r="Q847" s="1783"/>
      <c r="R847" s="1783"/>
      <c r="S847" s="1783"/>
      <c r="T847" s="1783"/>
      <c r="U847" s="1783"/>
      <c r="V847" s="1783"/>
      <c r="W847" s="1783"/>
      <c r="X847" s="1783"/>
      <c r="Y847" s="1783"/>
      <c r="Z847" s="1783"/>
      <c r="AA847" s="1783"/>
      <c r="AB847" s="1783"/>
      <c r="AC847" s="1783"/>
      <c r="AD847" s="1783"/>
      <c r="AE847" s="1783"/>
      <c r="AF847" s="1783"/>
      <c r="AG847" s="1783"/>
      <c r="AH847" s="1783"/>
      <c r="AI847" s="1783"/>
      <c r="AJ847" s="1783"/>
      <c r="AK847" s="1783"/>
      <c r="AL847" s="1783"/>
      <c r="AM847" s="1783"/>
      <c r="AN847" s="1783"/>
      <c r="AO847" s="1783"/>
      <c r="AP847" s="1783"/>
      <c r="AQ847" s="1783"/>
      <c r="AR847" s="1783"/>
      <c r="AS847" s="1783"/>
      <c r="AT847" s="1783"/>
      <c r="AU847" s="1783"/>
      <c r="AV847" s="1783"/>
      <c r="AW847" s="1783"/>
      <c r="AX847" s="1783"/>
      <c r="AY847" s="1783"/>
      <c r="AZ847" s="1783"/>
      <c r="BA847" s="1783"/>
      <c r="BB847" s="1783"/>
      <c r="BC847" s="1783"/>
      <c r="BD847" s="1783"/>
      <c r="BE847" s="1783"/>
      <c r="BF847" s="1783"/>
      <c r="BG847" s="1783"/>
      <c r="BH847" s="1783"/>
      <c r="BI847" s="1783"/>
    </row>
    <row r="848" spans="1:61">
      <c r="A848" s="1819"/>
      <c r="B848" s="1818"/>
      <c r="C848" s="1818"/>
      <c r="D848" s="1818"/>
      <c r="E848" s="1818"/>
      <c r="F848" s="1818"/>
      <c r="G848" s="1818"/>
      <c r="H848" s="1783"/>
      <c r="I848" s="1783"/>
      <c r="J848" s="1783"/>
      <c r="K848" s="1783"/>
      <c r="L848" s="1783"/>
      <c r="M848" s="1783"/>
      <c r="N848" s="1783"/>
      <c r="O848" s="1783"/>
      <c r="P848" s="1783"/>
      <c r="Q848" s="1783"/>
      <c r="R848" s="1783"/>
      <c r="S848" s="1783"/>
      <c r="T848" s="1783"/>
      <c r="U848" s="1783"/>
      <c r="V848" s="1783"/>
      <c r="W848" s="1783"/>
      <c r="X848" s="1783"/>
      <c r="Y848" s="1783"/>
      <c r="Z848" s="1783"/>
      <c r="AA848" s="1783"/>
      <c r="AB848" s="1783"/>
      <c r="AC848" s="1783"/>
      <c r="AD848" s="1783"/>
      <c r="AE848" s="1783"/>
      <c r="AF848" s="1783"/>
      <c r="AG848" s="1783"/>
      <c r="AH848" s="1783"/>
      <c r="AI848" s="1783"/>
      <c r="AJ848" s="1783"/>
      <c r="AK848" s="1783"/>
      <c r="AL848" s="1783"/>
      <c r="AM848" s="1783"/>
      <c r="AN848" s="1783"/>
      <c r="AO848" s="1783"/>
      <c r="AP848" s="1783"/>
      <c r="AQ848" s="1783"/>
      <c r="AR848" s="1783"/>
      <c r="AS848" s="1783"/>
      <c r="AT848" s="1783"/>
      <c r="AU848" s="1783"/>
      <c r="AV848" s="1783"/>
      <c r="AW848" s="1783"/>
      <c r="AX848" s="1783"/>
      <c r="AY848" s="1783"/>
      <c r="AZ848" s="1783"/>
      <c r="BA848" s="1783"/>
      <c r="BB848" s="1783"/>
      <c r="BC848" s="1783"/>
      <c r="BD848" s="1783"/>
      <c r="BE848" s="1783"/>
      <c r="BF848" s="1783"/>
      <c r="BG848" s="1783"/>
      <c r="BH848" s="1783"/>
      <c r="BI848" s="1783"/>
    </row>
    <row r="849" spans="1:61">
      <c r="A849" s="1819"/>
      <c r="B849" s="1818"/>
      <c r="C849" s="1818"/>
      <c r="D849" s="1818"/>
      <c r="E849" s="1818"/>
      <c r="F849" s="1818"/>
      <c r="G849" s="1818"/>
      <c r="H849" s="1783"/>
      <c r="I849" s="1783"/>
      <c r="J849" s="1783"/>
      <c r="K849" s="1783"/>
      <c r="L849" s="1783"/>
      <c r="M849" s="1783"/>
      <c r="N849" s="1783"/>
      <c r="O849" s="1783"/>
      <c r="P849" s="1783"/>
      <c r="Q849" s="1783"/>
      <c r="R849" s="1783"/>
      <c r="S849" s="1783"/>
      <c r="T849" s="1783"/>
      <c r="U849" s="1783"/>
      <c r="V849" s="1783"/>
      <c r="W849" s="1783"/>
      <c r="X849" s="1783"/>
      <c r="Y849" s="1783"/>
      <c r="Z849" s="1783"/>
      <c r="AA849" s="1783"/>
      <c r="AB849" s="1783"/>
      <c r="AC849" s="1783"/>
      <c r="AD849" s="1783"/>
      <c r="AE849" s="1783"/>
      <c r="AF849" s="1783"/>
      <c r="AG849" s="1783"/>
      <c r="AH849" s="1783"/>
      <c r="AI849" s="1783"/>
      <c r="AJ849" s="1783"/>
      <c r="AK849" s="1783"/>
      <c r="AL849" s="1783"/>
      <c r="AM849" s="1783"/>
      <c r="AN849" s="1783"/>
      <c r="AO849" s="1783"/>
      <c r="AP849" s="1783"/>
      <c r="AQ849" s="1783"/>
      <c r="AR849" s="1783"/>
      <c r="AS849" s="1783"/>
      <c r="AT849" s="1783"/>
      <c r="AU849" s="1783"/>
      <c r="AV849" s="1783"/>
      <c r="AW849" s="1783"/>
      <c r="AX849" s="1783"/>
      <c r="AY849" s="1783"/>
      <c r="AZ849" s="1783"/>
      <c r="BA849" s="1783"/>
      <c r="BB849" s="1783"/>
      <c r="BC849" s="1783"/>
      <c r="BD849" s="1783"/>
      <c r="BE849" s="1783"/>
      <c r="BF849" s="1783"/>
      <c r="BG849" s="1783"/>
      <c r="BH849" s="1783"/>
      <c r="BI849" s="1783"/>
    </row>
    <row r="850" spans="1:61">
      <c r="A850" s="1819"/>
      <c r="B850" s="1818"/>
      <c r="C850" s="1818"/>
      <c r="D850" s="1818"/>
      <c r="E850" s="1818"/>
      <c r="F850" s="1818"/>
      <c r="G850" s="1818"/>
      <c r="H850" s="1783"/>
      <c r="I850" s="1783"/>
      <c r="J850" s="1783"/>
      <c r="K850" s="1783"/>
      <c r="L850" s="1783"/>
      <c r="M850" s="1783"/>
      <c r="N850" s="1783"/>
      <c r="O850" s="1783"/>
      <c r="P850" s="1783"/>
      <c r="Q850" s="1783"/>
      <c r="R850" s="1783"/>
      <c r="S850" s="1783"/>
      <c r="T850" s="1783"/>
      <c r="U850" s="1783"/>
      <c r="V850" s="1783"/>
      <c r="W850" s="1783"/>
      <c r="X850" s="1783"/>
      <c r="Y850" s="1783"/>
      <c r="Z850" s="1783"/>
      <c r="AA850" s="1783"/>
      <c r="AB850" s="1783"/>
      <c r="AC850" s="1783"/>
      <c r="AD850" s="1783"/>
      <c r="AE850" s="1783"/>
      <c r="AF850" s="1783"/>
      <c r="AG850" s="1783"/>
      <c r="AH850" s="1783"/>
      <c r="AI850" s="1783"/>
      <c r="AJ850" s="1783"/>
      <c r="AK850" s="1783"/>
      <c r="AL850" s="1783"/>
      <c r="AM850" s="1783"/>
      <c r="AN850" s="1783"/>
      <c r="AO850" s="1783"/>
      <c r="AP850" s="1783"/>
      <c r="AQ850" s="1783"/>
      <c r="AR850" s="1783"/>
      <c r="AS850" s="1783"/>
      <c r="AT850" s="1783"/>
      <c r="AU850" s="1783"/>
      <c r="AV850" s="1783"/>
      <c r="AW850" s="1783"/>
      <c r="AX850" s="1783"/>
      <c r="AY850" s="1783"/>
      <c r="AZ850" s="1783"/>
      <c r="BA850" s="1783"/>
      <c r="BB850" s="1783"/>
      <c r="BC850" s="1783"/>
      <c r="BD850" s="1783"/>
      <c r="BE850" s="1783"/>
      <c r="BF850" s="1783"/>
      <c r="BG850" s="1783"/>
      <c r="BH850" s="1783"/>
      <c r="BI850" s="1783"/>
    </row>
    <row r="851" spans="1:61">
      <c r="A851" s="1819"/>
      <c r="B851" s="1818"/>
      <c r="C851" s="1818"/>
      <c r="D851" s="1818"/>
      <c r="E851" s="1818"/>
      <c r="F851" s="1818"/>
      <c r="G851" s="1818"/>
      <c r="H851" s="1783"/>
      <c r="I851" s="1783"/>
      <c r="J851" s="1783"/>
      <c r="K851" s="1783"/>
      <c r="L851" s="1783"/>
      <c r="M851" s="1783"/>
      <c r="N851" s="1783"/>
      <c r="O851" s="1783"/>
      <c r="P851" s="1783"/>
      <c r="Q851" s="1783"/>
      <c r="R851" s="1783"/>
      <c r="S851" s="1783"/>
      <c r="T851" s="1783"/>
      <c r="U851" s="1783"/>
      <c r="V851" s="1783"/>
      <c r="W851" s="1783"/>
      <c r="X851" s="1783"/>
      <c r="Y851" s="1783"/>
      <c r="Z851" s="1783"/>
      <c r="AA851" s="1783"/>
      <c r="AB851" s="1783"/>
      <c r="AC851" s="1783"/>
      <c r="AD851" s="1783"/>
      <c r="AE851" s="1783"/>
      <c r="AF851" s="1783"/>
      <c r="AG851" s="1783"/>
      <c r="AH851" s="1783"/>
      <c r="AI851" s="1783"/>
      <c r="AJ851" s="1783"/>
      <c r="AK851" s="1783"/>
      <c r="AL851" s="1783"/>
      <c r="AM851" s="1783"/>
      <c r="AN851" s="1783"/>
      <c r="AO851" s="1783"/>
      <c r="AP851" s="1783"/>
      <c r="AQ851" s="1783"/>
      <c r="AR851" s="1783"/>
      <c r="AS851" s="1783"/>
      <c r="AT851" s="1783"/>
      <c r="AU851" s="1783"/>
      <c r="AV851" s="1783"/>
      <c r="AW851" s="1783"/>
      <c r="AX851" s="1783"/>
      <c r="AY851" s="1783"/>
      <c r="AZ851" s="1783"/>
      <c r="BA851" s="1783"/>
      <c r="BB851" s="1783"/>
      <c r="BC851" s="1783"/>
      <c r="BD851" s="1783"/>
      <c r="BE851" s="1783"/>
      <c r="BF851" s="1783"/>
      <c r="BG851" s="1783"/>
      <c r="BH851" s="1783"/>
      <c r="BI851" s="1783"/>
    </row>
    <row r="852" spans="1:61">
      <c r="A852" s="1819"/>
      <c r="B852" s="1818"/>
      <c r="C852" s="1818"/>
      <c r="D852" s="1818"/>
      <c r="E852" s="1818"/>
      <c r="F852" s="1818"/>
      <c r="G852" s="1818"/>
      <c r="H852" s="1783"/>
      <c r="I852" s="1783"/>
      <c r="J852" s="1783"/>
      <c r="K852" s="1783"/>
      <c r="L852" s="1783"/>
      <c r="M852" s="1783"/>
      <c r="N852" s="1783"/>
      <c r="O852" s="1783"/>
      <c r="P852" s="1783"/>
      <c r="Q852" s="1783"/>
      <c r="R852" s="1783"/>
      <c r="S852" s="1783"/>
      <c r="T852" s="1783"/>
      <c r="U852" s="1783"/>
      <c r="V852" s="1783"/>
      <c r="W852" s="1783"/>
      <c r="X852" s="1783"/>
      <c r="Y852" s="1783"/>
      <c r="Z852" s="1783"/>
      <c r="AA852" s="1783"/>
      <c r="AB852" s="1783"/>
      <c r="AC852" s="1783"/>
      <c r="AD852" s="1783"/>
      <c r="AE852" s="1783"/>
      <c r="AF852" s="1783"/>
      <c r="AG852" s="1783"/>
      <c r="AH852" s="1783"/>
      <c r="AI852" s="1783"/>
      <c r="AJ852" s="1783"/>
      <c r="AK852" s="1783"/>
      <c r="AL852" s="1783"/>
      <c r="AM852" s="1783"/>
      <c r="AN852" s="1783"/>
      <c r="AO852" s="1783"/>
      <c r="AP852" s="1783"/>
      <c r="AQ852" s="1783"/>
      <c r="AR852" s="1783"/>
      <c r="AS852" s="1783"/>
      <c r="AT852" s="1783"/>
      <c r="AU852" s="1783"/>
      <c r="AV852" s="1783"/>
      <c r="AW852" s="1783"/>
      <c r="AX852" s="1783"/>
      <c r="AY852" s="1783"/>
      <c r="AZ852" s="1783"/>
      <c r="BA852" s="1783"/>
      <c r="BB852" s="1783"/>
      <c r="BC852" s="1783"/>
      <c r="BD852" s="1783"/>
      <c r="BE852" s="1783"/>
      <c r="BF852" s="1783"/>
      <c r="BG852" s="1783"/>
      <c r="BH852" s="1783"/>
      <c r="BI852" s="1783"/>
    </row>
    <row r="853" spans="1:61">
      <c r="A853" s="1819"/>
      <c r="B853" s="1818"/>
      <c r="C853" s="1818"/>
      <c r="D853" s="1818"/>
      <c r="E853" s="1818"/>
      <c r="F853" s="1818"/>
      <c r="G853" s="1818"/>
      <c r="H853" s="1783"/>
      <c r="I853" s="1783"/>
      <c r="J853" s="1783"/>
      <c r="K853" s="1783"/>
      <c r="L853" s="1783"/>
      <c r="M853" s="1783"/>
      <c r="N853" s="1783"/>
      <c r="O853" s="1783"/>
      <c r="P853" s="1783"/>
      <c r="Q853" s="1783"/>
      <c r="R853" s="1783"/>
      <c r="S853" s="1783"/>
      <c r="T853" s="1783"/>
      <c r="U853" s="1783"/>
      <c r="V853" s="1783"/>
      <c r="W853" s="1783"/>
      <c r="X853" s="1783"/>
      <c r="Y853" s="1783"/>
      <c r="Z853" s="1783"/>
      <c r="AA853" s="1783"/>
      <c r="AB853" s="1783"/>
      <c r="AC853" s="1783"/>
      <c r="AD853" s="1783"/>
      <c r="AE853" s="1783"/>
      <c r="AF853" s="1783"/>
      <c r="AG853" s="1783"/>
      <c r="AH853" s="1783"/>
      <c r="AI853" s="1783"/>
      <c r="AJ853" s="1783"/>
      <c r="AK853" s="1783"/>
      <c r="AL853" s="1783"/>
      <c r="AM853" s="1783"/>
      <c r="AN853" s="1783"/>
      <c r="AO853" s="1783"/>
      <c r="AP853" s="1783"/>
      <c r="AQ853" s="1783"/>
      <c r="AR853" s="1783"/>
      <c r="AS853" s="1783"/>
      <c r="AT853" s="1783"/>
      <c r="AU853" s="1783"/>
      <c r="AV853" s="1783"/>
      <c r="AW853" s="1783"/>
      <c r="AX853" s="1783"/>
      <c r="AY853" s="1783"/>
      <c r="AZ853" s="1783"/>
      <c r="BA853" s="1783"/>
      <c r="BB853" s="1783"/>
      <c r="BC853" s="1783"/>
      <c r="BD853" s="1783"/>
      <c r="BE853" s="1783"/>
      <c r="BF853" s="1783"/>
      <c r="BG853" s="1783"/>
      <c r="BH853" s="1783"/>
      <c r="BI853" s="1783"/>
    </row>
    <row r="854" spans="1:61">
      <c r="A854" s="1819"/>
      <c r="B854" s="1818"/>
      <c r="C854" s="1818"/>
      <c r="D854" s="1818"/>
      <c r="E854" s="1818"/>
      <c r="F854" s="1818"/>
      <c r="G854" s="1818"/>
      <c r="H854" s="1783"/>
      <c r="I854" s="1783"/>
      <c r="J854" s="1783"/>
      <c r="K854" s="1783"/>
      <c r="L854" s="1783"/>
      <c r="M854" s="1783"/>
      <c r="N854" s="1783"/>
      <c r="O854" s="1783"/>
      <c r="P854" s="1783"/>
      <c r="Q854" s="1783"/>
      <c r="R854" s="1783"/>
      <c r="S854" s="1783"/>
      <c r="T854" s="1783"/>
      <c r="U854" s="1783"/>
      <c r="V854" s="1783"/>
      <c r="W854" s="1783"/>
      <c r="X854" s="1783"/>
      <c r="Y854" s="1783"/>
      <c r="Z854" s="1783"/>
      <c r="AA854" s="1783"/>
      <c r="AB854" s="1783"/>
      <c r="AC854" s="1783"/>
      <c r="AD854" s="1783"/>
      <c r="AE854" s="1783"/>
      <c r="AF854" s="1783"/>
      <c r="AG854" s="1783"/>
      <c r="AH854" s="1783"/>
      <c r="AI854" s="1783"/>
      <c r="AJ854" s="1783"/>
      <c r="AK854" s="1783"/>
      <c r="AL854" s="1783"/>
      <c r="AM854" s="1783"/>
      <c r="AN854" s="1783"/>
      <c r="AO854" s="1783"/>
      <c r="AP854" s="1783"/>
      <c r="AQ854" s="1783"/>
      <c r="AR854" s="1783"/>
      <c r="AS854" s="1783"/>
      <c r="AT854" s="1783"/>
      <c r="AU854" s="1783"/>
      <c r="AV854" s="1783"/>
      <c r="AW854" s="1783"/>
      <c r="AX854" s="1783"/>
      <c r="AY854" s="1783"/>
      <c r="AZ854" s="1783"/>
      <c r="BA854" s="1783"/>
      <c r="BB854" s="1783"/>
      <c r="BC854" s="1783"/>
      <c r="BD854" s="1783"/>
      <c r="BE854" s="1783"/>
      <c r="BF854" s="1783"/>
      <c r="BG854" s="1783"/>
      <c r="BH854" s="1783"/>
      <c r="BI854" s="1783"/>
    </row>
    <row r="855" spans="1:61">
      <c r="A855" s="1819"/>
      <c r="B855" s="1818"/>
      <c r="C855" s="1818"/>
      <c r="D855" s="1818"/>
      <c r="E855" s="1818"/>
      <c r="F855" s="1818"/>
      <c r="G855" s="1818"/>
      <c r="H855" s="1783"/>
      <c r="I855" s="1783"/>
      <c r="J855" s="1783"/>
      <c r="K855" s="1783"/>
      <c r="L855" s="1783"/>
      <c r="M855" s="1783"/>
      <c r="N855" s="1783"/>
      <c r="O855" s="1783"/>
      <c r="P855" s="1783"/>
      <c r="Q855" s="1783"/>
      <c r="R855" s="1783"/>
      <c r="S855" s="1783"/>
      <c r="T855" s="1783"/>
      <c r="U855" s="1783"/>
      <c r="V855" s="1783"/>
      <c r="W855" s="1783"/>
      <c r="X855" s="1783"/>
      <c r="Y855" s="1783"/>
      <c r="Z855" s="1783"/>
      <c r="AA855" s="1783"/>
      <c r="AB855" s="1783"/>
      <c r="AC855" s="1783"/>
      <c r="AD855" s="1783"/>
      <c r="AE855" s="1783"/>
      <c r="AF855" s="1783"/>
      <c r="AG855" s="1783"/>
      <c r="AH855" s="1783"/>
      <c r="AI855" s="1783"/>
      <c r="AJ855" s="1783"/>
      <c r="AK855" s="1783"/>
      <c r="AL855" s="1783"/>
      <c r="AM855" s="1783"/>
      <c r="AN855" s="1783"/>
      <c r="AO855" s="1783"/>
      <c r="AP855" s="1783"/>
      <c r="AQ855" s="1783"/>
      <c r="AR855" s="1783"/>
      <c r="AS855" s="1783"/>
      <c r="AT855" s="1783"/>
      <c r="AU855" s="1783"/>
      <c r="AV855" s="1783"/>
      <c r="AW855" s="1783"/>
      <c r="AX855" s="1783"/>
      <c r="AY855" s="1783"/>
      <c r="AZ855" s="1783"/>
      <c r="BA855" s="1783"/>
      <c r="BB855" s="1783"/>
      <c r="BC855" s="1783"/>
      <c r="BD855" s="1783"/>
      <c r="BE855" s="1783"/>
      <c r="BF855" s="1783"/>
      <c r="BG855" s="1783"/>
      <c r="BH855" s="1783"/>
      <c r="BI855" s="1783"/>
    </row>
    <row r="856" spans="1:61">
      <c r="A856" s="1819"/>
      <c r="B856" s="1818"/>
      <c r="C856" s="1818"/>
      <c r="D856" s="1818"/>
      <c r="E856" s="1818"/>
      <c r="F856" s="1818"/>
      <c r="G856" s="1818"/>
      <c r="H856" s="1783"/>
      <c r="I856" s="1783"/>
      <c r="J856" s="1783"/>
      <c r="K856" s="1783"/>
      <c r="L856" s="1783"/>
      <c r="M856" s="1783"/>
      <c r="N856" s="1783"/>
      <c r="O856" s="1783"/>
      <c r="P856" s="1783"/>
      <c r="Q856" s="1783"/>
      <c r="R856" s="1783"/>
      <c r="S856" s="1783"/>
      <c r="T856" s="1783"/>
      <c r="U856" s="1783"/>
      <c r="V856" s="1783"/>
      <c r="W856" s="1783"/>
      <c r="X856" s="1783"/>
      <c r="Y856" s="1783"/>
      <c r="Z856" s="1783"/>
      <c r="AA856" s="1783"/>
      <c r="AB856" s="1783"/>
      <c r="AC856" s="1783"/>
      <c r="AD856" s="1783"/>
      <c r="AE856" s="1783"/>
      <c r="AF856" s="1783"/>
      <c r="AG856" s="1783"/>
      <c r="AH856" s="1783"/>
      <c r="AI856" s="1783"/>
      <c r="AJ856" s="1783"/>
      <c r="AK856" s="1783"/>
      <c r="AL856" s="1783"/>
      <c r="AM856" s="1783"/>
      <c r="AN856" s="1783"/>
      <c r="AO856" s="1783"/>
      <c r="AP856" s="1783"/>
      <c r="AQ856" s="1783"/>
      <c r="AR856" s="1783"/>
      <c r="AS856" s="1783"/>
      <c r="AT856" s="1783"/>
      <c r="AU856" s="1783"/>
      <c r="AV856" s="1783"/>
      <c r="AW856" s="1783"/>
      <c r="AX856" s="1783"/>
      <c r="AY856" s="1783"/>
      <c r="AZ856" s="1783"/>
      <c r="BA856" s="1783"/>
      <c r="BB856" s="1783"/>
      <c r="BC856" s="1783"/>
      <c r="BD856" s="1783"/>
      <c r="BE856" s="1783"/>
      <c r="BF856" s="1783"/>
      <c r="BG856" s="1783"/>
      <c r="BH856" s="1783"/>
      <c r="BI856" s="1783"/>
    </row>
    <row r="857" spans="1:61">
      <c r="A857" s="1819"/>
      <c r="B857" s="1818"/>
      <c r="C857" s="1818"/>
      <c r="D857" s="1818"/>
      <c r="E857" s="1818"/>
      <c r="F857" s="1818"/>
      <c r="G857" s="1818"/>
      <c r="H857" s="1783"/>
      <c r="I857" s="1783"/>
      <c r="J857" s="1783"/>
      <c r="K857" s="1783"/>
      <c r="L857" s="1783"/>
      <c r="M857" s="1783"/>
      <c r="N857" s="1783"/>
      <c r="O857" s="1783"/>
      <c r="P857" s="1783"/>
      <c r="Q857" s="1783"/>
      <c r="R857" s="1783"/>
      <c r="S857" s="1783"/>
      <c r="T857" s="1783"/>
      <c r="U857" s="1783"/>
      <c r="V857" s="1783"/>
      <c r="W857" s="1783"/>
      <c r="X857" s="1783"/>
      <c r="Y857" s="1783"/>
      <c r="Z857" s="1783"/>
      <c r="AA857" s="1783"/>
      <c r="AB857" s="1783"/>
      <c r="AC857" s="1783"/>
      <c r="AD857" s="1783"/>
      <c r="AE857" s="1783"/>
      <c r="AF857" s="1783"/>
      <c r="AG857" s="1783"/>
      <c r="AH857" s="1783"/>
      <c r="AI857" s="1783"/>
      <c r="AJ857" s="1783"/>
      <c r="AK857" s="1783"/>
      <c r="AL857" s="1783"/>
      <c r="AM857" s="1783"/>
      <c r="AN857" s="1783"/>
      <c r="AO857" s="1783"/>
      <c r="AP857" s="1783"/>
      <c r="AQ857" s="1783"/>
      <c r="AR857" s="1783"/>
      <c r="AS857" s="1783"/>
      <c r="AT857" s="1783"/>
      <c r="AU857" s="1783"/>
      <c r="AV857" s="1783"/>
      <c r="AW857" s="1783"/>
      <c r="AX857" s="1783"/>
      <c r="AY857" s="1783"/>
      <c r="AZ857" s="1783"/>
      <c r="BA857" s="1783"/>
      <c r="BB857" s="1783"/>
      <c r="BC857" s="1783"/>
      <c r="BD857" s="1783"/>
      <c r="BE857" s="1783"/>
      <c r="BF857" s="1783"/>
      <c r="BG857" s="1783"/>
      <c r="BH857" s="1783"/>
      <c r="BI857" s="1783"/>
    </row>
    <row r="858" spans="1:61">
      <c r="A858" s="1819"/>
      <c r="B858" s="1818"/>
      <c r="C858" s="1818"/>
      <c r="D858" s="1818"/>
      <c r="E858" s="1818"/>
      <c r="F858" s="1818"/>
      <c r="G858" s="1818"/>
      <c r="H858" s="1783"/>
      <c r="I858" s="1783"/>
      <c r="J858" s="1783"/>
      <c r="K858" s="1783"/>
      <c r="L858" s="1783"/>
      <c r="M858" s="1783"/>
      <c r="N858" s="1783"/>
      <c r="O858" s="1783"/>
      <c r="P858" s="1783"/>
      <c r="Q858" s="1783"/>
      <c r="R858" s="1783"/>
      <c r="S858" s="1783"/>
      <c r="T858" s="1783"/>
      <c r="U858" s="1783"/>
      <c r="V858" s="1783"/>
      <c r="W858" s="1783"/>
      <c r="X858" s="1783"/>
      <c r="Y858" s="1783"/>
      <c r="Z858" s="1783"/>
      <c r="AA858" s="1783"/>
      <c r="AB858" s="1783"/>
      <c r="AC858" s="1783"/>
      <c r="AD858" s="1783"/>
      <c r="AE858" s="1783"/>
      <c r="AF858" s="1783"/>
      <c r="AG858" s="1783"/>
      <c r="AH858" s="1783"/>
      <c r="AI858" s="1783"/>
      <c r="AJ858" s="1783"/>
      <c r="AK858" s="1783"/>
      <c r="AL858" s="1783"/>
      <c r="AM858" s="1783"/>
      <c r="AN858" s="1783"/>
      <c r="AO858" s="1783"/>
      <c r="AP858" s="1783"/>
      <c r="AQ858" s="1783"/>
      <c r="AR858" s="1783"/>
      <c r="AS858" s="1783"/>
      <c r="AT858" s="1783"/>
      <c r="AU858" s="1783"/>
      <c r="AV858" s="1783"/>
      <c r="AW858" s="1783"/>
      <c r="AX858" s="1783"/>
      <c r="AY858" s="1783"/>
      <c r="AZ858" s="1783"/>
      <c r="BA858" s="1783"/>
      <c r="BB858" s="1783"/>
      <c r="BC858" s="1783"/>
      <c r="BD858" s="1783"/>
      <c r="BE858" s="1783"/>
      <c r="BF858" s="1783"/>
      <c r="BG858" s="1783"/>
      <c r="BH858" s="1783"/>
      <c r="BI858" s="1783"/>
    </row>
    <row r="859" spans="1:61">
      <c r="A859" s="1819"/>
      <c r="B859" s="1818"/>
      <c r="C859" s="1818"/>
      <c r="D859" s="1818"/>
      <c r="E859" s="1818"/>
      <c r="F859" s="1818"/>
      <c r="G859" s="1818"/>
      <c r="H859" s="1783"/>
      <c r="I859" s="1783"/>
      <c r="J859" s="1783"/>
      <c r="K859" s="1783"/>
      <c r="L859" s="1783"/>
      <c r="M859" s="1783"/>
      <c r="N859" s="1783"/>
      <c r="O859" s="1783"/>
      <c r="P859" s="1783"/>
      <c r="Q859" s="1783"/>
      <c r="R859" s="1783"/>
      <c r="S859" s="1783"/>
      <c r="T859" s="1783"/>
      <c r="U859" s="1783"/>
      <c r="V859" s="1783"/>
      <c r="W859" s="1783"/>
      <c r="X859" s="1783"/>
      <c r="Y859" s="1783"/>
      <c r="Z859" s="1783"/>
      <c r="AA859" s="1783"/>
      <c r="AB859" s="1783"/>
      <c r="AC859" s="1783"/>
      <c r="AD859" s="1783"/>
      <c r="AE859" s="1783"/>
      <c r="AF859" s="1783"/>
      <c r="AG859" s="1783"/>
      <c r="AH859" s="1783"/>
      <c r="AI859" s="1783"/>
      <c r="AJ859" s="1783"/>
      <c r="AK859" s="1783"/>
      <c r="AL859" s="1783"/>
      <c r="AM859" s="1783"/>
      <c r="AN859" s="1783"/>
      <c r="AO859" s="1783"/>
      <c r="AP859" s="1783"/>
      <c r="AQ859" s="1783"/>
      <c r="AR859" s="1783"/>
      <c r="AS859" s="1783"/>
      <c r="AT859" s="1783"/>
      <c r="AU859" s="1783"/>
      <c r="AV859" s="1783"/>
      <c r="AW859" s="1783"/>
      <c r="AX859" s="1783"/>
      <c r="AY859" s="1783"/>
      <c r="AZ859" s="1783"/>
      <c r="BA859" s="1783"/>
      <c r="BB859" s="1783"/>
      <c r="BC859" s="1783"/>
      <c r="BD859" s="1783"/>
      <c r="BE859" s="1783"/>
      <c r="BF859" s="1783"/>
      <c r="BG859" s="1783"/>
      <c r="BH859" s="1783"/>
      <c r="BI859" s="1783"/>
    </row>
    <row r="860" spans="1:61">
      <c r="A860" s="1819"/>
      <c r="B860" s="1818"/>
      <c r="C860" s="1818"/>
      <c r="D860" s="1818"/>
      <c r="E860" s="1818"/>
      <c r="F860" s="1818"/>
      <c r="G860" s="1818"/>
      <c r="H860" s="1783"/>
      <c r="I860" s="1783"/>
      <c r="J860" s="1783"/>
      <c r="K860" s="1783"/>
      <c r="L860" s="1783"/>
      <c r="M860" s="1783"/>
      <c r="N860" s="1783"/>
      <c r="O860" s="1783"/>
      <c r="P860" s="1783"/>
      <c r="Q860" s="1783"/>
      <c r="R860" s="1783"/>
      <c r="S860" s="1783"/>
      <c r="T860" s="1783"/>
      <c r="U860" s="1783"/>
      <c r="V860" s="1783"/>
      <c r="W860" s="1783"/>
      <c r="X860" s="1783"/>
      <c r="Y860" s="1783"/>
      <c r="Z860" s="1783"/>
      <c r="AA860" s="1783"/>
      <c r="AB860" s="1783"/>
      <c r="AC860" s="1783"/>
      <c r="AD860" s="1783"/>
      <c r="AE860" s="1783"/>
      <c r="AF860" s="1783"/>
      <c r="AG860" s="1783"/>
      <c r="AH860" s="1783"/>
      <c r="AI860" s="1783"/>
      <c r="AJ860" s="1783"/>
      <c r="AK860" s="1783"/>
      <c r="AL860" s="1783"/>
      <c r="AM860" s="1783"/>
      <c r="AN860" s="1783"/>
      <c r="AO860" s="1783"/>
      <c r="AP860" s="1783"/>
      <c r="AQ860" s="1783"/>
      <c r="AR860" s="1783"/>
      <c r="AS860" s="1783"/>
      <c r="AT860" s="1783"/>
      <c r="AU860" s="1783"/>
      <c r="AV860" s="1783"/>
      <c r="AW860" s="1783"/>
      <c r="AX860" s="1783"/>
      <c r="AY860" s="1783"/>
      <c r="AZ860" s="1783"/>
      <c r="BA860" s="1783"/>
      <c r="BB860" s="1783"/>
      <c r="BC860" s="1783"/>
      <c r="BD860" s="1783"/>
      <c r="BE860" s="1783"/>
      <c r="BF860" s="1783"/>
      <c r="BG860" s="1783"/>
      <c r="BH860" s="1783"/>
      <c r="BI860" s="1783"/>
    </row>
    <row r="861" spans="1:61">
      <c r="A861" s="1819"/>
      <c r="B861" s="1818"/>
      <c r="C861" s="1818"/>
      <c r="D861" s="1818"/>
      <c r="E861" s="1818"/>
      <c r="F861" s="1818"/>
      <c r="G861" s="1818"/>
      <c r="H861" s="1783"/>
      <c r="I861" s="1783"/>
      <c r="J861" s="1783"/>
      <c r="K861" s="1783"/>
      <c r="L861" s="1783"/>
      <c r="M861" s="1783"/>
      <c r="N861" s="1783"/>
      <c r="O861" s="1783"/>
      <c r="P861" s="1783"/>
      <c r="Q861" s="1783"/>
      <c r="R861" s="1783"/>
      <c r="S861" s="1783"/>
      <c r="T861" s="1783"/>
      <c r="U861" s="1783"/>
      <c r="V861" s="1783"/>
      <c r="W861" s="1783"/>
      <c r="X861" s="1783"/>
      <c r="Y861" s="1783"/>
      <c r="Z861" s="1783"/>
      <c r="AA861" s="1783"/>
      <c r="AB861" s="1783"/>
      <c r="AC861" s="1783"/>
      <c r="AD861" s="1783"/>
      <c r="AE861" s="1783"/>
      <c r="AF861" s="1783"/>
      <c r="AG861" s="1783"/>
      <c r="AH861" s="1783"/>
      <c r="AI861" s="1783"/>
      <c r="AJ861" s="1783"/>
      <c r="AK861" s="1783"/>
      <c r="AL861" s="1783"/>
      <c r="AM861" s="1783"/>
      <c r="AN861" s="1783"/>
      <c r="AO861" s="1783"/>
      <c r="AP861" s="1783"/>
      <c r="AQ861" s="1783"/>
      <c r="AR861" s="1783"/>
      <c r="AS861" s="1783"/>
      <c r="AT861" s="1783"/>
      <c r="AU861" s="1783"/>
      <c r="AV861" s="1783"/>
      <c r="AW861" s="1783"/>
      <c r="AX861" s="1783"/>
      <c r="AY861" s="1783"/>
      <c r="AZ861" s="1783"/>
      <c r="BA861" s="1783"/>
      <c r="BB861" s="1783"/>
      <c r="BC861" s="1783"/>
      <c r="BD861" s="1783"/>
      <c r="BE861" s="1783"/>
      <c r="BF861" s="1783"/>
      <c r="BG861" s="1783"/>
      <c r="BH861" s="1783"/>
      <c r="BI861" s="1783"/>
    </row>
    <row r="862" spans="1:61">
      <c r="A862" s="1819"/>
      <c r="B862" s="1818"/>
      <c r="C862" s="1818"/>
      <c r="D862" s="1818"/>
      <c r="E862" s="1818"/>
      <c r="F862" s="1818"/>
      <c r="G862" s="1818"/>
      <c r="H862" s="1783"/>
      <c r="I862" s="1783"/>
      <c r="J862" s="1783"/>
      <c r="K862" s="1783"/>
      <c r="L862" s="1783"/>
      <c r="M862" s="1783"/>
      <c r="N862" s="1783"/>
      <c r="O862" s="1783"/>
      <c r="P862" s="1783"/>
      <c r="Q862" s="1783"/>
      <c r="R862" s="1783"/>
      <c r="S862" s="1783"/>
      <c r="T862" s="1783"/>
      <c r="U862" s="1783"/>
      <c r="V862" s="1783"/>
      <c r="W862" s="1783"/>
      <c r="X862" s="1783"/>
      <c r="Y862" s="1783"/>
      <c r="Z862" s="1783"/>
      <c r="AA862" s="1783"/>
      <c r="AB862" s="1783"/>
      <c r="AC862" s="1783"/>
      <c r="AD862" s="1783"/>
      <c r="AE862" s="1783"/>
      <c r="AF862" s="1783"/>
      <c r="AG862" s="1783"/>
      <c r="AH862" s="1783"/>
      <c r="AI862" s="1783"/>
      <c r="AJ862" s="1783"/>
      <c r="AK862" s="1783"/>
      <c r="AL862" s="1783"/>
      <c r="AM862" s="1783"/>
      <c r="AN862" s="1783"/>
      <c r="AO862" s="1783"/>
      <c r="AP862" s="1783"/>
      <c r="AQ862" s="1783"/>
      <c r="AR862" s="1783"/>
      <c r="AS862" s="1783"/>
      <c r="AT862" s="1783"/>
      <c r="AU862" s="1783"/>
      <c r="AV862" s="1783"/>
      <c r="AW862" s="1783"/>
      <c r="AX862" s="1783"/>
      <c r="AY862" s="1783"/>
      <c r="AZ862" s="1783"/>
      <c r="BA862" s="1783"/>
      <c r="BB862" s="1783"/>
      <c r="BC862" s="1783"/>
      <c r="BD862" s="1783"/>
      <c r="BE862" s="1783"/>
      <c r="BF862" s="1783"/>
      <c r="BG862" s="1783"/>
      <c r="BH862" s="1783"/>
      <c r="BI862" s="1783"/>
    </row>
    <row r="863" spans="1:61">
      <c r="A863" s="1819"/>
      <c r="B863" s="1818"/>
      <c r="C863" s="1818"/>
      <c r="D863" s="1818"/>
      <c r="E863" s="1818"/>
      <c r="F863" s="1818"/>
      <c r="G863" s="1818"/>
      <c r="H863" s="1783"/>
      <c r="I863" s="1783"/>
      <c r="J863" s="1783"/>
      <c r="K863" s="1783"/>
      <c r="L863" s="1783"/>
      <c r="M863" s="1783"/>
      <c r="N863" s="1783"/>
      <c r="O863" s="1783"/>
      <c r="P863" s="1783"/>
      <c r="Q863" s="1783"/>
      <c r="R863" s="1783"/>
      <c r="S863" s="1783"/>
      <c r="T863" s="1783"/>
      <c r="U863" s="1783"/>
      <c r="V863" s="1783"/>
      <c r="W863" s="1783"/>
      <c r="X863" s="1783"/>
      <c r="Y863" s="1783"/>
      <c r="Z863" s="1783"/>
      <c r="AA863" s="1783"/>
      <c r="AB863" s="1783"/>
      <c r="AC863" s="1783"/>
      <c r="AD863" s="1783"/>
      <c r="AE863" s="1783"/>
      <c r="AF863" s="1783"/>
      <c r="AG863" s="1783"/>
      <c r="AH863" s="1783"/>
      <c r="AI863" s="1783"/>
      <c r="AJ863" s="1783"/>
      <c r="AK863" s="1783"/>
      <c r="AL863" s="1783"/>
      <c r="AM863" s="1783"/>
      <c r="AN863" s="1783"/>
      <c r="AO863" s="1783"/>
      <c r="AP863" s="1783"/>
      <c r="AQ863" s="1783"/>
      <c r="AR863" s="1783"/>
      <c r="AS863" s="1783"/>
      <c r="AT863" s="1783"/>
      <c r="AU863" s="1783"/>
      <c r="AV863" s="1783"/>
      <c r="AW863" s="1783"/>
      <c r="AX863" s="1783"/>
      <c r="AY863" s="1783"/>
      <c r="AZ863" s="1783"/>
      <c r="BA863" s="1783"/>
      <c r="BB863" s="1783"/>
      <c r="BC863" s="1783"/>
      <c r="BD863" s="1783"/>
      <c r="BE863" s="1783"/>
      <c r="BF863" s="1783"/>
      <c r="BG863" s="1783"/>
      <c r="BH863" s="1783"/>
      <c r="BI863" s="1783"/>
    </row>
    <row r="864" spans="1:61">
      <c r="A864" s="1819"/>
      <c r="B864" s="1818"/>
      <c r="C864" s="1818"/>
      <c r="D864" s="1818"/>
      <c r="E864" s="1818"/>
      <c r="F864" s="1818"/>
      <c r="G864" s="1818"/>
      <c r="H864" s="1783"/>
      <c r="I864" s="1783"/>
      <c r="J864" s="1783"/>
      <c r="K864" s="1783"/>
      <c r="L864" s="1783"/>
      <c r="M864" s="1783"/>
      <c r="N864" s="1783"/>
      <c r="O864" s="1783"/>
      <c r="P864" s="1783"/>
      <c r="Q864" s="1783"/>
      <c r="R864" s="1783"/>
      <c r="S864" s="1783"/>
      <c r="T864" s="1783"/>
      <c r="U864" s="1783"/>
      <c r="V864" s="1783"/>
      <c r="W864" s="1783"/>
      <c r="X864" s="1783"/>
      <c r="Y864" s="1783"/>
      <c r="Z864" s="1783"/>
      <c r="AA864" s="1783"/>
      <c r="AB864" s="1783"/>
      <c r="AC864" s="1783"/>
      <c r="AD864" s="1783"/>
      <c r="AE864" s="1783"/>
      <c r="AF864" s="1783"/>
      <c r="AG864" s="1783"/>
      <c r="AH864" s="1783"/>
      <c r="AI864" s="1783"/>
      <c r="AJ864" s="1783"/>
      <c r="AK864" s="1783"/>
      <c r="AL864" s="1783"/>
      <c r="AM864" s="1783"/>
      <c r="AN864" s="1783"/>
      <c r="AO864" s="1783"/>
      <c r="AP864" s="1783"/>
      <c r="AQ864" s="1783"/>
      <c r="AR864" s="1783"/>
      <c r="AS864" s="1783"/>
      <c r="AT864" s="1783"/>
      <c r="AU864" s="1783"/>
      <c r="AV864" s="1783"/>
      <c r="AW864" s="1783"/>
      <c r="AX864" s="1783"/>
      <c r="AY864" s="1783"/>
      <c r="AZ864" s="1783"/>
      <c r="BA864" s="1783"/>
      <c r="BB864" s="1783"/>
      <c r="BC864" s="1783"/>
      <c r="BD864" s="1783"/>
      <c r="BE864" s="1783"/>
      <c r="BF864" s="1783"/>
      <c r="BG864" s="1783"/>
      <c r="BH864" s="1783"/>
      <c r="BI864" s="1783"/>
    </row>
    <row r="865" spans="1:61">
      <c r="A865" s="1819"/>
      <c r="B865" s="1818"/>
      <c r="C865" s="1818"/>
      <c r="D865" s="1818"/>
      <c r="E865" s="1818"/>
      <c r="F865" s="1818"/>
      <c r="G865" s="1818"/>
      <c r="H865" s="1783"/>
      <c r="I865" s="1783"/>
      <c r="J865" s="1783"/>
      <c r="K865" s="1783"/>
      <c r="L865" s="1783"/>
      <c r="M865" s="1783"/>
      <c r="N865" s="1783"/>
      <c r="O865" s="1783"/>
      <c r="P865" s="1783"/>
      <c r="Q865" s="1783"/>
      <c r="R865" s="1783"/>
      <c r="S865" s="1783"/>
      <c r="T865" s="1783"/>
      <c r="U865" s="1783"/>
      <c r="V865" s="1783"/>
      <c r="W865" s="1783"/>
      <c r="X865" s="1783"/>
      <c r="Y865" s="1783"/>
      <c r="Z865" s="1783"/>
      <c r="AA865" s="1783"/>
      <c r="AB865" s="1783"/>
      <c r="AC865" s="1783"/>
      <c r="AD865" s="1783"/>
      <c r="AE865" s="1783"/>
      <c r="AF865" s="1783"/>
      <c r="AG865" s="1783"/>
      <c r="AH865" s="1783"/>
      <c r="AI865" s="1783"/>
      <c r="AJ865" s="1783"/>
      <c r="AK865" s="1783"/>
      <c r="AL865" s="1783"/>
      <c r="AM865" s="1783"/>
      <c r="AN865" s="1783"/>
      <c r="AO865" s="1783"/>
      <c r="AP865" s="1783"/>
      <c r="AQ865" s="1783"/>
      <c r="AR865" s="1783"/>
      <c r="AS865" s="1783"/>
      <c r="AT865" s="1783"/>
      <c r="AU865" s="1783"/>
      <c r="AV865" s="1783"/>
      <c r="AW865" s="1783"/>
      <c r="AX865" s="1783"/>
      <c r="AY865" s="1783"/>
      <c r="AZ865" s="1783"/>
      <c r="BA865" s="1783"/>
      <c r="BB865" s="1783"/>
      <c r="BC865" s="1783"/>
      <c r="BD865" s="1783"/>
      <c r="BE865" s="1783"/>
      <c r="BF865" s="1783"/>
      <c r="BG865" s="1783"/>
      <c r="BH865" s="1783"/>
      <c r="BI865" s="1783"/>
    </row>
    <row r="866" spans="1:61">
      <c r="A866" s="1819"/>
      <c r="B866" s="1818"/>
      <c r="C866" s="1818"/>
      <c r="D866" s="1818"/>
      <c r="E866" s="1818"/>
      <c r="F866" s="1818"/>
      <c r="G866" s="1818"/>
      <c r="H866" s="1783"/>
      <c r="I866" s="1783"/>
      <c r="J866" s="1783"/>
      <c r="K866" s="1783"/>
      <c r="L866" s="1783"/>
      <c r="M866" s="1783"/>
      <c r="N866" s="1783"/>
      <c r="O866" s="1783"/>
      <c r="P866" s="1783"/>
      <c r="Q866" s="1783"/>
      <c r="R866" s="1783"/>
      <c r="S866" s="1783"/>
      <c r="T866" s="1783"/>
      <c r="U866" s="1783"/>
      <c r="V866" s="1783"/>
      <c r="W866" s="1783"/>
      <c r="X866" s="1783"/>
      <c r="Y866" s="1783"/>
      <c r="Z866" s="1783"/>
      <c r="AA866" s="1783"/>
      <c r="AB866" s="1783"/>
      <c r="AC866" s="1783"/>
      <c r="AD866" s="1783"/>
      <c r="AE866" s="1783"/>
      <c r="AF866" s="1783"/>
      <c r="AG866" s="1783"/>
      <c r="AH866" s="1783"/>
      <c r="AI866" s="1783"/>
      <c r="AJ866" s="1783"/>
      <c r="AK866" s="1783"/>
      <c r="AL866" s="1783"/>
      <c r="AM866" s="1783"/>
      <c r="AN866" s="1783"/>
      <c r="AO866" s="1783"/>
      <c r="AP866" s="1783"/>
      <c r="AQ866" s="1783"/>
      <c r="AR866" s="1783"/>
      <c r="AS866" s="1783"/>
      <c r="AT866" s="1783"/>
      <c r="AU866" s="1783"/>
      <c r="AV866" s="1783"/>
      <c r="AW866" s="1783"/>
      <c r="AX866" s="1783"/>
      <c r="AY866" s="1783"/>
      <c r="AZ866" s="1783"/>
      <c r="BA866" s="1783"/>
      <c r="BB866" s="1783"/>
      <c r="BC866" s="1783"/>
      <c r="BD866" s="1783"/>
      <c r="BE866" s="1783"/>
      <c r="BF866" s="1783"/>
      <c r="BG866" s="1783"/>
      <c r="BH866" s="1783"/>
      <c r="BI866" s="1783"/>
    </row>
    <row r="867" spans="1:61">
      <c r="A867" s="1819"/>
      <c r="B867" s="1818"/>
      <c r="C867" s="1818"/>
      <c r="D867" s="1818"/>
      <c r="E867" s="1818"/>
      <c r="F867" s="1818"/>
      <c r="G867" s="1818"/>
      <c r="H867" s="1783"/>
      <c r="I867" s="1783"/>
      <c r="J867" s="1783"/>
      <c r="K867" s="1783"/>
      <c r="L867" s="1783"/>
      <c r="M867" s="1783"/>
      <c r="N867" s="1783"/>
      <c r="O867" s="1783"/>
      <c r="P867" s="1783"/>
      <c r="Q867" s="1783"/>
      <c r="R867" s="1783"/>
      <c r="S867" s="1783"/>
      <c r="T867" s="1783"/>
      <c r="U867" s="1783"/>
      <c r="V867" s="1783"/>
      <c r="W867" s="1783"/>
      <c r="X867" s="1783"/>
      <c r="Y867" s="1783"/>
      <c r="Z867" s="1783"/>
      <c r="AA867" s="1783"/>
      <c r="AB867" s="1783"/>
      <c r="AC867" s="1783"/>
      <c r="AD867" s="1783"/>
      <c r="AE867" s="1783"/>
      <c r="AF867" s="1783"/>
      <c r="AG867" s="1783"/>
      <c r="AH867" s="1783"/>
      <c r="AI867" s="1783"/>
      <c r="AJ867" s="1783"/>
      <c r="AK867" s="1783"/>
      <c r="AL867" s="1783"/>
      <c r="AM867" s="1783"/>
      <c r="AN867" s="1783"/>
      <c r="AO867" s="1783"/>
      <c r="AP867" s="1783"/>
      <c r="AQ867" s="1783"/>
      <c r="AR867" s="1783"/>
      <c r="AS867" s="1783"/>
      <c r="AT867" s="1783"/>
      <c r="AU867" s="1783"/>
      <c r="AV867" s="1783"/>
      <c r="AW867" s="1783"/>
      <c r="AX867" s="1783"/>
      <c r="AY867" s="1783"/>
      <c r="AZ867" s="1783"/>
      <c r="BA867" s="1783"/>
      <c r="BB867" s="1783"/>
      <c r="BC867" s="1783"/>
      <c r="BD867" s="1783"/>
      <c r="BE867" s="1783"/>
      <c r="BF867" s="1783"/>
      <c r="BG867" s="1783"/>
      <c r="BH867" s="1783"/>
      <c r="BI867" s="1783"/>
    </row>
    <row r="868" spans="1:61">
      <c r="A868" s="1819"/>
      <c r="B868" s="1818"/>
      <c r="C868" s="1818"/>
      <c r="D868" s="1818"/>
      <c r="E868" s="1818"/>
      <c r="F868" s="1818"/>
      <c r="G868" s="1818"/>
      <c r="H868" s="1783"/>
      <c r="I868" s="1783"/>
      <c r="J868" s="1783"/>
      <c r="K868" s="1783"/>
      <c r="L868" s="1783"/>
      <c r="M868" s="1783"/>
      <c r="N868" s="1783"/>
      <c r="O868" s="1783"/>
      <c r="P868" s="1783"/>
      <c r="Q868" s="1783"/>
      <c r="R868" s="1783"/>
      <c r="S868" s="1783"/>
      <c r="T868" s="1783"/>
      <c r="U868" s="1783"/>
      <c r="V868" s="1783"/>
      <c r="W868" s="1783"/>
      <c r="X868" s="1783"/>
      <c r="Y868" s="1783"/>
      <c r="Z868" s="1783"/>
      <c r="AA868" s="1783"/>
      <c r="AB868" s="1783"/>
      <c r="AC868" s="1783"/>
      <c r="AD868" s="1783"/>
      <c r="AE868" s="1783"/>
      <c r="AF868" s="1783"/>
      <c r="AG868" s="1783"/>
      <c r="AH868" s="1783"/>
      <c r="AI868" s="1783"/>
      <c r="AJ868" s="1783"/>
      <c r="AK868" s="1783"/>
      <c r="AL868" s="1783"/>
      <c r="AM868" s="1783"/>
      <c r="AN868" s="1783"/>
      <c r="AO868" s="1783"/>
      <c r="AP868" s="1783"/>
      <c r="AQ868" s="1783"/>
      <c r="AR868" s="1783"/>
      <c r="AS868" s="1783"/>
      <c r="AT868" s="1783"/>
      <c r="AU868" s="1783"/>
      <c r="AV868" s="1783"/>
      <c r="AW868" s="1783"/>
      <c r="AX868" s="1783"/>
      <c r="AY868" s="1783"/>
      <c r="AZ868" s="1783"/>
      <c r="BA868" s="1783"/>
      <c r="BB868" s="1783"/>
      <c r="BC868" s="1783"/>
      <c r="BD868" s="1783"/>
      <c r="BE868" s="1783"/>
      <c r="BF868" s="1783"/>
      <c r="BG868" s="1783"/>
      <c r="BH868" s="1783"/>
      <c r="BI868" s="1783"/>
    </row>
    <row r="869" spans="1:61">
      <c r="A869" s="1819"/>
      <c r="B869" s="1818"/>
      <c r="C869" s="1818"/>
      <c r="D869" s="1818"/>
      <c r="E869" s="1818"/>
      <c r="F869" s="1818"/>
      <c r="G869" s="1818"/>
      <c r="H869" s="1783"/>
      <c r="I869" s="1783"/>
      <c r="J869" s="1783"/>
      <c r="K869" s="1783"/>
      <c r="L869" s="1783"/>
      <c r="M869" s="1783"/>
      <c r="N869" s="1783"/>
      <c r="O869" s="1783"/>
      <c r="P869" s="1783"/>
      <c r="Q869" s="1783"/>
      <c r="R869" s="1783"/>
      <c r="S869" s="1783"/>
      <c r="T869" s="1783"/>
      <c r="U869" s="1783"/>
      <c r="V869" s="1783"/>
      <c r="W869" s="1783"/>
      <c r="X869" s="1783"/>
      <c r="Y869" s="1783"/>
      <c r="Z869" s="1783"/>
      <c r="AA869" s="1783"/>
      <c r="AB869" s="1783"/>
      <c r="AC869" s="1783"/>
      <c r="AD869" s="1783"/>
      <c r="AE869" s="1783"/>
      <c r="AF869" s="1783"/>
      <c r="AG869" s="1783"/>
      <c r="AH869" s="1783"/>
      <c r="AI869" s="1783"/>
      <c r="AJ869" s="1783"/>
      <c r="AK869" s="1783"/>
      <c r="AL869" s="1783"/>
      <c r="AM869" s="1783"/>
      <c r="AN869" s="1783"/>
      <c r="AO869" s="1783"/>
      <c r="AP869" s="1783"/>
      <c r="AQ869" s="1783"/>
      <c r="AR869" s="1783"/>
      <c r="AS869" s="1783"/>
      <c r="AT869" s="1783"/>
      <c r="AU869" s="1783"/>
      <c r="AV869" s="1783"/>
      <c r="AW869" s="1783"/>
      <c r="AX869" s="1783"/>
      <c r="AY869" s="1783"/>
      <c r="AZ869" s="1783"/>
      <c r="BA869" s="1783"/>
      <c r="BB869" s="1783"/>
      <c r="BC869" s="1783"/>
      <c r="BD869" s="1783"/>
      <c r="BE869" s="1783"/>
      <c r="BF869" s="1783"/>
      <c r="BG869" s="1783"/>
      <c r="BH869" s="1783"/>
      <c r="BI869" s="1783"/>
    </row>
    <row r="870" spans="1:61">
      <c r="A870" s="1819"/>
      <c r="B870" s="1818"/>
      <c r="C870" s="1818"/>
      <c r="D870" s="1818"/>
      <c r="E870" s="1818"/>
      <c r="F870" s="1818"/>
      <c r="G870" s="1818"/>
      <c r="H870" s="1783"/>
      <c r="I870" s="1783"/>
      <c r="J870" s="1783"/>
      <c r="K870" s="1783"/>
      <c r="L870" s="1783"/>
      <c r="M870" s="1783"/>
      <c r="N870" s="1783"/>
      <c r="O870" s="1783"/>
      <c r="P870" s="1783"/>
      <c r="Q870" s="1783"/>
      <c r="R870" s="1783"/>
      <c r="S870" s="1783"/>
      <c r="T870" s="1783"/>
      <c r="U870" s="1783"/>
      <c r="V870" s="1783"/>
      <c r="W870" s="1783"/>
      <c r="X870" s="1783"/>
      <c r="Y870" s="1783"/>
      <c r="Z870" s="1783"/>
      <c r="AA870" s="1783"/>
      <c r="AB870" s="1783"/>
      <c r="AC870" s="1783"/>
      <c r="AD870" s="1783"/>
      <c r="AE870" s="1783"/>
      <c r="AF870" s="1783"/>
      <c r="AG870" s="1783"/>
      <c r="AH870" s="1783"/>
      <c r="AI870" s="1783"/>
      <c r="AJ870" s="1783"/>
      <c r="AK870" s="1783"/>
      <c r="AL870" s="1783"/>
      <c r="AM870" s="1783"/>
      <c r="AN870" s="1783"/>
      <c r="AO870" s="1783"/>
      <c r="AP870" s="1783"/>
      <c r="AQ870" s="1783"/>
      <c r="AR870" s="1783"/>
      <c r="AS870" s="1783"/>
      <c r="AT870" s="1783"/>
      <c r="AU870" s="1783"/>
      <c r="AV870" s="1783"/>
      <c r="AW870" s="1783"/>
      <c r="AX870" s="1783"/>
      <c r="AY870" s="1783"/>
      <c r="AZ870" s="1783"/>
      <c r="BA870" s="1783"/>
      <c r="BB870" s="1783"/>
      <c r="BC870" s="1783"/>
      <c r="BD870" s="1783"/>
      <c r="BE870" s="1783"/>
      <c r="BF870" s="1783"/>
      <c r="BG870" s="1783"/>
      <c r="BH870" s="1783"/>
      <c r="BI870" s="1783"/>
    </row>
    <row r="871" spans="1:61">
      <c r="A871" s="1819"/>
      <c r="B871" s="1818"/>
      <c r="C871" s="1818"/>
      <c r="D871" s="1818"/>
      <c r="E871" s="1818"/>
      <c r="F871" s="1818"/>
      <c r="G871" s="1818"/>
      <c r="H871" s="1783"/>
      <c r="I871" s="1783"/>
      <c r="J871" s="1783"/>
      <c r="K871" s="1783"/>
      <c r="L871" s="1783"/>
      <c r="M871" s="1783"/>
      <c r="N871" s="1783"/>
      <c r="O871" s="1783"/>
      <c r="P871" s="1783"/>
      <c r="Q871" s="1783"/>
      <c r="R871" s="1783"/>
      <c r="S871" s="1783"/>
      <c r="T871" s="1783"/>
      <c r="U871" s="1783"/>
      <c r="V871" s="1783"/>
      <c r="W871" s="1783"/>
      <c r="X871" s="1783"/>
      <c r="Y871" s="1783"/>
      <c r="Z871" s="1783"/>
      <c r="AA871" s="1783"/>
      <c r="AB871" s="1783"/>
      <c r="AC871" s="1783"/>
      <c r="AD871" s="1783"/>
      <c r="AE871" s="1783"/>
      <c r="AF871" s="1783"/>
      <c r="AG871" s="1783"/>
      <c r="AH871" s="1783"/>
      <c r="AI871" s="1783"/>
      <c r="AJ871" s="1783"/>
      <c r="AK871" s="1783"/>
      <c r="AL871" s="1783"/>
      <c r="AM871" s="1783"/>
      <c r="AN871" s="1783"/>
      <c r="AO871" s="1783"/>
      <c r="AP871" s="1783"/>
      <c r="AQ871" s="1783"/>
      <c r="AR871" s="1783"/>
      <c r="AS871" s="1783"/>
      <c r="AT871" s="1783"/>
      <c r="AU871" s="1783"/>
      <c r="AV871" s="1783"/>
      <c r="AW871" s="1783"/>
      <c r="AX871" s="1783"/>
      <c r="AY871" s="1783"/>
      <c r="AZ871" s="1783"/>
      <c r="BA871" s="1783"/>
      <c r="BB871" s="1783"/>
      <c r="BC871" s="1783"/>
      <c r="BD871" s="1783"/>
      <c r="BE871" s="1783"/>
      <c r="BF871" s="1783"/>
      <c r="BG871" s="1783"/>
      <c r="BH871" s="1783"/>
      <c r="BI871" s="1783"/>
    </row>
    <row r="872" spans="1:61">
      <c r="A872" s="1819"/>
      <c r="B872" s="1818"/>
      <c r="C872" s="1818"/>
      <c r="D872" s="1818"/>
      <c r="E872" s="1818"/>
      <c r="F872" s="1818"/>
      <c r="G872" s="1818"/>
      <c r="H872" s="1783"/>
      <c r="I872" s="1783"/>
      <c r="J872" s="1783"/>
      <c r="K872" s="1783"/>
      <c r="L872" s="1783"/>
      <c r="M872" s="1783"/>
      <c r="N872" s="1783"/>
      <c r="O872" s="1783"/>
      <c r="P872" s="1783"/>
      <c r="Q872" s="1783"/>
      <c r="R872" s="1783"/>
      <c r="S872" s="1783"/>
      <c r="T872" s="1783"/>
      <c r="U872" s="1783"/>
      <c r="V872" s="1783"/>
      <c r="W872" s="1783"/>
      <c r="X872" s="1783"/>
      <c r="Y872" s="1783"/>
      <c r="Z872" s="1783"/>
      <c r="AA872" s="1783"/>
      <c r="AB872" s="1783"/>
      <c r="AC872" s="1783"/>
      <c r="AD872" s="1783"/>
      <c r="AE872" s="1783"/>
      <c r="AF872" s="1783"/>
      <c r="AG872" s="1783"/>
      <c r="AH872" s="1783"/>
      <c r="AI872" s="1783"/>
      <c r="AJ872" s="1783"/>
      <c r="AK872" s="1783"/>
      <c r="AL872" s="1783"/>
      <c r="AM872" s="1783"/>
      <c r="AN872" s="1783"/>
      <c r="AO872" s="1783"/>
      <c r="AP872" s="1783"/>
      <c r="AQ872" s="1783"/>
      <c r="AR872" s="1783"/>
      <c r="AS872" s="1783"/>
      <c r="AT872" s="1783"/>
      <c r="AU872" s="1783"/>
      <c r="AV872" s="1783"/>
      <c r="AW872" s="1783"/>
      <c r="AX872" s="1783"/>
      <c r="AY872" s="1783"/>
      <c r="AZ872" s="1783"/>
      <c r="BA872" s="1783"/>
      <c r="BB872" s="1783"/>
      <c r="BC872" s="1783"/>
      <c r="BD872" s="1783"/>
      <c r="BE872" s="1783"/>
      <c r="BF872" s="1783"/>
      <c r="BG872" s="1783"/>
      <c r="BH872" s="1783"/>
      <c r="BI872" s="1783"/>
    </row>
    <row r="873" spans="1:61">
      <c r="A873" s="1819"/>
      <c r="B873" s="1818"/>
      <c r="C873" s="1818"/>
      <c r="D873" s="1818"/>
      <c r="E873" s="1818"/>
      <c r="F873" s="1818"/>
      <c r="G873" s="1818"/>
      <c r="H873" s="1783"/>
      <c r="I873" s="1783"/>
      <c r="J873" s="1783"/>
      <c r="K873" s="1783"/>
      <c r="L873" s="1783"/>
      <c r="M873" s="1783"/>
      <c r="N873" s="1783"/>
      <c r="O873" s="1783"/>
      <c r="P873" s="1783"/>
      <c r="Q873" s="1783"/>
      <c r="R873" s="1783"/>
      <c r="S873" s="1783"/>
      <c r="T873" s="1783"/>
      <c r="U873" s="1783"/>
      <c r="V873" s="1783"/>
      <c r="W873" s="1783"/>
      <c r="X873" s="1783"/>
      <c r="Y873" s="1783"/>
      <c r="Z873" s="1783"/>
      <c r="AA873" s="1783"/>
      <c r="AB873" s="1783"/>
      <c r="AC873" s="1783"/>
      <c r="AD873" s="1783"/>
      <c r="AE873" s="1783"/>
      <c r="AF873" s="1783"/>
      <c r="AG873" s="1783"/>
      <c r="AH873" s="1783"/>
      <c r="AI873" s="1783"/>
      <c r="AJ873" s="1783"/>
      <c r="AK873" s="1783"/>
      <c r="AL873" s="1783"/>
      <c r="AM873" s="1783"/>
      <c r="AN873" s="1783"/>
      <c r="AO873" s="1783"/>
      <c r="AP873" s="1783"/>
      <c r="AQ873" s="1783"/>
      <c r="AR873" s="1783"/>
      <c r="AS873" s="1783"/>
      <c r="AT873" s="1783"/>
      <c r="AU873" s="1783"/>
      <c r="AV873" s="1783"/>
      <c r="AW873" s="1783"/>
      <c r="AX873" s="1783"/>
      <c r="AY873" s="1783"/>
      <c r="AZ873" s="1783"/>
      <c r="BA873" s="1783"/>
      <c r="BB873" s="1783"/>
      <c r="BC873" s="1783"/>
      <c r="BD873" s="1783"/>
      <c r="BE873" s="1783"/>
      <c r="BF873" s="1783"/>
      <c r="BG873" s="1783"/>
      <c r="BH873" s="1783"/>
      <c r="BI873" s="1783"/>
    </row>
    <row r="874" spans="1:61">
      <c r="A874" s="1819"/>
      <c r="B874" s="1818"/>
      <c r="C874" s="1818"/>
      <c r="D874" s="1818"/>
      <c r="E874" s="1818"/>
      <c r="F874" s="1818"/>
      <c r="G874" s="1818"/>
      <c r="H874" s="1783"/>
      <c r="I874" s="1783"/>
      <c r="J874" s="1783"/>
      <c r="K874" s="1783"/>
      <c r="L874" s="1783"/>
      <c r="M874" s="1783"/>
      <c r="N874" s="1783"/>
      <c r="O874" s="1783"/>
      <c r="P874" s="1783"/>
      <c r="Q874" s="1783"/>
      <c r="R874" s="1783"/>
      <c r="S874" s="1783"/>
      <c r="T874" s="1783"/>
      <c r="U874" s="1783"/>
      <c r="V874" s="1783"/>
      <c r="W874" s="1783"/>
      <c r="X874" s="1783"/>
      <c r="Y874" s="1783"/>
      <c r="Z874" s="1783"/>
      <c r="AA874" s="1783"/>
      <c r="AB874" s="1783"/>
      <c r="AC874" s="1783"/>
      <c r="AD874" s="1783"/>
      <c r="AE874" s="1783"/>
      <c r="AF874" s="1783"/>
      <c r="AG874" s="1783"/>
      <c r="AH874" s="1783"/>
      <c r="AI874" s="1783"/>
      <c r="AJ874" s="1783"/>
      <c r="AK874" s="1783"/>
      <c r="AL874" s="1783"/>
      <c r="AM874" s="1783"/>
      <c r="AN874" s="1783"/>
      <c r="AO874" s="1783"/>
      <c r="AP874" s="1783"/>
      <c r="AQ874" s="1783"/>
      <c r="AR874" s="1783"/>
      <c r="AS874" s="1783"/>
      <c r="AT874" s="1783"/>
      <c r="AU874" s="1783"/>
      <c r="AV874" s="1783"/>
      <c r="AW874" s="1783"/>
      <c r="AX874" s="1783"/>
      <c r="AY874" s="1783"/>
      <c r="AZ874" s="1783"/>
      <c r="BA874" s="1783"/>
      <c r="BB874" s="1783"/>
      <c r="BC874" s="1783"/>
      <c r="BD874" s="1783"/>
      <c r="BE874" s="1783"/>
      <c r="BF874" s="1783"/>
      <c r="BG874" s="1783"/>
      <c r="BH874" s="1783"/>
      <c r="BI874" s="1783"/>
    </row>
    <row r="875" spans="1:61">
      <c r="A875" s="1819"/>
      <c r="B875" s="1818"/>
      <c r="C875" s="1818"/>
      <c r="D875" s="1818"/>
      <c r="E875" s="1818"/>
      <c r="F875" s="1818"/>
      <c r="G875" s="1818"/>
      <c r="H875" s="1783"/>
      <c r="I875" s="1783"/>
      <c r="J875" s="1783"/>
      <c r="K875" s="1783"/>
      <c r="L875" s="1783"/>
      <c r="M875" s="1783"/>
      <c r="N875" s="1783"/>
      <c r="O875" s="1783"/>
      <c r="P875" s="1783"/>
      <c r="Q875" s="1783"/>
      <c r="R875" s="1783"/>
      <c r="S875" s="1783"/>
      <c r="T875" s="1783"/>
      <c r="U875" s="1783"/>
      <c r="V875" s="1783"/>
      <c r="W875" s="1783"/>
      <c r="X875" s="1783"/>
      <c r="Y875" s="1783"/>
      <c r="Z875" s="1783"/>
      <c r="AA875" s="1783"/>
      <c r="AB875" s="1783"/>
      <c r="AC875" s="1783"/>
      <c r="AD875" s="1783"/>
      <c r="AE875" s="1783"/>
      <c r="AF875" s="1783"/>
      <c r="AG875" s="1783"/>
      <c r="AH875" s="1783"/>
      <c r="AI875" s="1783"/>
      <c r="AJ875" s="1783"/>
      <c r="AK875" s="1783"/>
      <c r="AL875" s="1783"/>
      <c r="AM875" s="1783"/>
      <c r="AN875" s="1783"/>
      <c r="AO875" s="1783"/>
      <c r="AP875" s="1783"/>
      <c r="AQ875" s="1783"/>
      <c r="AR875" s="1783"/>
      <c r="AS875" s="1783"/>
      <c r="AT875" s="1783"/>
      <c r="AU875" s="1783"/>
      <c r="AV875" s="1783"/>
      <c r="AW875" s="1783"/>
      <c r="AX875" s="1783"/>
      <c r="AY875" s="1783"/>
      <c r="AZ875" s="1783"/>
      <c r="BA875" s="1783"/>
      <c r="BB875" s="1783"/>
      <c r="BC875" s="1783"/>
      <c r="BD875" s="1783"/>
      <c r="BE875" s="1783"/>
      <c r="BF875" s="1783"/>
      <c r="BG875" s="1783"/>
      <c r="BH875" s="1783"/>
      <c r="BI875" s="1783"/>
    </row>
    <row r="876" spans="1:61">
      <c r="A876" s="1819"/>
      <c r="B876" s="1818"/>
      <c r="C876" s="1818"/>
      <c r="D876" s="1818"/>
      <c r="E876" s="1818"/>
      <c r="F876" s="1818"/>
      <c r="G876" s="1818"/>
      <c r="H876" s="1783"/>
      <c r="I876" s="1783"/>
      <c r="J876" s="1783"/>
      <c r="K876" s="1783"/>
      <c r="L876" s="1783"/>
      <c r="M876" s="1783"/>
      <c r="N876" s="1783"/>
      <c r="O876" s="1783"/>
      <c r="P876" s="1783"/>
      <c r="Q876" s="1783"/>
      <c r="R876" s="1783"/>
      <c r="S876" s="1783"/>
      <c r="T876" s="1783"/>
      <c r="U876" s="1783"/>
      <c r="V876" s="1783"/>
      <c r="W876" s="1783"/>
      <c r="X876" s="1783"/>
      <c r="Y876" s="1783"/>
      <c r="Z876" s="1783"/>
      <c r="AA876" s="1783"/>
      <c r="AB876" s="1783"/>
      <c r="AC876" s="1783"/>
      <c r="AD876" s="1783"/>
      <c r="AE876" s="1783"/>
      <c r="AF876" s="1783"/>
      <c r="AG876" s="1783"/>
      <c r="AH876" s="1783"/>
      <c r="AI876" s="1783"/>
      <c r="AJ876" s="1783"/>
      <c r="AK876" s="1783"/>
      <c r="AL876" s="1783"/>
      <c r="AM876" s="1783"/>
      <c r="AN876" s="1783"/>
      <c r="AO876" s="1783"/>
      <c r="AP876" s="1783"/>
      <c r="AQ876" s="1783"/>
      <c r="AR876" s="1783"/>
      <c r="AS876" s="1783"/>
      <c r="AT876" s="1783"/>
      <c r="AU876" s="1783"/>
      <c r="AV876" s="1783"/>
      <c r="AW876" s="1783"/>
      <c r="AX876" s="1783"/>
      <c r="AY876" s="1783"/>
      <c r="AZ876" s="1783"/>
      <c r="BA876" s="1783"/>
      <c r="BB876" s="1783"/>
      <c r="BC876" s="1783"/>
      <c r="BD876" s="1783"/>
      <c r="BE876" s="1783"/>
      <c r="BF876" s="1783"/>
      <c r="BG876" s="1783"/>
      <c r="BH876" s="1783"/>
      <c r="BI876" s="1783"/>
    </row>
    <row r="877" spans="1:61">
      <c r="A877" s="1819"/>
      <c r="B877" s="1818"/>
      <c r="C877" s="1818"/>
      <c r="D877" s="1818"/>
      <c r="E877" s="1818"/>
      <c r="F877" s="1818"/>
      <c r="G877" s="1818"/>
      <c r="H877" s="1783"/>
      <c r="I877" s="1783"/>
      <c r="J877" s="1783"/>
      <c r="K877" s="1783"/>
      <c r="L877" s="1783"/>
      <c r="M877" s="1783"/>
      <c r="N877" s="1783"/>
      <c r="O877" s="1783"/>
      <c r="P877" s="1783"/>
      <c r="Q877" s="1783"/>
      <c r="R877" s="1783"/>
      <c r="S877" s="1783"/>
      <c r="T877" s="1783"/>
      <c r="U877" s="1783"/>
      <c r="V877" s="1783"/>
      <c r="W877" s="1783"/>
      <c r="X877" s="1783"/>
      <c r="Y877" s="1783"/>
      <c r="Z877" s="1783"/>
      <c r="AA877" s="1783"/>
      <c r="AB877" s="1783"/>
      <c r="AC877" s="1783"/>
      <c r="AD877" s="1783"/>
      <c r="AE877" s="1783"/>
      <c r="AF877" s="1783"/>
      <c r="AG877" s="1783"/>
      <c r="AH877" s="1783"/>
      <c r="AI877" s="1783"/>
      <c r="AJ877" s="1783"/>
      <c r="AK877" s="1783"/>
      <c r="AL877" s="1783"/>
      <c r="AM877" s="1783"/>
      <c r="AN877" s="1783"/>
      <c r="AO877" s="1783"/>
      <c r="AP877" s="1783"/>
      <c r="AQ877" s="1783"/>
      <c r="AR877" s="1783"/>
      <c r="AS877" s="1783"/>
      <c r="AT877" s="1783"/>
      <c r="AU877" s="1783"/>
      <c r="AV877" s="1783"/>
      <c r="AW877" s="1783"/>
      <c r="AX877" s="1783"/>
      <c r="AY877" s="1783"/>
      <c r="AZ877" s="1783"/>
      <c r="BA877" s="1783"/>
      <c r="BB877" s="1783"/>
      <c r="BC877" s="1783"/>
      <c r="BD877" s="1783"/>
      <c r="BE877" s="1783"/>
      <c r="BF877" s="1783"/>
      <c r="BG877" s="1783"/>
      <c r="BH877" s="1783"/>
      <c r="BI877" s="1783"/>
    </row>
    <row r="878" spans="1:61">
      <c r="A878" s="1819"/>
      <c r="B878" s="1818"/>
      <c r="C878" s="1818"/>
      <c r="D878" s="1818"/>
      <c r="E878" s="1818"/>
      <c r="F878" s="1818"/>
      <c r="G878" s="1818"/>
      <c r="H878" s="1783"/>
      <c r="I878" s="1783"/>
      <c r="J878" s="1783"/>
      <c r="K878" s="1783"/>
      <c r="L878" s="1783"/>
      <c r="M878" s="1783"/>
      <c r="N878" s="1783"/>
      <c r="O878" s="1783"/>
      <c r="P878" s="1783"/>
      <c r="Q878" s="1783"/>
      <c r="R878" s="1783"/>
      <c r="S878" s="1783"/>
      <c r="T878" s="1783"/>
      <c r="U878" s="1783"/>
      <c r="V878" s="1783"/>
      <c r="W878" s="1783"/>
      <c r="X878" s="1783"/>
      <c r="Y878" s="1783"/>
      <c r="Z878" s="1783"/>
      <c r="AA878" s="1783"/>
      <c r="AB878" s="1783"/>
      <c r="AC878" s="1783"/>
      <c r="AD878" s="1783"/>
      <c r="AE878" s="1783"/>
      <c r="AF878" s="1783"/>
      <c r="AG878" s="1783"/>
      <c r="AH878" s="1783"/>
      <c r="AI878" s="1783"/>
      <c r="AJ878" s="1783"/>
      <c r="AK878" s="1783"/>
      <c r="AL878" s="1783"/>
      <c r="AM878" s="1783"/>
      <c r="AN878" s="1783"/>
      <c r="AO878" s="1783"/>
      <c r="AP878" s="1783"/>
      <c r="AQ878" s="1783"/>
      <c r="AR878" s="1783"/>
      <c r="AS878" s="1783"/>
      <c r="AT878" s="1783"/>
      <c r="AU878" s="1783"/>
      <c r="AV878" s="1783"/>
      <c r="AW878" s="1783"/>
      <c r="AX878" s="1783"/>
      <c r="AY878" s="1783"/>
      <c r="AZ878" s="1783"/>
      <c r="BA878" s="1783"/>
      <c r="BB878" s="1783"/>
      <c r="BC878" s="1783"/>
      <c r="BD878" s="1783"/>
      <c r="BE878" s="1783"/>
      <c r="BF878" s="1783"/>
      <c r="BG878" s="1783"/>
      <c r="BH878" s="1783"/>
      <c r="BI878" s="1783"/>
    </row>
    <row r="879" spans="1:61">
      <c r="A879" s="1819"/>
      <c r="B879" s="1818"/>
      <c r="C879" s="1818"/>
      <c r="D879" s="1818"/>
      <c r="E879" s="1818"/>
      <c r="F879" s="1818"/>
      <c r="G879" s="1818"/>
      <c r="H879" s="1783"/>
      <c r="I879" s="1783"/>
      <c r="J879" s="1783"/>
      <c r="K879" s="1783"/>
      <c r="L879" s="1783"/>
      <c r="M879" s="1783"/>
      <c r="N879" s="1783"/>
      <c r="O879" s="1783"/>
      <c r="P879" s="1783"/>
      <c r="Q879" s="1783"/>
      <c r="R879" s="1783"/>
      <c r="S879" s="1783"/>
      <c r="T879" s="1783"/>
      <c r="U879" s="1783"/>
      <c r="V879" s="1783"/>
      <c r="W879" s="1783"/>
      <c r="X879" s="1783"/>
      <c r="Y879" s="1783"/>
      <c r="Z879" s="1783"/>
      <c r="AA879" s="1783"/>
      <c r="AB879" s="1783"/>
      <c r="AC879" s="1783"/>
      <c r="AD879" s="1783"/>
      <c r="AE879" s="1783"/>
      <c r="AF879" s="1783"/>
      <c r="AG879" s="1783"/>
      <c r="AH879" s="1783"/>
      <c r="AI879" s="1783"/>
      <c r="AJ879" s="1783"/>
      <c r="AK879" s="1783"/>
      <c r="AL879" s="1783"/>
      <c r="AM879" s="1783"/>
      <c r="AN879" s="1783"/>
      <c r="AO879" s="1783"/>
      <c r="AP879" s="1783"/>
      <c r="AQ879" s="1783"/>
      <c r="AR879" s="1783"/>
      <c r="AS879" s="1783"/>
      <c r="AT879" s="1783"/>
      <c r="AU879" s="1783"/>
      <c r="AV879" s="1783"/>
      <c r="AW879" s="1783"/>
      <c r="AX879" s="1783"/>
      <c r="AY879" s="1783"/>
      <c r="AZ879" s="1783"/>
      <c r="BA879" s="1783"/>
      <c r="BB879" s="1783"/>
      <c r="BC879" s="1783"/>
      <c r="BD879" s="1783"/>
      <c r="BE879" s="1783"/>
      <c r="BF879" s="1783"/>
      <c r="BG879" s="1783"/>
      <c r="BH879" s="1783"/>
      <c r="BI879" s="1783"/>
    </row>
    <row r="880" spans="1:61">
      <c r="A880" s="1819"/>
      <c r="B880" s="1818"/>
      <c r="C880" s="1818"/>
      <c r="D880" s="1818"/>
      <c r="E880" s="1818"/>
      <c r="F880" s="1818"/>
      <c r="G880" s="1818"/>
      <c r="H880" s="1783"/>
      <c r="I880" s="1783"/>
      <c r="J880" s="1783"/>
      <c r="K880" s="1783"/>
      <c r="L880" s="1783"/>
      <c r="M880" s="1783"/>
      <c r="N880" s="1783"/>
      <c r="O880" s="1783"/>
      <c r="P880" s="1783"/>
      <c r="Q880" s="1783"/>
      <c r="R880" s="1783"/>
      <c r="S880" s="1783"/>
      <c r="T880" s="1783"/>
      <c r="U880" s="1783"/>
      <c r="V880" s="1783"/>
      <c r="W880" s="1783"/>
      <c r="X880" s="1783"/>
      <c r="Y880" s="1783"/>
      <c r="Z880" s="1783"/>
      <c r="AA880" s="1783"/>
      <c r="AB880" s="1783"/>
      <c r="AC880" s="1783"/>
      <c r="AD880" s="1783"/>
      <c r="AE880" s="1783"/>
      <c r="AF880" s="1783"/>
      <c r="AG880" s="1783"/>
      <c r="AH880" s="1783"/>
      <c r="AI880" s="1783"/>
      <c r="AJ880" s="1783"/>
      <c r="AK880" s="1783"/>
      <c r="AL880" s="1783"/>
      <c r="AM880" s="1783"/>
      <c r="AN880" s="1783"/>
      <c r="AO880" s="1783"/>
      <c r="AP880" s="1783"/>
      <c r="AQ880" s="1783"/>
      <c r="AR880" s="1783"/>
      <c r="AS880" s="1783"/>
      <c r="AT880" s="1783"/>
      <c r="AU880" s="1783"/>
      <c r="AV880" s="1783"/>
      <c r="AW880" s="1783"/>
      <c r="AX880" s="1783"/>
      <c r="AY880" s="1783"/>
      <c r="AZ880" s="1783"/>
      <c r="BA880" s="1783"/>
      <c r="BB880" s="1783"/>
      <c r="BC880" s="1783"/>
      <c r="BD880" s="1783"/>
      <c r="BE880" s="1783"/>
      <c r="BF880" s="1783"/>
      <c r="BG880" s="1783"/>
      <c r="BH880" s="1783"/>
      <c r="BI880" s="1783"/>
    </row>
    <row r="881" spans="1:61">
      <c r="A881" s="1819"/>
      <c r="B881" s="1818"/>
      <c r="C881" s="1818"/>
      <c r="D881" s="1818"/>
      <c r="E881" s="1818"/>
      <c r="F881" s="1818"/>
      <c r="G881" s="1818"/>
      <c r="H881" s="1783"/>
      <c r="I881" s="1783"/>
      <c r="J881" s="1783"/>
      <c r="K881" s="1783"/>
      <c r="L881" s="1783"/>
      <c r="M881" s="1783"/>
      <c r="N881" s="1783"/>
      <c r="O881" s="1783"/>
      <c r="P881" s="1783"/>
      <c r="Q881" s="1783"/>
      <c r="R881" s="1783"/>
      <c r="S881" s="1783"/>
      <c r="T881" s="1783"/>
      <c r="U881" s="1783"/>
      <c r="V881" s="1783"/>
      <c r="W881" s="1783"/>
      <c r="X881" s="1783"/>
      <c r="Y881" s="1783"/>
      <c r="Z881" s="1783"/>
      <c r="AA881" s="1783"/>
      <c r="AB881" s="1783"/>
      <c r="AC881" s="1783"/>
      <c r="AD881" s="1783"/>
      <c r="AE881" s="1783"/>
      <c r="AF881" s="1783"/>
      <c r="AG881" s="1783"/>
      <c r="AH881" s="1783"/>
      <c r="AI881" s="1783"/>
      <c r="AJ881" s="1783"/>
      <c r="AK881" s="1783"/>
      <c r="AL881" s="1783"/>
      <c r="AM881" s="1783"/>
      <c r="AN881" s="1783"/>
      <c r="AO881" s="1783"/>
      <c r="AP881" s="1783"/>
      <c r="AQ881" s="1783"/>
      <c r="AR881" s="1783"/>
      <c r="AS881" s="1783"/>
      <c r="AT881" s="1783"/>
      <c r="AU881" s="1783"/>
      <c r="AV881" s="1783"/>
      <c r="AW881" s="1783"/>
      <c r="AX881" s="1783"/>
      <c r="AY881" s="1783"/>
      <c r="AZ881" s="1783"/>
      <c r="BA881" s="1783"/>
      <c r="BB881" s="1783"/>
      <c r="BC881" s="1783"/>
      <c r="BD881" s="1783"/>
      <c r="BE881" s="1783"/>
      <c r="BF881" s="1783"/>
      <c r="BG881" s="1783"/>
      <c r="BH881" s="1783"/>
      <c r="BI881" s="1783"/>
    </row>
    <row r="882" spans="1:61">
      <c r="A882" s="1819"/>
      <c r="B882" s="1818"/>
      <c r="C882" s="1818"/>
      <c r="D882" s="1818"/>
      <c r="E882" s="1818"/>
      <c r="F882" s="1818"/>
      <c r="G882" s="1818"/>
      <c r="H882" s="1783"/>
      <c r="I882" s="1783"/>
      <c r="J882" s="1783"/>
      <c r="K882" s="1783"/>
      <c r="L882" s="1783"/>
      <c r="M882" s="1783"/>
      <c r="N882" s="1783"/>
      <c r="O882" s="1783"/>
      <c r="P882" s="1783"/>
      <c r="Q882" s="1783"/>
      <c r="R882" s="1783"/>
      <c r="S882" s="1783"/>
      <c r="T882" s="1783"/>
      <c r="U882" s="1783"/>
      <c r="V882" s="1783"/>
      <c r="W882" s="1783"/>
      <c r="X882" s="1783"/>
      <c r="Y882" s="1783"/>
      <c r="Z882" s="1783"/>
      <c r="AA882" s="1783"/>
      <c r="AB882" s="1783"/>
      <c r="AC882" s="1783"/>
      <c r="AD882" s="1783"/>
      <c r="AE882" s="1783"/>
      <c r="AF882" s="1783"/>
      <c r="AG882" s="1783"/>
      <c r="AH882" s="1783"/>
      <c r="AI882" s="1783"/>
      <c r="AJ882" s="1783"/>
      <c r="AK882" s="1783"/>
      <c r="AL882" s="1783"/>
      <c r="AM882" s="1783"/>
      <c r="AN882" s="1783"/>
      <c r="AO882" s="1783"/>
      <c r="AP882" s="1783"/>
      <c r="AQ882" s="1783"/>
      <c r="AR882" s="1783"/>
      <c r="AS882" s="1783"/>
      <c r="AT882" s="1783"/>
      <c r="AU882" s="1783"/>
      <c r="AV882" s="1783"/>
      <c r="AW882" s="1783"/>
      <c r="AX882" s="1783"/>
      <c r="AY882" s="1783"/>
      <c r="AZ882" s="1783"/>
      <c r="BA882" s="1783"/>
      <c r="BB882" s="1783"/>
      <c r="BC882" s="1783"/>
      <c r="BD882" s="1783"/>
      <c r="BE882" s="1783"/>
      <c r="BF882" s="1783"/>
      <c r="BG882" s="1783"/>
      <c r="BH882" s="1783"/>
      <c r="BI882" s="1783"/>
    </row>
    <row r="883" spans="1:61">
      <c r="A883" s="1819"/>
      <c r="B883" s="1818"/>
      <c r="C883" s="1818"/>
      <c r="D883" s="1818"/>
      <c r="E883" s="1818"/>
      <c r="F883" s="1818"/>
      <c r="G883" s="1818"/>
      <c r="H883" s="1783"/>
      <c r="I883" s="1783"/>
      <c r="J883" s="1783"/>
      <c r="K883" s="1783"/>
      <c r="L883" s="1783"/>
      <c r="M883" s="1783"/>
      <c r="N883" s="1783"/>
      <c r="O883" s="1783"/>
      <c r="P883" s="1783"/>
      <c r="Q883" s="1783"/>
      <c r="R883" s="1783"/>
      <c r="S883" s="1783"/>
      <c r="T883" s="1783"/>
      <c r="U883" s="1783"/>
      <c r="V883" s="1783"/>
      <c r="W883" s="1783"/>
      <c r="X883" s="1783"/>
      <c r="Y883" s="1783"/>
      <c r="Z883" s="1783"/>
      <c r="AA883" s="1783"/>
      <c r="AB883" s="1783"/>
      <c r="AC883" s="1783"/>
      <c r="AD883" s="1783"/>
      <c r="AE883" s="1783"/>
      <c r="AF883" s="1783"/>
      <c r="AG883" s="1783"/>
      <c r="AH883" s="1783"/>
      <c r="AI883" s="1783"/>
      <c r="AJ883" s="1783"/>
      <c r="AK883" s="1783"/>
      <c r="AL883" s="1783"/>
      <c r="AM883" s="1783"/>
      <c r="AN883" s="1783"/>
      <c r="AO883" s="1783"/>
      <c r="AP883" s="1783"/>
      <c r="AQ883" s="1783"/>
      <c r="AR883" s="1783"/>
      <c r="AS883" s="1783"/>
      <c r="AT883" s="1783"/>
      <c r="AU883" s="1783"/>
      <c r="AV883" s="1783"/>
      <c r="AW883" s="1783"/>
      <c r="AX883" s="1783"/>
      <c r="AY883" s="1783"/>
      <c r="AZ883" s="1783"/>
      <c r="BA883" s="1783"/>
      <c r="BB883" s="1783"/>
      <c r="BC883" s="1783"/>
      <c r="BD883" s="1783"/>
      <c r="BE883" s="1783"/>
      <c r="BF883" s="1783"/>
      <c r="BG883" s="1783"/>
      <c r="BH883" s="1783"/>
      <c r="BI883" s="1783"/>
    </row>
    <row r="884" spans="1:61">
      <c r="A884" s="1819"/>
      <c r="B884" s="1818"/>
      <c r="C884" s="1818"/>
      <c r="D884" s="1818"/>
      <c r="E884" s="1818"/>
      <c r="F884" s="1818"/>
      <c r="G884" s="1818"/>
      <c r="H884" s="1783"/>
      <c r="I884" s="1783"/>
      <c r="J884" s="1783"/>
      <c r="K884" s="1783"/>
      <c r="L884" s="1783"/>
      <c r="M884" s="1783"/>
      <c r="N884" s="1783"/>
      <c r="O884" s="1783"/>
      <c r="P884" s="1783"/>
      <c r="Q884" s="1783"/>
      <c r="R884" s="1783"/>
      <c r="S884" s="1783"/>
      <c r="T884" s="1783"/>
      <c r="U884" s="1783"/>
      <c r="V884" s="1783"/>
      <c r="W884" s="1783"/>
      <c r="X884" s="1783"/>
      <c r="Y884" s="1783"/>
      <c r="Z884" s="1783"/>
      <c r="AA884" s="1783"/>
      <c r="AB884" s="1783"/>
      <c r="AC884" s="1783"/>
      <c r="AD884" s="1783"/>
      <c r="AE884" s="1783"/>
      <c r="AF884" s="1783"/>
      <c r="AG884" s="1783"/>
      <c r="AH884" s="1783"/>
      <c r="AI884" s="1783"/>
      <c r="AJ884" s="1783"/>
      <c r="AK884" s="1783"/>
      <c r="AL884" s="1783"/>
      <c r="AM884" s="1783"/>
      <c r="AN884" s="1783"/>
      <c r="AO884" s="1783"/>
      <c r="AP884" s="1783"/>
      <c r="AQ884" s="1783"/>
      <c r="AR884" s="1783"/>
      <c r="AS884" s="1783"/>
      <c r="AT884" s="1783"/>
      <c r="AU884" s="1783"/>
      <c r="AV884" s="1783"/>
      <c r="AW884" s="1783"/>
      <c r="AX884" s="1783"/>
      <c r="AY884" s="1783"/>
      <c r="AZ884" s="1783"/>
      <c r="BA884" s="1783"/>
      <c r="BB884" s="1783"/>
      <c r="BC884" s="1783"/>
      <c r="BD884" s="1783"/>
      <c r="BE884" s="1783"/>
      <c r="BF884" s="1783"/>
      <c r="BG884" s="1783"/>
      <c r="BH884" s="1783"/>
      <c r="BI884" s="1783"/>
    </row>
    <row r="885" spans="1:61">
      <c r="A885" s="1819"/>
      <c r="B885" s="1818"/>
      <c r="C885" s="1818"/>
      <c r="D885" s="1818"/>
      <c r="E885" s="1818"/>
      <c r="F885" s="1818"/>
      <c r="G885" s="1818"/>
      <c r="H885" s="1783"/>
      <c r="I885" s="1783"/>
      <c r="J885" s="1783"/>
      <c r="K885" s="1783"/>
      <c r="L885" s="1783"/>
      <c r="M885" s="1783"/>
      <c r="N885" s="1783"/>
      <c r="O885" s="1783"/>
      <c r="P885" s="1783"/>
      <c r="Q885" s="1783"/>
      <c r="R885" s="1783"/>
      <c r="S885" s="1783"/>
      <c r="T885" s="1783"/>
      <c r="U885" s="1783"/>
      <c r="V885" s="1783"/>
      <c r="W885" s="1783"/>
      <c r="X885" s="1783"/>
      <c r="Y885" s="1783"/>
      <c r="Z885" s="1783"/>
      <c r="AA885" s="1783"/>
      <c r="AB885" s="1783"/>
      <c r="AC885" s="1783"/>
      <c r="AD885" s="1783"/>
      <c r="AE885" s="1783"/>
      <c r="AF885" s="1783"/>
      <c r="AG885" s="1783"/>
      <c r="AH885" s="1783"/>
      <c r="AI885" s="1783"/>
      <c r="AJ885" s="1783"/>
      <c r="AK885" s="1783"/>
      <c r="AL885" s="1783"/>
      <c r="AM885" s="1783"/>
      <c r="AN885" s="1783"/>
      <c r="AO885" s="1783"/>
      <c r="AP885" s="1783"/>
      <c r="AQ885" s="1783"/>
      <c r="AR885" s="1783"/>
      <c r="AS885" s="1783"/>
      <c r="AT885" s="1783"/>
      <c r="AU885" s="1783"/>
      <c r="AV885" s="1783"/>
      <c r="AW885" s="1783"/>
      <c r="AX885" s="1783"/>
      <c r="AY885" s="1783"/>
      <c r="AZ885" s="1783"/>
      <c r="BA885" s="1783"/>
      <c r="BB885" s="1783"/>
      <c r="BC885" s="1783"/>
      <c r="BD885" s="1783"/>
      <c r="BE885" s="1783"/>
      <c r="BF885" s="1783"/>
      <c r="BG885" s="1783"/>
      <c r="BH885" s="1783"/>
      <c r="BI885" s="1783"/>
    </row>
    <row r="886" spans="1:61">
      <c r="A886" s="1819"/>
      <c r="B886" s="1818"/>
      <c r="C886" s="1818"/>
      <c r="D886" s="1818"/>
      <c r="E886" s="1818"/>
      <c r="F886" s="1818"/>
      <c r="G886" s="1818"/>
      <c r="H886" s="1783"/>
      <c r="I886" s="1783"/>
      <c r="J886" s="1783"/>
      <c r="K886" s="1783"/>
      <c r="L886" s="1783"/>
      <c r="M886" s="1783"/>
      <c r="N886" s="1783"/>
      <c r="O886" s="1783"/>
      <c r="P886" s="1783"/>
      <c r="Q886" s="1783"/>
      <c r="R886" s="1783"/>
      <c r="S886" s="1783"/>
      <c r="T886" s="1783"/>
      <c r="U886" s="1783"/>
      <c r="V886" s="1783"/>
      <c r="W886" s="1783"/>
      <c r="X886" s="1783"/>
      <c r="Y886" s="1783"/>
      <c r="Z886" s="1783"/>
      <c r="AA886" s="1783"/>
      <c r="AB886" s="1783"/>
      <c r="AC886" s="1783"/>
      <c r="AD886" s="1783"/>
      <c r="AE886" s="1783"/>
      <c r="AF886" s="1783"/>
      <c r="AG886" s="1783"/>
      <c r="AH886" s="1783"/>
      <c r="AI886" s="1783"/>
      <c r="AJ886" s="1783"/>
      <c r="AK886" s="1783"/>
      <c r="AL886" s="1783"/>
      <c r="AM886" s="1783"/>
      <c r="AN886" s="1783"/>
      <c r="AO886" s="1783"/>
      <c r="AP886" s="1783"/>
      <c r="AQ886" s="1783"/>
      <c r="AR886" s="1783"/>
      <c r="AS886" s="1783"/>
      <c r="AT886" s="1783"/>
      <c r="AU886" s="1783"/>
      <c r="AV886" s="1783"/>
      <c r="AW886" s="1783"/>
      <c r="AX886" s="1783"/>
      <c r="AY886" s="1783"/>
      <c r="AZ886" s="1783"/>
      <c r="BA886" s="1783"/>
      <c r="BB886" s="1783"/>
      <c r="BC886" s="1783"/>
      <c r="BD886" s="1783"/>
      <c r="BE886" s="1783"/>
      <c r="BF886" s="1783"/>
      <c r="BG886" s="1783"/>
      <c r="BH886" s="1783"/>
      <c r="BI886" s="1783"/>
    </row>
    <row r="887" spans="1:61">
      <c r="A887" s="1819"/>
      <c r="B887" s="1818"/>
      <c r="C887" s="1818"/>
      <c r="D887" s="1818"/>
      <c r="E887" s="1818"/>
      <c r="F887" s="1818"/>
      <c r="G887" s="1818"/>
      <c r="H887" s="1783"/>
      <c r="I887" s="1783"/>
      <c r="J887" s="1783"/>
      <c r="K887" s="1783"/>
      <c r="L887" s="1783"/>
      <c r="M887" s="1783"/>
      <c r="N887" s="1783"/>
      <c r="O887" s="1783"/>
      <c r="P887" s="1783"/>
      <c r="Q887" s="1783"/>
      <c r="R887" s="1783"/>
      <c r="S887" s="1783"/>
      <c r="T887" s="1783"/>
      <c r="U887" s="1783"/>
      <c r="V887" s="1783"/>
      <c r="W887" s="1783"/>
      <c r="X887" s="1783"/>
      <c r="Y887" s="1783"/>
      <c r="Z887" s="1783"/>
      <c r="AA887" s="1783"/>
      <c r="AB887" s="1783"/>
      <c r="AC887" s="1783"/>
      <c r="AD887" s="1783"/>
      <c r="AE887" s="1783"/>
      <c r="AF887" s="1783"/>
      <c r="AG887" s="1783"/>
      <c r="AH887" s="1783"/>
      <c r="AI887" s="1783"/>
      <c r="AJ887" s="1783"/>
      <c r="AK887" s="1783"/>
      <c r="AL887" s="1783"/>
      <c r="AM887" s="1783"/>
      <c r="AN887" s="1783"/>
      <c r="AO887" s="1783"/>
      <c r="AP887" s="1783"/>
      <c r="AQ887" s="1783"/>
      <c r="AR887" s="1783"/>
      <c r="AS887" s="1783"/>
      <c r="AT887" s="1783"/>
      <c r="AU887" s="1783"/>
      <c r="AV887" s="1783"/>
      <c r="AW887" s="1783"/>
      <c r="AX887" s="1783"/>
      <c r="AY887" s="1783"/>
      <c r="AZ887" s="1783"/>
      <c r="BA887" s="1783"/>
      <c r="BB887" s="1783"/>
      <c r="BC887" s="1783"/>
      <c r="BD887" s="1783"/>
      <c r="BE887" s="1783"/>
      <c r="BF887" s="1783"/>
      <c r="BG887" s="1783"/>
      <c r="BH887" s="1783"/>
      <c r="BI887" s="1783"/>
    </row>
    <row r="888" spans="1:61">
      <c r="A888" s="1819"/>
      <c r="B888" s="1818"/>
      <c r="C888" s="1818"/>
      <c r="D888" s="1818"/>
      <c r="E888" s="1818"/>
      <c r="F888" s="1818"/>
      <c r="G888" s="1818"/>
      <c r="H888" s="1783"/>
      <c r="I888" s="1783"/>
      <c r="J888" s="1783"/>
      <c r="K888" s="1783"/>
      <c r="L888" s="1783"/>
      <c r="M888" s="1783"/>
      <c r="N888" s="1783"/>
      <c r="O888" s="1783"/>
      <c r="P888" s="1783"/>
      <c r="Q888" s="1783"/>
      <c r="R888" s="1783"/>
      <c r="S888" s="1783"/>
      <c r="T888" s="1783"/>
      <c r="U888" s="1783"/>
      <c r="V888" s="1783"/>
      <c r="W888" s="1783"/>
      <c r="X888" s="1783"/>
      <c r="Y888" s="1783"/>
      <c r="Z888" s="1783"/>
      <c r="AA888" s="1783"/>
      <c r="AB888" s="1783"/>
      <c r="AC888" s="1783"/>
      <c r="AD888" s="1783"/>
      <c r="AE888" s="1783"/>
      <c r="AF888" s="1783"/>
      <c r="AG888" s="1783"/>
      <c r="AH888" s="1783"/>
      <c r="AI888" s="1783"/>
      <c r="AJ888" s="1783"/>
      <c r="AK888" s="1783"/>
      <c r="AL888" s="1783"/>
      <c r="AM888" s="1783"/>
      <c r="AN888" s="1783"/>
      <c r="AO888" s="1783"/>
      <c r="AP888" s="1783"/>
      <c r="AQ888" s="1783"/>
      <c r="AR888" s="1783"/>
      <c r="AS888" s="1783"/>
      <c r="AT888" s="1783"/>
      <c r="AU888" s="1783"/>
      <c r="AV888" s="1783"/>
      <c r="AW888" s="1783"/>
      <c r="AX888" s="1783"/>
      <c r="AY888" s="1783"/>
      <c r="AZ888" s="1783"/>
      <c r="BA888" s="1783"/>
      <c r="BB888" s="1783"/>
      <c r="BC888" s="1783"/>
      <c r="BD888" s="1783"/>
      <c r="BE888" s="1783"/>
      <c r="BF888" s="1783"/>
      <c r="BG888" s="1783"/>
      <c r="BH888" s="1783"/>
      <c r="BI888" s="1783"/>
    </row>
    <row r="889" spans="1:61">
      <c r="A889" s="1819"/>
      <c r="B889" s="1818"/>
      <c r="C889" s="1818"/>
      <c r="D889" s="1818"/>
      <c r="E889" s="1818"/>
      <c r="F889" s="1818"/>
      <c r="G889" s="1818"/>
      <c r="H889" s="1783"/>
      <c r="I889" s="1783"/>
      <c r="J889" s="1783"/>
      <c r="K889" s="1783"/>
      <c r="L889" s="1783"/>
      <c r="M889" s="1783"/>
      <c r="N889" s="1783"/>
      <c r="O889" s="1783"/>
      <c r="P889" s="1783"/>
      <c r="Q889" s="1783"/>
      <c r="R889" s="1783"/>
      <c r="S889" s="1783"/>
      <c r="T889" s="1783"/>
      <c r="U889" s="1783"/>
      <c r="V889" s="1783"/>
      <c r="W889" s="1783"/>
      <c r="X889" s="1783"/>
      <c r="Y889" s="1783"/>
      <c r="Z889" s="1783"/>
      <c r="AA889" s="1783"/>
      <c r="AB889" s="1783"/>
      <c r="AC889" s="1783"/>
      <c r="AD889" s="1783"/>
      <c r="AE889" s="1783"/>
      <c r="AF889" s="1783"/>
      <c r="AG889" s="1783"/>
      <c r="AH889" s="1783"/>
      <c r="AI889" s="1783"/>
      <c r="AJ889" s="1783"/>
      <c r="AK889" s="1783"/>
      <c r="AL889" s="1783"/>
      <c r="AM889" s="1783"/>
      <c r="AN889" s="1783"/>
      <c r="AO889" s="1783"/>
      <c r="AP889" s="1783"/>
      <c r="AQ889" s="1783"/>
      <c r="AR889" s="1783"/>
      <c r="AS889" s="1783"/>
      <c r="AT889" s="1783"/>
      <c r="AU889" s="1783"/>
      <c r="AV889" s="1783"/>
      <c r="AW889" s="1783"/>
      <c r="AX889" s="1783"/>
      <c r="AY889" s="1783"/>
      <c r="AZ889" s="1783"/>
      <c r="BA889" s="1783"/>
      <c r="BB889" s="1783"/>
      <c r="BC889" s="1783"/>
      <c r="BD889" s="1783"/>
      <c r="BE889" s="1783"/>
      <c r="BF889" s="1783"/>
      <c r="BG889" s="1783"/>
      <c r="BH889" s="1783"/>
      <c r="BI889" s="1783"/>
    </row>
    <row r="890" spans="1:61">
      <c r="A890" s="1819"/>
      <c r="B890" s="1818"/>
      <c r="C890" s="1818"/>
      <c r="D890" s="1818"/>
      <c r="E890" s="1818"/>
      <c r="F890" s="1818"/>
      <c r="G890" s="1818"/>
      <c r="H890" s="1783"/>
      <c r="I890" s="1783"/>
      <c r="J890" s="1783"/>
      <c r="K890" s="1783"/>
      <c r="L890" s="1783"/>
      <c r="M890" s="1783"/>
      <c r="N890" s="1783"/>
      <c r="O890" s="1783"/>
      <c r="P890" s="1783"/>
      <c r="Q890" s="1783"/>
      <c r="R890" s="1783"/>
      <c r="S890" s="1783"/>
      <c r="T890" s="1783"/>
      <c r="U890" s="1783"/>
      <c r="V890" s="1783"/>
      <c r="W890" s="1783"/>
      <c r="X890" s="1783"/>
      <c r="Y890" s="1783"/>
      <c r="Z890" s="1783"/>
      <c r="AA890" s="1783"/>
      <c r="AB890" s="1783"/>
      <c r="AC890" s="1783"/>
      <c r="AD890" s="1783"/>
      <c r="AE890" s="1783"/>
      <c r="AF890" s="1783"/>
      <c r="AG890" s="1783"/>
      <c r="AH890" s="1783"/>
      <c r="AI890" s="1783"/>
      <c r="AJ890" s="1783"/>
      <c r="AK890" s="1783"/>
      <c r="AL890" s="1783"/>
      <c r="AM890" s="1783"/>
      <c r="AN890" s="1783"/>
      <c r="AO890" s="1783"/>
      <c r="AP890" s="1783"/>
      <c r="AQ890" s="1783"/>
      <c r="AR890" s="1783"/>
      <c r="AS890" s="1783"/>
      <c r="AT890" s="1783"/>
      <c r="AU890" s="1783"/>
      <c r="AV890" s="1783"/>
      <c r="AW890" s="1783"/>
      <c r="AX890" s="1783"/>
      <c r="AY890" s="1783"/>
      <c r="AZ890" s="1783"/>
      <c r="BA890" s="1783"/>
      <c r="BB890" s="1783"/>
      <c r="BC890" s="1783"/>
      <c r="BD890" s="1783"/>
      <c r="BE890" s="1783"/>
      <c r="BF890" s="1783"/>
      <c r="BG890" s="1783"/>
      <c r="BH890" s="1783"/>
      <c r="BI890" s="1783"/>
    </row>
    <row r="891" spans="1:61">
      <c r="A891" s="1819"/>
      <c r="B891" s="1818"/>
      <c r="C891" s="1818"/>
      <c r="D891" s="1818"/>
      <c r="E891" s="1818"/>
      <c r="F891" s="1818"/>
      <c r="G891" s="1818"/>
      <c r="H891" s="1783"/>
      <c r="I891" s="1783"/>
      <c r="J891" s="1783"/>
      <c r="K891" s="1783"/>
      <c r="L891" s="1783"/>
      <c r="M891" s="1783"/>
      <c r="N891" s="1783"/>
      <c r="O891" s="1783"/>
      <c r="P891" s="1783"/>
      <c r="Q891" s="1783"/>
      <c r="R891" s="1783"/>
      <c r="S891" s="1783"/>
      <c r="T891" s="1783"/>
      <c r="U891" s="1783"/>
      <c r="V891" s="1783"/>
      <c r="W891" s="1783"/>
      <c r="X891" s="1783"/>
      <c r="Y891" s="1783"/>
      <c r="Z891" s="1783"/>
      <c r="AA891" s="1783"/>
      <c r="AB891" s="1783"/>
      <c r="AC891" s="1783"/>
      <c r="AD891" s="1783"/>
      <c r="AE891" s="1783"/>
      <c r="AF891" s="1783"/>
      <c r="AG891" s="1783"/>
      <c r="AH891" s="1783"/>
      <c r="AI891" s="1783"/>
      <c r="AJ891" s="1783"/>
      <c r="AK891" s="1783"/>
      <c r="AL891" s="1783"/>
      <c r="AM891" s="1783"/>
      <c r="AN891" s="1783"/>
      <c r="AO891" s="1783"/>
      <c r="AP891" s="1783"/>
      <c r="AQ891" s="1783"/>
      <c r="AR891" s="1783"/>
      <c r="AS891" s="1783"/>
      <c r="AT891" s="1783"/>
      <c r="AU891" s="1783"/>
      <c r="AV891" s="1783"/>
      <c r="AW891" s="1783"/>
      <c r="AX891" s="1783"/>
      <c r="AY891" s="1783"/>
      <c r="AZ891" s="1783"/>
      <c r="BA891" s="1783"/>
      <c r="BB891" s="1783"/>
      <c r="BC891" s="1783"/>
      <c r="BD891" s="1783"/>
      <c r="BE891" s="1783"/>
      <c r="BF891" s="1783"/>
      <c r="BG891" s="1783"/>
      <c r="BH891" s="1783"/>
      <c r="BI891" s="1783"/>
    </row>
    <row r="892" spans="1:61">
      <c r="A892" s="1819"/>
      <c r="B892" s="1818"/>
      <c r="C892" s="1818"/>
      <c r="D892" s="1818"/>
      <c r="E892" s="1818"/>
      <c r="F892" s="1818"/>
      <c r="G892" s="1818"/>
      <c r="H892" s="1783"/>
      <c r="I892" s="1783"/>
      <c r="J892" s="1783"/>
      <c r="K892" s="1783"/>
      <c r="L892" s="1783"/>
      <c r="M892" s="1783"/>
      <c r="N892" s="1783"/>
      <c r="O892" s="1783"/>
      <c r="P892" s="1783"/>
      <c r="Q892" s="1783"/>
      <c r="R892" s="1783"/>
      <c r="S892" s="1783"/>
      <c r="T892" s="1783"/>
      <c r="U892" s="1783"/>
      <c r="V892" s="1783"/>
      <c r="W892" s="1783"/>
      <c r="X892" s="1783"/>
      <c r="Y892" s="1783"/>
      <c r="Z892" s="1783"/>
      <c r="AA892" s="1783"/>
      <c r="AB892" s="1783"/>
      <c r="AC892" s="1783"/>
      <c r="AD892" s="1783"/>
      <c r="AE892" s="1783"/>
      <c r="AF892" s="1783"/>
      <c r="AG892" s="1783"/>
      <c r="AH892" s="1783"/>
      <c r="AI892" s="1783"/>
      <c r="AJ892" s="1783"/>
      <c r="AK892" s="1783"/>
      <c r="AL892" s="1783"/>
      <c r="AM892" s="1783"/>
      <c r="AN892" s="1783"/>
      <c r="AO892" s="1783"/>
      <c r="AP892" s="1783"/>
      <c r="AQ892" s="1783"/>
      <c r="AR892" s="1783"/>
      <c r="AS892" s="1783"/>
      <c r="AT892" s="1783"/>
      <c r="AU892" s="1783"/>
      <c r="AV892" s="1783"/>
      <c r="AW892" s="1783"/>
      <c r="AX892" s="1783"/>
      <c r="AY892" s="1783"/>
      <c r="AZ892" s="1783"/>
      <c r="BA892" s="1783"/>
      <c r="BB892" s="1783"/>
      <c r="BC892" s="1783"/>
      <c r="BD892" s="1783"/>
      <c r="BE892" s="1783"/>
      <c r="BF892" s="1783"/>
      <c r="BG892" s="1783"/>
      <c r="BH892" s="1783"/>
      <c r="BI892" s="1783"/>
    </row>
    <row r="893" spans="1:61">
      <c r="A893" s="1819"/>
      <c r="B893" s="1818"/>
      <c r="C893" s="1818"/>
      <c r="D893" s="1818"/>
      <c r="E893" s="1818"/>
      <c r="F893" s="1818"/>
      <c r="G893" s="1818"/>
      <c r="H893" s="1783"/>
      <c r="I893" s="1783"/>
      <c r="J893" s="1783"/>
      <c r="K893" s="1783"/>
      <c r="L893" s="1783"/>
      <c r="M893" s="1783"/>
      <c r="N893" s="1783"/>
      <c r="O893" s="1783"/>
      <c r="P893" s="1783"/>
      <c r="Q893" s="1783"/>
      <c r="R893" s="1783"/>
      <c r="S893" s="1783"/>
      <c r="T893" s="1783"/>
      <c r="U893" s="1783"/>
      <c r="V893" s="1783"/>
      <c r="W893" s="1783"/>
      <c r="X893" s="1783"/>
      <c r="Y893" s="1783"/>
      <c r="Z893" s="1783"/>
      <c r="AA893" s="1783"/>
      <c r="AB893" s="1783"/>
      <c r="AC893" s="1783"/>
      <c r="AD893" s="1783"/>
      <c r="AE893" s="1783"/>
      <c r="AF893" s="1783"/>
      <c r="AG893" s="1783"/>
      <c r="AH893" s="1783"/>
      <c r="AI893" s="1783"/>
      <c r="AJ893" s="1783"/>
      <c r="AK893" s="1783"/>
      <c r="AL893" s="1783"/>
      <c r="AM893" s="1783"/>
      <c r="AN893" s="1783"/>
      <c r="AO893" s="1783"/>
      <c r="AP893" s="1783"/>
      <c r="AQ893" s="1783"/>
      <c r="AR893" s="1783"/>
      <c r="AS893" s="1783"/>
      <c r="AT893" s="1783"/>
      <c r="AU893" s="1783"/>
      <c r="AV893" s="1783"/>
      <c r="AW893" s="1783"/>
      <c r="AX893" s="1783"/>
      <c r="AY893" s="1783"/>
      <c r="AZ893" s="1783"/>
      <c r="BA893" s="1783"/>
      <c r="BB893" s="1783"/>
      <c r="BC893" s="1783"/>
      <c r="BD893" s="1783"/>
      <c r="BE893" s="1783"/>
      <c r="BF893" s="1783"/>
      <c r="BG893" s="1783"/>
      <c r="BH893" s="1783"/>
      <c r="BI893" s="1783"/>
    </row>
    <row r="894" spans="1:61">
      <c r="A894" s="1819"/>
      <c r="B894" s="1818"/>
      <c r="C894" s="1818"/>
      <c r="D894" s="1818"/>
      <c r="E894" s="1818"/>
      <c r="F894" s="1818"/>
      <c r="G894" s="1818"/>
      <c r="H894" s="1783"/>
      <c r="I894" s="1783"/>
      <c r="J894" s="1783"/>
      <c r="K894" s="1783"/>
      <c r="L894" s="1783"/>
      <c r="M894" s="1783"/>
      <c r="N894" s="1783"/>
      <c r="O894" s="1783"/>
      <c r="P894" s="1783"/>
      <c r="Q894" s="1783"/>
      <c r="R894" s="1783"/>
      <c r="S894" s="1783"/>
      <c r="T894" s="1783"/>
      <c r="U894" s="1783"/>
      <c r="V894" s="1783"/>
      <c r="W894" s="1783"/>
      <c r="X894" s="1783"/>
      <c r="Y894" s="1783"/>
      <c r="Z894" s="1783"/>
      <c r="AA894" s="1783"/>
      <c r="AB894" s="1783"/>
      <c r="AC894" s="1783"/>
      <c r="AD894" s="1783"/>
      <c r="AE894" s="1783"/>
      <c r="AF894" s="1783"/>
      <c r="AG894" s="1783"/>
      <c r="AH894" s="1783"/>
      <c r="AI894" s="1783"/>
      <c r="AJ894" s="1783"/>
      <c r="AK894" s="1783"/>
      <c r="AL894" s="1783"/>
      <c r="AM894" s="1783"/>
      <c r="AN894" s="1783"/>
      <c r="AO894" s="1783"/>
      <c r="AP894" s="1783"/>
      <c r="AQ894" s="1783"/>
      <c r="AR894" s="1783"/>
      <c r="AS894" s="1783"/>
      <c r="AT894" s="1783"/>
      <c r="AU894" s="1783"/>
      <c r="AV894" s="1783"/>
      <c r="AW894" s="1783"/>
      <c r="AX894" s="1783"/>
      <c r="AY894" s="1783"/>
      <c r="AZ894" s="1783"/>
      <c r="BA894" s="1783"/>
      <c r="BB894" s="1783"/>
      <c r="BC894" s="1783"/>
      <c r="BD894" s="1783"/>
      <c r="BE894" s="1783"/>
      <c r="BF894" s="1783"/>
      <c r="BG894" s="1783"/>
      <c r="BH894" s="1783"/>
      <c r="BI894" s="1783"/>
    </row>
    <row r="895" spans="1:61">
      <c r="A895" s="1819"/>
      <c r="B895" s="1818"/>
      <c r="C895" s="1818"/>
      <c r="D895" s="1818"/>
      <c r="E895" s="1818"/>
      <c r="F895" s="1818"/>
      <c r="G895" s="1818"/>
      <c r="H895" s="1783"/>
      <c r="I895" s="1783"/>
      <c r="J895" s="1783"/>
      <c r="K895" s="1783"/>
      <c r="L895" s="1783"/>
      <c r="M895" s="1783"/>
      <c r="N895" s="1783"/>
      <c r="O895" s="1783"/>
      <c r="P895" s="1783"/>
      <c r="Q895" s="1783"/>
      <c r="R895" s="1783"/>
      <c r="S895" s="1783"/>
      <c r="T895" s="1783"/>
      <c r="U895" s="1783"/>
      <c r="V895" s="1783"/>
      <c r="W895" s="1783"/>
      <c r="X895" s="1783"/>
      <c r="Y895" s="1783"/>
      <c r="Z895" s="1783"/>
      <c r="AA895" s="1783"/>
      <c r="AB895" s="1783"/>
      <c r="AC895" s="1783"/>
      <c r="AD895" s="1783"/>
      <c r="AE895" s="1783"/>
      <c r="AF895" s="1783"/>
      <c r="AG895" s="1783"/>
      <c r="AH895" s="1783"/>
      <c r="AI895" s="1783"/>
      <c r="AJ895" s="1783"/>
      <c r="AK895" s="1783"/>
      <c r="AL895" s="1783"/>
      <c r="AM895" s="1783"/>
      <c r="AN895" s="1783"/>
      <c r="AO895" s="1783"/>
      <c r="AP895" s="1783"/>
      <c r="AQ895" s="1783"/>
      <c r="AR895" s="1783"/>
      <c r="AS895" s="1783"/>
      <c r="AT895" s="1783"/>
      <c r="AU895" s="1783"/>
      <c r="AV895" s="1783"/>
      <c r="AW895" s="1783"/>
      <c r="AX895" s="1783"/>
      <c r="AY895" s="1783"/>
      <c r="AZ895" s="1783"/>
      <c r="BA895" s="1783"/>
      <c r="BB895" s="1783"/>
      <c r="BC895" s="1783"/>
      <c r="BD895" s="1783"/>
      <c r="BE895" s="1783"/>
      <c r="BF895" s="1783"/>
      <c r="BG895" s="1783"/>
      <c r="BH895" s="1783"/>
      <c r="BI895" s="1783"/>
    </row>
    <row r="896" spans="1:61">
      <c r="A896" s="1819"/>
      <c r="B896" s="1818"/>
      <c r="C896" s="1818"/>
      <c r="D896" s="1818"/>
      <c r="E896" s="1818"/>
      <c r="F896" s="1818"/>
      <c r="G896" s="1818"/>
      <c r="H896" s="1783"/>
      <c r="I896" s="1783"/>
      <c r="J896" s="1783"/>
      <c r="K896" s="1783"/>
      <c r="L896" s="1783"/>
      <c r="M896" s="1783"/>
      <c r="N896" s="1783"/>
      <c r="O896" s="1783"/>
      <c r="P896" s="1783"/>
      <c r="Q896" s="1783"/>
      <c r="R896" s="1783"/>
      <c r="S896" s="1783"/>
      <c r="T896" s="1783"/>
      <c r="U896" s="1783"/>
      <c r="V896" s="1783"/>
      <c r="W896" s="1783"/>
      <c r="X896" s="1783"/>
      <c r="Y896" s="1783"/>
      <c r="Z896" s="1783"/>
      <c r="AA896" s="1783"/>
      <c r="AB896" s="1783"/>
      <c r="AC896" s="1783"/>
      <c r="AD896" s="1783"/>
      <c r="AE896" s="1783"/>
      <c r="AF896" s="1783"/>
      <c r="AG896" s="1783"/>
      <c r="AH896" s="1783"/>
      <c r="AI896" s="1783"/>
      <c r="AJ896" s="1783"/>
      <c r="AK896" s="1783"/>
      <c r="AL896" s="1783"/>
      <c r="AM896" s="1783"/>
      <c r="AN896" s="1783"/>
      <c r="AO896" s="1783"/>
      <c r="AP896" s="1783"/>
      <c r="AQ896" s="1783"/>
      <c r="AR896" s="1783"/>
      <c r="AS896" s="1783"/>
      <c r="AT896" s="1783"/>
      <c r="AU896" s="1783"/>
      <c r="AV896" s="1783"/>
      <c r="AW896" s="1783"/>
      <c r="AX896" s="1783"/>
      <c r="AY896" s="1783"/>
      <c r="AZ896" s="1783"/>
      <c r="BA896" s="1783"/>
      <c r="BB896" s="1783"/>
      <c r="BC896" s="1783"/>
      <c r="BD896" s="1783"/>
      <c r="BE896" s="1783"/>
      <c r="BF896" s="1783"/>
      <c r="BG896" s="1783"/>
      <c r="BH896" s="1783"/>
      <c r="BI896" s="1783"/>
    </row>
    <row r="897" spans="1:61">
      <c r="A897" s="1819"/>
      <c r="B897" s="1818"/>
      <c r="C897" s="1818"/>
      <c r="D897" s="1818"/>
      <c r="E897" s="1818"/>
      <c r="F897" s="1818"/>
      <c r="G897" s="1818"/>
      <c r="H897" s="1783"/>
      <c r="I897" s="1783"/>
      <c r="J897" s="1783"/>
      <c r="K897" s="1783"/>
      <c r="L897" s="1783"/>
      <c r="M897" s="1783"/>
      <c r="N897" s="1783"/>
      <c r="O897" s="1783"/>
      <c r="P897" s="1783"/>
      <c r="Q897" s="1783"/>
      <c r="R897" s="1783"/>
      <c r="S897" s="1783"/>
      <c r="T897" s="1783"/>
      <c r="U897" s="1783"/>
      <c r="V897" s="1783"/>
      <c r="W897" s="1783"/>
      <c r="X897" s="1783"/>
      <c r="Y897" s="1783"/>
      <c r="Z897" s="1783"/>
      <c r="AA897" s="1783"/>
      <c r="AB897" s="1783"/>
      <c r="AC897" s="1783"/>
      <c r="AD897" s="1783"/>
      <c r="AE897" s="1783"/>
      <c r="AF897" s="1783"/>
      <c r="AG897" s="1783"/>
      <c r="AH897" s="1783"/>
      <c r="AI897" s="1783"/>
      <c r="AJ897" s="1783"/>
      <c r="AK897" s="1783"/>
      <c r="AL897" s="1783"/>
      <c r="AM897" s="1783"/>
      <c r="AN897" s="1783"/>
      <c r="AO897" s="1783"/>
      <c r="AP897" s="1783"/>
      <c r="AQ897" s="1783"/>
      <c r="AR897" s="1783"/>
      <c r="AS897" s="1783"/>
      <c r="AT897" s="1783"/>
      <c r="AU897" s="1783"/>
      <c r="AV897" s="1783"/>
      <c r="AW897" s="1783"/>
      <c r="AX897" s="1783"/>
      <c r="AY897" s="1783"/>
      <c r="AZ897" s="1783"/>
      <c r="BA897" s="1783"/>
      <c r="BB897" s="1783"/>
      <c r="BC897" s="1783"/>
      <c r="BD897" s="1783"/>
      <c r="BE897" s="1783"/>
      <c r="BF897" s="1783"/>
      <c r="BG897" s="1783"/>
      <c r="BH897" s="1783"/>
      <c r="BI897" s="1783"/>
    </row>
    <row r="898" spans="1:61">
      <c r="A898" s="1819"/>
      <c r="B898" s="1818"/>
      <c r="C898" s="1818"/>
      <c r="D898" s="1818"/>
      <c r="E898" s="1818"/>
      <c r="F898" s="1818"/>
      <c r="G898" s="1818"/>
      <c r="H898" s="1783"/>
      <c r="I898" s="1783"/>
      <c r="J898" s="1783"/>
      <c r="K898" s="1783"/>
      <c r="L898" s="1783"/>
      <c r="M898" s="1783"/>
      <c r="N898" s="1783"/>
      <c r="O898" s="1783"/>
      <c r="P898" s="1783"/>
      <c r="Q898" s="1783"/>
      <c r="R898" s="1783"/>
      <c r="S898" s="1783"/>
      <c r="T898" s="1783"/>
      <c r="U898" s="1783"/>
      <c r="V898" s="1783"/>
      <c r="W898" s="1783"/>
      <c r="X898" s="1783"/>
      <c r="Y898" s="1783"/>
      <c r="Z898" s="1783"/>
      <c r="AA898" s="1783"/>
      <c r="AB898" s="1783"/>
      <c r="AC898" s="1783"/>
      <c r="AD898" s="1783"/>
      <c r="AE898" s="1783"/>
      <c r="AF898" s="1783"/>
      <c r="AG898" s="1783"/>
      <c r="AH898" s="1783"/>
      <c r="AI898" s="1783"/>
      <c r="AJ898" s="1783"/>
      <c r="AK898" s="1783"/>
      <c r="AL898" s="1783"/>
      <c r="AM898" s="1783"/>
      <c r="AN898" s="1783"/>
      <c r="AO898" s="1783"/>
      <c r="AP898" s="1783"/>
      <c r="AQ898" s="1783"/>
      <c r="AR898" s="1783"/>
      <c r="AS898" s="1783"/>
      <c r="AT898" s="1783"/>
      <c r="AU898" s="1783"/>
      <c r="AV898" s="1783"/>
      <c r="AW898" s="1783"/>
      <c r="AX898" s="1783"/>
      <c r="AY898" s="1783"/>
      <c r="AZ898" s="1783"/>
      <c r="BA898" s="1783"/>
      <c r="BB898" s="1783"/>
      <c r="BC898" s="1783"/>
      <c r="BD898" s="1783"/>
      <c r="BE898" s="1783"/>
      <c r="BF898" s="1783"/>
      <c r="BG898" s="1783"/>
      <c r="BH898" s="1783"/>
      <c r="BI898" s="1783"/>
    </row>
    <row r="899" spans="1:61">
      <c r="A899" s="1819"/>
      <c r="B899" s="1818"/>
      <c r="C899" s="1818"/>
      <c r="D899" s="1818"/>
      <c r="E899" s="1818"/>
      <c r="F899" s="1818"/>
      <c r="G899" s="1818"/>
      <c r="H899" s="1783"/>
      <c r="I899" s="1783"/>
      <c r="J899" s="1783"/>
      <c r="K899" s="1783"/>
      <c r="L899" s="1783"/>
      <c r="M899" s="1783"/>
      <c r="N899" s="1783"/>
      <c r="O899" s="1783"/>
      <c r="P899" s="1783"/>
      <c r="Q899" s="1783"/>
      <c r="R899" s="1783"/>
      <c r="S899" s="1783"/>
      <c r="T899" s="1783"/>
      <c r="U899" s="1783"/>
      <c r="V899" s="1783"/>
      <c r="W899" s="1783"/>
      <c r="X899" s="1783"/>
      <c r="Y899" s="1783"/>
      <c r="Z899" s="1783"/>
      <c r="AA899" s="1783"/>
      <c r="AB899" s="1783"/>
      <c r="AC899" s="1783"/>
      <c r="AD899" s="1783"/>
      <c r="AE899" s="1783"/>
      <c r="AF899" s="1783"/>
      <c r="AG899" s="1783"/>
      <c r="AH899" s="1783"/>
      <c r="AI899" s="1783"/>
      <c r="AJ899" s="1783"/>
      <c r="AK899" s="1783"/>
      <c r="AL899" s="1783"/>
      <c r="AM899" s="1783"/>
      <c r="AN899" s="1783"/>
      <c r="AO899" s="1783"/>
      <c r="AP899" s="1783"/>
      <c r="AQ899" s="1783"/>
      <c r="AR899" s="1783"/>
      <c r="AS899" s="1783"/>
      <c r="AT899" s="1783"/>
      <c r="AU899" s="1783"/>
      <c r="AV899" s="1783"/>
      <c r="AW899" s="1783"/>
      <c r="AX899" s="1783"/>
      <c r="AY899" s="1783"/>
      <c r="AZ899" s="1783"/>
      <c r="BA899" s="1783"/>
      <c r="BB899" s="1783"/>
      <c r="BC899" s="1783"/>
      <c r="BD899" s="1783"/>
      <c r="BE899" s="1783"/>
      <c r="BF899" s="1783"/>
      <c r="BG899" s="1783"/>
      <c r="BH899" s="1783"/>
      <c r="BI899" s="1783"/>
    </row>
    <row r="900" spans="1:61">
      <c r="A900" s="1819"/>
      <c r="B900" s="1818"/>
      <c r="C900" s="1818"/>
      <c r="D900" s="1818"/>
      <c r="E900" s="1818"/>
      <c r="F900" s="1818"/>
      <c r="G900" s="1818"/>
      <c r="H900" s="1783"/>
      <c r="I900" s="1783"/>
      <c r="J900" s="1783"/>
      <c r="K900" s="1783"/>
      <c r="L900" s="1783"/>
      <c r="M900" s="1783"/>
      <c r="N900" s="1783"/>
      <c r="O900" s="1783"/>
      <c r="P900" s="1783"/>
      <c r="Q900" s="1783"/>
      <c r="R900" s="1783"/>
      <c r="S900" s="1783"/>
      <c r="T900" s="1783"/>
      <c r="U900" s="1783"/>
      <c r="V900" s="1783"/>
      <c r="W900" s="1783"/>
      <c r="X900" s="1783"/>
      <c r="Y900" s="1783"/>
      <c r="Z900" s="1783"/>
      <c r="AA900" s="1783"/>
      <c r="AB900" s="1783"/>
      <c r="AC900" s="1783"/>
      <c r="AD900" s="1783"/>
      <c r="AE900" s="1783"/>
      <c r="AF900" s="1783"/>
      <c r="AG900" s="1783"/>
      <c r="AH900" s="1783"/>
      <c r="AI900" s="1783"/>
      <c r="AJ900" s="1783"/>
      <c r="AK900" s="1783"/>
      <c r="AL900" s="1783"/>
      <c r="AM900" s="1783"/>
      <c r="AN900" s="1783"/>
      <c r="AO900" s="1783"/>
      <c r="AP900" s="1783"/>
      <c r="AQ900" s="1783"/>
      <c r="AR900" s="1783"/>
      <c r="AS900" s="1783"/>
      <c r="AT900" s="1783"/>
      <c r="AU900" s="1783"/>
      <c r="AV900" s="1783"/>
      <c r="AW900" s="1783"/>
      <c r="AX900" s="1783"/>
      <c r="AY900" s="1783"/>
      <c r="AZ900" s="1783"/>
      <c r="BA900" s="1783"/>
      <c r="BB900" s="1783"/>
      <c r="BC900" s="1783"/>
      <c r="BD900" s="1783"/>
      <c r="BE900" s="1783"/>
      <c r="BF900" s="1783"/>
      <c r="BG900" s="1783"/>
      <c r="BH900" s="1783"/>
      <c r="BI900" s="1783"/>
    </row>
    <row r="901" spans="1:61">
      <c r="A901" s="1819"/>
      <c r="B901" s="1818"/>
      <c r="C901" s="1818"/>
      <c r="D901" s="1818"/>
      <c r="E901" s="1818"/>
      <c r="F901" s="1818"/>
      <c r="G901" s="1818"/>
      <c r="H901" s="1783"/>
      <c r="I901" s="1783"/>
      <c r="J901" s="1783"/>
      <c r="K901" s="1783"/>
      <c r="L901" s="1783"/>
      <c r="M901" s="1783"/>
      <c r="N901" s="1783"/>
      <c r="O901" s="1783"/>
      <c r="P901" s="1783"/>
      <c r="Q901" s="1783"/>
      <c r="R901" s="1783"/>
      <c r="S901" s="1783"/>
      <c r="T901" s="1783"/>
      <c r="U901" s="1783"/>
      <c r="V901" s="1783"/>
      <c r="W901" s="1783"/>
      <c r="X901" s="1783"/>
      <c r="Y901" s="1783"/>
      <c r="Z901" s="1783"/>
      <c r="AA901" s="1783"/>
      <c r="AB901" s="1783"/>
      <c r="AC901" s="1783"/>
      <c r="AD901" s="1783"/>
      <c r="AE901" s="1783"/>
      <c r="AF901" s="1783"/>
      <c r="AG901" s="1783"/>
      <c r="AH901" s="1783"/>
      <c r="AI901" s="1783"/>
      <c r="AJ901" s="1783"/>
      <c r="AK901" s="1783"/>
      <c r="AL901" s="1783"/>
      <c r="AM901" s="1783"/>
      <c r="AN901" s="1783"/>
      <c r="AO901" s="1783"/>
      <c r="AP901" s="1783"/>
      <c r="AQ901" s="1783"/>
      <c r="AR901" s="1783"/>
      <c r="AS901" s="1783"/>
      <c r="AT901" s="1783"/>
      <c r="AU901" s="1783"/>
      <c r="AV901" s="1783"/>
      <c r="AW901" s="1783"/>
      <c r="AX901" s="1783"/>
      <c r="AY901" s="1783"/>
      <c r="AZ901" s="1783"/>
      <c r="BA901" s="1783"/>
      <c r="BB901" s="1783"/>
      <c r="BC901" s="1783"/>
      <c r="BD901" s="1783"/>
      <c r="BE901" s="1783"/>
      <c r="BF901" s="1783"/>
      <c r="BG901" s="1783"/>
      <c r="BH901" s="1783"/>
      <c r="BI901" s="1783"/>
    </row>
    <row r="902" spans="1:61">
      <c r="A902" s="1819"/>
      <c r="B902" s="1818"/>
      <c r="C902" s="1818"/>
      <c r="D902" s="1818"/>
      <c r="E902" s="1818"/>
      <c r="F902" s="1818"/>
      <c r="G902" s="1818"/>
      <c r="H902" s="1783"/>
      <c r="I902" s="1783"/>
      <c r="J902" s="1783"/>
      <c r="K902" s="1783"/>
      <c r="L902" s="1783"/>
      <c r="M902" s="1783"/>
      <c r="N902" s="1783"/>
      <c r="O902" s="1783"/>
      <c r="P902" s="1783"/>
      <c r="Q902" s="1783"/>
      <c r="R902" s="1783"/>
      <c r="S902" s="1783"/>
      <c r="T902" s="1783"/>
      <c r="U902" s="1783"/>
      <c r="V902" s="1783"/>
      <c r="W902" s="1783"/>
      <c r="X902" s="1783"/>
      <c r="Y902" s="1783"/>
      <c r="Z902" s="1783"/>
      <c r="AA902" s="1783"/>
      <c r="AB902" s="1783"/>
      <c r="AC902" s="1783"/>
      <c r="AD902" s="1783"/>
      <c r="AE902" s="1783"/>
      <c r="AF902" s="1783"/>
      <c r="AG902" s="1783"/>
      <c r="AH902" s="1783"/>
      <c r="AI902" s="1783"/>
      <c r="AJ902" s="1783"/>
      <c r="AK902" s="1783"/>
      <c r="AL902" s="1783"/>
      <c r="AM902" s="1783"/>
      <c r="AN902" s="1783"/>
      <c r="AO902" s="1783"/>
      <c r="AP902" s="1783"/>
      <c r="AQ902" s="1783"/>
      <c r="AR902" s="1783"/>
      <c r="AS902" s="1783"/>
      <c r="AT902" s="1783"/>
      <c r="AU902" s="1783"/>
      <c r="AV902" s="1783"/>
      <c r="AW902" s="1783"/>
      <c r="AX902" s="1783"/>
      <c r="AY902" s="1783"/>
      <c r="AZ902" s="1783"/>
      <c r="BA902" s="1783"/>
      <c r="BB902" s="1783"/>
      <c r="BC902" s="1783"/>
      <c r="BD902" s="1783"/>
      <c r="BE902" s="1783"/>
      <c r="BF902" s="1783"/>
      <c r="BG902" s="1783"/>
      <c r="BH902" s="1783"/>
      <c r="BI902" s="1783"/>
    </row>
    <row r="903" spans="1:61">
      <c r="A903" s="1819"/>
      <c r="B903" s="1818"/>
      <c r="C903" s="1818"/>
      <c r="D903" s="1818"/>
      <c r="E903" s="1818"/>
      <c r="F903" s="1818"/>
      <c r="G903" s="1818"/>
      <c r="H903" s="1783"/>
      <c r="I903" s="1783"/>
      <c r="J903" s="1783"/>
      <c r="K903" s="1783"/>
      <c r="L903" s="1783"/>
      <c r="M903" s="1783"/>
      <c r="N903" s="1783"/>
      <c r="O903" s="1783"/>
      <c r="P903" s="1783"/>
      <c r="Q903" s="1783"/>
      <c r="R903" s="1783"/>
      <c r="S903" s="1783"/>
      <c r="T903" s="1783"/>
      <c r="U903" s="1783"/>
      <c r="V903" s="1783"/>
      <c r="W903" s="1783"/>
      <c r="X903" s="1783"/>
      <c r="Y903" s="1783"/>
      <c r="Z903" s="1783"/>
      <c r="AA903" s="1783"/>
      <c r="AB903" s="1783"/>
      <c r="AC903" s="1783"/>
      <c r="AD903" s="1783"/>
      <c r="AE903" s="1783"/>
      <c r="AF903" s="1783"/>
      <c r="AG903" s="1783"/>
      <c r="AH903" s="1783"/>
      <c r="AI903" s="1783"/>
      <c r="AJ903" s="1783"/>
      <c r="AK903" s="1783"/>
      <c r="AL903" s="1783"/>
      <c r="AM903" s="1783"/>
      <c r="AN903" s="1783"/>
      <c r="AO903" s="1783"/>
      <c r="AP903" s="1783"/>
      <c r="AQ903" s="1783"/>
      <c r="AR903" s="1783"/>
      <c r="AS903" s="1783"/>
      <c r="AT903" s="1783"/>
      <c r="AU903" s="1783"/>
      <c r="AV903" s="1783"/>
      <c r="AW903" s="1783"/>
      <c r="AX903" s="1783"/>
      <c r="AY903" s="1783"/>
      <c r="AZ903" s="1783"/>
      <c r="BA903" s="1783"/>
      <c r="BB903" s="1783"/>
      <c r="BC903" s="1783"/>
      <c r="BD903" s="1783"/>
      <c r="BE903" s="1783"/>
      <c r="BF903" s="1783"/>
      <c r="BG903" s="1783"/>
      <c r="BH903" s="1783"/>
      <c r="BI903" s="1783"/>
    </row>
    <row r="904" spans="1:61">
      <c r="A904" s="1819"/>
      <c r="B904" s="1818"/>
      <c r="C904" s="1818"/>
      <c r="D904" s="1818"/>
      <c r="E904" s="1818"/>
      <c r="F904" s="1818"/>
      <c r="G904" s="1818"/>
      <c r="H904" s="1783"/>
      <c r="I904" s="1783"/>
      <c r="J904" s="1783"/>
      <c r="K904" s="1783"/>
      <c r="L904" s="1783"/>
      <c r="M904" s="1783"/>
      <c r="N904" s="1783"/>
      <c r="O904" s="1783"/>
      <c r="P904" s="1783"/>
      <c r="Q904" s="1783"/>
      <c r="R904" s="1783"/>
      <c r="S904" s="1783"/>
      <c r="T904" s="1783"/>
      <c r="U904" s="1783"/>
      <c r="V904" s="1783"/>
      <c r="W904" s="1783"/>
      <c r="X904" s="1783"/>
      <c r="Y904" s="1783"/>
      <c r="Z904" s="1783"/>
      <c r="AA904" s="1783"/>
      <c r="AB904" s="1783"/>
      <c r="AC904" s="1783"/>
      <c r="AD904" s="1783"/>
      <c r="AE904" s="1783"/>
      <c r="AF904" s="1783"/>
      <c r="AG904" s="1783"/>
      <c r="AH904" s="1783"/>
      <c r="AI904" s="1783"/>
      <c r="AJ904" s="1783"/>
      <c r="AK904" s="1783"/>
      <c r="AL904" s="1783"/>
      <c r="AM904" s="1783"/>
      <c r="AN904" s="1783"/>
      <c r="AO904" s="1783"/>
      <c r="AP904" s="1783"/>
      <c r="AQ904" s="1783"/>
      <c r="AR904" s="1783"/>
      <c r="AS904" s="1783"/>
      <c r="AT904" s="1783"/>
      <c r="AU904" s="1783"/>
      <c r="AV904" s="1783"/>
      <c r="AW904" s="1783"/>
      <c r="AX904" s="1783"/>
      <c r="AY904" s="1783"/>
      <c r="AZ904" s="1783"/>
      <c r="BA904" s="1783"/>
      <c r="BB904" s="1783"/>
      <c r="BC904" s="1783"/>
      <c r="BD904" s="1783"/>
      <c r="BE904" s="1783"/>
      <c r="BF904" s="1783"/>
      <c r="BG904" s="1783"/>
      <c r="BH904" s="1783"/>
      <c r="BI904" s="1783"/>
    </row>
    <row r="905" spans="1:61">
      <c r="A905" s="1819"/>
      <c r="B905" s="1818"/>
      <c r="C905" s="1818"/>
      <c r="D905" s="1818"/>
      <c r="E905" s="1818"/>
      <c r="F905" s="1818"/>
      <c r="G905" s="1818"/>
      <c r="H905" s="1783"/>
      <c r="I905" s="1783"/>
      <c r="J905" s="1783"/>
      <c r="K905" s="1783"/>
      <c r="L905" s="1783"/>
      <c r="M905" s="1783"/>
      <c r="N905" s="1783"/>
      <c r="O905" s="1783"/>
      <c r="P905" s="1783"/>
      <c r="Q905" s="1783"/>
      <c r="R905" s="1783"/>
      <c r="S905" s="1783"/>
      <c r="T905" s="1783"/>
      <c r="U905" s="1783"/>
      <c r="V905" s="1783"/>
      <c r="W905" s="1783"/>
      <c r="X905" s="1783"/>
      <c r="Y905" s="1783"/>
      <c r="Z905" s="1783"/>
      <c r="AA905" s="1783"/>
      <c r="AB905" s="1783"/>
      <c r="AC905" s="1783"/>
      <c r="AD905" s="1783"/>
      <c r="AE905" s="1783"/>
      <c r="AF905" s="1783"/>
      <c r="AG905" s="1783"/>
      <c r="AH905" s="1783"/>
      <c r="AI905" s="1783"/>
      <c r="AJ905" s="1783"/>
      <c r="AK905" s="1783"/>
      <c r="AL905" s="1783"/>
      <c r="AM905" s="1783"/>
      <c r="AN905" s="1783"/>
      <c r="AO905" s="1783"/>
      <c r="AP905" s="1783"/>
      <c r="AQ905" s="1783"/>
      <c r="AR905" s="1783"/>
      <c r="AS905" s="1783"/>
      <c r="AT905" s="1783"/>
      <c r="AU905" s="1783"/>
      <c r="AV905" s="1783"/>
      <c r="AW905" s="1783"/>
      <c r="AX905" s="1783"/>
      <c r="AY905" s="1783"/>
      <c r="AZ905" s="1783"/>
      <c r="BA905" s="1783"/>
      <c r="BB905" s="1783"/>
      <c r="BC905" s="1783"/>
      <c r="BD905" s="1783"/>
      <c r="BE905" s="1783"/>
      <c r="BF905" s="1783"/>
      <c r="BG905" s="1783"/>
      <c r="BH905" s="1783"/>
      <c r="BI905" s="1783"/>
    </row>
    <row r="906" spans="1:61">
      <c r="A906" s="1819"/>
      <c r="B906" s="1818"/>
      <c r="C906" s="1818"/>
      <c r="D906" s="1818"/>
      <c r="E906" s="1818"/>
      <c r="F906" s="1818"/>
      <c r="G906" s="1818"/>
      <c r="H906" s="1783"/>
      <c r="I906" s="1783"/>
      <c r="J906" s="1783"/>
      <c r="K906" s="1783"/>
      <c r="L906" s="1783"/>
      <c r="M906" s="1783"/>
      <c r="N906" s="1783"/>
      <c r="O906" s="1783"/>
      <c r="P906" s="1783"/>
      <c r="Q906" s="1783"/>
      <c r="R906" s="1783"/>
      <c r="S906" s="1783"/>
      <c r="T906" s="1783"/>
      <c r="U906" s="1783"/>
      <c r="V906" s="1783"/>
      <c r="W906" s="1783"/>
      <c r="X906" s="1783"/>
      <c r="Y906" s="1783"/>
      <c r="Z906" s="1783"/>
      <c r="AA906" s="1783"/>
      <c r="AB906" s="1783"/>
      <c r="AC906" s="1783"/>
      <c r="AD906" s="1783"/>
      <c r="AE906" s="1783"/>
      <c r="AF906" s="1783"/>
      <c r="AG906" s="1783"/>
      <c r="AH906" s="1783"/>
      <c r="AI906" s="1783"/>
      <c r="AJ906" s="1783"/>
      <c r="AK906" s="1783"/>
      <c r="AL906" s="1783"/>
      <c r="AM906" s="1783"/>
      <c r="AN906" s="1783"/>
      <c r="AO906" s="1783"/>
      <c r="AP906" s="1783"/>
      <c r="AQ906" s="1783"/>
      <c r="AR906" s="1783"/>
      <c r="AS906" s="1783"/>
      <c r="AT906" s="1783"/>
      <c r="AU906" s="1783"/>
      <c r="AV906" s="1783"/>
      <c r="AW906" s="1783"/>
      <c r="AX906" s="1783"/>
      <c r="AY906" s="1783"/>
      <c r="AZ906" s="1783"/>
      <c r="BA906" s="1783"/>
      <c r="BB906" s="1783"/>
      <c r="BC906" s="1783"/>
      <c r="BD906" s="1783"/>
      <c r="BE906" s="1783"/>
      <c r="BF906" s="1783"/>
      <c r="BG906" s="1783"/>
      <c r="BH906" s="1783"/>
      <c r="BI906" s="1783"/>
    </row>
    <row r="907" spans="1:61">
      <c r="A907" s="1819"/>
      <c r="B907" s="1818"/>
      <c r="C907" s="1818"/>
      <c r="D907" s="1818"/>
      <c r="E907" s="1818"/>
      <c r="F907" s="1818"/>
      <c r="G907" s="1818"/>
      <c r="H907" s="1783"/>
      <c r="I907" s="1783"/>
      <c r="J907" s="1783"/>
      <c r="K907" s="1783"/>
      <c r="L907" s="1783"/>
      <c r="M907" s="1783"/>
      <c r="N907" s="1783"/>
      <c r="O907" s="1783"/>
      <c r="P907" s="1783"/>
      <c r="Q907" s="1783"/>
      <c r="R907" s="1783"/>
      <c r="S907" s="1783"/>
      <c r="T907" s="1783"/>
      <c r="U907" s="1783"/>
      <c r="V907" s="1783"/>
      <c r="W907" s="1783"/>
      <c r="X907" s="1783"/>
      <c r="Y907" s="1783"/>
      <c r="Z907" s="1783"/>
      <c r="AA907" s="1783"/>
      <c r="AB907" s="1783"/>
      <c r="AC907" s="1783"/>
      <c r="AD907" s="1783"/>
      <c r="AE907" s="1783"/>
      <c r="AF907" s="1783"/>
      <c r="AG907" s="1783"/>
      <c r="AH907" s="1783"/>
      <c r="AI907" s="1783"/>
      <c r="AJ907" s="1783"/>
      <c r="AK907" s="1783"/>
      <c r="AL907" s="1783"/>
      <c r="AM907" s="1783"/>
      <c r="AN907" s="1783"/>
      <c r="AO907" s="1783"/>
      <c r="AP907" s="1783"/>
      <c r="AQ907" s="1783"/>
      <c r="AR907" s="1783"/>
      <c r="AS907" s="1783"/>
      <c r="AT907" s="1783"/>
      <c r="AU907" s="1783"/>
      <c r="AV907" s="1783"/>
      <c r="AW907" s="1783"/>
      <c r="AX907" s="1783"/>
      <c r="AY907" s="1783"/>
      <c r="AZ907" s="1783"/>
      <c r="BA907" s="1783"/>
      <c r="BB907" s="1783"/>
      <c r="BC907" s="1783"/>
      <c r="BD907" s="1783"/>
      <c r="BE907" s="1783"/>
      <c r="BF907" s="1783"/>
      <c r="BG907" s="1783"/>
      <c r="BH907" s="1783"/>
      <c r="BI907" s="1783"/>
    </row>
    <row r="908" spans="1:61">
      <c r="A908" s="1819"/>
      <c r="B908" s="1818"/>
      <c r="C908" s="1818"/>
      <c r="D908" s="1818"/>
      <c r="E908" s="1818"/>
      <c r="F908" s="1818"/>
      <c r="G908" s="1818"/>
      <c r="H908" s="1783"/>
      <c r="I908" s="1783"/>
      <c r="J908" s="1783"/>
      <c r="K908" s="1783"/>
      <c r="L908" s="1783"/>
      <c r="M908" s="1783"/>
      <c r="N908" s="1783"/>
      <c r="O908" s="1783"/>
      <c r="P908" s="1783"/>
      <c r="Q908" s="1783"/>
      <c r="R908" s="1783"/>
      <c r="S908" s="1783"/>
      <c r="T908" s="1783"/>
      <c r="U908" s="1783"/>
      <c r="V908" s="1783"/>
      <c r="W908" s="1783"/>
      <c r="X908" s="1783"/>
      <c r="Y908" s="1783"/>
      <c r="Z908" s="1783"/>
      <c r="AA908" s="1783"/>
      <c r="AB908" s="1783"/>
      <c r="AC908" s="1783"/>
      <c r="AD908" s="1783"/>
      <c r="AE908" s="1783"/>
      <c r="AF908" s="1783"/>
      <c r="AG908" s="1783"/>
      <c r="AH908" s="1783"/>
      <c r="AI908" s="1783"/>
      <c r="AJ908" s="1783"/>
      <c r="AK908" s="1783"/>
      <c r="AL908" s="1783"/>
      <c r="AM908" s="1783"/>
      <c r="AN908" s="1783"/>
      <c r="AO908" s="1783"/>
      <c r="AP908" s="1783"/>
      <c r="AQ908" s="1783"/>
      <c r="AR908" s="1783"/>
      <c r="AS908" s="1783"/>
      <c r="AT908" s="1783"/>
      <c r="AU908" s="1783"/>
      <c r="AV908" s="1783"/>
      <c r="AW908" s="1783"/>
      <c r="AX908" s="1783"/>
      <c r="AY908" s="1783"/>
      <c r="AZ908" s="1783"/>
      <c r="BA908" s="1783"/>
      <c r="BB908" s="1783"/>
      <c r="BC908" s="1783"/>
      <c r="BD908" s="1783"/>
      <c r="BE908" s="1783"/>
      <c r="BF908" s="1783"/>
      <c r="BG908" s="1783"/>
      <c r="BH908" s="1783"/>
      <c r="BI908" s="1783"/>
    </row>
    <row r="909" spans="1:61">
      <c r="A909" s="1819"/>
      <c r="B909" s="1818"/>
      <c r="C909" s="1818"/>
      <c r="D909" s="1818"/>
      <c r="E909" s="1818"/>
      <c r="F909" s="1818"/>
      <c r="G909" s="1818"/>
      <c r="H909" s="1783"/>
      <c r="I909" s="1783"/>
      <c r="J909" s="1783"/>
      <c r="K909" s="1783"/>
      <c r="L909" s="1783"/>
      <c r="M909" s="1783"/>
      <c r="N909" s="1783"/>
      <c r="O909" s="1783"/>
      <c r="P909" s="1783"/>
      <c r="Q909" s="1783"/>
      <c r="R909" s="1783"/>
      <c r="S909" s="1783"/>
      <c r="T909" s="1783"/>
      <c r="U909" s="1783"/>
      <c r="V909" s="1783"/>
      <c r="W909" s="1783"/>
      <c r="X909" s="1783"/>
      <c r="Y909" s="1783"/>
      <c r="Z909" s="1783"/>
      <c r="AA909" s="1783"/>
      <c r="AB909" s="1783"/>
      <c r="AC909" s="1783"/>
      <c r="AD909" s="1783"/>
      <c r="AE909" s="1783"/>
      <c r="AF909" s="1783"/>
      <c r="AG909" s="1783"/>
      <c r="AH909" s="1783"/>
      <c r="AI909" s="1783"/>
      <c r="AJ909" s="1783"/>
      <c r="AK909" s="1783"/>
      <c r="AL909" s="1783"/>
      <c r="AM909" s="1783"/>
      <c r="AN909" s="1783"/>
      <c r="AO909" s="1783"/>
      <c r="AP909" s="1783"/>
      <c r="AQ909" s="1783"/>
      <c r="AR909" s="1783"/>
      <c r="AS909" s="1783"/>
      <c r="AT909" s="1783"/>
      <c r="AU909" s="1783"/>
      <c r="AV909" s="1783"/>
      <c r="AW909" s="1783"/>
      <c r="AX909" s="1783"/>
      <c r="AY909" s="1783"/>
      <c r="AZ909" s="1783"/>
      <c r="BA909" s="1783"/>
      <c r="BB909" s="1783"/>
      <c r="BC909" s="1783"/>
      <c r="BD909" s="1783"/>
      <c r="BE909" s="1783"/>
      <c r="BF909" s="1783"/>
      <c r="BG909" s="1783"/>
      <c r="BH909" s="1783"/>
      <c r="BI909" s="1783"/>
    </row>
    <row r="910" spans="1:61">
      <c r="A910" s="1819"/>
      <c r="B910" s="1818"/>
      <c r="C910" s="1818"/>
      <c r="D910" s="1818"/>
      <c r="E910" s="1818"/>
      <c r="F910" s="1818"/>
      <c r="G910" s="1818"/>
      <c r="H910" s="1783"/>
      <c r="I910" s="1783"/>
      <c r="J910" s="1783"/>
      <c r="K910" s="1783"/>
      <c r="L910" s="1783"/>
      <c r="M910" s="1783"/>
      <c r="N910" s="1783"/>
      <c r="O910" s="1783"/>
      <c r="P910" s="1783"/>
      <c r="Q910" s="1783"/>
      <c r="R910" s="1783"/>
      <c r="S910" s="1783"/>
      <c r="T910" s="1783"/>
      <c r="U910" s="1783"/>
      <c r="V910" s="1783"/>
      <c r="W910" s="1783"/>
      <c r="X910" s="1783"/>
      <c r="Y910" s="1783"/>
      <c r="Z910" s="1783"/>
      <c r="AA910" s="1783"/>
      <c r="AB910" s="1783"/>
      <c r="AC910" s="1783"/>
      <c r="AD910" s="1783"/>
      <c r="AE910" s="1783"/>
      <c r="AF910" s="1783"/>
      <c r="AG910" s="1783"/>
      <c r="AH910" s="1783"/>
      <c r="AI910" s="1783"/>
      <c r="AJ910" s="1783"/>
      <c r="AK910" s="1783"/>
      <c r="AL910" s="1783"/>
      <c r="AM910" s="1783"/>
      <c r="AN910" s="1783"/>
      <c r="AO910" s="1783"/>
      <c r="AP910" s="1783"/>
      <c r="AQ910" s="1783"/>
      <c r="AR910" s="1783"/>
      <c r="AS910" s="1783"/>
      <c r="AT910" s="1783"/>
      <c r="AU910" s="1783"/>
      <c r="AV910" s="1783"/>
      <c r="AW910" s="1783"/>
      <c r="AX910" s="1783"/>
      <c r="AY910" s="1783"/>
      <c r="AZ910" s="1783"/>
      <c r="BA910" s="1783"/>
      <c r="BB910" s="1783"/>
      <c r="BC910" s="1783"/>
      <c r="BD910" s="1783"/>
      <c r="BE910" s="1783"/>
      <c r="BF910" s="1783"/>
      <c r="BG910" s="1783"/>
      <c r="BH910" s="1783"/>
      <c r="BI910" s="1783"/>
    </row>
    <row r="911" spans="1:61">
      <c r="A911" s="1819"/>
      <c r="B911" s="1818"/>
      <c r="C911" s="1818"/>
      <c r="D911" s="1818"/>
      <c r="E911" s="1818"/>
      <c r="F911" s="1818"/>
      <c r="G911" s="1818"/>
      <c r="H911" s="1783"/>
      <c r="I911" s="1783"/>
      <c r="J911" s="1783"/>
      <c r="K911" s="1783"/>
      <c r="L911" s="1783"/>
      <c r="M911" s="1783"/>
      <c r="N911" s="1783"/>
      <c r="O911" s="1783"/>
      <c r="P911" s="1783"/>
      <c r="Q911" s="1783"/>
      <c r="R911" s="1783"/>
      <c r="S911" s="1783"/>
      <c r="T911" s="1783"/>
      <c r="U911" s="1783"/>
      <c r="V911" s="1783"/>
      <c r="W911" s="1783"/>
      <c r="X911" s="1783"/>
      <c r="Y911" s="1783"/>
      <c r="Z911" s="1783"/>
      <c r="AA911" s="1783"/>
      <c r="AB911" s="1783"/>
      <c r="AC911" s="1783"/>
      <c r="AD911" s="1783"/>
      <c r="AE911" s="1783"/>
      <c r="AF911" s="1783"/>
      <c r="AG911" s="1783"/>
      <c r="AH911" s="1783"/>
      <c r="AI911" s="1783"/>
      <c r="AJ911" s="1783"/>
      <c r="AK911" s="1783"/>
      <c r="AL911" s="1783"/>
      <c r="AM911" s="1783"/>
      <c r="AN911" s="1783"/>
      <c r="AO911" s="1783"/>
      <c r="AP911" s="1783"/>
      <c r="AQ911" s="1783"/>
      <c r="AR911" s="1783"/>
      <c r="AS911" s="1783"/>
      <c r="AT911" s="1783"/>
      <c r="AU911" s="1783"/>
      <c r="AV911" s="1783"/>
      <c r="AW911" s="1783"/>
      <c r="AX911" s="1783"/>
      <c r="AY911" s="1783"/>
      <c r="AZ911" s="1783"/>
      <c r="BA911" s="1783"/>
      <c r="BB911" s="1783"/>
      <c r="BC911" s="1783"/>
      <c r="BD911" s="1783"/>
      <c r="BE911" s="1783"/>
      <c r="BF911" s="1783"/>
      <c r="BG911" s="1783"/>
      <c r="BH911" s="1783"/>
      <c r="BI911" s="1783"/>
    </row>
    <row r="912" spans="1:61">
      <c r="A912" s="1819"/>
      <c r="B912" s="1818"/>
      <c r="C912" s="1818"/>
      <c r="D912" s="1818"/>
      <c r="E912" s="1818"/>
      <c r="F912" s="1818"/>
      <c r="G912" s="1818"/>
      <c r="H912" s="1783"/>
      <c r="I912" s="1783"/>
      <c r="J912" s="1783"/>
      <c r="K912" s="1783"/>
      <c r="L912" s="1783"/>
      <c r="M912" s="1783"/>
      <c r="N912" s="1783"/>
      <c r="O912" s="1783"/>
      <c r="P912" s="1783"/>
      <c r="Q912" s="1783"/>
      <c r="R912" s="1783"/>
      <c r="S912" s="1783"/>
      <c r="T912" s="1783"/>
      <c r="U912" s="1783"/>
      <c r="V912" s="1783"/>
      <c r="W912" s="1783"/>
      <c r="X912" s="1783"/>
      <c r="Y912" s="1783"/>
      <c r="Z912" s="1783"/>
      <c r="AA912" s="1783"/>
      <c r="AB912" s="1783"/>
      <c r="AC912" s="1783"/>
      <c r="AD912" s="1783"/>
      <c r="AE912" s="1783"/>
      <c r="AF912" s="1783"/>
      <c r="AG912" s="1783"/>
      <c r="AH912" s="1783"/>
      <c r="AI912" s="1783"/>
      <c r="AJ912" s="1783"/>
      <c r="AK912" s="1783"/>
      <c r="AL912" s="1783"/>
      <c r="AM912" s="1783"/>
      <c r="AN912" s="1783"/>
      <c r="AO912" s="1783"/>
      <c r="AP912" s="1783"/>
      <c r="AQ912" s="1783"/>
      <c r="AR912" s="1783"/>
      <c r="AS912" s="1783"/>
      <c r="AT912" s="1783"/>
      <c r="AU912" s="1783"/>
      <c r="AV912" s="1783"/>
      <c r="AW912" s="1783"/>
      <c r="AX912" s="1783"/>
      <c r="AY912" s="1783"/>
      <c r="AZ912" s="1783"/>
      <c r="BA912" s="1783"/>
      <c r="BB912" s="1783"/>
      <c r="BC912" s="1783"/>
      <c r="BD912" s="1783"/>
      <c r="BE912" s="1783"/>
      <c r="BF912" s="1783"/>
      <c r="BG912" s="1783"/>
      <c r="BH912" s="1783"/>
      <c r="BI912" s="1783"/>
    </row>
    <row r="913" spans="1:61">
      <c r="A913" s="1819"/>
      <c r="B913" s="1818"/>
      <c r="C913" s="1818"/>
      <c r="D913" s="1818"/>
      <c r="E913" s="1818"/>
      <c r="F913" s="1818"/>
      <c r="G913" s="1818"/>
      <c r="H913" s="1783"/>
      <c r="I913" s="1783"/>
      <c r="J913" s="1783"/>
      <c r="K913" s="1783"/>
      <c r="L913" s="1783"/>
      <c r="M913" s="1783"/>
      <c r="N913" s="1783"/>
      <c r="O913" s="1783"/>
      <c r="P913" s="1783"/>
      <c r="Q913" s="1783"/>
      <c r="R913" s="1783"/>
      <c r="S913" s="1783"/>
      <c r="T913" s="1783"/>
      <c r="U913" s="1783"/>
      <c r="V913" s="1783"/>
      <c r="W913" s="1783"/>
      <c r="X913" s="1783"/>
      <c r="Y913" s="1783"/>
      <c r="Z913" s="1783"/>
      <c r="AA913" s="1783"/>
      <c r="AB913" s="1783"/>
      <c r="AC913" s="1783"/>
      <c r="AD913" s="1783"/>
      <c r="AE913" s="1783"/>
      <c r="AF913" s="1783"/>
      <c r="AG913" s="1783"/>
      <c r="AH913" s="1783"/>
      <c r="AI913" s="1783"/>
      <c r="AJ913" s="1783"/>
      <c r="AK913" s="1783"/>
      <c r="AL913" s="1783"/>
      <c r="AM913" s="1783"/>
      <c r="AN913" s="1783"/>
      <c r="AO913" s="1783"/>
      <c r="AP913" s="1783"/>
      <c r="AQ913" s="1783"/>
      <c r="AR913" s="1783"/>
      <c r="AS913" s="1783"/>
      <c r="AT913" s="1783"/>
      <c r="AU913" s="1783"/>
      <c r="AV913" s="1783"/>
      <c r="AW913" s="1783"/>
      <c r="AX913" s="1783"/>
      <c r="AY913" s="1783"/>
      <c r="AZ913" s="1783"/>
      <c r="BA913" s="1783"/>
      <c r="BB913" s="1783"/>
      <c r="BC913" s="1783"/>
      <c r="BD913" s="1783"/>
      <c r="BE913" s="1783"/>
      <c r="BF913" s="1783"/>
      <c r="BG913" s="1783"/>
      <c r="BH913" s="1783"/>
      <c r="BI913" s="1783"/>
    </row>
    <row r="914" spans="1:61">
      <c r="A914" s="1819"/>
      <c r="B914" s="1818"/>
      <c r="C914" s="1818"/>
      <c r="D914" s="1818"/>
      <c r="E914" s="1818"/>
      <c r="F914" s="1818"/>
      <c r="G914" s="1818"/>
      <c r="H914" s="1783"/>
      <c r="I914" s="1783"/>
      <c r="J914" s="1783"/>
      <c r="K914" s="1783"/>
      <c r="L914" s="1783"/>
      <c r="M914" s="1783"/>
      <c r="N914" s="1783"/>
      <c r="O914" s="1783"/>
      <c r="P914" s="1783"/>
      <c r="Q914" s="1783"/>
      <c r="R914" s="1783"/>
      <c r="S914" s="1783"/>
      <c r="T914" s="1783"/>
      <c r="U914" s="1783"/>
      <c r="V914" s="1783"/>
      <c r="W914" s="1783"/>
      <c r="X914" s="1783"/>
      <c r="Y914" s="1783"/>
      <c r="Z914" s="1783"/>
      <c r="AA914" s="1783"/>
      <c r="AB914" s="1783"/>
      <c r="AC914" s="1783"/>
      <c r="AD914" s="1783"/>
      <c r="AE914" s="1783"/>
      <c r="AF914" s="1783"/>
      <c r="AG914" s="1783"/>
      <c r="AH914" s="1783"/>
      <c r="AI914" s="1783"/>
      <c r="AJ914" s="1783"/>
      <c r="AK914" s="1783"/>
      <c r="AL914" s="1783"/>
      <c r="AM914" s="1783"/>
      <c r="AN914" s="1783"/>
      <c r="AO914" s="1783"/>
      <c r="AP914" s="1783"/>
      <c r="AQ914" s="1783"/>
      <c r="AR914" s="1783"/>
      <c r="AS914" s="1783"/>
      <c r="AT914" s="1783"/>
      <c r="AU914" s="1783"/>
      <c r="AV914" s="1783"/>
      <c r="AW914" s="1783"/>
      <c r="AX914" s="1783"/>
      <c r="AY914" s="1783"/>
      <c r="AZ914" s="1783"/>
      <c r="BA914" s="1783"/>
      <c r="BB914" s="1783"/>
      <c r="BC914" s="1783"/>
      <c r="BD914" s="1783"/>
      <c r="BE914" s="1783"/>
      <c r="BF914" s="1783"/>
      <c r="BG914" s="1783"/>
      <c r="BH914" s="1783"/>
      <c r="BI914" s="1783"/>
    </row>
    <row r="915" spans="1:61">
      <c r="A915" s="1819"/>
      <c r="B915" s="1818"/>
      <c r="C915" s="1818"/>
      <c r="D915" s="1818"/>
      <c r="E915" s="1818"/>
      <c r="F915" s="1818"/>
      <c r="G915" s="1818"/>
      <c r="H915" s="1783"/>
      <c r="I915" s="1783"/>
      <c r="J915" s="1783"/>
      <c r="K915" s="1783"/>
      <c r="L915" s="1783"/>
      <c r="M915" s="1783"/>
      <c r="N915" s="1783"/>
      <c r="O915" s="1783"/>
      <c r="P915" s="1783"/>
      <c r="Q915" s="1783"/>
      <c r="R915" s="1783"/>
      <c r="S915" s="1783"/>
      <c r="T915" s="1783"/>
      <c r="U915" s="1783"/>
      <c r="V915" s="1783"/>
      <c r="W915" s="1783"/>
      <c r="X915" s="1783"/>
      <c r="Y915" s="1783"/>
      <c r="Z915" s="1783"/>
      <c r="AA915" s="1783"/>
      <c r="AB915" s="1783"/>
      <c r="AC915" s="1783"/>
      <c r="AD915" s="1783"/>
      <c r="AE915" s="1783"/>
      <c r="AF915" s="1783"/>
      <c r="AG915" s="1783"/>
      <c r="AH915" s="1783"/>
      <c r="AI915" s="1783"/>
      <c r="AJ915" s="1783"/>
      <c r="AK915" s="1783"/>
      <c r="AL915" s="1783"/>
      <c r="AM915" s="1783"/>
      <c r="AN915" s="1783"/>
      <c r="AO915" s="1783"/>
      <c r="AP915" s="1783"/>
      <c r="AQ915" s="1783"/>
      <c r="AR915" s="1783"/>
      <c r="AS915" s="1783"/>
      <c r="AT915" s="1783"/>
      <c r="AU915" s="1783"/>
      <c r="AV915" s="1783"/>
      <c r="AW915" s="1783"/>
      <c r="AX915" s="1783"/>
      <c r="AY915" s="1783"/>
      <c r="AZ915" s="1783"/>
      <c r="BA915" s="1783"/>
      <c r="BB915" s="1783"/>
      <c r="BC915" s="1783"/>
      <c r="BD915" s="1783"/>
      <c r="BE915" s="1783"/>
      <c r="BF915" s="1783"/>
      <c r="BG915" s="1783"/>
      <c r="BH915" s="1783"/>
      <c r="BI915" s="1783"/>
    </row>
    <row r="916" spans="1:61">
      <c r="A916" s="1819"/>
      <c r="B916" s="1818"/>
      <c r="C916" s="1818"/>
      <c r="D916" s="1818"/>
      <c r="E916" s="1818"/>
      <c r="F916" s="1818"/>
      <c r="G916" s="1818"/>
      <c r="H916" s="1783"/>
      <c r="I916" s="1783"/>
      <c r="J916" s="1783"/>
      <c r="K916" s="1783"/>
      <c r="L916" s="1783"/>
      <c r="M916" s="1783"/>
      <c r="N916" s="1783"/>
      <c r="O916" s="1783"/>
      <c r="P916" s="1783"/>
      <c r="Q916" s="1783"/>
      <c r="R916" s="1783"/>
      <c r="S916" s="1783"/>
      <c r="T916" s="1783"/>
      <c r="U916" s="1783"/>
      <c r="V916" s="1783"/>
      <c r="W916" s="1783"/>
      <c r="X916" s="1783"/>
      <c r="Y916" s="1783"/>
      <c r="Z916" s="1783"/>
      <c r="AA916" s="1783"/>
      <c r="AB916" s="1783"/>
      <c r="AC916" s="1783"/>
      <c r="AD916" s="1783"/>
      <c r="AE916" s="1783"/>
      <c r="AF916" s="1783"/>
      <c r="AG916" s="1783"/>
      <c r="AH916" s="1783"/>
      <c r="AI916" s="1783"/>
      <c r="AJ916" s="1783"/>
      <c r="AK916" s="1783"/>
      <c r="AL916" s="1783"/>
      <c r="AM916" s="1783"/>
      <c r="AN916" s="1783"/>
      <c r="AO916" s="1783"/>
      <c r="AP916" s="1783"/>
      <c r="AQ916" s="1783"/>
      <c r="AR916" s="1783"/>
      <c r="AS916" s="1783"/>
      <c r="AT916" s="1783"/>
      <c r="AU916" s="1783"/>
      <c r="AV916" s="1783"/>
      <c r="AW916" s="1783"/>
      <c r="AX916" s="1783"/>
      <c r="AY916" s="1783"/>
      <c r="AZ916" s="1783"/>
      <c r="BA916" s="1783"/>
      <c r="BB916" s="1783"/>
      <c r="BC916" s="1783"/>
      <c r="BD916" s="1783"/>
      <c r="BE916" s="1783"/>
      <c r="BF916" s="1783"/>
      <c r="BG916" s="1783"/>
      <c r="BH916" s="1783"/>
      <c r="BI916" s="1783"/>
    </row>
    <row r="917" spans="1:61">
      <c r="A917" s="1819"/>
      <c r="B917" s="1818"/>
      <c r="C917" s="1818"/>
      <c r="D917" s="1818"/>
      <c r="E917" s="1818"/>
      <c r="F917" s="1818"/>
      <c r="G917" s="1818"/>
      <c r="H917" s="1783"/>
      <c r="I917" s="1783"/>
      <c r="J917" s="1783"/>
      <c r="K917" s="1783"/>
      <c r="L917" s="1783"/>
      <c r="M917" s="1783"/>
      <c r="N917" s="1783"/>
      <c r="O917" s="1783"/>
      <c r="P917" s="1783"/>
      <c r="Q917" s="1783"/>
      <c r="R917" s="1783"/>
      <c r="S917" s="1783"/>
      <c r="T917" s="1783"/>
      <c r="U917" s="1783"/>
      <c r="V917" s="1783"/>
      <c r="W917" s="1783"/>
      <c r="X917" s="1783"/>
      <c r="Y917" s="1783"/>
      <c r="Z917" s="1783"/>
      <c r="AA917" s="1783"/>
      <c r="AB917" s="1783"/>
      <c r="AC917" s="1783"/>
      <c r="AD917" s="1783"/>
      <c r="AE917" s="1783"/>
      <c r="AF917" s="1783"/>
      <c r="AG917" s="1783"/>
      <c r="AH917" s="1783"/>
      <c r="AI917" s="1783"/>
      <c r="AJ917" s="1783"/>
      <c r="AK917" s="1783"/>
      <c r="AL917" s="1783"/>
      <c r="AM917" s="1783"/>
      <c r="AN917" s="1783"/>
      <c r="AO917" s="1783"/>
      <c r="AP917" s="1783"/>
      <c r="AQ917" s="1783"/>
      <c r="AR917" s="1783"/>
      <c r="AS917" s="1783"/>
      <c r="AT917" s="1783"/>
      <c r="AU917" s="1783"/>
      <c r="AV917" s="1783"/>
      <c r="AW917" s="1783"/>
      <c r="AX917" s="1783"/>
      <c r="AY917" s="1783"/>
      <c r="AZ917" s="1783"/>
      <c r="BA917" s="1783"/>
      <c r="BB917" s="1783"/>
      <c r="BC917" s="1783"/>
      <c r="BD917" s="1783"/>
      <c r="BE917" s="1783"/>
      <c r="BF917" s="1783"/>
      <c r="BG917" s="1783"/>
      <c r="BH917" s="1783"/>
      <c r="BI917" s="1783"/>
    </row>
    <row r="918" spans="1:61">
      <c r="A918" s="1819"/>
      <c r="B918" s="1818"/>
      <c r="C918" s="1818"/>
      <c r="D918" s="1818"/>
      <c r="E918" s="1818"/>
      <c r="F918" s="1818"/>
      <c r="G918" s="1818"/>
      <c r="H918" s="1783"/>
      <c r="I918" s="1783"/>
      <c r="J918" s="1783"/>
      <c r="K918" s="1783"/>
      <c r="L918" s="1783"/>
      <c r="M918" s="1783"/>
      <c r="N918" s="1783"/>
      <c r="O918" s="1783"/>
      <c r="P918" s="1783"/>
      <c r="Q918" s="1783"/>
      <c r="R918" s="1783"/>
      <c r="S918" s="1783"/>
      <c r="T918" s="1783"/>
      <c r="U918" s="1783"/>
      <c r="V918" s="1783"/>
      <c r="W918" s="1783"/>
      <c r="X918" s="1783"/>
      <c r="Y918" s="1783"/>
      <c r="Z918" s="1783"/>
      <c r="AA918" s="1783"/>
      <c r="AB918" s="1783"/>
      <c r="AC918" s="1783"/>
      <c r="AD918" s="1783"/>
      <c r="AE918" s="1783"/>
      <c r="AF918" s="1783"/>
      <c r="AG918" s="1783"/>
      <c r="AH918" s="1783"/>
      <c r="AI918" s="1783"/>
      <c r="AJ918" s="1783"/>
      <c r="AK918" s="1783"/>
      <c r="AL918" s="1783"/>
      <c r="AM918" s="1783"/>
      <c r="AN918" s="1783"/>
      <c r="AO918" s="1783"/>
      <c r="AP918" s="1783"/>
      <c r="AQ918" s="1783"/>
      <c r="AR918" s="1783"/>
      <c r="AS918" s="1783"/>
      <c r="AT918" s="1783"/>
      <c r="AU918" s="1783"/>
      <c r="AV918" s="1783"/>
      <c r="AW918" s="1783"/>
      <c r="AX918" s="1783"/>
      <c r="AY918" s="1783"/>
      <c r="AZ918" s="1783"/>
      <c r="BA918" s="1783"/>
      <c r="BB918" s="1783"/>
      <c r="BC918" s="1783"/>
      <c r="BD918" s="1783"/>
      <c r="BE918" s="1783"/>
      <c r="BF918" s="1783"/>
      <c r="BG918" s="1783"/>
      <c r="BH918" s="1783"/>
      <c r="BI918" s="1783"/>
    </row>
    <row r="919" spans="1:61">
      <c r="A919" s="1819"/>
      <c r="B919" s="1818"/>
      <c r="C919" s="1818"/>
      <c r="D919" s="1818"/>
      <c r="E919" s="1818"/>
      <c r="F919" s="1818"/>
      <c r="G919" s="1818"/>
      <c r="H919" s="1783"/>
      <c r="I919" s="1783"/>
      <c r="J919" s="1783"/>
      <c r="K919" s="1783"/>
      <c r="L919" s="1783"/>
      <c r="M919" s="1783"/>
      <c r="N919" s="1783"/>
      <c r="O919" s="1783"/>
      <c r="P919" s="1783"/>
      <c r="Q919" s="1783"/>
      <c r="R919" s="1783"/>
      <c r="S919" s="1783"/>
      <c r="T919" s="1783"/>
      <c r="U919" s="1783"/>
      <c r="V919" s="1783"/>
      <c r="W919" s="1783"/>
      <c r="X919" s="1783"/>
      <c r="Y919" s="1783"/>
      <c r="Z919" s="1783"/>
      <c r="AA919" s="1783"/>
      <c r="AB919" s="1783"/>
      <c r="AC919" s="1783"/>
      <c r="AD919" s="1783"/>
      <c r="AE919" s="1783"/>
      <c r="AF919" s="1783"/>
      <c r="AG919" s="1783"/>
      <c r="AH919" s="1783"/>
      <c r="AI919" s="1783"/>
      <c r="AJ919" s="1783"/>
      <c r="AK919" s="1783"/>
      <c r="AL919" s="1783"/>
      <c r="AM919" s="1783"/>
      <c r="AN919" s="1783"/>
      <c r="AO919" s="1783"/>
      <c r="AP919" s="1783"/>
      <c r="AQ919" s="1783"/>
      <c r="AR919" s="1783"/>
      <c r="AS919" s="1783"/>
      <c r="AT919" s="1783"/>
      <c r="AU919" s="1783"/>
      <c r="AV919" s="1783"/>
      <c r="AW919" s="1783"/>
      <c r="AX919" s="1783"/>
      <c r="AY919" s="1783"/>
      <c r="AZ919" s="1783"/>
      <c r="BA919" s="1783"/>
      <c r="BB919" s="1783"/>
      <c r="BC919" s="1783"/>
      <c r="BD919" s="1783"/>
      <c r="BE919" s="1783"/>
      <c r="BF919" s="1783"/>
      <c r="BG919" s="1783"/>
      <c r="BH919" s="1783"/>
      <c r="BI919" s="1783"/>
    </row>
    <row r="920" spans="1:61">
      <c r="A920" s="1819"/>
      <c r="B920" s="1818"/>
      <c r="C920" s="1818"/>
      <c r="D920" s="1818"/>
      <c r="E920" s="1818"/>
      <c r="F920" s="1818"/>
      <c r="G920" s="1818"/>
      <c r="H920" s="1783"/>
      <c r="I920" s="1783"/>
      <c r="J920" s="1783"/>
      <c r="K920" s="1783"/>
      <c r="L920" s="1783"/>
      <c r="M920" s="1783"/>
      <c r="N920" s="1783"/>
      <c r="O920" s="1783"/>
      <c r="P920" s="1783"/>
      <c r="Q920" s="1783"/>
      <c r="R920" s="1783"/>
      <c r="S920" s="1783"/>
      <c r="T920" s="1783"/>
      <c r="U920" s="1783"/>
      <c r="V920" s="1783"/>
      <c r="W920" s="1783"/>
      <c r="X920" s="1783"/>
      <c r="Y920" s="1783"/>
      <c r="Z920" s="1783"/>
      <c r="AA920" s="1783"/>
      <c r="AB920" s="1783"/>
      <c r="AC920" s="1783"/>
      <c r="AD920" s="1783"/>
      <c r="AE920" s="1783"/>
      <c r="AF920" s="1783"/>
      <c r="AG920" s="1783"/>
      <c r="AH920" s="1783"/>
      <c r="AI920" s="1783"/>
      <c r="AJ920" s="1783"/>
      <c r="AK920" s="1783"/>
      <c r="AL920" s="1783"/>
      <c r="AM920" s="1783"/>
      <c r="AN920" s="1783"/>
      <c r="AO920" s="1783"/>
      <c r="AP920" s="1783"/>
      <c r="AQ920" s="1783"/>
      <c r="AR920" s="1783"/>
      <c r="AS920" s="1783"/>
      <c r="AT920" s="1783"/>
      <c r="AU920" s="1783"/>
      <c r="AV920" s="1783"/>
      <c r="AW920" s="1783"/>
      <c r="AX920" s="1783"/>
      <c r="AY920" s="1783"/>
      <c r="AZ920" s="1783"/>
      <c r="BA920" s="1783"/>
      <c r="BB920" s="1783"/>
      <c r="BC920" s="1783"/>
      <c r="BD920" s="1783"/>
      <c r="BE920" s="1783"/>
      <c r="BF920" s="1783"/>
      <c r="BG920" s="1783"/>
      <c r="BH920" s="1783"/>
      <c r="BI920" s="1783"/>
    </row>
    <row r="921" spans="1:61">
      <c r="A921" s="1819"/>
      <c r="B921" s="1818"/>
      <c r="C921" s="1818"/>
      <c r="D921" s="1818"/>
      <c r="E921" s="1818"/>
      <c r="F921" s="1818"/>
      <c r="G921" s="1818"/>
      <c r="H921" s="1783"/>
      <c r="I921" s="1783"/>
      <c r="J921" s="1783"/>
      <c r="K921" s="1783"/>
      <c r="L921" s="1783"/>
      <c r="M921" s="1783"/>
      <c r="N921" s="1783"/>
      <c r="O921" s="1783"/>
      <c r="P921" s="1783"/>
      <c r="Q921" s="1783"/>
      <c r="R921" s="1783"/>
      <c r="S921" s="1783"/>
      <c r="T921" s="1783"/>
      <c r="U921" s="1783"/>
      <c r="V921" s="1783"/>
      <c r="W921" s="1783"/>
      <c r="X921" s="1783"/>
      <c r="Y921" s="1783"/>
      <c r="Z921" s="1783"/>
      <c r="AA921" s="1783"/>
      <c r="AB921" s="1783"/>
      <c r="AC921" s="1783"/>
      <c r="AD921" s="1783"/>
      <c r="AE921" s="1783"/>
      <c r="AF921" s="1783"/>
      <c r="AG921" s="1783"/>
      <c r="AH921" s="1783"/>
      <c r="AI921" s="1783"/>
      <c r="AJ921" s="1783"/>
      <c r="AK921" s="1783"/>
      <c r="AL921" s="1783"/>
      <c r="AM921" s="1783"/>
      <c r="AN921" s="1783"/>
      <c r="AO921" s="1783"/>
      <c r="AP921" s="1783"/>
      <c r="AQ921" s="1783"/>
      <c r="AR921" s="1783"/>
      <c r="AS921" s="1783"/>
      <c r="AT921" s="1783"/>
      <c r="AU921" s="1783"/>
      <c r="AV921" s="1783"/>
      <c r="AW921" s="1783"/>
      <c r="AX921" s="1783"/>
      <c r="AY921" s="1783"/>
      <c r="AZ921" s="1783"/>
      <c r="BA921" s="1783"/>
      <c r="BB921" s="1783"/>
      <c r="BC921" s="1783"/>
      <c r="BD921" s="1783"/>
      <c r="BE921" s="1783"/>
      <c r="BF921" s="1783"/>
      <c r="BG921" s="1783"/>
      <c r="BH921" s="1783"/>
      <c r="BI921" s="1783"/>
    </row>
    <row r="922" spans="1:61">
      <c r="A922" s="1819"/>
      <c r="B922" s="1818"/>
      <c r="C922" s="1818"/>
      <c r="D922" s="1818"/>
      <c r="E922" s="1818"/>
      <c r="F922" s="1818"/>
      <c r="G922" s="1818"/>
      <c r="H922" s="1783"/>
      <c r="I922" s="1783"/>
      <c r="J922" s="1783"/>
      <c r="K922" s="1783"/>
      <c r="L922" s="1783"/>
      <c r="M922" s="1783"/>
      <c r="N922" s="1783"/>
      <c r="O922" s="1783"/>
      <c r="P922" s="1783"/>
      <c r="Q922" s="1783"/>
      <c r="R922" s="1783"/>
      <c r="S922" s="1783"/>
      <c r="T922" s="1783"/>
      <c r="U922" s="1783"/>
      <c r="V922" s="1783"/>
      <c r="W922" s="1783"/>
      <c r="X922" s="1783"/>
      <c r="Y922" s="1783"/>
      <c r="Z922" s="1783"/>
      <c r="AA922" s="1783"/>
      <c r="AB922" s="1783"/>
      <c r="AC922" s="1783"/>
      <c r="AD922" s="1783"/>
      <c r="AE922" s="1783"/>
      <c r="AF922" s="1783"/>
      <c r="AG922" s="1783"/>
      <c r="AH922" s="1783"/>
      <c r="AI922" s="1783"/>
      <c r="AJ922" s="1783"/>
      <c r="AK922" s="1783"/>
      <c r="AL922" s="1783"/>
      <c r="AM922" s="1783"/>
      <c r="AN922" s="1783"/>
      <c r="AO922" s="1783"/>
      <c r="AP922" s="1783"/>
      <c r="AQ922" s="1783"/>
      <c r="AR922" s="1783"/>
      <c r="AS922" s="1783"/>
      <c r="AT922" s="1783"/>
      <c r="AU922" s="1783"/>
      <c r="AV922" s="1783"/>
      <c r="AW922" s="1783"/>
      <c r="AX922" s="1783"/>
      <c r="AY922" s="1783"/>
      <c r="AZ922" s="1783"/>
      <c r="BA922" s="1783"/>
      <c r="BB922" s="1783"/>
      <c r="BC922" s="1783"/>
      <c r="BD922" s="1783"/>
      <c r="BE922" s="1783"/>
      <c r="BF922" s="1783"/>
      <c r="BG922" s="1783"/>
      <c r="BH922" s="1783"/>
      <c r="BI922" s="1783"/>
    </row>
    <row r="923" spans="1:61">
      <c r="A923" s="1819"/>
      <c r="B923" s="1818"/>
      <c r="C923" s="1818"/>
      <c r="D923" s="1818"/>
      <c r="E923" s="1818"/>
      <c r="F923" s="1818"/>
      <c r="G923" s="1818"/>
      <c r="H923" s="1783"/>
      <c r="I923" s="1783"/>
      <c r="J923" s="1783"/>
      <c r="K923" s="1783"/>
      <c r="L923" s="1783"/>
      <c r="M923" s="1783"/>
      <c r="N923" s="1783"/>
      <c r="O923" s="1783"/>
      <c r="P923" s="1783"/>
      <c r="Q923" s="1783"/>
      <c r="R923" s="1783"/>
      <c r="S923" s="1783"/>
      <c r="T923" s="1783"/>
      <c r="U923" s="1783"/>
      <c r="V923" s="1783"/>
      <c r="W923" s="1783"/>
      <c r="X923" s="1783"/>
      <c r="Y923" s="1783"/>
      <c r="Z923" s="1783"/>
      <c r="AA923" s="1783"/>
      <c r="AB923" s="1783"/>
      <c r="AC923" s="1783"/>
      <c r="AD923" s="1783"/>
      <c r="AE923" s="1783"/>
      <c r="AF923" s="1783"/>
      <c r="AG923" s="1783"/>
      <c r="AH923" s="1783"/>
      <c r="AI923" s="1783"/>
      <c r="AJ923" s="1783"/>
      <c r="AK923" s="1783"/>
      <c r="AL923" s="1783"/>
      <c r="AM923" s="1783"/>
      <c r="AN923" s="1783"/>
      <c r="AO923" s="1783"/>
      <c r="AP923" s="1783"/>
      <c r="AQ923" s="1783"/>
      <c r="AR923" s="1783"/>
      <c r="AS923" s="1783"/>
      <c r="AT923" s="1783"/>
      <c r="AU923" s="1783"/>
      <c r="AV923" s="1783"/>
      <c r="AW923" s="1783"/>
      <c r="AX923" s="1783"/>
      <c r="AY923" s="1783"/>
      <c r="AZ923" s="1783"/>
      <c r="BA923" s="1783"/>
      <c r="BB923" s="1783"/>
      <c r="BC923" s="1783"/>
      <c r="BD923" s="1783"/>
      <c r="BE923" s="1783"/>
      <c r="BF923" s="1783"/>
      <c r="BG923" s="1783"/>
      <c r="BH923" s="1783"/>
      <c r="BI923" s="1783"/>
    </row>
    <row r="924" spans="1:61">
      <c r="A924" s="1819"/>
      <c r="B924" s="1818"/>
      <c r="C924" s="1818"/>
      <c r="D924" s="1818"/>
      <c r="E924" s="1818"/>
      <c r="F924" s="1818"/>
      <c r="G924" s="1818"/>
      <c r="H924" s="1783"/>
      <c r="I924" s="1783"/>
      <c r="J924" s="1783"/>
      <c r="K924" s="1783"/>
      <c r="L924" s="1783"/>
      <c r="M924" s="1783"/>
      <c r="N924" s="1783"/>
      <c r="O924" s="1783"/>
      <c r="P924" s="1783"/>
      <c r="Q924" s="1783"/>
      <c r="R924" s="1783"/>
      <c r="S924" s="1783"/>
      <c r="T924" s="1783"/>
      <c r="U924" s="1783"/>
      <c r="V924" s="1783"/>
      <c r="W924" s="1783"/>
      <c r="X924" s="1783"/>
      <c r="Y924" s="1783"/>
      <c r="Z924" s="1783"/>
      <c r="AA924" s="1783"/>
      <c r="AB924" s="1783"/>
      <c r="AC924" s="1783"/>
      <c r="AD924" s="1783"/>
      <c r="AE924" s="1783"/>
      <c r="AF924" s="1783"/>
      <c r="AG924" s="1783"/>
      <c r="AH924" s="1783"/>
      <c r="AI924" s="1783"/>
      <c r="AJ924" s="1783"/>
      <c r="AK924" s="1783"/>
      <c r="AL924" s="1783"/>
      <c r="AM924" s="1783"/>
      <c r="AN924" s="1783"/>
      <c r="AO924" s="1783"/>
      <c r="AP924" s="1783"/>
      <c r="AQ924" s="1783"/>
      <c r="AR924" s="1783"/>
      <c r="AS924" s="1783"/>
      <c r="AT924" s="1783"/>
      <c r="AU924" s="1783"/>
      <c r="AV924" s="1783"/>
      <c r="AW924" s="1783"/>
      <c r="AX924" s="1783"/>
      <c r="AY924" s="1783"/>
      <c r="AZ924" s="1783"/>
      <c r="BA924" s="1783"/>
      <c r="BB924" s="1783"/>
      <c r="BC924" s="1783"/>
      <c r="BD924" s="1783"/>
      <c r="BE924" s="1783"/>
      <c r="BF924" s="1783"/>
      <c r="BG924" s="1783"/>
      <c r="BH924" s="1783"/>
      <c r="BI924" s="1783"/>
    </row>
    <row r="925" spans="1:61">
      <c r="A925" s="1819"/>
      <c r="B925" s="1818"/>
      <c r="C925" s="1818"/>
      <c r="D925" s="1818"/>
      <c r="E925" s="1818"/>
      <c r="F925" s="1818"/>
      <c r="G925" s="1818"/>
      <c r="H925" s="1783"/>
      <c r="I925" s="1783"/>
      <c r="J925" s="1783"/>
      <c r="K925" s="1783"/>
      <c r="L925" s="1783"/>
      <c r="M925" s="1783"/>
      <c r="N925" s="1783"/>
      <c r="O925" s="1783"/>
      <c r="P925" s="1783"/>
      <c r="Q925" s="1783"/>
      <c r="R925" s="1783"/>
      <c r="S925" s="1783"/>
      <c r="T925" s="1783"/>
      <c r="U925" s="1783"/>
      <c r="V925" s="1783"/>
      <c r="W925" s="1783"/>
      <c r="X925" s="1783"/>
      <c r="Y925" s="1783"/>
      <c r="Z925" s="1783"/>
      <c r="AA925" s="1783"/>
      <c r="AB925" s="1783"/>
      <c r="AC925" s="1783"/>
      <c r="AD925" s="1783"/>
      <c r="AE925" s="1783"/>
      <c r="AF925" s="1783"/>
      <c r="AG925" s="1783"/>
      <c r="AH925" s="1783"/>
      <c r="AI925" s="1783"/>
      <c r="AJ925" s="1783"/>
      <c r="AK925" s="1783"/>
      <c r="AL925" s="1783"/>
      <c r="AM925" s="1783"/>
      <c r="AN925" s="1783"/>
      <c r="AO925" s="1783"/>
      <c r="AP925" s="1783"/>
      <c r="AQ925" s="1783"/>
      <c r="AR925" s="1783"/>
      <c r="AS925" s="1783"/>
      <c r="AT925" s="1783"/>
      <c r="AU925" s="1783"/>
      <c r="AV925" s="1783"/>
      <c r="AW925" s="1783"/>
      <c r="AX925" s="1783"/>
      <c r="AY925" s="1783"/>
      <c r="AZ925" s="1783"/>
      <c r="BA925" s="1783"/>
      <c r="BB925" s="1783"/>
      <c r="BC925" s="1783"/>
      <c r="BD925" s="1783"/>
      <c r="BE925" s="1783"/>
      <c r="BF925" s="1783"/>
      <c r="BG925" s="1783"/>
      <c r="BH925" s="1783"/>
      <c r="BI925" s="1783"/>
    </row>
    <row r="926" spans="1:61">
      <c r="A926" s="1819"/>
      <c r="B926" s="1818"/>
      <c r="C926" s="1818"/>
      <c r="D926" s="1818"/>
      <c r="E926" s="1818"/>
      <c r="F926" s="1818"/>
      <c r="G926" s="1818"/>
      <c r="H926" s="1783"/>
      <c r="I926" s="1783"/>
      <c r="J926" s="1783"/>
      <c r="K926" s="1783"/>
      <c r="L926" s="1783"/>
      <c r="M926" s="1783"/>
      <c r="N926" s="1783"/>
      <c r="O926" s="1783"/>
      <c r="P926" s="1783"/>
      <c r="Q926" s="1783"/>
      <c r="R926" s="1783"/>
      <c r="S926" s="1783"/>
      <c r="T926" s="1783"/>
      <c r="U926" s="1783"/>
      <c r="V926" s="1783"/>
      <c r="W926" s="1783"/>
      <c r="X926" s="1783"/>
      <c r="Y926" s="1783"/>
      <c r="Z926" s="1783"/>
      <c r="AA926" s="1783"/>
      <c r="AB926" s="1783"/>
      <c r="AC926" s="1783"/>
      <c r="AD926" s="1783"/>
      <c r="AE926" s="1783"/>
      <c r="AF926" s="1783"/>
      <c r="AG926" s="1783"/>
      <c r="AH926" s="1783"/>
      <c r="AI926" s="1783"/>
      <c r="AJ926" s="1783"/>
      <c r="AK926" s="1783"/>
      <c r="AL926" s="1783"/>
      <c r="AM926" s="1783"/>
      <c r="AN926" s="1783"/>
      <c r="AO926" s="1783"/>
      <c r="AP926" s="1783"/>
      <c r="AQ926" s="1783"/>
      <c r="AR926" s="1783"/>
      <c r="AS926" s="1783"/>
      <c r="AT926" s="1783"/>
      <c r="AU926" s="1783"/>
      <c r="AV926" s="1783"/>
      <c r="AW926" s="1783"/>
      <c r="AX926" s="1783"/>
      <c r="AY926" s="1783"/>
      <c r="AZ926" s="1783"/>
      <c r="BA926" s="1783"/>
      <c r="BB926" s="1783"/>
      <c r="BC926" s="1783"/>
      <c r="BD926" s="1783"/>
      <c r="BE926" s="1783"/>
      <c r="BF926" s="1783"/>
      <c r="BG926" s="1783"/>
      <c r="BH926" s="1783"/>
      <c r="BI926" s="1783"/>
    </row>
    <row r="927" spans="1:61">
      <c r="A927" s="1819"/>
      <c r="B927" s="1818"/>
      <c r="C927" s="1818"/>
      <c r="D927" s="1818"/>
      <c r="E927" s="1818"/>
      <c r="F927" s="1818"/>
      <c r="G927" s="1818"/>
      <c r="H927" s="1783"/>
      <c r="I927" s="1783"/>
      <c r="J927" s="1783"/>
      <c r="K927" s="1783"/>
      <c r="L927" s="1783"/>
      <c r="M927" s="1783"/>
      <c r="N927" s="1783"/>
      <c r="O927" s="1783"/>
      <c r="P927" s="1783"/>
      <c r="Q927" s="1783"/>
      <c r="R927" s="1783"/>
      <c r="S927" s="1783"/>
      <c r="T927" s="1783"/>
      <c r="U927" s="1783"/>
      <c r="V927" s="1783"/>
      <c r="W927" s="1783"/>
      <c r="X927" s="1783"/>
      <c r="Y927" s="1783"/>
      <c r="Z927" s="1783"/>
      <c r="AA927" s="1783"/>
      <c r="AB927" s="1783"/>
      <c r="AC927" s="1783"/>
      <c r="AD927" s="1783"/>
      <c r="AE927" s="1783"/>
      <c r="AF927" s="1783"/>
      <c r="AG927" s="1783"/>
      <c r="AH927" s="1783"/>
      <c r="AI927" s="1783"/>
      <c r="AJ927" s="1783"/>
      <c r="AK927" s="1783"/>
      <c r="AL927" s="1783"/>
      <c r="AM927" s="1783"/>
      <c r="AN927" s="1783"/>
      <c r="AO927" s="1783"/>
      <c r="AP927" s="1783"/>
      <c r="AQ927" s="1783"/>
      <c r="AR927" s="1783"/>
      <c r="AS927" s="1783"/>
      <c r="AT927" s="1783"/>
      <c r="AU927" s="1783"/>
      <c r="AV927" s="1783"/>
      <c r="AW927" s="1783"/>
      <c r="AX927" s="1783"/>
      <c r="AY927" s="1783"/>
      <c r="AZ927" s="1783"/>
      <c r="BA927" s="1783"/>
      <c r="BB927" s="1783"/>
      <c r="BC927" s="1783"/>
      <c r="BD927" s="1783"/>
      <c r="BE927" s="1783"/>
      <c r="BF927" s="1783"/>
      <c r="BG927" s="1783"/>
      <c r="BH927" s="1783"/>
      <c r="BI927" s="1783"/>
    </row>
    <row r="928" spans="1:61">
      <c r="A928" s="1819"/>
      <c r="B928" s="1818"/>
      <c r="C928" s="1818"/>
      <c r="D928" s="1818"/>
      <c r="E928" s="1818"/>
      <c r="F928" s="1818"/>
      <c r="G928" s="1818"/>
      <c r="H928" s="1783"/>
      <c r="I928" s="1783"/>
      <c r="J928" s="1783"/>
      <c r="K928" s="1783"/>
      <c r="L928" s="1783"/>
      <c r="M928" s="1783"/>
      <c r="N928" s="1783"/>
      <c r="O928" s="1783"/>
      <c r="P928" s="1783"/>
      <c r="Q928" s="1783"/>
      <c r="R928" s="1783"/>
      <c r="S928" s="1783"/>
      <c r="T928" s="1783"/>
      <c r="U928" s="1783"/>
      <c r="V928" s="1783"/>
      <c r="W928" s="1783"/>
      <c r="X928" s="1783"/>
      <c r="Y928" s="1783"/>
      <c r="Z928" s="1783"/>
      <c r="AA928" s="1783"/>
      <c r="AB928" s="1783"/>
      <c r="AC928" s="1783"/>
      <c r="AD928" s="1783"/>
      <c r="AE928" s="1783"/>
      <c r="AF928" s="1783"/>
      <c r="AG928" s="1783"/>
      <c r="AH928" s="1783"/>
      <c r="AI928" s="1783"/>
      <c r="AJ928" s="1783"/>
      <c r="AK928" s="1783"/>
      <c r="AL928" s="1783"/>
      <c r="AM928" s="1783"/>
      <c r="AN928" s="1783"/>
      <c r="AO928" s="1783"/>
      <c r="AP928" s="1783"/>
      <c r="AQ928" s="1783"/>
      <c r="AR928" s="1783"/>
      <c r="AS928" s="1783"/>
      <c r="AT928" s="1783"/>
      <c r="AU928" s="1783"/>
      <c r="AV928" s="1783"/>
      <c r="AW928" s="1783"/>
      <c r="AX928" s="1783"/>
      <c r="AY928" s="1783"/>
      <c r="AZ928" s="1783"/>
      <c r="BA928" s="1783"/>
      <c r="BB928" s="1783"/>
      <c r="BC928" s="1783"/>
      <c r="BD928" s="1783"/>
      <c r="BE928" s="1783"/>
      <c r="BF928" s="1783"/>
      <c r="BG928" s="1783"/>
      <c r="BH928" s="1783"/>
      <c r="BI928" s="1783"/>
    </row>
    <row r="929" spans="1:61">
      <c r="A929" s="1819"/>
      <c r="B929" s="1818"/>
      <c r="C929" s="1818"/>
      <c r="D929" s="1818"/>
      <c r="E929" s="1818"/>
      <c r="F929" s="1818"/>
      <c r="G929" s="1818"/>
      <c r="H929" s="1783"/>
      <c r="I929" s="1783"/>
      <c r="J929" s="1783"/>
      <c r="K929" s="1783"/>
      <c r="L929" s="1783"/>
      <c r="M929" s="1783"/>
      <c r="N929" s="1783"/>
      <c r="O929" s="1783"/>
      <c r="P929" s="1783"/>
      <c r="Q929" s="1783"/>
      <c r="R929" s="1783"/>
      <c r="S929" s="1783"/>
      <c r="T929" s="1783"/>
      <c r="U929" s="1783"/>
      <c r="V929" s="1783"/>
      <c r="W929" s="1783"/>
      <c r="X929" s="1783"/>
      <c r="Y929" s="1783"/>
      <c r="Z929" s="1783"/>
      <c r="AA929" s="1783"/>
      <c r="AB929" s="1783"/>
      <c r="AC929" s="1783"/>
      <c r="AD929" s="1783"/>
      <c r="AE929" s="1783"/>
      <c r="AF929" s="1783"/>
      <c r="AG929" s="1783"/>
      <c r="AH929" s="1783"/>
      <c r="AI929" s="1783"/>
      <c r="AJ929" s="1783"/>
      <c r="AK929" s="1783"/>
      <c r="AL929" s="1783"/>
      <c r="AM929" s="1783"/>
      <c r="AN929" s="1783"/>
      <c r="AO929" s="1783"/>
      <c r="AP929" s="1783"/>
      <c r="AQ929" s="1783"/>
      <c r="AR929" s="1783"/>
      <c r="AS929" s="1783"/>
      <c r="AT929" s="1783"/>
      <c r="AU929" s="1783"/>
      <c r="AV929" s="1783"/>
      <c r="AW929" s="1783"/>
      <c r="AX929" s="1783"/>
      <c r="AY929" s="1783"/>
      <c r="AZ929" s="1783"/>
      <c r="BA929" s="1783"/>
      <c r="BB929" s="1783"/>
      <c r="BC929" s="1783"/>
      <c r="BD929" s="1783"/>
      <c r="BE929" s="1783"/>
      <c r="BF929" s="1783"/>
      <c r="BG929" s="1783"/>
      <c r="BH929" s="1783"/>
      <c r="BI929" s="1783"/>
    </row>
    <row r="930" spans="1:61">
      <c r="A930" s="1819"/>
      <c r="B930" s="1818"/>
      <c r="C930" s="1818"/>
      <c r="D930" s="1818"/>
      <c r="E930" s="1818"/>
      <c r="F930" s="1818"/>
      <c r="G930" s="1818"/>
      <c r="H930" s="1783"/>
      <c r="I930" s="1783"/>
      <c r="J930" s="1783"/>
      <c r="K930" s="1783"/>
      <c r="L930" s="1783"/>
      <c r="M930" s="1783"/>
      <c r="N930" s="1783"/>
      <c r="O930" s="1783"/>
      <c r="P930" s="1783"/>
      <c r="Q930" s="1783"/>
      <c r="R930" s="1783"/>
      <c r="S930" s="1783"/>
      <c r="T930" s="1783"/>
      <c r="U930" s="1783"/>
      <c r="V930" s="1783"/>
      <c r="W930" s="1783"/>
      <c r="X930" s="1783"/>
      <c r="Y930" s="1783"/>
      <c r="Z930" s="1783"/>
      <c r="AA930" s="1783"/>
      <c r="AB930" s="1783"/>
      <c r="AC930" s="1783"/>
      <c r="AD930" s="1783"/>
      <c r="AE930" s="1783"/>
      <c r="AF930" s="1783"/>
      <c r="AG930" s="1783"/>
      <c r="AH930" s="1783"/>
      <c r="AI930" s="1783"/>
      <c r="AJ930" s="1783"/>
      <c r="AK930" s="1783"/>
      <c r="AL930" s="1783"/>
      <c r="AM930" s="1783"/>
      <c r="AN930" s="1783"/>
      <c r="AO930" s="1783"/>
      <c r="AP930" s="1783"/>
      <c r="AQ930" s="1783"/>
      <c r="AR930" s="1783"/>
      <c r="AS930" s="1783"/>
      <c r="AT930" s="1783"/>
      <c r="AU930" s="1783"/>
      <c r="AV930" s="1783"/>
      <c r="AW930" s="1783"/>
      <c r="AX930" s="1783"/>
      <c r="AY930" s="1783"/>
      <c r="AZ930" s="1783"/>
      <c r="BA930" s="1783"/>
      <c r="BB930" s="1783"/>
      <c r="BC930" s="1783"/>
      <c r="BD930" s="1783"/>
      <c r="BE930" s="1783"/>
      <c r="BF930" s="1783"/>
      <c r="BG930" s="1783"/>
      <c r="BH930" s="1783"/>
      <c r="BI930" s="1783"/>
    </row>
    <row r="931" spans="1:61">
      <c r="A931" s="1819"/>
      <c r="B931" s="1818"/>
      <c r="C931" s="1818"/>
      <c r="D931" s="1818"/>
      <c r="E931" s="1818"/>
      <c r="F931" s="1818"/>
      <c r="G931" s="1818"/>
      <c r="H931" s="1783"/>
      <c r="I931" s="1783"/>
      <c r="J931" s="1783"/>
      <c r="K931" s="1783"/>
      <c r="L931" s="1783"/>
      <c r="M931" s="1783"/>
      <c r="N931" s="1783"/>
      <c r="O931" s="1783"/>
      <c r="P931" s="1783"/>
      <c r="Q931" s="1783"/>
      <c r="R931" s="1783"/>
      <c r="S931" s="1783"/>
      <c r="T931" s="1783"/>
      <c r="U931" s="1783"/>
      <c r="V931" s="1783"/>
      <c r="W931" s="1783"/>
      <c r="X931" s="1783"/>
      <c r="Y931" s="1783"/>
      <c r="Z931" s="1783"/>
      <c r="AA931" s="1783"/>
      <c r="AB931" s="1783"/>
      <c r="AC931" s="1783"/>
      <c r="AD931" s="1783"/>
      <c r="AE931" s="1783"/>
      <c r="AF931" s="1783"/>
      <c r="AG931" s="1783"/>
      <c r="AH931" s="1783"/>
      <c r="AI931" s="1783"/>
      <c r="AJ931" s="1783"/>
      <c r="AK931" s="1783"/>
      <c r="AL931" s="1783"/>
      <c r="AM931" s="1783"/>
      <c r="AN931" s="1783"/>
      <c r="AO931" s="1783"/>
      <c r="AP931" s="1783"/>
      <c r="AQ931" s="1783"/>
      <c r="AR931" s="1783"/>
      <c r="AS931" s="1783"/>
      <c r="AT931" s="1783"/>
      <c r="AU931" s="1783"/>
      <c r="AV931" s="1783"/>
      <c r="AW931" s="1783"/>
      <c r="AX931" s="1783"/>
      <c r="AY931" s="1783"/>
      <c r="AZ931" s="1783"/>
      <c r="BA931" s="1783"/>
      <c r="BB931" s="1783"/>
      <c r="BC931" s="1783"/>
      <c r="BD931" s="1783"/>
      <c r="BE931" s="1783"/>
      <c r="BF931" s="1783"/>
      <c r="BG931" s="1783"/>
      <c r="BH931" s="1783"/>
      <c r="BI931" s="1783"/>
    </row>
    <row r="932" spans="1:61">
      <c r="A932" s="1819"/>
      <c r="B932" s="1818"/>
      <c r="C932" s="1818"/>
      <c r="D932" s="1818"/>
      <c r="E932" s="1818"/>
      <c r="F932" s="1818"/>
      <c r="G932" s="1818"/>
      <c r="H932" s="1783"/>
      <c r="I932" s="1783"/>
      <c r="J932" s="1783"/>
      <c r="K932" s="1783"/>
      <c r="L932" s="1783"/>
      <c r="M932" s="1783"/>
      <c r="N932" s="1783"/>
      <c r="O932" s="1783"/>
      <c r="P932" s="1783"/>
      <c r="Q932" s="1783"/>
      <c r="R932" s="1783"/>
      <c r="S932" s="1783"/>
      <c r="T932" s="1783"/>
      <c r="U932" s="1783"/>
      <c r="V932" s="1783"/>
      <c r="W932" s="1783"/>
      <c r="X932" s="1783"/>
      <c r="Y932" s="1783"/>
      <c r="Z932" s="1783"/>
      <c r="AA932" s="1783"/>
      <c r="AB932" s="1783"/>
      <c r="AC932" s="1783"/>
      <c r="AD932" s="1783"/>
      <c r="AE932" s="1783"/>
      <c r="AF932" s="1783"/>
      <c r="AG932" s="1783"/>
      <c r="AH932" s="1783"/>
      <c r="AI932" s="1783"/>
      <c r="AJ932" s="1783"/>
      <c r="AK932" s="1783"/>
      <c r="AL932" s="1783"/>
      <c r="AM932" s="1783"/>
      <c r="AN932" s="1783"/>
      <c r="AO932" s="1783"/>
      <c r="AP932" s="1783"/>
      <c r="AQ932" s="1783"/>
      <c r="AR932" s="1783"/>
      <c r="AS932" s="1783"/>
      <c r="AT932" s="1783"/>
      <c r="AU932" s="1783"/>
      <c r="AV932" s="1783"/>
      <c r="AW932" s="1783"/>
      <c r="AX932" s="1783"/>
      <c r="AY932" s="1783"/>
      <c r="AZ932" s="1783"/>
      <c r="BA932" s="1783"/>
      <c r="BB932" s="1783"/>
      <c r="BC932" s="1783"/>
      <c r="BD932" s="1783"/>
      <c r="BE932" s="1783"/>
      <c r="BF932" s="1783"/>
      <c r="BG932" s="1783"/>
      <c r="BH932" s="1783"/>
      <c r="BI932" s="1783"/>
    </row>
    <row r="933" spans="1:61">
      <c r="A933" s="1819"/>
      <c r="B933" s="1818"/>
      <c r="C933" s="1818"/>
      <c r="D933" s="1818"/>
      <c r="E933" s="1818"/>
      <c r="F933" s="1818"/>
      <c r="G933" s="1818"/>
      <c r="H933" s="1783"/>
      <c r="I933" s="1783"/>
      <c r="J933" s="1783"/>
      <c r="K933" s="1783"/>
      <c r="L933" s="1783"/>
      <c r="M933" s="1783"/>
      <c r="N933" s="1783"/>
      <c r="O933" s="1783"/>
      <c r="P933" s="1783"/>
      <c r="Q933" s="1783"/>
      <c r="R933" s="1783"/>
      <c r="S933" s="1783"/>
      <c r="T933" s="1783"/>
      <c r="U933" s="1783"/>
      <c r="V933" s="1783"/>
      <c r="W933" s="1783"/>
      <c r="X933" s="1783"/>
      <c r="Y933" s="1783"/>
      <c r="Z933" s="1783"/>
      <c r="AA933" s="1783"/>
      <c r="AB933" s="1783"/>
      <c r="AC933" s="1783"/>
      <c r="AD933" s="1783"/>
      <c r="AE933" s="1783"/>
      <c r="AF933" s="1783"/>
      <c r="AG933" s="1783"/>
      <c r="AH933" s="1783"/>
      <c r="AI933" s="1783"/>
      <c r="AJ933" s="1783"/>
      <c r="AK933" s="1783"/>
      <c r="AL933" s="1783"/>
      <c r="AM933" s="1783"/>
      <c r="AN933" s="1783"/>
      <c r="AO933" s="1783"/>
      <c r="AP933" s="1783"/>
      <c r="AQ933" s="1783"/>
      <c r="AR933" s="1783"/>
      <c r="AS933" s="1783"/>
      <c r="AT933" s="1783"/>
      <c r="AU933" s="1783"/>
      <c r="AV933" s="1783"/>
      <c r="AW933" s="1783"/>
      <c r="AX933" s="1783"/>
      <c r="AY933" s="1783"/>
      <c r="AZ933" s="1783"/>
      <c r="BA933" s="1783"/>
      <c r="BB933" s="1783"/>
      <c r="BC933" s="1783"/>
      <c r="BD933" s="1783"/>
      <c r="BE933" s="1783"/>
      <c r="BF933" s="1783"/>
      <c r="BG933" s="1783"/>
      <c r="BH933" s="1783"/>
      <c r="BI933" s="1783"/>
    </row>
    <row r="934" spans="1:61">
      <c r="A934" s="1819"/>
      <c r="B934" s="1818"/>
      <c r="C934" s="1818"/>
      <c r="D934" s="1818"/>
      <c r="E934" s="1818"/>
      <c r="F934" s="1818"/>
      <c r="G934" s="1818"/>
      <c r="H934" s="1783"/>
      <c r="I934" s="1783"/>
      <c r="J934" s="1783"/>
      <c r="K934" s="1783"/>
      <c r="L934" s="1783"/>
      <c r="M934" s="1783"/>
      <c r="N934" s="1783"/>
      <c r="O934" s="1783"/>
      <c r="P934" s="1783"/>
      <c r="Q934" s="1783"/>
      <c r="R934" s="1783"/>
      <c r="S934" s="1783"/>
      <c r="T934" s="1783"/>
      <c r="U934" s="1783"/>
      <c r="V934" s="1783"/>
      <c r="W934" s="1783"/>
      <c r="X934" s="1783"/>
      <c r="Y934" s="1783"/>
      <c r="Z934" s="1783"/>
      <c r="AA934" s="1783"/>
      <c r="AB934" s="1783"/>
      <c r="AC934" s="1783"/>
      <c r="AD934" s="1783"/>
      <c r="AE934" s="1783"/>
      <c r="AF934" s="1783"/>
      <c r="AG934" s="1783"/>
      <c r="AH934" s="1783"/>
      <c r="AI934" s="1783"/>
      <c r="AJ934" s="1783"/>
      <c r="AK934" s="1783"/>
      <c r="AL934" s="1783"/>
      <c r="AM934" s="1783"/>
      <c r="AN934" s="1783"/>
      <c r="AO934" s="1783"/>
      <c r="AP934" s="1783"/>
      <c r="AQ934" s="1783"/>
      <c r="AR934" s="1783"/>
      <c r="AS934" s="1783"/>
      <c r="AT934" s="1783"/>
      <c r="AU934" s="1783"/>
      <c r="AV934" s="1783"/>
      <c r="AW934" s="1783"/>
      <c r="AX934" s="1783"/>
      <c r="AY934" s="1783"/>
      <c r="AZ934" s="1783"/>
      <c r="BA934" s="1783"/>
      <c r="BB934" s="1783"/>
      <c r="BC934" s="1783"/>
      <c r="BD934" s="1783"/>
      <c r="BE934" s="1783"/>
      <c r="BF934" s="1783"/>
      <c r="BG934" s="1783"/>
      <c r="BH934" s="1783"/>
      <c r="BI934" s="1783"/>
    </row>
    <row r="935" spans="1:61">
      <c r="A935" s="1819"/>
      <c r="B935" s="1818"/>
      <c r="C935" s="1818"/>
      <c r="D935" s="1818"/>
      <c r="E935" s="1818"/>
      <c r="F935" s="1818"/>
      <c r="G935" s="1818"/>
      <c r="H935" s="1783"/>
      <c r="I935" s="1783"/>
      <c r="J935" s="1783"/>
      <c r="K935" s="1783"/>
      <c r="L935" s="1783"/>
      <c r="M935" s="1783"/>
      <c r="N935" s="1783"/>
      <c r="O935" s="1783"/>
      <c r="P935" s="1783"/>
      <c r="Q935" s="1783"/>
      <c r="R935" s="1783"/>
      <c r="S935" s="1783"/>
      <c r="T935" s="1783"/>
      <c r="U935" s="1783"/>
      <c r="V935" s="1783"/>
      <c r="W935" s="1783"/>
      <c r="X935" s="1783"/>
      <c r="Y935" s="1783"/>
      <c r="Z935" s="1783"/>
      <c r="AA935" s="1783"/>
      <c r="AB935" s="1783"/>
      <c r="AC935" s="1783"/>
      <c r="AD935" s="1783"/>
      <c r="AE935" s="1783"/>
      <c r="AF935" s="1783"/>
      <c r="AG935" s="1783"/>
      <c r="AH935" s="1783"/>
      <c r="AI935" s="1783"/>
      <c r="AJ935" s="1783"/>
      <c r="AK935" s="1783"/>
      <c r="AL935" s="1783"/>
      <c r="AM935" s="1783"/>
      <c r="AN935" s="1783"/>
      <c r="AO935" s="1783"/>
      <c r="AP935" s="1783"/>
      <c r="AQ935" s="1783"/>
      <c r="AR935" s="1783"/>
      <c r="AS935" s="1783"/>
      <c r="AT935" s="1783"/>
      <c r="AU935" s="1783"/>
      <c r="AV935" s="1783"/>
      <c r="AW935" s="1783"/>
      <c r="AX935" s="1783"/>
      <c r="AY935" s="1783"/>
      <c r="AZ935" s="1783"/>
      <c r="BA935" s="1783"/>
      <c r="BB935" s="1783"/>
      <c r="BC935" s="1783"/>
      <c r="BD935" s="1783"/>
      <c r="BE935" s="1783"/>
      <c r="BF935" s="1783"/>
      <c r="BG935" s="1783"/>
      <c r="BH935" s="1783"/>
      <c r="BI935" s="1783"/>
    </row>
    <row r="936" spans="1:61">
      <c r="A936" s="1819"/>
      <c r="B936" s="1818"/>
      <c r="C936" s="1818"/>
      <c r="D936" s="1818"/>
      <c r="E936" s="1818"/>
      <c r="F936" s="1818"/>
      <c r="G936" s="1818"/>
      <c r="H936" s="1783"/>
      <c r="I936" s="1783"/>
      <c r="J936" s="1783"/>
      <c r="K936" s="1783"/>
      <c r="L936" s="1783"/>
      <c r="M936" s="1783"/>
      <c r="N936" s="1783"/>
      <c r="O936" s="1783"/>
      <c r="P936" s="1783"/>
      <c r="Q936" s="1783"/>
      <c r="R936" s="1783"/>
      <c r="S936" s="1783"/>
      <c r="T936" s="1783"/>
      <c r="U936" s="1783"/>
      <c r="V936" s="1783"/>
      <c r="W936" s="1783"/>
      <c r="X936" s="1783"/>
      <c r="Y936" s="1783"/>
      <c r="Z936" s="1783"/>
      <c r="AA936" s="1783"/>
      <c r="AB936" s="1783"/>
      <c r="AC936" s="1783"/>
      <c r="AD936" s="1783"/>
      <c r="AE936" s="1783"/>
      <c r="AF936" s="1783"/>
      <c r="AG936" s="1783"/>
      <c r="AH936" s="1783"/>
      <c r="AI936" s="1783"/>
      <c r="AJ936" s="1783"/>
      <c r="AK936" s="1783"/>
      <c r="AL936" s="1783"/>
      <c r="AM936" s="1783"/>
      <c r="AN936" s="1783"/>
      <c r="AO936" s="1783"/>
      <c r="AP936" s="1783"/>
      <c r="AQ936" s="1783"/>
      <c r="AR936" s="1783"/>
      <c r="AS936" s="1783"/>
      <c r="AT936" s="1783"/>
      <c r="AU936" s="1783"/>
      <c r="AV936" s="1783"/>
      <c r="AW936" s="1783"/>
      <c r="AX936" s="1783"/>
      <c r="AY936" s="1783"/>
      <c r="AZ936" s="1783"/>
      <c r="BA936" s="1783"/>
      <c r="BB936" s="1783"/>
      <c r="BC936" s="1783"/>
      <c r="BD936" s="1783"/>
      <c r="BE936" s="1783"/>
      <c r="BF936" s="1783"/>
      <c r="BG936" s="1783"/>
      <c r="BH936" s="1783"/>
      <c r="BI936" s="1783"/>
    </row>
    <row r="937" spans="1:61">
      <c r="A937" s="1819"/>
      <c r="B937" s="1818"/>
      <c r="C937" s="1818"/>
      <c r="D937" s="1818"/>
      <c r="E937" s="1818"/>
      <c r="F937" s="1818"/>
      <c r="G937" s="1818"/>
      <c r="H937" s="1783"/>
      <c r="I937" s="1783"/>
      <c r="J937" s="1783"/>
      <c r="K937" s="1783"/>
      <c r="L937" s="1783"/>
      <c r="M937" s="1783"/>
      <c r="N937" s="1783"/>
      <c r="O937" s="1783"/>
      <c r="P937" s="1783"/>
      <c r="Q937" s="1783"/>
      <c r="R937" s="1783"/>
      <c r="S937" s="1783"/>
      <c r="T937" s="1783"/>
      <c r="U937" s="1783"/>
      <c r="V937" s="1783"/>
      <c r="W937" s="1783"/>
      <c r="X937" s="1783"/>
      <c r="Y937" s="1783"/>
      <c r="Z937" s="1783"/>
      <c r="AA937" s="1783"/>
      <c r="AB937" s="1783"/>
      <c r="AC937" s="1783"/>
      <c r="AD937" s="1783"/>
      <c r="AE937" s="1783"/>
      <c r="AF937" s="1783"/>
      <c r="AG937" s="1783"/>
      <c r="AH937" s="1783"/>
      <c r="AI937" s="1783"/>
      <c r="AJ937" s="1783"/>
      <c r="AK937" s="1783"/>
      <c r="AL937" s="1783"/>
      <c r="AM937" s="1783"/>
      <c r="AN937" s="1783"/>
      <c r="AO937" s="1783"/>
      <c r="AP937" s="1783"/>
      <c r="AQ937" s="1783"/>
      <c r="AR937" s="1783"/>
      <c r="AS937" s="1783"/>
      <c r="AT937" s="1783"/>
      <c r="AU937" s="1783"/>
      <c r="AV937" s="1783"/>
      <c r="AW937" s="1783"/>
      <c r="AX937" s="1783"/>
      <c r="AY937" s="1783"/>
      <c r="AZ937" s="1783"/>
      <c r="BA937" s="1783"/>
      <c r="BB937" s="1783"/>
      <c r="BC937" s="1783"/>
      <c r="BD937" s="1783"/>
      <c r="BE937" s="1783"/>
      <c r="BF937" s="1783"/>
      <c r="BG937" s="1783"/>
      <c r="BH937" s="1783"/>
      <c r="BI937" s="1783"/>
    </row>
    <row r="938" spans="1:61">
      <c r="A938" s="1819"/>
      <c r="B938" s="1818"/>
      <c r="C938" s="1818"/>
      <c r="D938" s="1818"/>
      <c r="E938" s="1818"/>
      <c r="F938" s="1818"/>
      <c r="G938" s="1818"/>
      <c r="H938" s="1783"/>
      <c r="I938" s="1783"/>
      <c r="J938" s="1783"/>
      <c r="K938" s="1783"/>
      <c r="L938" s="1783"/>
      <c r="M938" s="1783"/>
      <c r="N938" s="1783"/>
      <c r="O938" s="1783"/>
      <c r="P938" s="1783"/>
      <c r="Q938" s="1783"/>
      <c r="R938" s="1783"/>
      <c r="S938" s="1783"/>
      <c r="T938" s="1783"/>
      <c r="U938" s="1783"/>
      <c r="V938" s="1783"/>
      <c r="W938" s="1783"/>
      <c r="X938" s="1783"/>
      <c r="Y938" s="1783"/>
      <c r="Z938" s="1783"/>
      <c r="AA938" s="1783"/>
      <c r="AB938" s="1783"/>
      <c r="AC938" s="1783"/>
      <c r="AD938" s="1783"/>
      <c r="AE938" s="1783"/>
      <c r="AF938" s="1783"/>
      <c r="AG938" s="1783"/>
      <c r="AH938" s="1783"/>
      <c r="AI938" s="1783"/>
      <c r="AJ938" s="1783"/>
      <c r="AK938" s="1783"/>
      <c r="AL938" s="1783"/>
      <c r="AM938" s="1783"/>
      <c r="AN938" s="1783"/>
      <c r="AO938" s="1783"/>
      <c r="AP938" s="1783"/>
      <c r="AQ938" s="1783"/>
      <c r="AR938" s="1783"/>
      <c r="AS938" s="1783"/>
      <c r="AT938" s="1783"/>
      <c r="AU938" s="1783"/>
      <c r="AV938" s="1783"/>
      <c r="AW938" s="1783"/>
      <c r="AX938" s="1783"/>
      <c r="AY938" s="1783"/>
      <c r="AZ938" s="1783"/>
      <c r="BA938" s="1783"/>
      <c r="BB938" s="1783"/>
      <c r="BC938" s="1783"/>
      <c r="BD938" s="1783"/>
      <c r="BE938" s="1783"/>
      <c r="BF938" s="1783"/>
      <c r="BG938" s="1783"/>
      <c r="BH938" s="1783"/>
      <c r="BI938" s="1783"/>
    </row>
    <row r="939" spans="1:61">
      <c r="A939" s="1819"/>
      <c r="B939" s="1818"/>
      <c r="C939" s="1818"/>
      <c r="D939" s="1818"/>
      <c r="E939" s="1818"/>
      <c r="F939" s="1818"/>
      <c r="G939" s="1818"/>
      <c r="H939" s="1783"/>
      <c r="I939" s="1783"/>
      <c r="J939" s="1783"/>
      <c r="K939" s="1783"/>
      <c r="L939" s="1783"/>
      <c r="M939" s="1783"/>
      <c r="N939" s="1783"/>
      <c r="O939" s="1783"/>
      <c r="P939" s="1783"/>
      <c r="Q939" s="1783"/>
      <c r="R939" s="1783"/>
      <c r="S939" s="1783"/>
      <c r="T939" s="1783"/>
      <c r="U939" s="1783"/>
      <c r="V939" s="1783"/>
      <c r="W939" s="1783"/>
      <c r="X939" s="1783"/>
      <c r="Y939" s="1783"/>
      <c r="Z939" s="1783"/>
      <c r="AA939" s="1783"/>
      <c r="AB939" s="1783"/>
      <c r="AC939" s="1783"/>
      <c r="AD939" s="1783"/>
      <c r="AE939" s="1783"/>
      <c r="AF939" s="1783"/>
      <c r="AG939" s="1783"/>
      <c r="AH939" s="1783"/>
      <c r="AI939" s="1783"/>
      <c r="AJ939" s="1783"/>
      <c r="AK939" s="1783"/>
      <c r="AL939" s="1783"/>
      <c r="AM939" s="1783"/>
      <c r="AN939" s="1783"/>
      <c r="AO939" s="1783"/>
      <c r="AP939" s="1783"/>
      <c r="AQ939" s="1783"/>
      <c r="AR939" s="1783"/>
      <c r="AS939" s="1783"/>
      <c r="AT939" s="1783"/>
      <c r="AU939" s="1783"/>
      <c r="AV939" s="1783"/>
      <c r="AW939" s="1783"/>
      <c r="AX939" s="1783"/>
      <c r="AY939" s="1783"/>
      <c r="AZ939" s="1783"/>
      <c r="BA939" s="1783"/>
      <c r="BB939" s="1783"/>
      <c r="BC939" s="1783"/>
      <c r="BD939" s="1783"/>
      <c r="BE939" s="1783"/>
      <c r="BF939" s="1783"/>
      <c r="BG939" s="1783"/>
      <c r="BH939" s="1783"/>
      <c r="BI939" s="1783"/>
    </row>
    <row r="940" spans="1:61">
      <c r="A940" s="1819"/>
      <c r="B940" s="1818"/>
      <c r="C940" s="1818"/>
      <c r="D940" s="1818"/>
      <c r="E940" s="1818"/>
      <c r="F940" s="1818"/>
      <c r="G940" s="1818"/>
      <c r="H940" s="1783"/>
      <c r="I940" s="1783"/>
      <c r="J940" s="1783"/>
      <c r="K940" s="1783"/>
      <c r="L940" s="1783"/>
      <c r="M940" s="1783"/>
      <c r="N940" s="1783"/>
      <c r="O940" s="1783"/>
      <c r="P940" s="1783"/>
      <c r="Q940" s="1783"/>
      <c r="R940" s="1783"/>
      <c r="S940" s="1783"/>
      <c r="T940" s="1783"/>
      <c r="U940" s="1783"/>
      <c r="V940" s="1783"/>
      <c r="W940" s="1783"/>
      <c r="X940" s="1783"/>
      <c r="Y940" s="1783"/>
      <c r="Z940" s="1783"/>
      <c r="AA940" s="1783"/>
      <c r="AB940" s="1783"/>
      <c r="AC940" s="1783"/>
      <c r="AD940" s="1783"/>
      <c r="AE940" s="1783"/>
      <c r="AF940" s="1783"/>
      <c r="AG940" s="1783"/>
      <c r="AH940" s="1783"/>
      <c r="AI940" s="1783"/>
      <c r="AJ940" s="1783"/>
      <c r="AK940" s="1783"/>
      <c r="AL940" s="1783"/>
      <c r="AM940" s="1783"/>
      <c r="AN940" s="1783"/>
      <c r="AO940" s="1783"/>
      <c r="AP940" s="1783"/>
      <c r="AQ940" s="1783"/>
      <c r="AR940" s="1783"/>
      <c r="AS940" s="1783"/>
      <c r="AT940" s="1783"/>
      <c r="AU940" s="1783"/>
      <c r="AV940" s="1783"/>
      <c r="AW940" s="1783"/>
      <c r="AX940" s="1783"/>
      <c r="AY940" s="1783"/>
      <c r="AZ940" s="1783"/>
      <c r="BA940" s="1783"/>
      <c r="BB940" s="1783"/>
      <c r="BC940" s="1783"/>
      <c r="BD940" s="1783"/>
      <c r="BE940" s="1783"/>
      <c r="BF940" s="1783"/>
      <c r="BG940" s="1783"/>
      <c r="BH940" s="1783"/>
      <c r="BI940" s="1783"/>
    </row>
    <row r="941" spans="1:61">
      <c r="A941" s="1819"/>
      <c r="B941" s="1818"/>
      <c r="C941" s="1818"/>
      <c r="D941" s="1818"/>
      <c r="E941" s="1818"/>
      <c r="F941" s="1818"/>
      <c r="G941" s="1818"/>
      <c r="H941" s="1783"/>
      <c r="I941" s="1783"/>
      <c r="J941" s="1783"/>
      <c r="K941" s="1783"/>
      <c r="L941" s="1783"/>
      <c r="M941" s="1783"/>
      <c r="N941" s="1783"/>
      <c r="O941" s="1783"/>
      <c r="P941" s="1783"/>
      <c r="Q941" s="1783"/>
      <c r="R941" s="1783"/>
      <c r="S941" s="1783"/>
      <c r="T941" s="1783"/>
      <c r="U941" s="1783"/>
      <c r="V941" s="1783"/>
      <c r="W941" s="1783"/>
      <c r="X941" s="1783"/>
      <c r="Y941" s="1783"/>
      <c r="Z941" s="1783"/>
      <c r="AA941" s="1783"/>
      <c r="AB941" s="1783"/>
      <c r="AC941" s="1783"/>
      <c r="AD941" s="1783"/>
      <c r="AE941" s="1783"/>
      <c r="AF941" s="1783"/>
      <c r="AG941" s="1783"/>
      <c r="AH941" s="1783"/>
      <c r="AI941" s="1783"/>
      <c r="AJ941" s="1783"/>
      <c r="AK941" s="1783"/>
      <c r="AL941" s="1783"/>
      <c r="AM941" s="1783"/>
      <c r="AN941" s="1783"/>
      <c r="AO941" s="1783"/>
      <c r="AP941" s="1783"/>
      <c r="AQ941" s="1783"/>
      <c r="AR941" s="1783"/>
      <c r="AS941" s="1783"/>
      <c r="AT941" s="1783"/>
      <c r="AU941" s="1783"/>
      <c r="AV941" s="1783"/>
      <c r="AW941" s="1783"/>
      <c r="AX941" s="1783"/>
      <c r="AY941" s="1783"/>
      <c r="AZ941" s="1783"/>
      <c r="BA941" s="1783"/>
      <c r="BB941" s="1783"/>
      <c r="BC941" s="1783"/>
      <c r="BD941" s="1783"/>
      <c r="BE941" s="1783"/>
      <c r="BF941" s="1783"/>
      <c r="BG941" s="1783"/>
      <c r="BH941" s="1783"/>
      <c r="BI941" s="1783"/>
    </row>
    <row r="942" spans="1:61">
      <c r="A942" s="1819"/>
      <c r="B942" s="1818"/>
      <c r="C942" s="1818"/>
      <c r="D942" s="1818"/>
      <c r="E942" s="1818"/>
      <c r="F942" s="1818"/>
      <c r="G942" s="1818"/>
      <c r="H942" s="1783"/>
      <c r="I942" s="1783"/>
      <c r="J942" s="1783"/>
      <c r="K942" s="1783"/>
      <c r="L942" s="1783"/>
      <c r="M942" s="1783"/>
      <c r="N942" s="1783"/>
      <c r="O942" s="1783"/>
      <c r="P942" s="1783"/>
      <c r="Q942" s="1783"/>
      <c r="R942" s="1783"/>
      <c r="S942" s="1783"/>
      <c r="T942" s="1783"/>
      <c r="U942" s="1783"/>
      <c r="V942" s="1783"/>
      <c r="W942" s="1783"/>
      <c r="X942" s="1783"/>
      <c r="Y942" s="1783"/>
      <c r="Z942" s="1783"/>
      <c r="AA942" s="1783"/>
      <c r="AB942" s="1783"/>
      <c r="AC942" s="1783"/>
      <c r="AD942" s="1783"/>
      <c r="AE942" s="1783"/>
      <c r="AF942" s="1783"/>
      <c r="AG942" s="1783"/>
      <c r="AH942" s="1783"/>
      <c r="AI942" s="1783"/>
      <c r="AJ942" s="1783"/>
      <c r="AK942" s="1783"/>
      <c r="AL942" s="1783"/>
      <c r="AM942" s="1783"/>
      <c r="AN942" s="1783"/>
      <c r="AO942" s="1783"/>
      <c r="AP942" s="1783"/>
      <c r="AQ942" s="1783"/>
      <c r="AR942" s="1783"/>
      <c r="AS942" s="1783"/>
      <c r="AT942" s="1783"/>
      <c r="AU942" s="1783"/>
      <c r="AV942" s="1783"/>
      <c r="AW942" s="1783"/>
      <c r="AX942" s="1783"/>
      <c r="AY942" s="1783"/>
      <c r="AZ942" s="1783"/>
      <c r="BA942" s="1783"/>
      <c r="BB942" s="1783"/>
      <c r="BC942" s="1783"/>
      <c r="BD942" s="1783"/>
      <c r="BE942" s="1783"/>
      <c r="BF942" s="1783"/>
      <c r="BG942" s="1783"/>
      <c r="BH942" s="1783"/>
      <c r="BI942" s="1783"/>
    </row>
    <row r="943" spans="1:61">
      <c r="A943" s="1819"/>
      <c r="B943" s="1818"/>
      <c r="C943" s="1818"/>
      <c r="D943" s="1818"/>
      <c r="E943" s="1818"/>
      <c r="F943" s="1818"/>
      <c r="G943" s="1818"/>
      <c r="H943" s="1783"/>
      <c r="I943" s="1783"/>
      <c r="J943" s="1783"/>
      <c r="K943" s="1783"/>
      <c r="L943" s="1783"/>
      <c r="M943" s="1783"/>
      <c r="N943" s="1783"/>
      <c r="O943" s="1783"/>
      <c r="P943" s="1783"/>
      <c r="Q943" s="1783"/>
      <c r="R943" s="1783"/>
      <c r="S943" s="1783"/>
      <c r="T943" s="1783"/>
      <c r="U943" s="1783"/>
      <c r="V943" s="1783"/>
      <c r="W943" s="1783"/>
      <c r="X943" s="1783"/>
      <c r="Y943" s="1783"/>
      <c r="Z943" s="1783"/>
      <c r="AA943" s="1783"/>
      <c r="AB943" s="1783"/>
      <c r="AC943" s="1783"/>
      <c r="AD943" s="1783"/>
      <c r="AE943" s="1783"/>
      <c r="AF943" s="1783"/>
      <c r="AG943" s="1783"/>
      <c r="AH943" s="1783"/>
      <c r="AI943" s="1783"/>
      <c r="AJ943" s="1783"/>
      <c r="AK943" s="1783"/>
      <c r="AL943" s="1783"/>
      <c r="AM943" s="1783"/>
      <c r="AN943" s="1783"/>
      <c r="AO943" s="1783"/>
      <c r="AP943" s="1783"/>
      <c r="AQ943" s="1783"/>
      <c r="AR943" s="1783"/>
      <c r="AS943" s="1783"/>
      <c r="AT943" s="1783"/>
      <c r="AU943" s="1783"/>
      <c r="AV943" s="1783"/>
      <c r="AW943" s="1783"/>
      <c r="AX943" s="1783"/>
      <c r="AY943" s="1783"/>
      <c r="AZ943" s="1783"/>
      <c r="BA943" s="1783"/>
      <c r="BB943" s="1783"/>
      <c r="BC943" s="1783"/>
      <c r="BD943" s="1783"/>
      <c r="BE943" s="1783"/>
      <c r="BF943" s="1783"/>
      <c r="BG943" s="1783"/>
      <c r="BH943" s="1783"/>
      <c r="BI943" s="1783"/>
    </row>
    <row r="944" spans="1:61">
      <c r="A944" s="1819"/>
      <c r="B944" s="1818"/>
      <c r="C944" s="1818"/>
      <c r="D944" s="1818"/>
      <c r="E944" s="1818"/>
      <c r="F944" s="1818"/>
      <c r="G944" s="1818"/>
      <c r="H944" s="1783"/>
      <c r="I944" s="1783"/>
      <c r="J944" s="1783"/>
      <c r="K944" s="1783"/>
      <c r="L944" s="1783"/>
      <c r="M944" s="1783"/>
      <c r="N944" s="1783"/>
      <c r="O944" s="1783"/>
      <c r="P944" s="1783"/>
      <c r="Q944" s="1783"/>
      <c r="R944" s="1783"/>
      <c r="S944" s="1783"/>
      <c r="T944" s="1783"/>
      <c r="U944" s="1783"/>
      <c r="V944" s="1783"/>
      <c r="W944" s="1783"/>
      <c r="X944" s="1783"/>
      <c r="Y944" s="1783"/>
      <c r="Z944" s="1783"/>
      <c r="AA944" s="1783"/>
      <c r="AB944" s="1783"/>
      <c r="AC944" s="1783"/>
      <c r="AD944" s="1783"/>
      <c r="AE944" s="1783"/>
      <c r="AF944" s="1783"/>
      <c r="AG944" s="1783"/>
      <c r="AH944" s="1783"/>
      <c r="AI944" s="1783"/>
      <c r="AJ944" s="1783"/>
      <c r="AK944" s="1783"/>
      <c r="AL944" s="1783"/>
      <c r="AM944" s="1783"/>
      <c r="AN944" s="1783"/>
      <c r="AO944" s="1783"/>
      <c r="AP944" s="1783"/>
      <c r="AQ944" s="1783"/>
      <c r="AR944" s="1783"/>
      <c r="AS944" s="1783"/>
      <c r="AT944" s="1783"/>
      <c r="AU944" s="1783"/>
      <c r="AV944" s="1783"/>
      <c r="AW944" s="1783"/>
      <c r="AX944" s="1783"/>
      <c r="AY944" s="1783"/>
      <c r="AZ944" s="1783"/>
      <c r="BA944" s="1783"/>
      <c r="BB944" s="1783"/>
      <c r="BC944" s="1783"/>
      <c r="BD944" s="1783"/>
      <c r="BE944" s="1783"/>
      <c r="BF944" s="1783"/>
      <c r="BG944" s="1783"/>
      <c r="BH944" s="1783"/>
      <c r="BI944" s="1783"/>
    </row>
    <row r="945" spans="1:61">
      <c r="A945" s="1819"/>
      <c r="B945" s="1818"/>
      <c r="C945" s="1818"/>
      <c r="D945" s="1818"/>
      <c r="E945" s="1818"/>
      <c r="F945" s="1818"/>
      <c r="G945" s="1818"/>
      <c r="H945" s="1783"/>
      <c r="I945" s="1783"/>
      <c r="J945" s="1783"/>
      <c r="K945" s="1783"/>
      <c r="L945" s="1783"/>
      <c r="M945" s="1783"/>
      <c r="N945" s="1783"/>
      <c r="O945" s="1783"/>
      <c r="P945" s="1783"/>
      <c r="Q945" s="1783"/>
      <c r="R945" s="1783"/>
      <c r="S945" s="1783"/>
      <c r="T945" s="1783"/>
      <c r="U945" s="1783"/>
      <c r="V945" s="1783"/>
      <c r="W945" s="1783"/>
      <c r="X945" s="1783"/>
      <c r="Y945" s="1783"/>
      <c r="Z945" s="1783"/>
      <c r="AA945" s="1783"/>
      <c r="AB945" s="1783"/>
      <c r="AC945" s="1783"/>
      <c r="AD945" s="1783"/>
      <c r="AE945" s="1783"/>
      <c r="AF945" s="1783"/>
      <c r="AG945" s="1783"/>
      <c r="AH945" s="1783"/>
      <c r="AI945" s="1783"/>
      <c r="AJ945" s="1783"/>
      <c r="AK945" s="1783"/>
      <c r="AL945" s="1783"/>
      <c r="AM945" s="1783"/>
      <c r="AN945" s="1783"/>
      <c r="AO945" s="1783"/>
      <c r="AP945" s="1783"/>
      <c r="AQ945" s="1783"/>
      <c r="AR945" s="1783"/>
      <c r="AS945" s="1783"/>
      <c r="AT945" s="1783"/>
      <c r="AU945" s="1783"/>
      <c r="AV945" s="1783"/>
      <c r="AW945" s="1783"/>
      <c r="AX945" s="1783"/>
      <c r="AY945" s="1783"/>
      <c r="AZ945" s="1783"/>
      <c r="BA945" s="1783"/>
      <c r="BB945" s="1783"/>
      <c r="BC945" s="1783"/>
      <c r="BD945" s="1783"/>
      <c r="BE945" s="1783"/>
      <c r="BF945" s="1783"/>
      <c r="BG945" s="1783"/>
      <c r="BH945" s="1783"/>
      <c r="BI945" s="1783"/>
    </row>
    <row r="946" spans="1:61">
      <c r="A946" s="1819"/>
      <c r="B946" s="1818"/>
      <c r="C946" s="1818"/>
      <c r="D946" s="1818"/>
      <c r="E946" s="1818"/>
      <c r="F946" s="1818"/>
      <c r="G946" s="1818"/>
      <c r="H946" s="1783"/>
      <c r="I946" s="1783"/>
      <c r="J946" s="1783"/>
      <c r="K946" s="1783"/>
      <c r="L946" s="1783"/>
      <c r="M946" s="1783"/>
      <c r="N946" s="1783"/>
      <c r="O946" s="1783"/>
      <c r="P946" s="1783"/>
      <c r="Q946" s="1783"/>
      <c r="R946" s="1783"/>
      <c r="S946" s="1783"/>
      <c r="T946" s="1783"/>
      <c r="U946" s="1783"/>
      <c r="V946" s="1783"/>
      <c r="W946" s="1783"/>
      <c r="X946" s="1783"/>
      <c r="Y946" s="1783"/>
      <c r="Z946" s="1783"/>
      <c r="AA946" s="1783"/>
      <c r="AB946" s="1783"/>
      <c r="AC946" s="1783"/>
      <c r="AD946" s="1783"/>
      <c r="AE946" s="1783"/>
      <c r="AF946" s="1783"/>
      <c r="AG946" s="1783"/>
      <c r="AH946" s="1783"/>
      <c r="AI946" s="1783"/>
      <c r="AJ946" s="1783"/>
      <c r="AK946" s="1783"/>
      <c r="AL946" s="1783"/>
      <c r="AM946" s="1783"/>
      <c r="AN946" s="1783"/>
      <c r="AO946" s="1783"/>
      <c r="AP946" s="1783"/>
      <c r="AQ946" s="1783"/>
      <c r="AR946" s="1783"/>
      <c r="AS946" s="1783"/>
      <c r="AT946" s="1783"/>
      <c r="AU946" s="1783"/>
      <c r="AV946" s="1783"/>
      <c r="AW946" s="1783"/>
      <c r="AX946" s="1783"/>
      <c r="AY946" s="1783"/>
      <c r="AZ946" s="1783"/>
      <c r="BA946" s="1783"/>
      <c r="BB946" s="1783"/>
      <c r="BC946" s="1783"/>
      <c r="BD946" s="1783"/>
      <c r="BE946" s="1783"/>
      <c r="BF946" s="1783"/>
      <c r="BG946" s="1783"/>
      <c r="BH946" s="1783"/>
      <c r="BI946" s="1783"/>
    </row>
    <row r="947" spans="1:61">
      <c r="A947" s="1819"/>
      <c r="B947" s="1818"/>
      <c r="C947" s="1818"/>
      <c r="D947" s="1818"/>
      <c r="E947" s="1818"/>
      <c r="F947" s="1818"/>
      <c r="G947" s="1818"/>
      <c r="H947" s="1783"/>
      <c r="I947" s="1783"/>
      <c r="J947" s="1783"/>
      <c r="K947" s="1783"/>
      <c r="L947" s="1783"/>
      <c r="M947" s="1783"/>
      <c r="N947" s="1783"/>
      <c r="O947" s="1783"/>
      <c r="P947" s="1783"/>
      <c r="Q947" s="1783"/>
      <c r="R947" s="1783"/>
      <c r="S947" s="1783"/>
      <c r="T947" s="1783"/>
      <c r="U947" s="1783"/>
      <c r="V947" s="1783"/>
      <c r="W947" s="1783"/>
      <c r="X947" s="1783"/>
      <c r="Y947" s="1783"/>
      <c r="Z947" s="1783"/>
      <c r="AA947" s="1783"/>
      <c r="AB947" s="1783"/>
      <c r="AC947" s="1783"/>
      <c r="AD947" s="1783"/>
      <c r="AE947" s="1783"/>
      <c r="AF947" s="1783"/>
      <c r="AG947" s="1783"/>
      <c r="AH947" s="1783"/>
      <c r="AI947" s="1783"/>
      <c r="AJ947" s="1783"/>
      <c r="AK947" s="1783"/>
      <c r="AL947" s="1783"/>
      <c r="AM947" s="1783"/>
      <c r="AN947" s="1783"/>
      <c r="AO947" s="1783"/>
      <c r="AP947" s="1783"/>
      <c r="AQ947" s="1783"/>
      <c r="AR947" s="1783"/>
      <c r="AS947" s="1783"/>
      <c r="AT947" s="1783"/>
      <c r="AU947" s="1783"/>
      <c r="AV947" s="1783"/>
      <c r="AW947" s="1783"/>
      <c r="AX947" s="1783"/>
      <c r="AY947" s="1783"/>
      <c r="AZ947" s="1783"/>
      <c r="BA947" s="1783"/>
      <c r="BB947" s="1783"/>
      <c r="BC947" s="1783"/>
      <c r="BD947" s="1783"/>
      <c r="BE947" s="1783"/>
      <c r="BF947" s="1783"/>
      <c r="BG947" s="1783"/>
      <c r="BH947" s="1783"/>
      <c r="BI947" s="1783"/>
    </row>
    <row r="948" spans="1:61">
      <c r="A948" s="1819"/>
      <c r="B948" s="1818"/>
      <c r="C948" s="1818"/>
      <c r="D948" s="1818"/>
      <c r="E948" s="1818"/>
      <c r="F948" s="1818"/>
      <c r="G948" s="1818"/>
      <c r="H948" s="1783"/>
      <c r="I948" s="1783"/>
      <c r="J948" s="1783"/>
      <c r="K948" s="1783"/>
      <c r="L948" s="1783"/>
      <c r="M948" s="1783"/>
      <c r="N948" s="1783"/>
      <c r="O948" s="1783"/>
      <c r="P948" s="1783"/>
      <c r="Q948" s="1783"/>
      <c r="R948" s="1783"/>
      <c r="S948" s="1783"/>
      <c r="T948" s="1783"/>
      <c r="U948" s="1783"/>
      <c r="V948" s="1783"/>
      <c r="W948" s="1783"/>
      <c r="X948" s="1783"/>
      <c r="Y948" s="1783"/>
      <c r="Z948" s="1783"/>
      <c r="AA948" s="1783"/>
      <c r="AB948" s="1783"/>
      <c r="AC948" s="1783"/>
      <c r="AD948" s="1783"/>
      <c r="AE948" s="1783"/>
      <c r="AF948" s="1783"/>
      <c r="AG948" s="1783"/>
      <c r="AH948" s="1783"/>
      <c r="AI948" s="1783"/>
      <c r="AJ948" s="1783"/>
      <c r="AK948" s="1783"/>
      <c r="AL948" s="1783"/>
      <c r="AM948" s="1783"/>
      <c r="AN948" s="1783"/>
      <c r="AO948" s="1783"/>
      <c r="AP948" s="1783"/>
      <c r="AQ948" s="1783"/>
      <c r="AR948" s="1783"/>
      <c r="AS948" s="1783"/>
      <c r="AT948" s="1783"/>
      <c r="AU948" s="1783"/>
      <c r="AV948" s="1783"/>
      <c r="AW948" s="1783"/>
      <c r="AX948" s="1783"/>
      <c r="AY948" s="1783"/>
      <c r="AZ948" s="1783"/>
      <c r="BA948" s="1783"/>
      <c r="BB948" s="1783"/>
      <c r="BC948" s="1783"/>
      <c r="BD948" s="1783"/>
      <c r="BE948" s="1783"/>
      <c r="BF948" s="1783"/>
      <c r="BG948" s="1783"/>
      <c r="BH948" s="1783"/>
      <c r="BI948" s="1783"/>
    </row>
    <row r="949" spans="1:61">
      <c r="A949" s="1819"/>
      <c r="B949" s="1818"/>
      <c r="C949" s="1818"/>
      <c r="D949" s="1818"/>
      <c r="E949" s="1818"/>
      <c r="F949" s="1818"/>
      <c r="G949" s="1818"/>
      <c r="H949" s="1783"/>
      <c r="I949" s="1783"/>
      <c r="J949" s="1783"/>
      <c r="K949" s="1783"/>
      <c r="L949" s="1783"/>
      <c r="M949" s="1783"/>
      <c r="N949" s="1783"/>
      <c r="O949" s="1783"/>
      <c r="P949" s="1783"/>
      <c r="Q949" s="1783"/>
      <c r="R949" s="1783"/>
      <c r="S949" s="1783"/>
      <c r="T949" s="1783"/>
      <c r="U949" s="1783"/>
      <c r="V949" s="1783"/>
      <c r="W949" s="1783"/>
      <c r="X949" s="1783"/>
      <c r="Y949" s="1783"/>
      <c r="Z949" s="1783"/>
      <c r="AA949" s="1783"/>
      <c r="AB949" s="1783"/>
      <c r="AC949" s="1783"/>
      <c r="AD949" s="1783"/>
      <c r="AE949" s="1783"/>
      <c r="AF949" s="1783"/>
      <c r="AG949" s="1783"/>
      <c r="AH949" s="1783"/>
      <c r="AI949" s="1783"/>
      <c r="AJ949" s="1783"/>
      <c r="AK949" s="1783"/>
      <c r="AL949" s="1783"/>
      <c r="AM949" s="1783"/>
      <c r="AN949" s="1783"/>
      <c r="AO949" s="1783"/>
      <c r="AP949" s="1783"/>
      <c r="AQ949" s="1783"/>
      <c r="AR949" s="1783"/>
      <c r="AS949" s="1783"/>
      <c r="AT949" s="1783"/>
      <c r="AU949" s="1783"/>
      <c r="AV949" s="1783"/>
      <c r="AW949" s="1783"/>
      <c r="AX949" s="1783"/>
      <c r="AY949" s="1783"/>
      <c r="AZ949" s="1783"/>
      <c r="BA949" s="1783"/>
      <c r="BB949" s="1783"/>
      <c r="BC949" s="1783"/>
      <c r="BD949" s="1783"/>
      <c r="BE949" s="1783"/>
      <c r="BF949" s="1783"/>
      <c r="BG949" s="1783"/>
      <c r="BH949" s="1783"/>
      <c r="BI949" s="1783"/>
    </row>
    <row r="950" spans="1:61">
      <c r="A950" s="1819"/>
      <c r="B950" s="1818"/>
      <c r="C950" s="1818"/>
      <c r="D950" s="1818"/>
      <c r="E950" s="1818"/>
      <c r="F950" s="1818"/>
      <c r="G950" s="1818"/>
      <c r="H950" s="1783"/>
      <c r="I950" s="1783"/>
      <c r="J950" s="1783"/>
      <c r="K950" s="1783"/>
      <c r="L950" s="1783"/>
      <c r="M950" s="1783"/>
      <c r="N950" s="1783"/>
      <c r="O950" s="1783"/>
      <c r="P950" s="1783"/>
      <c r="Q950" s="1783"/>
      <c r="R950" s="1783"/>
      <c r="S950" s="1783"/>
      <c r="T950" s="1783"/>
      <c r="U950" s="1783"/>
      <c r="V950" s="1783"/>
      <c r="W950" s="1783"/>
      <c r="X950" s="1783"/>
      <c r="Y950" s="1783"/>
      <c r="Z950" s="1783"/>
      <c r="AA950" s="1783"/>
      <c r="AB950" s="1783"/>
      <c r="AC950" s="1783"/>
      <c r="AD950" s="1783"/>
      <c r="AE950" s="1783"/>
      <c r="AF950" s="1783"/>
      <c r="AG950" s="1783"/>
      <c r="AH950" s="1783"/>
      <c r="AI950" s="1783"/>
      <c r="AJ950" s="1783"/>
      <c r="AK950" s="1783"/>
      <c r="AL950" s="1783"/>
      <c r="AM950" s="1783"/>
      <c r="AN950" s="1783"/>
      <c r="AO950" s="1783"/>
      <c r="AP950" s="1783"/>
      <c r="AQ950" s="1783"/>
      <c r="AR950" s="1783"/>
      <c r="AS950" s="1783"/>
      <c r="AT950" s="1783"/>
      <c r="AU950" s="1783"/>
      <c r="AV950" s="1783"/>
      <c r="AW950" s="1783"/>
      <c r="AX950" s="1783"/>
      <c r="AY950" s="1783"/>
      <c r="AZ950" s="1783"/>
      <c r="BA950" s="1783"/>
      <c r="BB950" s="1783"/>
      <c r="BC950" s="1783"/>
      <c r="BD950" s="1783"/>
      <c r="BE950" s="1783"/>
      <c r="BF950" s="1783"/>
      <c r="BG950" s="1783"/>
      <c r="BH950" s="1783"/>
      <c r="BI950" s="1783"/>
    </row>
    <row r="951" spans="1:61">
      <c r="A951" s="1819"/>
      <c r="B951" s="1818"/>
      <c r="C951" s="1818"/>
      <c r="D951" s="1818"/>
      <c r="E951" s="1818"/>
      <c r="F951" s="1818"/>
      <c r="G951" s="1818"/>
      <c r="H951" s="1783"/>
      <c r="I951" s="1783"/>
      <c r="J951" s="1783"/>
      <c r="K951" s="1783"/>
      <c r="L951" s="1783"/>
      <c r="M951" s="1783"/>
      <c r="N951" s="1783"/>
      <c r="O951" s="1783"/>
      <c r="P951" s="1783"/>
      <c r="Q951" s="1783"/>
      <c r="R951" s="1783"/>
      <c r="S951" s="1783"/>
      <c r="T951" s="1783"/>
      <c r="U951" s="1783"/>
      <c r="V951" s="1783"/>
      <c r="W951" s="1783"/>
      <c r="X951" s="1783"/>
      <c r="Y951" s="1783"/>
      <c r="Z951" s="1783"/>
      <c r="AA951" s="1783"/>
      <c r="AB951" s="1783"/>
      <c r="AC951" s="1783"/>
      <c r="AD951" s="1783"/>
      <c r="AE951" s="1783"/>
      <c r="AF951" s="1783"/>
      <c r="AG951" s="1783"/>
      <c r="AH951" s="1783"/>
      <c r="AI951" s="1783"/>
      <c r="AJ951" s="1783"/>
      <c r="AK951" s="1783"/>
      <c r="AL951" s="1783"/>
      <c r="AM951" s="1783"/>
      <c r="AN951" s="1783"/>
      <c r="AO951" s="1783"/>
      <c r="AP951" s="1783"/>
      <c r="AQ951" s="1783"/>
      <c r="AR951" s="1783"/>
      <c r="AS951" s="1783"/>
      <c r="AT951" s="1783"/>
      <c r="AU951" s="1783"/>
      <c r="AV951" s="1783"/>
      <c r="AW951" s="1783"/>
      <c r="AX951" s="1783"/>
      <c r="AY951" s="1783"/>
      <c r="AZ951" s="1783"/>
      <c r="BA951" s="1783"/>
      <c r="BB951" s="1783"/>
      <c r="BC951" s="1783"/>
      <c r="BD951" s="1783"/>
      <c r="BE951" s="1783"/>
      <c r="BF951" s="1783"/>
      <c r="BG951" s="1783"/>
      <c r="BH951" s="1783"/>
      <c r="BI951" s="1783"/>
    </row>
    <row r="952" spans="1:61">
      <c r="A952" s="1819"/>
      <c r="B952" s="1818"/>
      <c r="C952" s="1818"/>
      <c r="D952" s="1818"/>
      <c r="E952" s="1818"/>
      <c r="F952" s="1818"/>
      <c r="G952" s="1818"/>
      <c r="H952" s="1783"/>
      <c r="I952" s="1783"/>
      <c r="J952" s="1783"/>
      <c r="K952" s="1783"/>
      <c r="L952" s="1783"/>
      <c r="M952" s="1783"/>
      <c r="N952" s="1783"/>
      <c r="O952" s="1783"/>
      <c r="P952" s="1783"/>
      <c r="Q952" s="1783"/>
      <c r="R952" s="1783"/>
      <c r="S952" s="1783"/>
      <c r="T952" s="1783"/>
      <c r="U952" s="1783"/>
      <c r="V952" s="1783"/>
      <c r="W952" s="1783"/>
      <c r="X952" s="1783"/>
      <c r="Y952" s="1783"/>
      <c r="Z952" s="1783"/>
      <c r="AA952" s="1783"/>
      <c r="AB952" s="1783"/>
      <c r="AC952" s="1783"/>
      <c r="AD952" s="1783"/>
      <c r="AE952" s="1783"/>
      <c r="AF952" s="1783"/>
      <c r="AG952" s="1783"/>
      <c r="AH952" s="1783"/>
      <c r="AI952" s="1783"/>
      <c r="AJ952" s="1783"/>
      <c r="AK952" s="1783"/>
      <c r="AL952" s="1783"/>
      <c r="AM952" s="1783"/>
      <c r="AN952" s="1783"/>
      <c r="AO952" s="1783"/>
      <c r="AP952" s="1783"/>
      <c r="AQ952" s="1783"/>
      <c r="AR952" s="1783"/>
      <c r="AS952" s="1783"/>
      <c r="AT952" s="1783"/>
      <c r="AU952" s="1783"/>
      <c r="AV952" s="1783"/>
      <c r="AW952" s="1783"/>
      <c r="AX952" s="1783"/>
      <c r="AY952" s="1783"/>
      <c r="AZ952" s="1783"/>
      <c r="BA952" s="1783"/>
      <c r="BB952" s="1783"/>
      <c r="BC952" s="1783"/>
      <c r="BD952" s="1783"/>
      <c r="BE952" s="1783"/>
      <c r="BF952" s="1783"/>
      <c r="BG952" s="1783"/>
      <c r="BH952" s="1783"/>
      <c r="BI952" s="1783"/>
    </row>
    <row r="953" spans="1:61">
      <c r="A953" s="1819"/>
      <c r="B953" s="1818"/>
      <c r="C953" s="1818"/>
      <c r="D953" s="1818"/>
      <c r="E953" s="1818"/>
      <c r="F953" s="1818"/>
      <c r="G953" s="1818"/>
      <c r="H953" s="1783"/>
      <c r="I953" s="1783"/>
      <c r="J953" s="1783"/>
      <c r="K953" s="1783"/>
      <c r="L953" s="1783"/>
      <c r="M953" s="1783"/>
      <c r="N953" s="1783"/>
      <c r="O953" s="1783"/>
      <c r="P953" s="1783"/>
      <c r="Q953" s="1783"/>
      <c r="R953" s="1783"/>
      <c r="S953" s="1783"/>
      <c r="T953" s="1783"/>
      <c r="U953" s="1783"/>
      <c r="V953" s="1783"/>
      <c r="W953" s="1783"/>
      <c r="X953" s="1783"/>
      <c r="Y953" s="1783"/>
      <c r="Z953" s="1783"/>
      <c r="AA953" s="1783"/>
      <c r="AB953" s="1783"/>
      <c r="AC953" s="1783"/>
      <c r="AD953" s="1783"/>
      <c r="AE953" s="1783"/>
      <c r="AF953" s="1783"/>
      <c r="AG953" s="1783"/>
      <c r="AH953" s="1783"/>
      <c r="AI953" s="1783"/>
      <c r="AJ953" s="1783"/>
      <c r="AK953" s="1783"/>
      <c r="AL953" s="1783"/>
      <c r="AM953" s="1783"/>
      <c r="AN953" s="1783"/>
      <c r="AO953" s="1783"/>
      <c r="AP953" s="1783"/>
      <c r="AQ953" s="1783"/>
      <c r="AR953" s="1783"/>
      <c r="AS953" s="1783"/>
      <c r="AT953" s="1783"/>
      <c r="AU953" s="1783"/>
      <c r="AV953" s="1783"/>
      <c r="AW953" s="1783"/>
      <c r="AX953" s="1783"/>
      <c r="AY953" s="1783"/>
      <c r="AZ953" s="1783"/>
      <c r="BA953" s="1783"/>
      <c r="BB953" s="1783"/>
      <c r="BC953" s="1783"/>
      <c r="BD953" s="1783"/>
      <c r="BE953" s="1783"/>
      <c r="BF953" s="1783"/>
      <c r="BG953" s="1783"/>
      <c r="BH953" s="1783"/>
      <c r="BI953" s="1783"/>
    </row>
    <row r="954" spans="1:61">
      <c r="A954" s="1819"/>
      <c r="B954" s="1818"/>
      <c r="C954" s="1818"/>
      <c r="D954" s="1818"/>
      <c r="E954" s="1818"/>
      <c r="F954" s="1818"/>
      <c r="G954" s="1818"/>
      <c r="H954" s="1783"/>
      <c r="I954" s="1783"/>
      <c r="J954" s="1783"/>
      <c r="K954" s="1783"/>
      <c r="L954" s="1783"/>
      <c r="M954" s="1783"/>
      <c r="N954" s="1783"/>
      <c r="O954" s="1783"/>
      <c r="P954" s="1783"/>
      <c r="Q954" s="1783"/>
      <c r="R954" s="1783"/>
      <c r="S954" s="1783"/>
      <c r="T954" s="1783"/>
      <c r="U954" s="1783"/>
      <c r="V954" s="1783"/>
      <c r="W954" s="1783"/>
      <c r="X954" s="1783"/>
      <c r="Y954" s="1783"/>
      <c r="Z954" s="1783"/>
      <c r="AA954" s="1783"/>
      <c r="AB954" s="1783"/>
      <c r="AC954" s="1783"/>
      <c r="AD954" s="1783"/>
      <c r="AE954" s="1783"/>
      <c r="AF954" s="1783"/>
      <c r="AG954" s="1783"/>
      <c r="AH954" s="1783"/>
      <c r="AI954" s="1783"/>
      <c r="AJ954" s="1783"/>
      <c r="AK954" s="1783"/>
      <c r="AL954" s="1783"/>
      <c r="AM954" s="1783"/>
      <c r="AN954" s="1783"/>
      <c r="AO954" s="1783"/>
      <c r="AP954" s="1783"/>
      <c r="AQ954" s="1783"/>
      <c r="AR954" s="1783"/>
      <c r="AS954" s="1783"/>
      <c r="AT954" s="1783"/>
      <c r="AU954" s="1783"/>
      <c r="AV954" s="1783"/>
      <c r="AW954" s="1783"/>
      <c r="AX954" s="1783"/>
      <c r="AY954" s="1783"/>
      <c r="AZ954" s="1783"/>
      <c r="BA954" s="1783"/>
      <c r="BB954" s="1783"/>
      <c r="BC954" s="1783"/>
      <c r="BD954" s="1783"/>
      <c r="BE954" s="1783"/>
      <c r="BF954" s="1783"/>
      <c r="BG954" s="1783"/>
      <c r="BH954" s="1783"/>
      <c r="BI954" s="1783"/>
    </row>
    <row r="955" spans="1:61">
      <c r="A955" s="1819"/>
      <c r="B955" s="1818"/>
      <c r="C955" s="1818"/>
      <c r="D955" s="1818"/>
      <c r="E955" s="1818"/>
      <c r="F955" s="1818"/>
      <c r="G955" s="1818"/>
      <c r="H955" s="1783"/>
      <c r="I955" s="1783"/>
      <c r="J955" s="1783"/>
      <c r="K955" s="1783"/>
      <c r="L955" s="1783"/>
      <c r="M955" s="1783"/>
      <c r="N955" s="1783"/>
      <c r="O955" s="1783"/>
      <c r="P955" s="1783"/>
      <c r="Q955" s="1783"/>
      <c r="R955" s="1783"/>
      <c r="S955" s="1783"/>
      <c r="T955" s="1783"/>
      <c r="U955" s="1783"/>
      <c r="V955" s="1783"/>
      <c r="W955" s="1783"/>
      <c r="X955" s="1783"/>
      <c r="Y955" s="1783"/>
      <c r="Z955" s="1783"/>
      <c r="AA955" s="1783"/>
      <c r="AB955" s="1783"/>
      <c r="AC955" s="1783"/>
      <c r="AD955" s="1783"/>
      <c r="AE955" s="1783"/>
      <c r="AF955" s="1783"/>
      <c r="AG955" s="1783"/>
      <c r="AH955" s="1783"/>
      <c r="AI955" s="1783"/>
      <c r="AJ955" s="1783"/>
      <c r="AK955" s="1783"/>
      <c r="AL955" s="1783"/>
      <c r="AM955" s="1783"/>
      <c r="AN955" s="1783"/>
      <c r="AO955" s="1783"/>
      <c r="AP955" s="1783"/>
      <c r="AQ955" s="1783"/>
      <c r="AR955" s="1783"/>
      <c r="AS955" s="1783"/>
      <c r="AT955" s="1783"/>
      <c r="AU955" s="1783"/>
      <c r="AV955" s="1783"/>
      <c r="AW955" s="1783"/>
      <c r="AX955" s="1783"/>
      <c r="AY955" s="1783"/>
      <c r="AZ955" s="1783"/>
      <c r="BA955" s="1783"/>
      <c r="BB955" s="1783"/>
      <c r="BC955" s="1783"/>
      <c r="BD955" s="1783"/>
      <c r="BE955" s="1783"/>
      <c r="BF955" s="1783"/>
      <c r="BG955" s="1783"/>
      <c r="BH955" s="1783"/>
      <c r="BI955" s="1783"/>
    </row>
    <row r="956" spans="1:61">
      <c r="A956" s="1819"/>
      <c r="B956" s="1818"/>
      <c r="C956" s="1818"/>
      <c r="D956" s="1818"/>
      <c r="E956" s="1818"/>
      <c r="F956" s="1818"/>
      <c r="G956" s="1818"/>
      <c r="H956" s="1783"/>
      <c r="I956" s="1783"/>
      <c r="J956" s="1783"/>
      <c r="K956" s="1783"/>
      <c r="L956" s="1783"/>
      <c r="M956" s="1783"/>
      <c r="N956" s="1783"/>
      <c r="O956" s="1783"/>
      <c r="P956" s="1783"/>
      <c r="Q956" s="1783"/>
      <c r="R956" s="1783"/>
      <c r="S956" s="1783"/>
      <c r="T956" s="1783"/>
      <c r="U956" s="1783"/>
      <c r="V956" s="1783"/>
      <c r="W956" s="1783"/>
      <c r="X956" s="1783"/>
      <c r="Y956" s="1783"/>
      <c r="Z956" s="1783"/>
      <c r="AA956" s="1783"/>
      <c r="AB956" s="1783"/>
      <c r="AC956" s="1783"/>
      <c r="AD956" s="1783"/>
      <c r="AE956" s="1783"/>
      <c r="AF956" s="1783"/>
      <c r="AG956" s="1783"/>
      <c r="AH956" s="1783"/>
      <c r="AI956" s="1783"/>
      <c r="AJ956" s="1783"/>
      <c r="AK956" s="1783"/>
      <c r="AL956" s="1783"/>
      <c r="AM956" s="1783"/>
      <c r="AN956" s="1783"/>
      <c r="AO956" s="1783"/>
      <c r="AP956" s="1783"/>
      <c r="AQ956" s="1783"/>
      <c r="AR956" s="1783"/>
      <c r="AS956" s="1783"/>
      <c r="AT956" s="1783"/>
      <c r="AU956" s="1783"/>
      <c r="AV956" s="1783"/>
      <c r="AW956" s="1783"/>
      <c r="AX956" s="1783"/>
      <c r="AY956" s="1783"/>
      <c r="AZ956" s="1783"/>
      <c r="BA956" s="1783"/>
      <c r="BB956" s="1783"/>
      <c r="BC956" s="1783"/>
      <c r="BD956" s="1783"/>
      <c r="BE956" s="1783"/>
      <c r="BF956" s="1783"/>
      <c r="BG956" s="1783"/>
      <c r="BH956" s="1783"/>
      <c r="BI956" s="1783"/>
    </row>
    <row r="957" spans="1:61">
      <c r="A957" s="1819"/>
      <c r="B957" s="1818"/>
      <c r="C957" s="1818"/>
      <c r="D957" s="1818"/>
      <c r="E957" s="1818"/>
      <c r="F957" s="1818"/>
      <c r="G957" s="1818"/>
      <c r="H957" s="1783"/>
      <c r="I957" s="1783"/>
      <c r="J957" s="1783"/>
      <c r="K957" s="1783"/>
      <c r="L957" s="1783"/>
      <c r="M957" s="1783"/>
      <c r="N957" s="1783"/>
      <c r="O957" s="1783"/>
      <c r="P957" s="1783"/>
      <c r="Q957" s="1783"/>
      <c r="R957" s="1783"/>
      <c r="S957" s="1783"/>
      <c r="T957" s="1783"/>
      <c r="U957" s="1783"/>
      <c r="V957" s="1783"/>
      <c r="W957" s="1783"/>
      <c r="X957" s="1783"/>
      <c r="Y957" s="1783"/>
      <c r="Z957" s="1783"/>
      <c r="AA957" s="1783"/>
      <c r="AB957" s="1783"/>
      <c r="AC957" s="1783"/>
      <c r="AD957" s="1783"/>
      <c r="AE957" s="1783"/>
      <c r="AF957" s="1783"/>
      <c r="AG957" s="1783"/>
      <c r="AH957" s="1783"/>
      <c r="AI957" s="1783"/>
      <c r="AJ957" s="1783"/>
      <c r="AK957" s="1783"/>
      <c r="AL957" s="1783"/>
      <c r="AM957" s="1783"/>
      <c r="AN957" s="1783"/>
      <c r="AO957" s="1783"/>
      <c r="AP957" s="1783"/>
      <c r="AQ957" s="1783"/>
      <c r="AR957" s="1783"/>
      <c r="AS957" s="1783"/>
      <c r="AT957" s="1783"/>
      <c r="AU957" s="1783"/>
      <c r="AV957" s="1783"/>
      <c r="AW957" s="1783"/>
      <c r="AX957" s="1783"/>
      <c r="AY957" s="1783"/>
      <c r="AZ957" s="1783"/>
      <c r="BA957" s="1783"/>
      <c r="BB957" s="1783"/>
      <c r="BC957" s="1783"/>
      <c r="BD957" s="1783"/>
      <c r="BE957" s="1783"/>
      <c r="BF957" s="1783"/>
      <c r="BG957" s="1783"/>
      <c r="BH957" s="1783"/>
      <c r="BI957" s="1783"/>
    </row>
    <row r="958" spans="1:61">
      <c r="A958" s="1819"/>
      <c r="B958" s="1818"/>
      <c r="C958" s="1818"/>
      <c r="D958" s="1818"/>
      <c r="E958" s="1818"/>
      <c r="F958" s="1818"/>
      <c r="G958" s="1818"/>
      <c r="H958" s="1783"/>
      <c r="I958" s="1783"/>
      <c r="J958" s="1783"/>
      <c r="K958" s="1783"/>
      <c r="L958" s="1783"/>
      <c r="M958" s="1783"/>
      <c r="N958" s="1783"/>
      <c r="O958" s="1783"/>
      <c r="P958" s="1783"/>
      <c r="Q958" s="1783"/>
      <c r="R958" s="1783"/>
      <c r="S958" s="1783"/>
      <c r="T958" s="1783"/>
      <c r="U958" s="1783"/>
      <c r="V958" s="1783"/>
      <c r="W958" s="1783"/>
      <c r="X958" s="1783"/>
      <c r="Y958" s="1783"/>
      <c r="Z958" s="1783"/>
      <c r="AA958" s="1783"/>
      <c r="AB958" s="1783"/>
      <c r="AC958" s="1783"/>
      <c r="AD958" s="1783"/>
      <c r="AE958" s="1783"/>
      <c r="AF958" s="1783"/>
      <c r="AG958" s="1783"/>
      <c r="AH958" s="1783"/>
      <c r="AI958" s="1783"/>
      <c r="AJ958" s="1783"/>
      <c r="AK958" s="1783"/>
      <c r="AL958" s="1783"/>
      <c r="AM958" s="1783"/>
      <c r="AN958" s="1783"/>
      <c r="AO958" s="1783"/>
      <c r="AP958" s="1783"/>
      <c r="AQ958" s="1783"/>
      <c r="AR958" s="1783"/>
      <c r="AS958" s="1783"/>
      <c r="AT958" s="1783"/>
      <c r="AU958" s="1783"/>
      <c r="AV958" s="1783"/>
      <c r="AW958" s="1783"/>
      <c r="AX958" s="1783"/>
      <c r="AY958" s="1783"/>
      <c r="AZ958" s="1783"/>
      <c r="BA958" s="1783"/>
      <c r="BB958" s="1783"/>
      <c r="BC958" s="1783"/>
      <c r="BD958" s="1783"/>
      <c r="BE958" s="1783"/>
      <c r="BF958" s="1783"/>
      <c r="BG958" s="1783"/>
      <c r="BH958" s="1783"/>
      <c r="BI958" s="1783"/>
    </row>
    <row r="959" spans="1:61">
      <c r="A959" s="1819"/>
      <c r="B959" s="1818"/>
      <c r="C959" s="1818"/>
      <c r="D959" s="1818"/>
      <c r="E959" s="1818"/>
      <c r="F959" s="1818"/>
      <c r="G959" s="1818"/>
      <c r="H959" s="1783"/>
      <c r="I959" s="1783"/>
      <c r="J959" s="1783"/>
      <c r="K959" s="1783"/>
      <c r="L959" s="1783"/>
      <c r="M959" s="1783"/>
      <c r="N959" s="1783"/>
      <c r="O959" s="1783"/>
      <c r="P959" s="1783"/>
      <c r="Q959" s="1783"/>
      <c r="R959" s="1783"/>
      <c r="S959" s="1783"/>
      <c r="T959" s="1783"/>
      <c r="U959" s="1783"/>
      <c r="V959" s="1783"/>
      <c r="W959" s="1783"/>
      <c r="X959" s="1783"/>
      <c r="Y959" s="1783"/>
      <c r="Z959" s="1783"/>
      <c r="AA959" s="1783"/>
      <c r="AB959" s="1783"/>
      <c r="AC959" s="1783"/>
      <c r="AD959" s="1783"/>
      <c r="AE959" s="1783"/>
      <c r="AF959" s="1783"/>
      <c r="AG959" s="1783"/>
      <c r="AH959" s="1783"/>
      <c r="AI959" s="1783"/>
      <c r="AJ959" s="1783"/>
      <c r="AK959" s="1783"/>
      <c r="AL959" s="1783"/>
      <c r="AM959" s="1783"/>
      <c r="AN959" s="1783"/>
      <c r="AO959" s="1783"/>
      <c r="AP959" s="1783"/>
      <c r="AQ959" s="1783"/>
      <c r="AR959" s="1783"/>
      <c r="AS959" s="1783"/>
      <c r="AT959" s="1783"/>
      <c r="AU959" s="1783"/>
      <c r="AV959" s="1783"/>
      <c r="AW959" s="1783"/>
      <c r="AX959" s="1783"/>
      <c r="AY959" s="1783"/>
      <c r="AZ959" s="1783"/>
      <c r="BA959" s="1783"/>
      <c r="BB959" s="1783"/>
      <c r="BC959" s="1783"/>
      <c r="BD959" s="1783"/>
      <c r="BE959" s="1783"/>
      <c r="BF959" s="1783"/>
      <c r="BG959" s="1783"/>
      <c r="BH959" s="1783"/>
      <c r="BI959" s="1783"/>
    </row>
    <row r="960" spans="1:61">
      <c r="A960" s="1819"/>
      <c r="B960" s="1818"/>
      <c r="C960" s="1818"/>
      <c r="D960" s="1818"/>
      <c r="E960" s="1818"/>
      <c r="F960" s="1818"/>
      <c r="G960" s="1818"/>
      <c r="H960" s="1783"/>
      <c r="I960" s="1783"/>
      <c r="J960" s="1783"/>
      <c r="K960" s="1783"/>
      <c r="L960" s="1783"/>
      <c r="M960" s="1783"/>
      <c r="N960" s="1783"/>
      <c r="O960" s="1783"/>
      <c r="P960" s="1783"/>
      <c r="Q960" s="1783"/>
      <c r="R960" s="1783"/>
      <c r="S960" s="1783"/>
      <c r="T960" s="1783"/>
      <c r="U960" s="1783"/>
      <c r="V960" s="1783"/>
      <c r="W960" s="1783"/>
      <c r="X960" s="1783"/>
      <c r="Y960" s="1783"/>
      <c r="Z960" s="1783"/>
      <c r="AA960" s="1783"/>
      <c r="AB960" s="1783"/>
      <c r="AC960" s="1783"/>
      <c r="AD960" s="1783"/>
      <c r="AE960" s="1783"/>
      <c r="AF960" s="1783"/>
      <c r="AG960" s="1783"/>
      <c r="AH960" s="1783"/>
      <c r="AI960" s="1783"/>
      <c r="AJ960" s="1783"/>
      <c r="AK960" s="1783"/>
      <c r="AL960" s="1783"/>
      <c r="AM960" s="1783"/>
      <c r="AN960" s="1783"/>
      <c r="AO960" s="1783"/>
      <c r="AP960" s="1783"/>
      <c r="AQ960" s="1783"/>
      <c r="AR960" s="1783"/>
      <c r="AS960" s="1783"/>
      <c r="AT960" s="1783"/>
      <c r="AU960" s="1783"/>
      <c r="AV960" s="1783"/>
      <c r="AW960" s="1783"/>
      <c r="AX960" s="1783"/>
      <c r="AY960" s="1783"/>
      <c r="AZ960" s="1783"/>
      <c r="BA960" s="1783"/>
      <c r="BB960" s="1783"/>
      <c r="BC960" s="1783"/>
      <c r="BD960" s="1783"/>
      <c r="BE960" s="1783"/>
      <c r="BF960" s="1783"/>
      <c r="BG960" s="1783"/>
      <c r="BH960" s="1783"/>
      <c r="BI960" s="1783"/>
    </row>
    <row r="961" spans="1:61">
      <c r="A961" s="1819"/>
      <c r="B961" s="1818"/>
      <c r="C961" s="1818"/>
      <c r="D961" s="1818"/>
      <c r="E961" s="1818"/>
      <c r="F961" s="1818"/>
      <c r="G961" s="1818"/>
      <c r="H961" s="1783"/>
      <c r="I961" s="1783"/>
      <c r="J961" s="1783"/>
      <c r="K961" s="1783"/>
      <c r="L961" s="1783"/>
      <c r="M961" s="1783"/>
      <c r="N961" s="1783"/>
      <c r="O961" s="1783"/>
      <c r="P961" s="1783"/>
      <c r="Q961" s="1783"/>
      <c r="R961" s="1783"/>
      <c r="S961" s="1783"/>
      <c r="T961" s="1783"/>
      <c r="U961" s="1783"/>
      <c r="V961" s="1783"/>
      <c r="W961" s="1783"/>
      <c r="X961" s="1783"/>
      <c r="Y961" s="1783"/>
      <c r="Z961" s="1783"/>
      <c r="AA961" s="1783"/>
      <c r="AB961" s="1783"/>
      <c r="AC961" s="1783"/>
      <c r="AD961" s="1783"/>
      <c r="AE961" s="1783"/>
      <c r="AF961" s="1783"/>
      <c r="AG961" s="1783"/>
      <c r="AH961" s="1783"/>
      <c r="AI961" s="1783"/>
      <c r="AJ961" s="1783"/>
      <c r="AK961" s="1783"/>
      <c r="AL961" s="1783"/>
      <c r="AM961" s="1783"/>
      <c r="AN961" s="1783"/>
      <c r="AO961" s="1783"/>
      <c r="AP961" s="1783"/>
      <c r="AQ961" s="1783"/>
      <c r="AR961" s="1783"/>
      <c r="AS961" s="1783"/>
      <c r="AT961" s="1783"/>
      <c r="AU961" s="1783"/>
      <c r="AV961" s="1783"/>
      <c r="AW961" s="1783"/>
      <c r="AX961" s="1783"/>
      <c r="AY961" s="1783"/>
      <c r="AZ961" s="1783"/>
      <c r="BA961" s="1783"/>
      <c r="BB961" s="1783"/>
      <c r="BC961" s="1783"/>
      <c r="BD961" s="1783"/>
      <c r="BE961" s="1783"/>
      <c r="BF961" s="1783"/>
      <c r="BG961" s="1783"/>
      <c r="BH961" s="1783"/>
      <c r="BI961" s="1783"/>
    </row>
    <row r="962" spans="1:61">
      <c r="A962" s="1819"/>
      <c r="B962" s="1818"/>
      <c r="C962" s="1818"/>
      <c r="D962" s="1818"/>
      <c r="E962" s="1818"/>
      <c r="F962" s="1818"/>
      <c r="G962" s="1818"/>
      <c r="H962" s="1783"/>
      <c r="I962" s="1783"/>
      <c r="J962" s="1783"/>
      <c r="K962" s="1783"/>
      <c r="L962" s="1783"/>
      <c r="M962" s="1783"/>
      <c r="N962" s="1783"/>
      <c r="O962" s="1783"/>
      <c r="P962" s="1783"/>
      <c r="Q962" s="1783"/>
      <c r="R962" s="1783"/>
      <c r="S962" s="1783"/>
      <c r="T962" s="1783"/>
      <c r="U962" s="1783"/>
      <c r="V962" s="1783"/>
      <c r="W962" s="1783"/>
      <c r="X962" s="1783"/>
      <c r="Y962" s="1783"/>
      <c r="Z962" s="1783"/>
      <c r="AA962" s="1783"/>
      <c r="AB962" s="1783"/>
      <c r="AC962" s="1783"/>
      <c r="AD962" s="1783"/>
      <c r="AE962" s="1783"/>
      <c r="AF962" s="1783"/>
      <c r="AG962" s="1783"/>
      <c r="AH962" s="1783"/>
      <c r="AI962" s="1783"/>
      <c r="AJ962" s="1783"/>
      <c r="AK962" s="1783"/>
      <c r="AL962" s="1783"/>
      <c r="AM962" s="1783"/>
      <c r="AN962" s="1783"/>
      <c r="AO962" s="1783"/>
      <c r="AP962" s="1783"/>
      <c r="AQ962" s="1783"/>
      <c r="AR962" s="1783"/>
      <c r="AS962" s="1783"/>
      <c r="AT962" s="1783"/>
      <c r="AU962" s="1783"/>
      <c r="AV962" s="1783"/>
      <c r="AW962" s="1783"/>
      <c r="AX962" s="1783"/>
      <c r="AY962" s="1783"/>
      <c r="AZ962" s="1783"/>
      <c r="BA962" s="1783"/>
      <c r="BB962" s="1783"/>
      <c r="BC962" s="1783"/>
      <c r="BD962" s="1783"/>
      <c r="BE962" s="1783"/>
      <c r="BF962" s="1783"/>
      <c r="BG962" s="1783"/>
      <c r="BH962" s="1783"/>
      <c r="BI962" s="1783"/>
    </row>
    <row r="963" spans="1:61">
      <c r="A963" s="1819"/>
      <c r="B963" s="1818"/>
      <c r="C963" s="1818"/>
      <c r="D963" s="1818"/>
      <c r="E963" s="1818"/>
      <c r="F963" s="1818"/>
      <c r="G963" s="1818"/>
      <c r="H963" s="1783"/>
      <c r="I963" s="1783"/>
      <c r="J963" s="1783"/>
      <c r="K963" s="1783"/>
      <c r="L963" s="1783"/>
      <c r="M963" s="1783"/>
      <c r="N963" s="1783"/>
      <c r="O963" s="1783"/>
      <c r="P963" s="1783"/>
      <c r="Q963" s="1783"/>
      <c r="R963" s="1783"/>
      <c r="S963" s="1783"/>
      <c r="T963" s="1783"/>
      <c r="U963" s="1783"/>
      <c r="V963" s="1783"/>
      <c r="W963" s="1783"/>
      <c r="X963" s="1783"/>
      <c r="Y963" s="1783"/>
      <c r="Z963" s="1783"/>
      <c r="AA963" s="1783"/>
      <c r="AB963" s="1783"/>
      <c r="AC963" s="1783"/>
      <c r="AD963" s="1783"/>
      <c r="AE963" s="1783"/>
      <c r="AF963" s="1783"/>
      <c r="AG963" s="1783"/>
      <c r="AH963" s="1783"/>
      <c r="AI963" s="1783"/>
      <c r="AJ963" s="1783"/>
      <c r="AK963" s="1783"/>
      <c r="AL963" s="1783"/>
      <c r="AM963" s="1783"/>
      <c r="AN963" s="1783"/>
      <c r="AO963" s="1783"/>
      <c r="AP963" s="1783"/>
      <c r="AQ963" s="1783"/>
      <c r="AR963" s="1783"/>
      <c r="AS963" s="1783"/>
      <c r="AT963" s="1783"/>
      <c r="AU963" s="1783"/>
      <c r="AV963" s="1783"/>
      <c r="AW963" s="1783"/>
      <c r="AX963" s="1783"/>
      <c r="AY963" s="1783"/>
      <c r="AZ963" s="1783"/>
      <c r="BA963" s="1783"/>
      <c r="BB963" s="1783"/>
      <c r="BC963" s="1783"/>
      <c r="BD963" s="1783"/>
      <c r="BE963" s="1783"/>
      <c r="BF963" s="1783"/>
      <c r="BG963" s="1783"/>
      <c r="BH963" s="1783"/>
      <c r="BI963" s="1783"/>
    </row>
    <row r="964" spans="1:61">
      <c r="A964" s="1819"/>
      <c r="B964" s="1818"/>
      <c r="C964" s="1818"/>
      <c r="D964" s="1818"/>
      <c r="E964" s="1818"/>
      <c r="F964" s="1818"/>
      <c r="G964" s="1818"/>
      <c r="H964" s="1783"/>
      <c r="I964" s="1783"/>
      <c r="J964" s="1783"/>
      <c r="K964" s="1783"/>
      <c r="L964" s="1783"/>
      <c r="M964" s="1783"/>
      <c r="N964" s="1783"/>
      <c r="O964" s="1783"/>
      <c r="P964" s="1783"/>
      <c r="Q964" s="1783"/>
      <c r="R964" s="1783"/>
      <c r="S964" s="1783"/>
      <c r="T964" s="1783"/>
      <c r="U964" s="1783"/>
      <c r="V964" s="1783"/>
      <c r="W964" s="1783"/>
      <c r="X964" s="1783"/>
      <c r="Y964" s="1783"/>
      <c r="Z964" s="1783"/>
      <c r="AA964" s="1783"/>
      <c r="AB964" s="1783"/>
      <c r="AC964" s="1783"/>
      <c r="AD964" s="1783"/>
      <c r="AE964" s="1783"/>
      <c r="AF964" s="1783"/>
      <c r="AG964" s="1783"/>
      <c r="AH964" s="1783"/>
      <c r="AI964" s="1783"/>
      <c r="AJ964" s="1783"/>
      <c r="AK964" s="1783"/>
      <c r="AL964" s="1783"/>
      <c r="AM964" s="1783"/>
      <c r="AN964" s="1783"/>
      <c r="AO964" s="1783"/>
      <c r="AP964" s="1783"/>
      <c r="AQ964" s="1783"/>
      <c r="AR964" s="1783"/>
      <c r="AS964" s="1783"/>
      <c r="AT964" s="1783"/>
      <c r="AU964" s="1783"/>
      <c r="AV964" s="1783"/>
      <c r="AW964" s="1783"/>
      <c r="AX964" s="1783"/>
      <c r="AY964" s="1783"/>
      <c r="AZ964" s="1783"/>
      <c r="BA964" s="1783"/>
      <c r="BB964" s="1783"/>
      <c r="BC964" s="1783"/>
      <c r="BD964" s="1783"/>
      <c r="BE964" s="1783"/>
      <c r="BF964" s="1783"/>
      <c r="BG964" s="1783"/>
      <c r="BH964" s="1783"/>
      <c r="BI964" s="1783"/>
    </row>
    <row r="965" spans="1:61">
      <c r="A965" s="1819"/>
      <c r="B965" s="1818"/>
      <c r="C965" s="1818"/>
      <c r="D965" s="1818"/>
      <c r="E965" s="1818"/>
      <c r="F965" s="1818"/>
      <c r="G965" s="1818"/>
      <c r="H965" s="1783"/>
      <c r="I965" s="1783"/>
      <c r="J965" s="1783"/>
      <c r="K965" s="1783"/>
      <c r="L965" s="1783"/>
      <c r="M965" s="1783"/>
      <c r="N965" s="1783"/>
      <c r="O965" s="1783"/>
      <c r="P965" s="1783"/>
      <c r="Q965" s="1783"/>
      <c r="R965" s="1783"/>
      <c r="S965" s="1783"/>
      <c r="T965" s="1783"/>
      <c r="U965" s="1783"/>
      <c r="V965" s="1783"/>
      <c r="W965" s="1783"/>
      <c r="X965" s="1783"/>
      <c r="Y965" s="1783"/>
      <c r="Z965" s="1783"/>
      <c r="AA965" s="1783"/>
      <c r="AB965" s="1783"/>
      <c r="AC965" s="1783"/>
      <c r="AD965" s="1783"/>
      <c r="AE965" s="1783"/>
      <c r="AF965" s="1783"/>
      <c r="AG965" s="1783"/>
      <c r="AH965" s="1783"/>
      <c r="AI965" s="1783"/>
      <c r="AJ965" s="1783"/>
      <c r="AK965" s="1783"/>
      <c r="AL965" s="1783"/>
      <c r="AM965" s="1783"/>
      <c r="AN965" s="1783"/>
      <c r="AO965" s="1783"/>
      <c r="AP965" s="1783"/>
      <c r="AQ965" s="1783"/>
      <c r="AR965" s="1783"/>
      <c r="AS965" s="1783"/>
      <c r="AT965" s="1783"/>
      <c r="AU965" s="1783"/>
      <c r="AV965" s="1783"/>
      <c r="AW965" s="1783"/>
      <c r="AX965" s="1783"/>
      <c r="AY965" s="1783"/>
      <c r="AZ965" s="1783"/>
      <c r="BA965" s="1783"/>
      <c r="BB965" s="1783"/>
      <c r="BC965" s="1783"/>
      <c r="BD965" s="1783"/>
      <c r="BE965" s="1783"/>
      <c r="BF965" s="1783"/>
      <c r="BG965" s="1783"/>
      <c r="BH965" s="1783"/>
      <c r="BI965" s="1783"/>
    </row>
    <row r="966" spans="1:61">
      <c r="A966" s="1819"/>
      <c r="B966" s="1818"/>
      <c r="C966" s="1818"/>
      <c r="D966" s="1818"/>
      <c r="E966" s="1818"/>
      <c r="F966" s="1818"/>
      <c r="G966" s="1818"/>
      <c r="H966" s="1783"/>
      <c r="I966" s="1783"/>
      <c r="J966" s="1783"/>
      <c r="K966" s="1783"/>
      <c r="L966" s="1783"/>
      <c r="M966" s="1783"/>
      <c r="N966" s="1783"/>
      <c r="O966" s="1783"/>
      <c r="P966" s="1783"/>
      <c r="Q966" s="1783"/>
      <c r="R966" s="1783"/>
      <c r="S966" s="1783"/>
      <c r="T966" s="1783"/>
      <c r="U966" s="1783"/>
      <c r="V966" s="1783"/>
      <c r="W966" s="1783"/>
      <c r="X966" s="1783"/>
      <c r="Y966" s="1783"/>
      <c r="Z966" s="1783"/>
      <c r="AA966" s="1783"/>
      <c r="AB966" s="1783"/>
      <c r="AC966" s="1783"/>
      <c r="AD966" s="1783"/>
      <c r="AE966" s="1783"/>
      <c r="AF966" s="1783"/>
      <c r="AG966" s="1783"/>
      <c r="AH966" s="1783"/>
      <c r="AI966" s="1783"/>
      <c r="AJ966" s="1783"/>
      <c r="AK966" s="1783"/>
      <c r="AL966" s="1783"/>
      <c r="AM966" s="1783"/>
      <c r="AN966" s="1783"/>
      <c r="AO966" s="1783"/>
      <c r="AP966" s="1783"/>
      <c r="AQ966" s="1783"/>
      <c r="AR966" s="1783"/>
      <c r="AS966" s="1783"/>
      <c r="AT966" s="1783"/>
      <c r="AU966" s="1783"/>
      <c r="AV966" s="1783"/>
      <c r="AW966" s="1783"/>
      <c r="AX966" s="1783"/>
      <c r="AY966" s="1783"/>
      <c r="AZ966" s="1783"/>
      <c r="BA966" s="1783"/>
      <c r="BB966" s="1783"/>
      <c r="BC966" s="1783"/>
      <c r="BD966" s="1783"/>
      <c r="BE966" s="1783"/>
      <c r="BF966" s="1783"/>
      <c r="BG966" s="1783"/>
      <c r="BH966" s="1783"/>
      <c r="BI966" s="1783"/>
    </row>
    <row r="967" spans="1:61">
      <c r="A967" s="1819"/>
      <c r="B967" s="1818"/>
      <c r="C967" s="1818"/>
      <c r="D967" s="1818"/>
      <c r="E967" s="1818"/>
      <c r="F967" s="1818"/>
      <c r="G967" s="1818"/>
      <c r="H967" s="1783"/>
      <c r="I967" s="1783"/>
      <c r="J967" s="1783"/>
      <c r="K967" s="1783"/>
      <c r="L967" s="1783"/>
      <c r="M967" s="1783"/>
      <c r="N967" s="1783"/>
      <c r="O967" s="1783"/>
      <c r="P967" s="1783"/>
      <c r="Q967" s="1783"/>
      <c r="R967" s="1783"/>
      <c r="S967" s="1783"/>
      <c r="T967" s="1783"/>
      <c r="U967" s="1783"/>
      <c r="V967" s="1783"/>
      <c r="W967" s="1783"/>
      <c r="X967" s="1783"/>
      <c r="Y967" s="1783"/>
      <c r="Z967" s="1783"/>
      <c r="AA967" s="1783"/>
      <c r="AB967" s="1783"/>
      <c r="AC967" s="1783"/>
      <c r="AD967" s="1783"/>
      <c r="AE967" s="1783"/>
      <c r="AF967" s="1783"/>
      <c r="AG967" s="1783"/>
      <c r="AH967" s="1783"/>
      <c r="AI967" s="1783"/>
      <c r="AJ967" s="1783"/>
      <c r="AK967" s="1783"/>
      <c r="AL967" s="1783"/>
      <c r="AM967" s="1783"/>
      <c r="AN967" s="1783"/>
      <c r="AO967" s="1783"/>
      <c r="AP967" s="1783"/>
      <c r="AQ967" s="1783"/>
      <c r="AR967" s="1783"/>
      <c r="AS967" s="1783"/>
      <c r="AT967" s="1783"/>
      <c r="AU967" s="1783"/>
      <c r="AV967" s="1783"/>
      <c r="AW967" s="1783"/>
      <c r="AX967" s="1783"/>
      <c r="AY967" s="1783"/>
      <c r="AZ967" s="1783"/>
      <c r="BA967" s="1783"/>
      <c r="BB967" s="1783"/>
      <c r="BC967" s="1783"/>
      <c r="BD967" s="1783"/>
      <c r="BE967" s="1783"/>
      <c r="BF967" s="1783"/>
      <c r="BG967" s="1783"/>
      <c r="BH967" s="1783"/>
      <c r="BI967" s="1783"/>
    </row>
    <row r="968" spans="1:61">
      <c r="A968" s="1819"/>
      <c r="B968" s="1818"/>
      <c r="C968" s="1818"/>
      <c r="D968" s="1818"/>
      <c r="E968" s="1818"/>
      <c r="F968" s="1818"/>
      <c r="G968" s="1818"/>
      <c r="H968" s="1783"/>
      <c r="I968" s="1783"/>
      <c r="J968" s="1783"/>
      <c r="K968" s="1783"/>
      <c r="L968" s="1783"/>
      <c r="M968" s="1783"/>
      <c r="N968" s="1783"/>
      <c r="O968" s="1783"/>
      <c r="P968" s="1783"/>
      <c r="Q968" s="1783"/>
      <c r="R968" s="1783"/>
      <c r="S968" s="1783"/>
      <c r="T968" s="1783"/>
      <c r="U968" s="1783"/>
      <c r="V968" s="1783"/>
      <c r="W968" s="1783"/>
      <c r="X968" s="1783"/>
      <c r="Y968" s="1783"/>
      <c r="Z968" s="1783"/>
      <c r="AA968" s="1783"/>
      <c r="AB968" s="1783"/>
      <c r="AC968" s="1783"/>
      <c r="AD968" s="1783"/>
      <c r="AE968" s="1783"/>
      <c r="AF968" s="1783"/>
      <c r="AG968" s="1783"/>
      <c r="AH968" s="1783"/>
      <c r="AI968" s="1783"/>
      <c r="AJ968" s="1783"/>
      <c r="AK968" s="1783"/>
      <c r="AL968" s="1783"/>
      <c r="AM968" s="1783"/>
      <c r="AN968" s="1783"/>
      <c r="AO968" s="1783"/>
      <c r="AP968" s="1783"/>
      <c r="AQ968" s="1783"/>
      <c r="AR968" s="1783"/>
      <c r="AS968" s="1783"/>
      <c r="AT968" s="1783"/>
      <c r="AU968" s="1783"/>
      <c r="AV968" s="1783"/>
      <c r="AW968" s="1783"/>
      <c r="AX968" s="1783"/>
      <c r="AY968" s="1783"/>
      <c r="AZ968" s="1783"/>
      <c r="BA968" s="1783"/>
      <c r="BB968" s="1783"/>
      <c r="BC968" s="1783"/>
      <c r="BD968" s="1783"/>
      <c r="BE968" s="1783"/>
      <c r="BF968" s="1783"/>
      <c r="BG968" s="1783"/>
      <c r="BH968" s="1783"/>
      <c r="BI968" s="1783"/>
    </row>
    <row r="969" spans="1:61">
      <c r="A969" s="1819"/>
      <c r="B969" s="1818"/>
      <c r="C969" s="1818"/>
      <c r="D969" s="1818"/>
      <c r="E969" s="1818"/>
      <c r="F969" s="1818"/>
      <c r="G969" s="1818"/>
      <c r="H969" s="1783"/>
      <c r="I969" s="1783"/>
      <c r="J969" s="1783"/>
      <c r="K969" s="1783"/>
      <c r="L969" s="1783"/>
      <c r="M969" s="1783"/>
      <c r="N969" s="1783"/>
      <c r="O969" s="1783"/>
      <c r="P969" s="1783"/>
      <c r="Q969" s="1783"/>
      <c r="R969" s="1783"/>
      <c r="S969" s="1783"/>
      <c r="T969" s="1783"/>
      <c r="U969" s="1783"/>
      <c r="V969" s="1783"/>
      <c r="W969" s="1783"/>
      <c r="X969" s="1783"/>
      <c r="Y969" s="1783"/>
      <c r="Z969" s="1783"/>
      <c r="AA969" s="1783"/>
      <c r="AB969" s="1783"/>
      <c r="AC969" s="1783"/>
      <c r="AD969" s="1783"/>
      <c r="AE969" s="1783"/>
      <c r="AF969" s="1783"/>
      <c r="AG969" s="1783"/>
      <c r="AH969" s="1783"/>
      <c r="AI969" s="1783"/>
      <c r="AJ969" s="1783"/>
      <c r="AK969" s="1783"/>
      <c r="AL969" s="1783"/>
      <c r="AM969" s="1783"/>
      <c r="AN969" s="1783"/>
      <c r="AO969" s="1783"/>
      <c r="AP969" s="1783"/>
      <c r="AQ969" s="1783"/>
      <c r="AR969" s="1783"/>
      <c r="AS969" s="1783"/>
      <c r="AT969" s="1783"/>
      <c r="AU969" s="1783"/>
      <c r="AV969" s="1783"/>
      <c r="AW969" s="1783"/>
      <c r="AX969" s="1783"/>
      <c r="AY969" s="1783"/>
      <c r="AZ969" s="1783"/>
      <c r="BA969" s="1783"/>
      <c r="BB969" s="1783"/>
      <c r="BC969" s="1783"/>
      <c r="BD969" s="1783"/>
      <c r="BE969" s="1783"/>
      <c r="BF969" s="1783"/>
      <c r="BG969" s="1783"/>
      <c r="BH969" s="1783"/>
      <c r="BI969" s="1783"/>
    </row>
    <row r="970" spans="1:61">
      <c r="A970" s="1819"/>
      <c r="B970" s="1818"/>
      <c r="C970" s="1818"/>
      <c r="D970" s="1818"/>
      <c r="E970" s="1818"/>
      <c r="F970" s="1818"/>
      <c r="G970" s="1818"/>
      <c r="H970" s="1783"/>
      <c r="I970" s="1783"/>
      <c r="J970" s="1783"/>
      <c r="K970" s="1783"/>
      <c r="L970" s="1783"/>
      <c r="M970" s="1783"/>
      <c r="N970" s="1783"/>
      <c r="O970" s="1783"/>
      <c r="P970" s="1783"/>
      <c r="Q970" s="1783"/>
      <c r="R970" s="1783"/>
      <c r="S970" s="1783"/>
      <c r="T970" s="1783"/>
      <c r="U970" s="1783"/>
      <c r="V970" s="1783"/>
      <c r="W970" s="1783"/>
      <c r="X970" s="1783"/>
      <c r="Y970" s="1783"/>
      <c r="Z970" s="1783"/>
      <c r="AA970" s="1783"/>
      <c r="AB970" s="1783"/>
      <c r="AC970" s="1783"/>
      <c r="AD970" s="1783"/>
      <c r="AE970" s="1783"/>
      <c r="AF970" s="1783"/>
      <c r="AG970" s="1783"/>
      <c r="AH970" s="1783"/>
      <c r="AI970" s="1783"/>
      <c r="AJ970" s="1783"/>
      <c r="AK970" s="1783"/>
      <c r="AL970" s="1783"/>
      <c r="AM970" s="1783"/>
      <c r="AN970" s="1783"/>
      <c r="AO970" s="1783"/>
      <c r="AP970" s="1783"/>
      <c r="AQ970" s="1783"/>
      <c r="AR970" s="1783"/>
      <c r="AS970" s="1783"/>
      <c r="AT970" s="1783"/>
      <c r="AU970" s="1783"/>
      <c r="AV970" s="1783"/>
      <c r="AW970" s="1783"/>
      <c r="AX970" s="1783"/>
      <c r="AY970" s="1783"/>
      <c r="AZ970" s="1783"/>
      <c r="BA970" s="1783"/>
      <c r="BB970" s="1783"/>
      <c r="BC970" s="1783"/>
      <c r="BD970" s="1783"/>
      <c r="BE970" s="1783"/>
      <c r="BF970" s="1783"/>
      <c r="BG970" s="1783"/>
      <c r="BH970" s="1783"/>
      <c r="BI970" s="1783"/>
    </row>
    <row r="971" spans="1:61">
      <c r="A971" s="1819"/>
      <c r="B971" s="1818"/>
      <c r="C971" s="1818"/>
      <c r="D971" s="1818"/>
      <c r="E971" s="1818"/>
      <c r="F971" s="1818"/>
      <c r="G971" s="1818"/>
      <c r="H971" s="1783"/>
      <c r="I971" s="1783"/>
      <c r="J971" s="1783"/>
      <c r="K971" s="1783"/>
      <c r="L971" s="1783"/>
      <c r="M971" s="1783"/>
      <c r="N971" s="1783"/>
      <c r="O971" s="1783"/>
      <c r="P971" s="1783"/>
      <c r="Q971" s="1783"/>
      <c r="R971" s="1783"/>
      <c r="S971" s="1783"/>
      <c r="T971" s="1783"/>
      <c r="U971" s="1783"/>
      <c r="V971" s="1783"/>
      <c r="W971" s="1783"/>
      <c r="X971" s="1783"/>
      <c r="Y971" s="1783"/>
      <c r="Z971" s="1783"/>
      <c r="AA971" s="1783"/>
      <c r="AB971" s="1783"/>
      <c r="AC971" s="1783"/>
      <c r="AD971" s="1783"/>
      <c r="AE971" s="1783"/>
      <c r="AF971" s="1783"/>
      <c r="AG971" s="1783"/>
      <c r="AH971" s="1783"/>
      <c r="AI971" s="1783"/>
      <c r="AJ971" s="1783"/>
      <c r="AK971" s="1783"/>
      <c r="AL971" s="1783"/>
      <c r="AM971" s="1783"/>
      <c r="AN971" s="1783"/>
      <c r="AO971" s="1783"/>
      <c r="AP971" s="1783"/>
      <c r="AQ971" s="1783"/>
      <c r="AR971" s="1783"/>
      <c r="AS971" s="1783"/>
      <c r="AT971" s="1783"/>
      <c r="AU971" s="1783"/>
      <c r="AV971" s="1783"/>
      <c r="AW971" s="1783"/>
      <c r="AX971" s="1783"/>
      <c r="AY971" s="1783"/>
      <c r="AZ971" s="1783"/>
      <c r="BA971" s="1783"/>
      <c r="BB971" s="1783"/>
      <c r="BC971" s="1783"/>
      <c r="BD971" s="1783"/>
      <c r="BE971" s="1783"/>
      <c r="BF971" s="1783"/>
      <c r="BG971" s="1783"/>
      <c r="BH971" s="1783"/>
      <c r="BI971" s="1783"/>
    </row>
    <row r="972" spans="1:61">
      <c r="A972" s="1819"/>
      <c r="B972" s="1818"/>
      <c r="C972" s="1818"/>
      <c r="D972" s="1818"/>
      <c r="E972" s="1818"/>
      <c r="F972" s="1818"/>
      <c r="G972" s="1818"/>
      <c r="H972" s="1783"/>
      <c r="I972" s="1783"/>
      <c r="J972" s="1783"/>
      <c r="K972" s="1783"/>
      <c r="L972" s="1783"/>
      <c r="M972" s="1783"/>
      <c r="N972" s="1783"/>
      <c r="O972" s="1783"/>
      <c r="P972" s="1783"/>
      <c r="Q972" s="1783"/>
      <c r="R972" s="1783"/>
      <c r="S972" s="1783"/>
      <c r="T972" s="1783"/>
      <c r="U972" s="1783"/>
      <c r="V972" s="1783"/>
      <c r="W972" s="1783"/>
      <c r="X972" s="1783"/>
      <c r="Y972" s="1783"/>
      <c r="Z972" s="1783"/>
      <c r="AA972" s="1783"/>
      <c r="AB972" s="1783"/>
      <c r="AC972" s="1783"/>
      <c r="AD972" s="1783"/>
      <c r="AE972" s="1783"/>
      <c r="AF972" s="1783"/>
      <c r="AG972" s="1783"/>
      <c r="AH972" s="1783"/>
      <c r="AI972" s="1783"/>
      <c r="AJ972" s="1783"/>
      <c r="AK972" s="1783"/>
      <c r="AL972" s="1783"/>
      <c r="AM972" s="1783"/>
      <c r="AN972" s="1783"/>
      <c r="AO972" s="1783"/>
      <c r="AP972" s="1783"/>
      <c r="AQ972" s="1783"/>
      <c r="AR972" s="1783"/>
      <c r="AS972" s="1783"/>
      <c r="AT972" s="1783"/>
      <c r="AU972" s="1783"/>
      <c r="AV972" s="1783"/>
      <c r="AW972" s="1783"/>
      <c r="AX972" s="1783"/>
      <c r="AY972" s="1783"/>
      <c r="AZ972" s="1783"/>
      <c r="BA972" s="1783"/>
      <c r="BB972" s="1783"/>
      <c r="BC972" s="1783"/>
      <c r="BD972" s="1783"/>
      <c r="BE972" s="1783"/>
      <c r="BF972" s="1783"/>
      <c r="BG972" s="1783"/>
      <c r="BH972" s="1783"/>
      <c r="BI972" s="1783"/>
    </row>
    <row r="973" spans="1:61">
      <c r="A973" s="1819"/>
      <c r="B973" s="1818"/>
      <c r="C973" s="1818"/>
      <c r="D973" s="1818"/>
      <c r="E973" s="1818"/>
      <c r="F973" s="1818"/>
      <c r="G973" s="1818"/>
      <c r="H973" s="1783"/>
      <c r="I973" s="1783"/>
      <c r="J973" s="1783"/>
      <c r="K973" s="1783"/>
      <c r="L973" s="1783"/>
      <c r="M973" s="1783"/>
      <c r="N973" s="1783"/>
      <c r="O973" s="1783"/>
      <c r="P973" s="1783"/>
      <c r="Q973" s="1783"/>
      <c r="R973" s="1783"/>
      <c r="S973" s="1783"/>
      <c r="T973" s="1783"/>
      <c r="U973" s="1783"/>
      <c r="V973" s="1783"/>
      <c r="W973" s="1783"/>
      <c r="X973" s="1783"/>
      <c r="Y973" s="1783"/>
      <c r="Z973" s="1783"/>
      <c r="AA973" s="1783"/>
      <c r="AB973" s="1783"/>
      <c r="AC973" s="1783"/>
      <c r="AD973" s="1783"/>
      <c r="AE973" s="1783"/>
      <c r="AF973" s="1783"/>
      <c r="AG973" s="1783"/>
      <c r="AH973" s="1783"/>
      <c r="AI973" s="1783"/>
      <c r="AJ973" s="1783"/>
      <c r="AK973" s="1783"/>
      <c r="AL973" s="1783"/>
      <c r="AM973" s="1783"/>
      <c r="AN973" s="1783"/>
      <c r="AO973" s="1783"/>
      <c r="AP973" s="1783"/>
      <c r="AQ973" s="1783"/>
      <c r="AR973" s="1783"/>
      <c r="AS973" s="1783"/>
      <c r="AT973" s="1783"/>
      <c r="AU973" s="1783"/>
      <c r="AV973" s="1783"/>
      <c r="AW973" s="1783"/>
      <c r="AX973" s="1783"/>
      <c r="AY973" s="1783"/>
      <c r="AZ973" s="1783"/>
      <c r="BA973" s="1783"/>
      <c r="BB973" s="1783"/>
      <c r="BC973" s="1783"/>
      <c r="BD973" s="1783"/>
      <c r="BE973" s="1783"/>
      <c r="BF973" s="1783"/>
      <c r="BG973" s="1783"/>
      <c r="BH973" s="1783"/>
      <c r="BI973" s="1783"/>
    </row>
    <row r="974" spans="1:61">
      <c r="A974" s="1819"/>
      <c r="B974" s="1818"/>
      <c r="C974" s="1818"/>
      <c r="D974" s="1818"/>
      <c r="E974" s="1818"/>
      <c r="F974" s="1818"/>
      <c r="G974" s="1818"/>
      <c r="H974" s="1783"/>
      <c r="I974" s="1783"/>
      <c r="J974" s="1783"/>
      <c r="K974" s="1783"/>
      <c r="L974" s="1783"/>
      <c r="M974" s="1783"/>
      <c r="N974" s="1783"/>
      <c r="O974" s="1783"/>
      <c r="P974" s="1783"/>
      <c r="Q974" s="1783"/>
      <c r="R974" s="1783"/>
      <c r="S974" s="1783"/>
      <c r="T974" s="1783"/>
      <c r="U974" s="1783"/>
      <c r="V974" s="1783"/>
      <c r="W974" s="1783"/>
      <c r="X974" s="1783"/>
      <c r="Y974" s="1783"/>
      <c r="Z974" s="1783"/>
      <c r="AA974" s="1783"/>
      <c r="AB974" s="1783"/>
      <c r="AC974" s="1783"/>
      <c r="AD974" s="1783"/>
      <c r="AE974" s="1783"/>
      <c r="AF974" s="1783"/>
      <c r="AG974" s="1783"/>
      <c r="AH974" s="1783"/>
      <c r="AI974" s="1783"/>
      <c r="AJ974" s="1783"/>
      <c r="AK974" s="1783"/>
      <c r="AL974" s="1783"/>
      <c r="AM974" s="1783"/>
      <c r="AN974" s="1783"/>
      <c r="AO974" s="1783"/>
      <c r="AP974" s="1783"/>
      <c r="AQ974" s="1783"/>
      <c r="AR974" s="1783"/>
      <c r="AS974" s="1783"/>
      <c r="AT974" s="1783"/>
      <c r="AU974" s="1783"/>
      <c r="AV974" s="1783"/>
      <c r="AW974" s="1783"/>
      <c r="AX974" s="1783"/>
      <c r="AY974" s="1783"/>
      <c r="AZ974" s="1783"/>
      <c r="BA974" s="1783"/>
      <c r="BB974" s="1783"/>
      <c r="BC974" s="1783"/>
      <c r="BD974" s="1783"/>
      <c r="BE974" s="1783"/>
      <c r="BF974" s="1783"/>
      <c r="BG974" s="1783"/>
      <c r="BH974" s="1783"/>
      <c r="BI974" s="1783"/>
    </row>
    <row r="975" spans="1:61">
      <c r="A975" s="1819"/>
      <c r="B975" s="1818"/>
      <c r="C975" s="1818"/>
      <c r="D975" s="1818"/>
      <c r="E975" s="1818"/>
      <c r="F975" s="1818"/>
      <c r="G975" s="1818"/>
      <c r="H975" s="1783"/>
      <c r="I975" s="1783"/>
      <c r="J975" s="1783"/>
      <c r="K975" s="1783"/>
      <c r="L975" s="1783"/>
      <c r="M975" s="1783"/>
      <c r="N975" s="1783"/>
      <c r="O975" s="1783"/>
      <c r="P975" s="1783"/>
      <c r="Q975" s="1783"/>
      <c r="R975" s="1783"/>
      <c r="S975" s="1783"/>
      <c r="T975" s="1783"/>
      <c r="U975" s="1783"/>
      <c r="V975" s="1783"/>
      <c r="W975" s="1783"/>
      <c r="X975" s="1783"/>
      <c r="Y975" s="1783"/>
      <c r="Z975" s="1783"/>
      <c r="AA975" s="1783"/>
      <c r="AB975" s="1783"/>
      <c r="AC975" s="1783"/>
      <c r="AD975" s="1783"/>
      <c r="AE975" s="1783"/>
      <c r="AF975" s="1783"/>
      <c r="AG975" s="1783"/>
      <c r="AH975" s="1783"/>
      <c r="AI975" s="1783"/>
      <c r="AJ975" s="1783"/>
      <c r="AK975" s="1783"/>
      <c r="AL975" s="1783"/>
      <c r="AM975" s="1783"/>
      <c r="AN975" s="1783"/>
      <c r="AO975" s="1783"/>
      <c r="AP975" s="1783"/>
      <c r="AQ975" s="1783"/>
      <c r="AR975" s="1783"/>
      <c r="AS975" s="1783"/>
      <c r="AT975" s="1783"/>
      <c r="AU975" s="1783"/>
      <c r="AV975" s="1783"/>
      <c r="AW975" s="1783"/>
      <c r="AX975" s="1783"/>
      <c r="AY975" s="1783"/>
      <c r="AZ975" s="1783"/>
      <c r="BA975" s="1783"/>
      <c r="BB975" s="1783"/>
      <c r="BC975" s="1783"/>
      <c r="BD975" s="1783"/>
      <c r="BE975" s="1783"/>
      <c r="BF975" s="1783"/>
      <c r="BG975" s="1783"/>
      <c r="BH975" s="1783"/>
      <c r="BI975" s="1783"/>
    </row>
    <row r="976" spans="1:61">
      <c r="A976" s="1819"/>
      <c r="B976" s="1818"/>
      <c r="C976" s="1818"/>
      <c r="D976" s="1818"/>
      <c r="E976" s="1818"/>
      <c r="F976" s="1818"/>
      <c r="G976" s="1818"/>
      <c r="H976" s="1783"/>
      <c r="I976" s="1783"/>
      <c r="J976" s="1783"/>
      <c r="K976" s="1783"/>
      <c r="L976" s="1783"/>
      <c r="M976" s="1783"/>
      <c r="N976" s="1783"/>
      <c r="O976" s="1783"/>
      <c r="P976" s="1783"/>
      <c r="Q976" s="1783"/>
      <c r="R976" s="1783"/>
      <c r="S976" s="1783"/>
      <c r="T976" s="1783"/>
      <c r="U976" s="1783"/>
      <c r="V976" s="1783"/>
      <c r="W976" s="1783"/>
      <c r="X976" s="1783"/>
      <c r="Y976" s="1783"/>
      <c r="Z976" s="1783"/>
      <c r="AA976" s="1783"/>
      <c r="AB976" s="1783"/>
      <c r="AC976" s="1783"/>
      <c r="AD976" s="1783"/>
      <c r="AE976" s="1783"/>
      <c r="AF976" s="1783"/>
      <c r="AG976" s="1783"/>
      <c r="AH976" s="1783"/>
      <c r="AI976" s="1783"/>
      <c r="AJ976" s="1783"/>
      <c r="AK976" s="1783"/>
      <c r="AL976" s="1783"/>
      <c r="AM976" s="1783"/>
      <c r="AN976" s="1783"/>
      <c r="AO976" s="1783"/>
      <c r="AP976" s="1783"/>
      <c r="AQ976" s="1783"/>
      <c r="AR976" s="1783"/>
      <c r="AS976" s="1783"/>
      <c r="AT976" s="1783"/>
      <c r="AU976" s="1783"/>
      <c r="AV976" s="1783"/>
      <c r="AW976" s="1783"/>
      <c r="AX976" s="1783"/>
      <c r="AY976" s="1783"/>
      <c r="AZ976" s="1783"/>
      <c r="BA976" s="1783"/>
      <c r="BB976" s="1783"/>
      <c r="BC976" s="1783"/>
      <c r="BD976" s="1783"/>
      <c r="BE976" s="1783"/>
      <c r="BF976" s="1783"/>
      <c r="BG976" s="1783"/>
      <c r="BH976" s="1783"/>
      <c r="BI976" s="1783"/>
    </row>
    <row r="977" spans="1:61">
      <c r="A977" s="1819"/>
      <c r="B977" s="1818"/>
      <c r="C977" s="1818"/>
      <c r="D977" s="1818"/>
      <c r="E977" s="1818"/>
      <c r="F977" s="1818"/>
      <c r="G977" s="1818"/>
      <c r="H977" s="1783"/>
      <c r="I977" s="1783"/>
      <c r="J977" s="1783"/>
      <c r="K977" s="1783"/>
      <c r="L977" s="1783"/>
      <c r="M977" s="1783"/>
      <c r="N977" s="1783"/>
      <c r="O977" s="1783"/>
      <c r="P977" s="1783"/>
      <c r="Q977" s="1783"/>
      <c r="R977" s="1783"/>
      <c r="S977" s="1783"/>
      <c r="T977" s="1783"/>
      <c r="U977" s="1783"/>
      <c r="V977" s="1783"/>
      <c r="W977" s="1783"/>
      <c r="X977" s="1783"/>
      <c r="Y977" s="1783"/>
      <c r="Z977" s="1783"/>
      <c r="AA977" s="1783"/>
      <c r="AB977" s="1783"/>
      <c r="AC977" s="1783"/>
      <c r="AD977" s="1783"/>
      <c r="AE977" s="1783"/>
      <c r="AF977" s="1783"/>
      <c r="AG977" s="1783"/>
      <c r="AH977" s="1783"/>
      <c r="AI977" s="1783"/>
      <c r="AJ977" s="1783"/>
      <c r="AK977" s="1783"/>
      <c r="AL977" s="1783"/>
      <c r="AM977" s="1783"/>
      <c r="AN977" s="1783"/>
      <c r="AO977" s="1783"/>
      <c r="AP977" s="1783"/>
      <c r="AQ977" s="1783"/>
      <c r="AR977" s="1783"/>
      <c r="AS977" s="1783"/>
      <c r="AT977" s="1783"/>
      <c r="AU977" s="1783"/>
      <c r="AV977" s="1783"/>
      <c r="AW977" s="1783"/>
      <c r="AX977" s="1783"/>
      <c r="AY977" s="1783"/>
      <c r="AZ977" s="1783"/>
      <c r="BA977" s="1783"/>
      <c r="BB977" s="1783"/>
      <c r="BC977" s="1783"/>
      <c r="BD977" s="1783"/>
      <c r="BE977" s="1783"/>
      <c r="BF977" s="1783"/>
      <c r="BG977" s="1783"/>
      <c r="BH977" s="1783"/>
      <c r="BI977" s="1783"/>
    </row>
    <row r="978" spans="1:61">
      <c r="A978" s="1819"/>
      <c r="B978" s="1818"/>
      <c r="C978" s="1818"/>
      <c r="D978" s="1818"/>
      <c r="E978" s="1818"/>
      <c r="F978" s="1818"/>
      <c r="G978" s="1818"/>
      <c r="H978" s="1783"/>
      <c r="I978" s="1783"/>
      <c r="J978" s="1783"/>
      <c r="K978" s="1783"/>
      <c r="L978" s="1783"/>
      <c r="M978" s="1783"/>
      <c r="N978" s="1783"/>
      <c r="O978" s="1783"/>
      <c r="P978" s="1783"/>
      <c r="Q978" s="1783"/>
      <c r="R978" s="1783"/>
      <c r="S978" s="1783"/>
      <c r="T978" s="1783"/>
      <c r="U978" s="1783"/>
      <c r="V978" s="1783"/>
      <c r="W978" s="1783"/>
      <c r="X978" s="1783"/>
      <c r="Y978" s="1783"/>
      <c r="Z978" s="1783"/>
      <c r="AA978" s="1783"/>
      <c r="AB978" s="1783"/>
      <c r="AC978" s="1783"/>
      <c r="AD978" s="1783"/>
      <c r="AE978" s="1783"/>
      <c r="AF978" s="1783"/>
      <c r="AG978" s="1783"/>
      <c r="AH978" s="1783"/>
      <c r="AI978" s="1783"/>
      <c r="AJ978" s="1783"/>
      <c r="AK978" s="1783"/>
      <c r="AL978" s="1783"/>
      <c r="AM978" s="1783"/>
      <c r="AN978" s="1783"/>
      <c r="AO978" s="1783"/>
      <c r="AP978" s="1783"/>
      <c r="AQ978" s="1783"/>
      <c r="AR978" s="1783"/>
      <c r="AS978" s="1783"/>
      <c r="AT978" s="1783"/>
      <c r="AU978" s="1783"/>
      <c r="AV978" s="1783"/>
      <c r="AW978" s="1783"/>
      <c r="AX978" s="1783"/>
      <c r="AY978" s="1783"/>
      <c r="AZ978" s="1783"/>
      <c r="BA978" s="1783"/>
      <c r="BB978" s="1783"/>
      <c r="BC978" s="1783"/>
      <c r="BD978" s="1783"/>
      <c r="BE978" s="1783"/>
      <c r="BF978" s="1783"/>
      <c r="BG978" s="1783"/>
      <c r="BH978" s="1783"/>
      <c r="BI978" s="1783"/>
    </row>
    <row r="979" spans="1:61">
      <c r="A979" s="1819"/>
      <c r="B979" s="1818"/>
      <c r="C979" s="1818"/>
      <c r="D979" s="1818"/>
      <c r="E979" s="1818"/>
      <c r="F979" s="1818"/>
      <c r="G979" s="1818"/>
      <c r="H979" s="1783"/>
      <c r="I979" s="1783"/>
      <c r="J979" s="1783"/>
      <c r="K979" s="1783"/>
      <c r="L979" s="1783"/>
      <c r="M979" s="1783"/>
      <c r="N979" s="1783"/>
      <c r="O979" s="1783"/>
      <c r="P979" s="1783"/>
      <c r="Q979" s="1783"/>
      <c r="R979" s="1783"/>
      <c r="S979" s="1783"/>
      <c r="T979" s="1783"/>
      <c r="U979" s="1783"/>
      <c r="V979" s="1783"/>
      <c r="W979" s="1783"/>
      <c r="X979" s="1783"/>
      <c r="Y979" s="1783"/>
      <c r="Z979" s="1783"/>
      <c r="AA979" s="1783"/>
      <c r="AB979" s="1783"/>
      <c r="AC979" s="1783"/>
      <c r="AD979" s="1783"/>
      <c r="AE979" s="1783"/>
      <c r="AF979" s="1783"/>
      <c r="AG979" s="1783"/>
      <c r="AH979" s="1783"/>
      <c r="AI979" s="1783"/>
      <c r="AJ979" s="1783"/>
      <c r="AK979" s="1783"/>
      <c r="AL979" s="1783"/>
      <c r="AM979" s="1783"/>
      <c r="AN979" s="1783"/>
      <c r="AO979" s="1783"/>
      <c r="AP979" s="1783"/>
      <c r="AQ979" s="1783"/>
      <c r="AR979" s="1783"/>
      <c r="AS979" s="1783"/>
      <c r="AT979" s="1783"/>
      <c r="AU979" s="1783"/>
      <c r="AV979" s="1783"/>
      <c r="AW979" s="1783"/>
      <c r="AX979" s="1783"/>
      <c r="AY979" s="1783"/>
      <c r="AZ979" s="1783"/>
      <c r="BA979" s="1783"/>
      <c r="BB979" s="1783"/>
      <c r="BC979" s="1783"/>
      <c r="BD979" s="1783"/>
      <c r="BE979" s="1783"/>
      <c r="BF979" s="1783"/>
      <c r="BG979" s="1783"/>
      <c r="BH979" s="1783"/>
      <c r="BI979" s="1783"/>
    </row>
    <row r="980" spans="1:61">
      <c r="A980" s="1819"/>
      <c r="B980" s="1818"/>
      <c r="C980" s="1818"/>
      <c r="D980" s="1818"/>
      <c r="E980" s="1818"/>
      <c r="F980" s="1818"/>
      <c r="G980" s="1818"/>
      <c r="H980" s="1783"/>
      <c r="I980" s="1783"/>
      <c r="J980" s="1783"/>
      <c r="K980" s="1783"/>
      <c r="L980" s="1783"/>
      <c r="M980" s="1783"/>
      <c r="N980" s="1783"/>
      <c r="O980" s="1783"/>
      <c r="P980" s="1783"/>
      <c r="Q980" s="1783"/>
      <c r="R980" s="1783"/>
      <c r="S980" s="1783"/>
      <c r="T980" s="1783"/>
      <c r="U980" s="1783"/>
      <c r="V980" s="1783"/>
      <c r="W980" s="1783"/>
      <c r="X980" s="1783"/>
      <c r="Y980" s="1783"/>
      <c r="Z980" s="1783"/>
      <c r="AA980" s="1783"/>
      <c r="AB980" s="1783"/>
      <c r="AC980" s="1783"/>
      <c r="AD980" s="1783"/>
      <c r="AE980" s="1783"/>
      <c r="AF980" s="1783"/>
      <c r="AG980" s="1783"/>
      <c r="AH980" s="1783"/>
      <c r="AI980" s="1783"/>
      <c r="AJ980" s="1783"/>
      <c r="AK980" s="1783"/>
      <c r="AL980" s="1783"/>
      <c r="AM980" s="1783"/>
      <c r="AN980" s="1783"/>
      <c r="AO980" s="1783"/>
      <c r="AP980" s="1783"/>
      <c r="AQ980" s="1783"/>
      <c r="AR980" s="1783"/>
      <c r="AS980" s="1783"/>
      <c r="AT980" s="1783"/>
      <c r="AU980" s="1783"/>
      <c r="AV980" s="1783"/>
      <c r="AW980" s="1783"/>
      <c r="AX980" s="1783"/>
      <c r="AY980" s="1783"/>
      <c r="AZ980" s="1783"/>
      <c r="BA980" s="1783"/>
      <c r="BB980" s="1783"/>
      <c r="BC980" s="1783"/>
      <c r="BD980" s="1783"/>
      <c r="BE980" s="1783"/>
      <c r="BF980" s="1783"/>
      <c r="BG980" s="1783"/>
      <c r="BH980" s="1783"/>
      <c r="BI980" s="1783"/>
    </row>
    <row r="981" spans="1:61">
      <c r="A981" s="1819"/>
      <c r="B981" s="1818"/>
      <c r="C981" s="1818"/>
      <c r="D981" s="1818"/>
      <c r="E981" s="1818"/>
      <c r="F981" s="1818"/>
      <c r="G981" s="1818"/>
      <c r="H981" s="1783"/>
      <c r="I981" s="1783"/>
      <c r="J981" s="1783"/>
      <c r="K981" s="1783"/>
      <c r="L981" s="1783"/>
      <c r="M981" s="1783"/>
      <c r="N981" s="1783"/>
      <c r="O981" s="1783"/>
      <c r="P981" s="1783"/>
      <c r="Q981" s="1783"/>
      <c r="R981" s="1783"/>
      <c r="S981" s="1783"/>
      <c r="T981" s="1783"/>
      <c r="U981" s="1783"/>
      <c r="V981" s="1783"/>
      <c r="W981" s="1783"/>
      <c r="X981" s="1783"/>
      <c r="Y981" s="1783"/>
      <c r="Z981" s="1783"/>
      <c r="AA981" s="1783"/>
      <c r="AB981" s="1783"/>
      <c r="AC981" s="1783"/>
      <c r="AD981" s="1783"/>
      <c r="AE981" s="1783"/>
      <c r="AF981" s="1783"/>
      <c r="AG981" s="1783"/>
      <c r="AH981" s="1783"/>
      <c r="AI981" s="1783"/>
      <c r="AJ981" s="1783"/>
      <c r="AK981" s="1783"/>
      <c r="AL981" s="1783"/>
      <c r="AM981" s="1783"/>
      <c r="AN981" s="1783"/>
      <c r="AO981" s="1783"/>
      <c r="AP981" s="1783"/>
      <c r="AQ981" s="1783"/>
      <c r="AR981" s="1783"/>
      <c r="AS981" s="1783"/>
      <c r="AT981" s="1783"/>
      <c r="AU981" s="1783"/>
      <c r="AV981" s="1783"/>
      <c r="AW981" s="1783"/>
      <c r="AX981" s="1783"/>
      <c r="AY981" s="1783"/>
      <c r="AZ981" s="1783"/>
      <c r="BA981" s="1783"/>
      <c r="BB981" s="1783"/>
      <c r="BC981" s="1783"/>
      <c r="BD981" s="1783"/>
      <c r="BE981" s="1783"/>
      <c r="BF981" s="1783"/>
      <c r="BG981" s="1783"/>
      <c r="BH981" s="1783"/>
      <c r="BI981" s="1783"/>
    </row>
    <row r="982" spans="1:61">
      <c r="A982" s="1819"/>
      <c r="B982" s="1818"/>
      <c r="C982" s="1818"/>
      <c r="D982" s="1818"/>
      <c r="E982" s="1818"/>
      <c r="F982" s="1818"/>
      <c r="G982" s="1818"/>
      <c r="H982" s="1783"/>
      <c r="I982" s="1783"/>
      <c r="J982" s="1783"/>
      <c r="K982" s="1783"/>
      <c r="L982" s="1783"/>
      <c r="M982" s="1783"/>
      <c r="N982" s="1783"/>
      <c r="O982" s="1783"/>
      <c r="P982" s="1783"/>
      <c r="Q982" s="1783"/>
      <c r="R982" s="1783"/>
      <c r="S982" s="1783"/>
      <c r="T982" s="1783"/>
      <c r="U982" s="1783"/>
      <c r="V982" s="1783"/>
      <c r="W982" s="1783"/>
      <c r="X982" s="1783"/>
      <c r="Y982" s="1783"/>
      <c r="Z982" s="1783"/>
      <c r="AA982" s="1783"/>
      <c r="AB982" s="1783"/>
      <c r="AC982" s="1783"/>
      <c r="AD982" s="1783"/>
      <c r="AE982" s="1783"/>
      <c r="AF982" s="1783"/>
      <c r="AG982" s="1783"/>
      <c r="AH982" s="1783"/>
      <c r="AI982" s="1783"/>
      <c r="AJ982" s="1783"/>
      <c r="AK982" s="1783"/>
      <c r="AL982" s="1783"/>
      <c r="AM982" s="1783"/>
      <c r="AN982" s="1783"/>
      <c r="AO982" s="1783"/>
      <c r="AP982" s="1783"/>
      <c r="AQ982" s="1783"/>
      <c r="AR982" s="1783"/>
      <c r="AS982" s="1783"/>
      <c r="AT982" s="1783"/>
      <c r="AU982" s="1783"/>
      <c r="AV982" s="1783"/>
      <c r="AW982" s="1783"/>
      <c r="AX982" s="1783"/>
      <c r="AY982" s="1783"/>
      <c r="AZ982" s="1783"/>
      <c r="BA982" s="1783"/>
      <c r="BB982" s="1783"/>
      <c r="BC982" s="1783"/>
      <c r="BD982" s="1783"/>
      <c r="BE982" s="1783"/>
      <c r="BF982" s="1783"/>
      <c r="BG982" s="1783"/>
      <c r="BH982" s="1783"/>
      <c r="BI982" s="1783"/>
    </row>
    <row r="983" spans="1:61">
      <c r="A983" s="1819"/>
      <c r="B983" s="1818"/>
      <c r="C983" s="1818"/>
      <c r="D983" s="1818"/>
      <c r="E983" s="1818"/>
      <c r="F983" s="1818"/>
      <c r="G983" s="1818"/>
      <c r="H983" s="1783"/>
      <c r="I983" s="1783"/>
      <c r="J983" s="1783"/>
      <c r="K983" s="1783"/>
      <c r="L983" s="1783"/>
      <c r="M983" s="1783"/>
      <c r="N983" s="1783"/>
      <c r="O983" s="1783"/>
      <c r="P983" s="1783"/>
      <c r="Q983" s="1783"/>
      <c r="R983" s="1783"/>
      <c r="S983" s="1783"/>
      <c r="T983" s="1783"/>
      <c r="U983" s="1783"/>
      <c r="V983" s="1783"/>
      <c r="W983" s="1783"/>
      <c r="X983" s="1783"/>
      <c r="Y983" s="1783"/>
      <c r="Z983" s="1783"/>
      <c r="AA983" s="1783"/>
      <c r="AB983" s="1783"/>
      <c r="AC983" s="1783"/>
      <c r="AD983" s="1783"/>
      <c r="AE983" s="1783"/>
      <c r="AF983" s="1783"/>
      <c r="AG983" s="1783"/>
      <c r="AH983" s="1783"/>
      <c r="AI983" s="1783"/>
      <c r="AJ983" s="1783"/>
      <c r="AK983" s="1783"/>
      <c r="AL983" s="1783"/>
      <c r="AM983" s="1783"/>
      <c r="AN983" s="1783"/>
      <c r="AO983" s="1783"/>
      <c r="AP983" s="1783"/>
      <c r="AQ983" s="1783"/>
      <c r="AR983" s="1783"/>
      <c r="AS983" s="1783"/>
      <c r="AT983" s="1783"/>
      <c r="AU983" s="1783"/>
      <c r="AV983" s="1783"/>
      <c r="AW983" s="1783"/>
      <c r="AX983" s="1783"/>
      <c r="AY983" s="1783"/>
      <c r="AZ983" s="1783"/>
      <c r="BA983" s="1783"/>
      <c r="BB983" s="1783"/>
      <c r="BC983" s="1783"/>
      <c r="BD983" s="1783"/>
      <c r="BE983" s="1783"/>
      <c r="BF983" s="1783"/>
      <c r="BG983" s="1783"/>
      <c r="BH983" s="1783"/>
      <c r="BI983" s="1783"/>
    </row>
    <row r="984" spans="1:61">
      <c r="A984" s="1819"/>
      <c r="B984" s="1818"/>
      <c r="C984" s="1818"/>
      <c r="D984" s="1818"/>
      <c r="E984" s="1818"/>
      <c r="F984" s="1818"/>
      <c r="G984" s="1818"/>
      <c r="H984" s="1783"/>
      <c r="I984" s="1783"/>
      <c r="J984" s="1783"/>
      <c r="K984" s="1783"/>
      <c r="L984" s="1783"/>
      <c r="M984" s="1783"/>
      <c r="N984" s="1783"/>
      <c r="O984" s="1783"/>
      <c r="P984" s="1783"/>
      <c r="Q984" s="1783"/>
      <c r="R984" s="1783"/>
      <c r="S984" s="1783"/>
      <c r="T984" s="1783"/>
      <c r="U984" s="1783"/>
      <c r="V984" s="1783"/>
      <c r="W984" s="1783"/>
      <c r="X984" s="1783"/>
      <c r="Y984" s="1783"/>
      <c r="Z984" s="1783"/>
      <c r="AA984" s="1783"/>
      <c r="AB984" s="1783"/>
      <c r="AC984" s="1783"/>
      <c r="AD984" s="1783"/>
      <c r="AE984" s="1783"/>
      <c r="AF984" s="1783"/>
      <c r="AG984" s="1783"/>
      <c r="AH984" s="1783"/>
      <c r="AI984" s="1783"/>
      <c r="AJ984" s="1783"/>
      <c r="AK984" s="1783"/>
      <c r="AL984" s="1783"/>
      <c r="AM984" s="1783"/>
      <c r="AN984" s="1783"/>
      <c r="AO984" s="1783"/>
      <c r="AP984" s="1783"/>
      <c r="AQ984" s="1783"/>
      <c r="AR984" s="1783"/>
      <c r="AS984" s="1783"/>
      <c r="AT984" s="1783"/>
      <c r="AU984" s="1783"/>
      <c r="AV984" s="1783"/>
      <c r="AW984" s="1783"/>
      <c r="AX984" s="1783"/>
      <c r="AY984" s="1783"/>
      <c r="AZ984" s="1783"/>
      <c r="BA984" s="1783"/>
      <c r="BB984" s="1783"/>
      <c r="BC984" s="1783"/>
      <c r="BD984" s="1783"/>
      <c r="BE984" s="1783"/>
      <c r="BF984" s="1783"/>
      <c r="BG984" s="1783"/>
      <c r="BH984" s="1783"/>
      <c r="BI984" s="1783"/>
    </row>
    <row r="985" spans="1:61">
      <c r="A985" s="1819"/>
      <c r="B985" s="1818"/>
      <c r="C985" s="1818"/>
      <c r="D985" s="1818"/>
      <c r="E985" s="1818"/>
      <c r="F985" s="1818"/>
      <c r="G985" s="1818"/>
      <c r="H985" s="1783"/>
      <c r="I985" s="1783"/>
      <c r="J985" s="1783"/>
      <c r="K985" s="1783"/>
      <c r="L985" s="1783"/>
      <c r="M985" s="1783"/>
      <c r="N985" s="1783"/>
      <c r="O985" s="1783"/>
      <c r="P985" s="1783"/>
      <c r="Q985" s="1783"/>
      <c r="R985" s="1783"/>
      <c r="S985" s="1783"/>
      <c r="T985" s="1783"/>
      <c r="U985" s="1783"/>
      <c r="V985" s="1783"/>
      <c r="W985" s="1783"/>
      <c r="X985" s="1783"/>
      <c r="Y985" s="1783"/>
      <c r="Z985" s="1783"/>
      <c r="AA985" s="1783"/>
      <c r="AB985" s="1783"/>
      <c r="AC985" s="1783"/>
      <c r="AD985" s="1783"/>
      <c r="AE985" s="1783"/>
      <c r="AF985" s="1783"/>
      <c r="AG985" s="1783"/>
      <c r="AH985" s="1783"/>
      <c r="AI985" s="1783"/>
      <c r="AJ985" s="1783"/>
      <c r="AK985" s="1783"/>
      <c r="AL985" s="1783"/>
      <c r="AM985" s="1783"/>
      <c r="AN985" s="1783"/>
      <c r="AO985" s="1783"/>
      <c r="AP985" s="1783"/>
      <c r="AQ985" s="1783"/>
      <c r="AR985" s="1783"/>
      <c r="AS985" s="1783"/>
      <c r="AT985" s="1783"/>
      <c r="AU985" s="1783"/>
      <c r="AV985" s="1783"/>
      <c r="AW985" s="1783"/>
      <c r="AX985" s="1783"/>
      <c r="AY985" s="1783"/>
      <c r="AZ985" s="1783"/>
      <c r="BA985" s="1783"/>
      <c r="BB985" s="1783"/>
      <c r="BC985" s="1783"/>
      <c r="BD985" s="1783"/>
      <c r="BE985" s="1783"/>
      <c r="BF985" s="1783"/>
      <c r="BG985" s="1783"/>
      <c r="BH985" s="1783"/>
      <c r="BI985" s="1783"/>
    </row>
    <row r="986" spans="1:61">
      <c r="A986" s="1819"/>
      <c r="B986" s="1818"/>
      <c r="C986" s="1818"/>
      <c r="D986" s="1818"/>
      <c r="E986" s="1818"/>
      <c r="F986" s="1818"/>
      <c r="G986" s="1818"/>
      <c r="H986" s="1783"/>
      <c r="I986" s="1783"/>
      <c r="J986" s="1783"/>
      <c r="K986" s="1783"/>
      <c r="L986" s="1783"/>
      <c r="M986" s="1783"/>
      <c r="N986" s="1783"/>
      <c r="O986" s="1783"/>
      <c r="P986" s="1783"/>
      <c r="Q986" s="1783"/>
      <c r="R986" s="1783"/>
      <c r="S986" s="1783"/>
      <c r="T986" s="1783"/>
      <c r="U986" s="1783"/>
      <c r="V986" s="1783"/>
      <c r="W986" s="1783"/>
      <c r="X986" s="1783"/>
      <c r="Y986" s="1783"/>
      <c r="Z986" s="1783"/>
      <c r="AA986" s="1783"/>
      <c r="AB986" s="1783"/>
      <c r="AC986" s="1783"/>
      <c r="AD986" s="1783"/>
      <c r="AE986" s="1783"/>
      <c r="AF986" s="1783"/>
      <c r="AG986" s="1783"/>
      <c r="AH986" s="1783"/>
      <c r="AI986" s="1783"/>
      <c r="AJ986" s="1783"/>
      <c r="AK986" s="1783"/>
      <c r="AL986" s="1783"/>
      <c r="AM986" s="1783"/>
      <c r="AN986" s="1783"/>
      <c r="AO986" s="1783"/>
      <c r="AP986" s="1783"/>
      <c r="AQ986" s="1783"/>
      <c r="AR986" s="1783"/>
      <c r="AS986" s="1783"/>
      <c r="AT986" s="1783"/>
      <c r="AU986" s="1783"/>
      <c r="AV986" s="1783"/>
      <c r="AW986" s="1783"/>
      <c r="AX986" s="1783"/>
      <c r="AY986" s="1783"/>
      <c r="AZ986" s="1783"/>
      <c r="BA986" s="1783"/>
      <c r="BB986" s="1783"/>
      <c r="BC986" s="1783"/>
      <c r="BD986" s="1783"/>
      <c r="BE986" s="1783"/>
      <c r="BF986" s="1783"/>
      <c r="BG986" s="1783"/>
      <c r="BH986" s="1783"/>
      <c r="BI986" s="1783"/>
    </row>
    <row r="987" spans="1:61">
      <c r="A987" s="1819"/>
      <c r="B987" s="1818"/>
      <c r="C987" s="1818"/>
      <c r="D987" s="1818"/>
      <c r="E987" s="1818"/>
      <c r="F987" s="1818"/>
      <c r="G987" s="1818"/>
      <c r="H987" s="1783"/>
      <c r="I987" s="1783"/>
      <c r="J987" s="1783"/>
      <c r="K987" s="1783"/>
      <c r="L987" s="1783"/>
      <c r="M987" s="1783"/>
      <c r="N987" s="1783"/>
      <c r="O987" s="1783"/>
      <c r="P987" s="1783"/>
      <c r="Q987" s="1783"/>
      <c r="R987" s="1783"/>
      <c r="S987" s="1783"/>
      <c r="T987" s="1783"/>
      <c r="U987" s="1783"/>
      <c r="V987" s="1783"/>
      <c r="W987" s="1783"/>
      <c r="X987" s="1783"/>
      <c r="Y987" s="1783"/>
      <c r="Z987" s="1783"/>
      <c r="AA987" s="1783"/>
      <c r="AB987" s="1783"/>
      <c r="AC987" s="1783"/>
      <c r="AD987" s="1783"/>
      <c r="AE987" s="1783"/>
      <c r="AF987" s="1783"/>
      <c r="AG987" s="1783"/>
      <c r="AH987" s="1783"/>
      <c r="AI987" s="1783"/>
      <c r="AJ987" s="1783"/>
      <c r="AK987" s="1783"/>
      <c r="AL987" s="1783"/>
      <c r="AM987" s="1783"/>
      <c r="AN987" s="1783"/>
      <c r="AO987" s="1783"/>
      <c r="AP987" s="1783"/>
      <c r="AQ987" s="1783"/>
      <c r="AR987" s="1783"/>
      <c r="AS987" s="1783"/>
      <c r="AT987" s="1783"/>
      <c r="AU987" s="1783"/>
      <c r="AV987" s="1783"/>
      <c r="AW987" s="1783"/>
      <c r="AX987" s="1783"/>
      <c r="AY987" s="1783"/>
      <c r="AZ987" s="1783"/>
      <c r="BA987" s="1783"/>
      <c r="BB987" s="1783"/>
      <c r="BC987" s="1783"/>
      <c r="BD987" s="1783"/>
      <c r="BE987" s="1783"/>
      <c r="BF987" s="1783"/>
      <c r="BG987" s="1783"/>
      <c r="BH987" s="1783"/>
      <c r="BI987" s="1783"/>
    </row>
    <row r="988" spans="1:61">
      <c r="A988" s="1819"/>
      <c r="B988" s="1818"/>
      <c r="C988" s="1818"/>
      <c r="D988" s="1818"/>
      <c r="E988" s="1818"/>
      <c r="F988" s="1818"/>
      <c r="G988" s="1818"/>
      <c r="H988" s="1783"/>
      <c r="I988" s="1783"/>
      <c r="J988" s="1783"/>
      <c r="K988" s="1783"/>
      <c r="L988" s="1783"/>
      <c r="M988" s="1783"/>
      <c r="N988" s="1783"/>
      <c r="O988" s="1783"/>
      <c r="P988" s="1783"/>
      <c r="Q988" s="1783"/>
      <c r="R988" s="1783"/>
      <c r="S988" s="1783"/>
      <c r="T988" s="1783"/>
      <c r="U988" s="1783"/>
      <c r="V988" s="1783"/>
      <c r="W988" s="1783"/>
      <c r="X988" s="1783"/>
      <c r="Y988" s="1783"/>
      <c r="Z988" s="1783"/>
      <c r="AA988" s="1783"/>
      <c r="AB988" s="1783"/>
      <c r="AC988" s="1783"/>
      <c r="AD988" s="1783"/>
      <c r="AE988" s="1783"/>
      <c r="AF988" s="1783"/>
      <c r="AG988" s="1783"/>
      <c r="AH988" s="1783"/>
      <c r="AI988" s="1783"/>
      <c r="AJ988" s="1783"/>
      <c r="AK988" s="1783"/>
      <c r="AL988" s="1783"/>
      <c r="AM988" s="1783"/>
      <c r="AN988" s="1783"/>
      <c r="AO988" s="1783"/>
      <c r="AP988" s="1783"/>
      <c r="AQ988" s="1783"/>
      <c r="AR988" s="1783"/>
      <c r="AS988" s="1783"/>
      <c r="AT988" s="1783"/>
      <c r="AU988" s="1783"/>
      <c r="AV988" s="1783"/>
      <c r="AW988" s="1783"/>
      <c r="AX988" s="1783"/>
      <c r="AY988" s="1783"/>
      <c r="AZ988" s="1783"/>
      <c r="BA988" s="1783"/>
      <c r="BB988" s="1783"/>
      <c r="BC988" s="1783"/>
      <c r="BD988" s="1783"/>
      <c r="BE988" s="1783"/>
      <c r="BF988" s="1783"/>
      <c r="BG988" s="1783"/>
      <c r="BH988" s="1783"/>
      <c r="BI988" s="1783"/>
    </row>
    <row r="989" spans="1:61">
      <c r="A989" s="1819"/>
      <c r="B989" s="1818"/>
      <c r="C989" s="1818"/>
      <c r="D989" s="1818"/>
      <c r="E989" s="1818"/>
      <c r="F989" s="1818"/>
      <c r="G989" s="1818"/>
      <c r="H989" s="1783"/>
      <c r="I989" s="1783"/>
      <c r="J989" s="1783"/>
      <c r="K989" s="1783"/>
      <c r="L989" s="1783"/>
      <c r="M989" s="1783"/>
      <c r="N989" s="1783"/>
      <c r="O989" s="1783"/>
      <c r="P989" s="1783"/>
      <c r="Q989" s="1783"/>
      <c r="R989" s="1783"/>
      <c r="S989" s="1783"/>
      <c r="T989" s="1783"/>
      <c r="U989" s="1783"/>
      <c r="V989" s="1783"/>
      <c r="W989" s="1783"/>
      <c r="X989" s="1783"/>
      <c r="Y989" s="1783"/>
      <c r="Z989" s="1783"/>
      <c r="AA989" s="1783"/>
      <c r="AB989" s="1783"/>
      <c r="AC989" s="1783"/>
      <c r="AD989" s="1783"/>
      <c r="AE989" s="1783"/>
      <c r="AF989" s="1783"/>
      <c r="AG989" s="1783"/>
      <c r="AH989" s="1783"/>
      <c r="AI989" s="1783"/>
      <c r="AJ989" s="1783"/>
      <c r="AK989" s="1783"/>
      <c r="AL989" s="1783"/>
      <c r="AM989" s="1783"/>
      <c r="AN989" s="1783"/>
      <c r="AO989" s="1783"/>
      <c r="AP989" s="1783"/>
      <c r="AQ989" s="1783"/>
      <c r="AR989" s="1783"/>
      <c r="AS989" s="1783"/>
      <c r="AT989" s="1783"/>
      <c r="AU989" s="1783"/>
      <c r="AV989" s="1783"/>
      <c r="AW989" s="1783"/>
      <c r="AX989" s="1783"/>
      <c r="AY989" s="1783"/>
      <c r="AZ989" s="1783"/>
      <c r="BA989" s="1783"/>
      <c r="BB989" s="1783"/>
      <c r="BC989" s="1783"/>
      <c r="BD989" s="1783"/>
      <c r="BE989" s="1783"/>
      <c r="BF989" s="1783"/>
      <c r="BG989" s="1783"/>
      <c r="BH989" s="1783"/>
      <c r="BI989" s="1783"/>
    </row>
    <row r="990" spans="1:61">
      <c r="A990" s="1819"/>
      <c r="B990" s="1818"/>
      <c r="C990" s="1818"/>
      <c r="D990" s="1818"/>
      <c r="E990" s="1818"/>
      <c r="F990" s="1818"/>
      <c r="G990" s="1818"/>
      <c r="H990" s="1783"/>
      <c r="I990" s="1783"/>
      <c r="J990" s="1783"/>
      <c r="K990" s="1783"/>
      <c r="L990" s="1783"/>
      <c r="M990" s="1783"/>
      <c r="N990" s="1783"/>
      <c r="O990" s="1783"/>
      <c r="P990" s="1783"/>
      <c r="Q990" s="1783"/>
      <c r="R990" s="1783"/>
      <c r="S990" s="1783"/>
      <c r="T990" s="1783"/>
      <c r="U990" s="1783"/>
      <c r="V990" s="1783"/>
      <c r="W990" s="1783"/>
      <c r="X990" s="1783"/>
      <c r="Y990" s="1783"/>
      <c r="Z990" s="1783"/>
      <c r="AA990" s="1783"/>
      <c r="AB990" s="1783"/>
      <c r="AC990" s="1783"/>
      <c r="AD990" s="1783"/>
      <c r="AE990" s="1783"/>
      <c r="AF990" s="1783"/>
      <c r="AG990" s="1783"/>
      <c r="AH990" s="1783"/>
      <c r="AI990" s="1783"/>
      <c r="AJ990" s="1783"/>
      <c r="AK990" s="1783"/>
      <c r="AL990" s="1783"/>
      <c r="AM990" s="1783"/>
      <c r="AN990" s="1783"/>
      <c r="AO990" s="1783"/>
      <c r="AP990" s="1783"/>
      <c r="AQ990" s="1783"/>
      <c r="AR990" s="1783"/>
      <c r="AS990" s="1783"/>
      <c r="AT990" s="1783"/>
      <c r="AU990" s="1783"/>
      <c r="AV990" s="1783"/>
      <c r="AW990" s="1783"/>
      <c r="AX990" s="1783"/>
      <c r="AY990" s="1783"/>
      <c r="AZ990" s="1783"/>
      <c r="BA990" s="1783"/>
      <c r="BB990" s="1783"/>
      <c r="BC990" s="1783"/>
      <c r="BD990" s="1783"/>
      <c r="BE990" s="1783"/>
      <c r="BF990" s="1783"/>
      <c r="BG990" s="1783"/>
      <c r="BH990" s="1783"/>
      <c r="BI990" s="1783"/>
    </row>
    <row r="991" spans="1:61">
      <c r="A991" s="1819"/>
      <c r="B991" s="1818"/>
      <c r="C991" s="1818"/>
      <c r="D991" s="1818"/>
      <c r="E991" s="1818"/>
      <c r="F991" s="1818"/>
      <c r="G991" s="1818"/>
      <c r="H991" s="1783"/>
      <c r="I991" s="1783"/>
      <c r="J991" s="1783"/>
      <c r="K991" s="1783"/>
      <c r="L991" s="1783"/>
      <c r="M991" s="1783"/>
      <c r="N991" s="1783"/>
      <c r="O991" s="1783"/>
      <c r="P991" s="1783"/>
      <c r="Q991" s="1783"/>
      <c r="R991" s="1783"/>
      <c r="S991" s="1783"/>
      <c r="T991" s="1783"/>
      <c r="U991" s="1783"/>
      <c r="V991" s="1783"/>
      <c r="W991" s="1783"/>
      <c r="X991" s="1783"/>
      <c r="Y991" s="1783"/>
      <c r="Z991" s="1783"/>
      <c r="AA991" s="1783"/>
      <c r="AB991" s="1783"/>
      <c r="AC991" s="1783"/>
      <c r="AD991" s="1783"/>
      <c r="AE991" s="1783"/>
      <c r="AF991" s="1783"/>
      <c r="AG991" s="1783"/>
      <c r="AH991" s="1783"/>
      <c r="AI991" s="1783"/>
      <c r="AJ991" s="1783"/>
      <c r="AK991" s="1783"/>
      <c r="AL991" s="1783"/>
      <c r="AM991" s="1783"/>
      <c r="AN991" s="1783"/>
      <c r="AO991" s="1783"/>
      <c r="AP991" s="1783"/>
      <c r="AQ991" s="1783"/>
      <c r="AR991" s="1783"/>
      <c r="AS991" s="1783"/>
      <c r="AT991" s="1783"/>
      <c r="AU991" s="1783"/>
      <c r="AV991" s="1783"/>
      <c r="AW991" s="1783"/>
      <c r="AX991" s="1783"/>
      <c r="AY991" s="1783"/>
      <c r="AZ991" s="1783"/>
      <c r="BA991" s="1783"/>
      <c r="BB991" s="1783"/>
      <c r="BC991" s="1783"/>
      <c r="BD991" s="1783"/>
      <c r="BE991" s="1783"/>
      <c r="BF991" s="1783"/>
      <c r="BG991" s="1783"/>
      <c r="BH991" s="1783"/>
      <c r="BI991" s="1783"/>
    </row>
    <row r="992" spans="1:61">
      <c r="A992" s="1819"/>
      <c r="B992" s="1818"/>
      <c r="C992" s="1818"/>
      <c r="D992" s="1818"/>
      <c r="E992" s="1818"/>
      <c r="F992" s="1818"/>
      <c r="G992" s="1818"/>
      <c r="H992" s="1783"/>
      <c r="I992" s="1783"/>
      <c r="J992" s="1783"/>
      <c r="K992" s="1783"/>
      <c r="L992" s="1783"/>
      <c r="M992" s="1783"/>
      <c r="N992" s="1783"/>
      <c r="O992" s="1783"/>
      <c r="P992" s="1783"/>
      <c r="Q992" s="1783"/>
      <c r="R992" s="1783"/>
      <c r="S992" s="1783"/>
      <c r="T992" s="1783"/>
      <c r="U992" s="1783"/>
      <c r="V992" s="1783"/>
      <c r="W992" s="1783"/>
      <c r="X992" s="1783"/>
      <c r="Y992" s="1783"/>
      <c r="Z992" s="1783"/>
      <c r="AA992" s="1783"/>
      <c r="AB992" s="1783"/>
      <c r="AC992" s="1783"/>
      <c r="AD992" s="1783"/>
      <c r="AE992" s="1783"/>
      <c r="AF992" s="1783"/>
      <c r="AG992" s="1783"/>
      <c r="AH992" s="1783"/>
      <c r="AI992" s="1783"/>
      <c r="AJ992" s="1783"/>
      <c r="AK992" s="1783"/>
      <c r="AL992" s="1783"/>
      <c r="AM992" s="1783"/>
      <c r="AN992" s="1783"/>
      <c r="AO992" s="1783"/>
      <c r="AP992" s="1783"/>
      <c r="AQ992" s="1783"/>
      <c r="AR992" s="1783"/>
      <c r="AS992" s="1783"/>
      <c r="AT992" s="1783"/>
      <c r="AU992" s="1783"/>
      <c r="AV992" s="1783"/>
      <c r="AW992" s="1783"/>
      <c r="AX992" s="1783"/>
      <c r="AY992" s="1783"/>
      <c r="AZ992" s="1783"/>
      <c r="BA992" s="1783"/>
      <c r="BB992" s="1783"/>
      <c r="BC992" s="1783"/>
      <c r="BD992" s="1783"/>
      <c r="BE992" s="1783"/>
      <c r="BF992" s="1783"/>
      <c r="BG992" s="1783"/>
      <c r="BH992" s="1783"/>
      <c r="BI992" s="1783"/>
    </row>
    <row r="993" spans="1:61">
      <c r="A993" s="1819"/>
      <c r="B993" s="1818"/>
      <c r="C993" s="1818"/>
      <c r="D993" s="1818"/>
      <c r="E993" s="1818"/>
      <c r="F993" s="1818"/>
      <c r="G993" s="1818"/>
      <c r="H993" s="1783"/>
      <c r="I993" s="1783"/>
      <c r="J993" s="1783"/>
      <c r="K993" s="1783"/>
      <c r="L993" s="1783"/>
      <c r="M993" s="1783"/>
      <c r="N993" s="1783"/>
      <c r="O993" s="1783"/>
      <c r="P993" s="1783"/>
      <c r="Q993" s="1783"/>
      <c r="R993" s="1783"/>
      <c r="S993" s="1783"/>
      <c r="T993" s="1783"/>
      <c r="U993" s="1783"/>
      <c r="V993" s="1783"/>
      <c r="W993" s="1783"/>
      <c r="X993" s="1783"/>
      <c r="Y993" s="1783"/>
      <c r="Z993" s="1783"/>
      <c r="AA993" s="1783"/>
      <c r="AB993" s="1783"/>
      <c r="AC993" s="1783"/>
      <c r="AD993" s="1783"/>
      <c r="AE993" s="1783"/>
      <c r="AF993" s="1783"/>
      <c r="AG993" s="1783"/>
      <c r="AH993" s="1783"/>
      <c r="AI993" s="1783"/>
      <c r="AJ993" s="1783"/>
      <c r="AK993" s="1783"/>
      <c r="AL993" s="1783"/>
      <c r="AM993" s="1783"/>
      <c r="AN993" s="1783"/>
      <c r="AO993" s="1783"/>
      <c r="AP993" s="1783"/>
      <c r="AQ993" s="1783"/>
      <c r="AR993" s="1783"/>
      <c r="AS993" s="1783"/>
      <c r="AT993" s="1783"/>
      <c r="AU993" s="1783"/>
      <c r="AV993" s="1783"/>
      <c r="AW993" s="1783"/>
      <c r="AX993" s="1783"/>
      <c r="AY993" s="1783"/>
      <c r="AZ993" s="1783"/>
      <c r="BA993" s="1783"/>
      <c r="BB993" s="1783"/>
      <c r="BC993" s="1783"/>
      <c r="BD993" s="1783"/>
      <c r="BE993" s="1783"/>
      <c r="BF993" s="1783"/>
      <c r="BG993" s="1783"/>
      <c r="BH993" s="1783"/>
      <c r="BI993" s="1783"/>
    </row>
    <row r="994" spans="1:61">
      <c r="A994" s="1819"/>
      <c r="B994" s="1818"/>
      <c r="C994" s="1818"/>
      <c r="D994" s="1818"/>
      <c r="E994" s="1818"/>
      <c r="F994" s="1818"/>
      <c r="G994" s="1818"/>
      <c r="H994" s="1783"/>
      <c r="I994" s="1783"/>
      <c r="J994" s="1783"/>
      <c r="K994" s="1783"/>
      <c r="L994" s="1783"/>
      <c r="M994" s="1783"/>
      <c r="N994" s="1783"/>
      <c r="O994" s="1783"/>
      <c r="P994" s="1783"/>
      <c r="Q994" s="1783"/>
      <c r="R994" s="1783"/>
      <c r="S994" s="1783"/>
      <c r="T994" s="1783"/>
      <c r="U994" s="1783"/>
      <c r="V994" s="1783"/>
      <c r="W994" s="1783"/>
      <c r="X994" s="1783"/>
      <c r="Y994" s="1783"/>
      <c r="Z994" s="1783"/>
      <c r="AA994" s="1783"/>
      <c r="AB994" s="1783"/>
      <c r="AC994" s="1783"/>
      <c r="AD994" s="1783"/>
      <c r="AE994" s="1783"/>
      <c r="AF994" s="1783"/>
      <c r="AG994" s="1783"/>
      <c r="AH994" s="1783"/>
      <c r="AI994" s="1783"/>
      <c r="AJ994" s="1783"/>
      <c r="AK994" s="1783"/>
      <c r="AL994" s="1783"/>
      <c r="AM994" s="1783"/>
      <c r="AN994" s="1783"/>
      <c r="AO994" s="1783"/>
      <c r="AP994" s="1783"/>
      <c r="AQ994" s="1783"/>
      <c r="AR994" s="1783"/>
      <c r="AS994" s="1783"/>
      <c r="AT994" s="1783"/>
      <c r="AU994" s="1783"/>
      <c r="AV994" s="1783"/>
      <c r="AW994" s="1783"/>
      <c r="AX994" s="1783"/>
      <c r="AY994" s="1783"/>
      <c r="AZ994" s="1783"/>
      <c r="BA994" s="1783"/>
      <c r="BB994" s="1783"/>
      <c r="BC994" s="1783"/>
      <c r="BD994" s="1783"/>
      <c r="BE994" s="1783"/>
      <c r="BF994" s="1783"/>
      <c r="BG994" s="1783"/>
      <c r="BH994" s="1783"/>
      <c r="BI994" s="1783"/>
    </row>
    <row r="995" spans="1:61">
      <c r="A995" s="1819"/>
      <c r="B995" s="1818"/>
      <c r="C995" s="1818"/>
      <c r="D995" s="1818"/>
      <c r="E995" s="1818"/>
      <c r="F995" s="1818"/>
      <c r="G995" s="1818"/>
      <c r="H995" s="1783"/>
      <c r="I995" s="1783"/>
      <c r="J995" s="1783"/>
      <c r="K995" s="1783"/>
      <c r="L995" s="1783"/>
      <c r="M995" s="1783"/>
      <c r="N995" s="1783"/>
      <c r="O995" s="1783"/>
      <c r="P995" s="1783"/>
      <c r="Q995" s="1783"/>
      <c r="R995" s="1783"/>
      <c r="S995" s="1783"/>
      <c r="T995" s="1783"/>
      <c r="U995" s="1783"/>
      <c r="V995" s="1783"/>
      <c r="W995" s="1783"/>
      <c r="X995" s="1783"/>
      <c r="Y995" s="1783"/>
      <c r="Z995" s="1783"/>
      <c r="AA995" s="1783"/>
      <c r="AB995" s="1783"/>
      <c r="AC995" s="1783"/>
      <c r="AD995" s="1783"/>
      <c r="AE995" s="1783"/>
      <c r="AF995" s="1783"/>
      <c r="AG995" s="1783"/>
      <c r="AH995" s="1783"/>
      <c r="AI995" s="1783"/>
      <c r="AJ995" s="1783"/>
      <c r="AK995" s="1783"/>
      <c r="AL995" s="1783"/>
      <c r="AM995" s="1783"/>
      <c r="AN995" s="1783"/>
      <c r="AO995" s="1783"/>
      <c r="AP995" s="1783"/>
      <c r="AQ995" s="1783"/>
      <c r="AR995" s="1783"/>
      <c r="AS995" s="1783"/>
      <c r="AT995" s="1783"/>
      <c r="AU995" s="1783"/>
      <c r="AV995" s="1783"/>
      <c r="AW995" s="1783"/>
      <c r="AX995" s="1783"/>
      <c r="AY995" s="1783"/>
      <c r="AZ995" s="1783"/>
      <c r="BA995" s="1783"/>
      <c r="BB995" s="1783"/>
      <c r="BC995" s="1783"/>
      <c r="BD995" s="1783"/>
      <c r="BE995" s="1783"/>
      <c r="BF995" s="1783"/>
      <c r="BG995" s="1783"/>
      <c r="BH995" s="1783"/>
      <c r="BI995" s="1783"/>
    </row>
    <row r="996" spans="1:61">
      <c r="A996" s="1819"/>
      <c r="B996" s="1818"/>
      <c r="C996" s="1818"/>
      <c r="D996" s="1818"/>
      <c r="E996" s="1818"/>
      <c r="F996" s="1818"/>
      <c r="G996" s="1818"/>
      <c r="H996" s="1783"/>
      <c r="I996" s="1783"/>
      <c r="J996" s="1783"/>
      <c r="K996" s="1783"/>
      <c r="L996" s="1783"/>
      <c r="M996" s="1783"/>
      <c r="N996" s="1783"/>
      <c r="O996" s="1783"/>
      <c r="P996" s="1783"/>
      <c r="Q996" s="1783"/>
      <c r="R996" s="1783"/>
      <c r="S996" s="1783"/>
      <c r="T996" s="1783"/>
      <c r="U996" s="1783"/>
      <c r="V996" s="1783"/>
      <c r="W996" s="1783"/>
      <c r="X996" s="1783"/>
      <c r="Y996" s="1783"/>
      <c r="Z996" s="1783"/>
      <c r="AA996" s="1783"/>
      <c r="AB996" s="1783"/>
      <c r="AC996" s="1783"/>
      <c r="AD996" s="1783"/>
      <c r="AE996" s="1783"/>
      <c r="AF996" s="1783"/>
      <c r="AG996" s="1783"/>
      <c r="AH996" s="1783"/>
      <c r="AI996" s="1783"/>
      <c r="AJ996" s="1783"/>
      <c r="AK996" s="1783"/>
      <c r="AL996" s="1783"/>
      <c r="AM996" s="1783"/>
      <c r="AN996" s="1783"/>
      <c r="AO996" s="1783"/>
      <c r="AP996" s="1783"/>
      <c r="AQ996" s="1783"/>
      <c r="AR996" s="1783"/>
      <c r="AS996" s="1783"/>
      <c r="AT996" s="1783"/>
      <c r="AU996" s="1783"/>
      <c r="AV996" s="1783"/>
      <c r="AW996" s="1783"/>
      <c r="AX996" s="1783"/>
      <c r="AY996" s="1783"/>
      <c r="AZ996" s="1783"/>
      <c r="BA996" s="1783"/>
      <c r="BB996" s="1783"/>
      <c r="BC996" s="1783"/>
      <c r="BD996" s="1783"/>
      <c r="BE996" s="1783"/>
      <c r="BF996" s="1783"/>
      <c r="BG996" s="1783"/>
      <c r="BH996" s="1783"/>
      <c r="BI996" s="1783"/>
    </row>
    <row r="997" spans="1:61">
      <c r="A997" s="1819"/>
      <c r="B997" s="1818"/>
      <c r="C997" s="1818"/>
      <c r="D997" s="1818"/>
      <c r="E997" s="1818"/>
      <c r="F997" s="1818"/>
      <c r="G997" s="1818"/>
      <c r="H997" s="1783"/>
      <c r="I997" s="1783"/>
      <c r="J997" s="1783"/>
      <c r="K997" s="1783"/>
      <c r="L997" s="1783"/>
      <c r="M997" s="1783"/>
      <c r="N997" s="1783"/>
      <c r="O997" s="1783"/>
      <c r="P997" s="1783"/>
      <c r="Q997" s="1783"/>
      <c r="R997" s="1783"/>
      <c r="S997" s="1783"/>
      <c r="T997" s="1783"/>
      <c r="U997" s="1783"/>
      <c r="V997" s="1783"/>
      <c r="W997" s="1783"/>
      <c r="X997" s="1783"/>
      <c r="Y997" s="1783"/>
      <c r="Z997" s="1783"/>
      <c r="AA997" s="1783"/>
      <c r="AB997" s="1783"/>
      <c r="AC997" s="1783"/>
      <c r="AD997" s="1783"/>
      <c r="AE997" s="1783"/>
      <c r="AF997" s="1783"/>
      <c r="AG997" s="1783"/>
      <c r="AH997" s="1783"/>
      <c r="AI997" s="1783"/>
      <c r="AJ997" s="1783"/>
      <c r="AK997" s="1783"/>
      <c r="AL997" s="1783"/>
      <c r="AM997" s="1783"/>
      <c r="AN997" s="1783"/>
      <c r="AO997" s="1783"/>
      <c r="AP997" s="1783"/>
      <c r="AQ997" s="1783"/>
      <c r="AR997" s="1783"/>
      <c r="AS997" s="1783"/>
      <c r="AT997" s="1783"/>
      <c r="AU997" s="1783"/>
      <c r="AV997" s="1783"/>
      <c r="AW997" s="1783"/>
      <c r="AX997" s="1783"/>
      <c r="AY997" s="1783"/>
      <c r="AZ997" s="1783"/>
      <c r="BA997" s="1783"/>
      <c r="BB997" s="1783"/>
      <c r="BC997" s="1783"/>
      <c r="BD997" s="1783"/>
      <c r="BE997" s="1783"/>
      <c r="BF997" s="1783"/>
      <c r="BG997" s="1783"/>
      <c r="BH997" s="1783"/>
      <c r="BI997" s="1783"/>
    </row>
    <row r="998" spans="1:61">
      <c r="A998" s="1819"/>
      <c r="B998" s="1818"/>
      <c r="C998" s="1818"/>
      <c r="D998" s="1818"/>
      <c r="E998" s="1818"/>
      <c r="F998" s="1818"/>
      <c r="G998" s="1818"/>
      <c r="H998" s="1783"/>
      <c r="I998" s="1783"/>
      <c r="J998" s="1783"/>
      <c r="K998" s="1783"/>
      <c r="L998" s="1783"/>
      <c r="M998" s="1783"/>
      <c r="N998" s="1783"/>
      <c r="O998" s="1783"/>
      <c r="P998" s="1783"/>
      <c r="Q998" s="1783"/>
      <c r="R998" s="1783"/>
      <c r="S998" s="1783"/>
      <c r="T998" s="1783"/>
      <c r="U998" s="1783"/>
      <c r="V998" s="1783"/>
      <c r="W998" s="1783"/>
      <c r="X998" s="1783"/>
      <c r="Y998" s="1783"/>
      <c r="Z998" s="1783"/>
      <c r="AA998" s="1783"/>
      <c r="AB998" s="1783"/>
      <c r="AC998" s="1783"/>
      <c r="AD998" s="1783"/>
      <c r="AE998" s="1783"/>
      <c r="AF998" s="1783"/>
      <c r="AG998" s="1783"/>
      <c r="AH998" s="1783"/>
      <c r="AI998" s="1783"/>
      <c r="AJ998" s="1783"/>
      <c r="AK998" s="1783"/>
      <c r="AL998" s="1783"/>
      <c r="AM998" s="1783"/>
      <c r="AN998" s="1783"/>
      <c r="AO998" s="1783"/>
      <c r="AP998" s="1783"/>
      <c r="AQ998" s="1783"/>
      <c r="AR998" s="1783"/>
      <c r="AS998" s="1783"/>
      <c r="AT998" s="1783"/>
      <c r="AU998" s="1783"/>
      <c r="AV998" s="1783"/>
      <c r="AW998" s="1783"/>
      <c r="AX998" s="1783"/>
      <c r="AY998" s="1783"/>
      <c r="AZ998" s="1783"/>
      <c r="BA998" s="1783"/>
      <c r="BB998" s="1783"/>
      <c r="BC998" s="1783"/>
      <c r="BD998" s="1783"/>
      <c r="BE998" s="1783"/>
      <c r="BF998" s="1783"/>
      <c r="BG998" s="1783"/>
      <c r="BH998" s="1783"/>
      <c r="BI998" s="1783"/>
    </row>
    <row r="999" spans="1:61">
      <c r="A999" s="1819"/>
      <c r="B999" s="1818"/>
      <c r="C999" s="1818"/>
      <c r="D999" s="1818"/>
      <c r="E999" s="1818"/>
      <c r="F999" s="1818"/>
      <c r="G999" s="1818"/>
      <c r="H999" s="1783"/>
      <c r="I999" s="1783"/>
      <c r="J999" s="1783"/>
      <c r="K999" s="1783"/>
      <c r="L999" s="1783"/>
      <c r="M999" s="1783"/>
      <c r="N999" s="1783"/>
      <c r="O999" s="1783"/>
      <c r="P999" s="1783"/>
      <c r="Q999" s="1783"/>
      <c r="R999" s="1783"/>
      <c r="S999" s="1783"/>
      <c r="T999" s="1783"/>
      <c r="U999" s="1783"/>
      <c r="V999" s="1783"/>
      <c r="W999" s="1783"/>
      <c r="X999" s="1783"/>
      <c r="Y999" s="1783"/>
      <c r="Z999" s="1783"/>
      <c r="AA999" s="1783"/>
      <c r="AB999" s="1783"/>
      <c r="AC999" s="1783"/>
      <c r="AD999" s="1783"/>
      <c r="AE999" s="1783"/>
      <c r="AF999" s="1783"/>
      <c r="AG999" s="1783"/>
      <c r="AH999" s="1783"/>
      <c r="AI999" s="1783"/>
      <c r="AJ999" s="1783"/>
      <c r="AK999" s="1783"/>
      <c r="AL999" s="1783"/>
      <c r="AM999" s="1783"/>
      <c r="AN999" s="1783"/>
      <c r="AO999" s="1783"/>
      <c r="AP999" s="1783"/>
      <c r="AQ999" s="1783"/>
      <c r="AR999" s="1783"/>
      <c r="AS999" s="1783"/>
      <c r="AT999" s="1783"/>
      <c r="AU999" s="1783"/>
      <c r="AV999" s="1783"/>
      <c r="AW999" s="1783"/>
      <c r="AX999" s="1783"/>
      <c r="AY999" s="1783"/>
      <c r="AZ999" s="1783"/>
      <c r="BA999" s="1783"/>
      <c r="BB999" s="1783"/>
      <c r="BC999" s="1783"/>
      <c r="BD999" s="1783"/>
      <c r="BE999" s="1783"/>
      <c r="BF999" s="1783"/>
      <c r="BG999" s="1783"/>
      <c r="BH999" s="1783"/>
      <c r="BI999" s="1783"/>
    </row>
    <row r="1000" spans="1:61">
      <c r="A1000" s="1819"/>
      <c r="B1000" s="1818"/>
      <c r="C1000" s="1818"/>
      <c r="D1000" s="1818"/>
      <c r="E1000" s="1818"/>
      <c r="F1000" s="1818"/>
      <c r="G1000" s="1818"/>
      <c r="H1000" s="1783"/>
      <c r="I1000" s="1783"/>
      <c r="J1000" s="1783"/>
      <c r="K1000" s="1783"/>
      <c r="L1000" s="1783"/>
      <c r="M1000" s="1783"/>
      <c r="N1000" s="1783"/>
      <c r="O1000" s="1783"/>
      <c r="P1000" s="1783"/>
      <c r="Q1000" s="1783"/>
      <c r="R1000" s="1783"/>
      <c r="S1000" s="1783"/>
      <c r="T1000" s="1783"/>
      <c r="U1000" s="1783"/>
      <c r="V1000" s="1783"/>
      <c r="W1000" s="1783"/>
      <c r="X1000" s="1783"/>
      <c r="Y1000" s="1783"/>
      <c r="Z1000" s="1783"/>
      <c r="AA1000" s="1783"/>
      <c r="AB1000" s="1783"/>
      <c r="AC1000" s="1783"/>
      <c r="AD1000" s="1783"/>
      <c r="AE1000" s="1783"/>
      <c r="AF1000" s="1783"/>
      <c r="AG1000" s="1783"/>
      <c r="AH1000" s="1783"/>
      <c r="AI1000" s="1783"/>
      <c r="AJ1000" s="1783"/>
      <c r="AK1000" s="1783"/>
      <c r="AL1000" s="1783"/>
      <c r="AM1000" s="1783"/>
      <c r="AN1000" s="1783"/>
      <c r="AO1000" s="1783"/>
      <c r="AP1000" s="1783"/>
      <c r="AQ1000" s="1783"/>
      <c r="AR1000" s="1783"/>
      <c r="AS1000" s="1783"/>
      <c r="AT1000" s="1783"/>
      <c r="AU1000" s="1783"/>
      <c r="AV1000" s="1783"/>
      <c r="AW1000" s="1783"/>
      <c r="AX1000" s="1783"/>
      <c r="AY1000" s="1783"/>
      <c r="AZ1000" s="1783"/>
      <c r="BA1000" s="1783"/>
      <c r="BB1000" s="1783"/>
      <c r="BC1000" s="1783"/>
      <c r="BD1000" s="1783"/>
      <c r="BE1000" s="1783"/>
      <c r="BF1000" s="1783"/>
      <c r="BG1000" s="1783"/>
      <c r="BH1000" s="1783"/>
      <c r="BI1000" s="1783"/>
    </row>
    <row r="1001" spans="1:61">
      <c r="A1001" s="1819"/>
      <c r="B1001" s="1818"/>
      <c r="C1001" s="1818"/>
      <c r="D1001" s="1818"/>
      <c r="E1001" s="1818"/>
      <c r="F1001" s="1818"/>
      <c r="G1001" s="1818"/>
      <c r="H1001" s="1783"/>
      <c r="I1001" s="1783"/>
      <c r="J1001" s="1783"/>
      <c r="K1001" s="1783"/>
      <c r="L1001" s="1783"/>
      <c r="M1001" s="1783"/>
      <c r="N1001" s="1783"/>
      <c r="O1001" s="1783"/>
      <c r="P1001" s="1783"/>
      <c r="Q1001" s="1783"/>
      <c r="R1001" s="1783"/>
      <c r="S1001" s="1783"/>
      <c r="T1001" s="1783"/>
      <c r="U1001" s="1783"/>
      <c r="V1001" s="1783"/>
      <c r="W1001" s="1783"/>
      <c r="X1001" s="1783"/>
      <c r="Y1001" s="1783"/>
      <c r="Z1001" s="1783"/>
      <c r="AA1001" s="1783"/>
      <c r="AB1001" s="1783"/>
      <c r="AC1001" s="1783"/>
      <c r="AD1001" s="1783"/>
      <c r="AE1001" s="1783"/>
      <c r="AF1001" s="1783"/>
      <c r="AG1001" s="1783"/>
      <c r="AH1001" s="1783"/>
      <c r="AI1001" s="1783"/>
      <c r="AJ1001" s="1783"/>
      <c r="AK1001" s="1783"/>
      <c r="AL1001" s="1783"/>
      <c r="AM1001" s="1783"/>
      <c r="AN1001" s="1783"/>
      <c r="AO1001" s="1783"/>
      <c r="AP1001" s="1783"/>
      <c r="AQ1001" s="1783"/>
      <c r="AR1001" s="1783"/>
      <c r="AS1001" s="1783"/>
      <c r="AT1001" s="1783"/>
      <c r="AU1001" s="1783"/>
      <c r="AV1001" s="1783"/>
      <c r="AW1001" s="1783"/>
      <c r="AX1001" s="1783"/>
      <c r="AY1001" s="1783"/>
      <c r="AZ1001" s="1783"/>
      <c r="BA1001" s="1783"/>
      <c r="BB1001" s="1783"/>
      <c r="BC1001" s="1783"/>
      <c r="BD1001" s="1783"/>
      <c r="BE1001" s="1783"/>
      <c r="BF1001" s="1783"/>
      <c r="BG1001" s="1783"/>
      <c r="BH1001" s="1783"/>
      <c r="BI1001" s="1783"/>
    </row>
    <row r="1002" spans="1:61">
      <c r="A1002" s="1819"/>
      <c r="B1002" s="1818"/>
      <c r="C1002" s="1818"/>
      <c r="D1002" s="1818"/>
      <c r="E1002" s="1818"/>
      <c r="F1002" s="1818"/>
      <c r="G1002" s="1818"/>
      <c r="H1002" s="1783"/>
      <c r="I1002" s="1783"/>
      <c r="J1002" s="1783"/>
      <c r="K1002" s="1783"/>
      <c r="L1002" s="1783"/>
      <c r="M1002" s="1783"/>
      <c r="N1002" s="1783"/>
      <c r="O1002" s="1783"/>
      <c r="P1002" s="1783"/>
      <c r="Q1002" s="1783"/>
      <c r="R1002" s="1783"/>
      <c r="S1002" s="1783"/>
      <c r="T1002" s="1783"/>
      <c r="U1002" s="1783"/>
      <c r="V1002" s="1783"/>
      <c r="W1002" s="1783"/>
      <c r="X1002" s="1783"/>
      <c r="Y1002" s="1783"/>
      <c r="Z1002" s="1783"/>
      <c r="AA1002" s="1783"/>
      <c r="AB1002" s="1783"/>
      <c r="AC1002" s="1783"/>
      <c r="AD1002" s="1783"/>
      <c r="AE1002" s="1783"/>
      <c r="AF1002" s="1783"/>
      <c r="AG1002" s="1783"/>
      <c r="AH1002" s="1783"/>
      <c r="AI1002" s="1783"/>
      <c r="AJ1002" s="1783"/>
      <c r="AK1002" s="1783"/>
      <c r="AL1002" s="1783"/>
      <c r="AM1002" s="1783"/>
      <c r="AN1002" s="1783"/>
      <c r="AO1002" s="1783"/>
      <c r="AP1002" s="1783"/>
      <c r="AQ1002" s="1783"/>
      <c r="AR1002" s="1783"/>
      <c r="AS1002" s="1783"/>
      <c r="AT1002" s="1783"/>
      <c r="AU1002" s="1783"/>
      <c r="AV1002" s="1783"/>
      <c r="AW1002" s="1783"/>
      <c r="AX1002" s="1783"/>
      <c r="AY1002" s="1783"/>
      <c r="AZ1002" s="1783"/>
      <c r="BA1002" s="1783"/>
      <c r="BB1002" s="1783"/>
      <c r="BC1002" s="1783"/>
      <c r="BD1002" s="1783"/>
      <c r="BE1002" s="1783"/>
      <c r="BF1002" s="1783"/>
      <c r="BG1002" s="1783"/>
      <c r="BH1002" s="1783"/>
      <c r="BI1002" s="1783"/>
    </row>
    <row r="1003" spans="1:61">
      <c r="A1003" s="1819"/>
      <c r="B1003" s="1818"/>
      <c r="C1003" s="1818"/>
      <c r="D1003" s="1818"/>
      <c r="E1003" s="1818"/>
      <c r="F1003" s="1818"/>
      <c r="G1003" s="1818"/>
      <c r="H1003" s="1783"/>
      <c r="I1003" s="1783"/>
      <c r="J1003" s="1783"/>
      <c r="K1003" s="1783"/>
      <c r="L1003" s="1783"/>
      <c r="M1003" s="1783"/>
      <c r="N1003" s="1783"/>
      <c r="O1003" s="1783"/>
      <c r="P1003" s="1783"/>
      <c r="Q1003" s="1783"/>
      <c r="R1003" s="1783"/>
      <c r="S1003" s="1783"/>
      <c r="T1003" s="1783"/>
      <c r="U1003" s="1783"/>
      <c r="V1003" s="1783"/>
      <c r="W1003" s="1783"/>
      <c r="X1003" s="1783"/>
      <c r="Y1003" s="1783"/>
      <c r="Z1003" s="1783"/>
      <c r="AA1003" s="1783"/>
      <c r="AB1003" s="1783"/>
      <c r="AC1003" s="1783"/>
      <c r="AD1003" s="1783"/>
      <c r="AE1003" s="1783"/>
      <c r="AF1003" s="1783"/>
      <c r="AG1003" s="1783"/>
      <c r="AH1003" s="1783"/>
      <c r="AI1003" s="1783"/>
      <c r="AJ1003" s="1783"/>
      <c r="AK1003" s="1783"/>
      <c r="AL1003" s="1783"/>
      <c r="AM1003" s="1783"/>
      <c r="AN1003" s="1783"/>
      <c r="AO1003" s="1783"/>
      <c r="AP1003" s="1783"/>
      <c r="AQ1003" s="1783"/>
      <c r="AR1003" s="1783"/>
      <c r="AS1003" s="1783"/>
      <c r="AT1003" s="1783"/>
      <c r="AU1003" s="1783"/>
      <c r="AV1003" s="1783"/>
      <c r="AW1003" s="1783"/>
      <c r="AX1003" s="1783"/>
      <c r="AY1003" s="1783"/>
      <c r="AZ1003" s="1783"/>
      <c r="BA1003" s="1783"/>
      <c r="BB1003" s="1783"/>
      <c r="BC1003" s="1783"/>
      <c r="BD1003" s="1783"/>
      <c r="BE1003" s="1783"/>
      <c r="BF1003" s="1783"/>
      <c r="BG1003" s="1783"/>
      <c r="BH1003" s="1783"/>
      <c r="BI1003" s="1783"/>
    </row>
    <row r="1004" spans="1:61">
      <c r="A1004" s="1819"/>
      <c r="B1004" s="1818"/>
      <c r="C1004" s="1818"/>
      <c r="D1004" s="1818"/>
      <c r="E1004" s="1818"/>
      <c r="F1004" s="1818"/>
      <c r="G1004" s="1818"/>
      <c r="H1004" s="1783"/>
      <c r="I1004" s="1783"/>
      <c r="J1004" s="1783"/>
      <c r="K1004" s="1783"/>
      <c r="L1004" s="1783"/>
      <c r="M1004" s="1783"/>
      <c r="N1004" s="1783"/>
      <c r="O1004" s="1783"/>
      <c r="P1004" s="1783"/>
      <c r="Q1004" s="1783"/>
      <c r="R1004" s="1783"/>
      <c r="S1004" s="1783"/>
      <c r="T1004" s="1783"/>
      <c r="U1004" s="1783"/>
      <c r="V1004" s="1783"/>
      <c r="W1004" s="1783"/>
      <c r="X1004" s="1783"/>
      <c r="Y1004" s="1783"/>
      <c r="Z1004" s="1783"/>
      <c r="AA1004" s="1783"/>
      <c r="AB1004" s="1783"/>
      <c r="AC1004" s="1783"/>
      <c r="AD1004" s="1783"/>
      <c r="AE1004" s="1783"/>
      <c r="AF1004" s="1783"/>
      <c r="AG1004" s="1783"/>
      <c r="AH1004" s="1783"/>
      <c r="AI1004" s="1783"/>
      <c r="AJ1004" s="1783"/>
      <c r="AK1004" s="1783"/>
      <c r="AL1004" s="1783"/>
      <c r="AM1004" s="1783"/>
      <c r="AN1004" s="1783"/>
      <c r="AO1004" s="1783"/>
      <c r="AP1004" s="1783"/>
      <c r="AQ1004" s="1783"/>
      <c r="AR1004" s="1783"/>
      <c r="AS1004" s="1783"/>
      <c r="AT1004" s="1783"/>
      <c r="AU1004" s="1783"/>
      <c r="AV1004" s="1783"/>
      <c r="AW1004" s="1783"/>
      <c r="AX1004" s="1783"/>
      <c r="AY1004" s="1783"/>
      <c r="AZ1004" s="1783"/>
      <c r="BA1004" s="1783"/>
      <c r="BB1004" s="1783"/>
      <c r="BC1004" s="1783"/>
      <c r="BD1004" s="1783"/>
      <c r="BE1004" s="1783"/>
      <c r="BF1004" s="1783"/>
      <c r="BG1004" s="1783"/>
      <c r="BH1004" s="1783"/>
      <c r="BI1004" s="1783"/>
    </row>
    <row r="1005" spans="1:61">
      <c r="A1005" s="1819"/>
      <c r="B1005" s="1818"/>
      <c r="C1005" s="1818"/>
      <c r="D1005" s="1818"/>
      <c r="E1005" s="1818"/>
      <c r="F1005" s="1818"/>
      <c r="G1005" s="1818"/>
      <c r="H1005" s="1783"/>
      <c r="I1005" s="1783"/>
      <c r="J1005" s="1783"/>
      <c r="K1005" s="1783"/>
      <c r="L1005" s="1783"/>
      <c r="M1005" s="1783"/>
      <c r="N1005" s="1783"/>
      <c r="O1005" s="1783"/>
      <c r="P1005" s="1783"/>
      <c r="Q1005" s="1783"/>
      <c r="R1005" s="1783"/>
      <c r="S1005" s="1783"/>
      <c r="T1005" s="1783"/>
      <c r="U1005" s="1783"/>
      <c r="V1005" s="1783"/>
      <c r="W1005" s="1783"/>
      <c r="X1005" s="1783"/>
      <c r="Y1005" s="1783"/>
      <c r="Z1005" s="1783"/>
      <c r="AA1005" s="1783"/>
      <c r="AB1005" s="1783"/>
      <c r="AC1005" s="1783"/>
      <c r="AD1005" s="1783"/>
      <c r="AE1005" s="1783"/>
      <c r="AF1005" s="1783"/>
      <c r="AG1005" s="1783"/>
      <c r="AH1005" s="1783"/>
      <c r="AI1005" s="1783"/>
      <c r="AJ1005" s="1783"/>
      <c r="AK1005" s="1783"/>
      <c r="AL1005" s="1783"/>
      <c r="AM1005" s="1783"/>
      <c r="AN1005" s="1783"/>
      <c r="AO1005" s="1783"/>
      <c r="AP1005" s="1783"/>
      <c r="AQ1005" s="1783"/>
      <c r="AR1005" s="1783"/>
      <c r="AS1005" s="1783"/>
      <c r="AT1005" s="1783"/>
      <c r="AU1005" s="1783"/>
      <c r="AV1005" s="1783"/>
      <c r="AW1005" s="1783"/>
      <c r="AX1005" s="1783"/>
      <c r="AY1005" s="1783"/>
      <c r="AZ1005" s="1783"/>
      <c r="BA1005" s="1783"/>
      <c r="BB1005" s="1783"/>
      <c r="BC1005" s="1783"/>
      <c r="BD1005" s="1783"/>
      <c r="BE1005" s="1783"/>
      <c r="BF1005" s="1783"/>
      <c r="BG1005" s="1783"/>
      <c r="BH1005" s="1783"/>
      <c r="BI1005" s="1783"/>
    </row>
    <row r="1006" spans="1:61">
      <c r="A1006" s="1819"/>
      <c r="B1006" s="1818"/>
      <c r="C1006" s="1818"/>
      <c r="D1006" s="1818"/>
      <c r="E1006" s="1818"/>
      <c r="F1006" s="1818"/>
      <c r="G1006" s="1818"/>
      <c r="H1006" s="1783"/>
      <c r="I1006" s="1783"/>
      <c r="J1006" s="1783"/>
      <c r="K1006" s="1783"/>
      <c r="L1006" s="1783"/>
      <c r="M1006" s="1783"/>
      <c r="N1006" s="1783"/>
      <c r="O1006" s="1783"/>
      <c r="P1006" s="1783"/>
      <c r="Q1006" s="1783"/>
      <c r="R1006" s="1783"/>
      <c r="S1006" s="1783"/>
      <c r="T1006" s="1783"/>
      <c r="U1006" s="1783"/>
      <c r="V1006" s="1783"/>
      <c r="W1006" s="1783"/>
      <c r="X1006" s="1783"/>
      <c r="Y1006" s="1783"/>
      <c r="Z1006" s="1783"/>
      <c r="AA1006" s="1783"/>
      <c r="AB1006" s="1783"/>
      <c r="AC1006" s="1783"/>
      <c r="AD1006" s="1783"/>
      <c r="AE1006" s="1783"/>
      <c r="AF1006" s="1783"/>
      <c r="AG1006" s="1783"/>
      <c r="AH1006" s="1783"/>
      <c r="AI1006" s="1783"/>
      <c r="AJ1006" s="1783"/>
      <c r="AK1006" s="1783"/>
      <c r="AL1006" s="1783"/>
      <c r="AM1006" s="1783"/>
      <c r="AN1006" s="1783"/>
      <c r="AO1006" s="1783"/>
      <c r="AP1006" s="1783"/>
      <c r="AQ1006" s="1783"/>
      <c r="AR1006" s="1783"/>
      <c r="AS1006" s="1783"/>
      <c r="AT1006" s="1783"/>
      <c r="AU1006" s="1783"/>
      <c r="AV1006" s="1783"/>
      <c r="AW1006" s="1783"/>
      <c r="AX1006" s="1783"/>
      <c r="AY1006" s="1783"/>
      <c r="AZ1006" s="1783"/>
      <c r="BA1006" s="1783"/>
      <c r="BB1006" s="1783"/>
      <c r="BC1006" s="1783"/>
      <c r="BD1006" s="1783"/>
      <c r="BE1006" s="1783"/>
      <c r="BF1006" s="1783"/>
      <c r="BG1006" s="1783"/>
      <c r="BH1006" s="1783"/>
      <c r="BI1006" s="1783"/>
    </row>
    <row r="1007" spans="1:61">
      <c r="A1007" s="1819"/>
      <c r="B1007" s="1818"/>
      <c r="C1007" s="1818"/>
      <c r="D1007" s="1818"/>
      <c r="E1007" s="1818"/>
      <c r="F1007" s="1818"/>
      <c r="G1007" s="1818"/>
      <c r="H1007" s="1783"/>
      <c r="I1007" s="1783"/>
      <c r="J1007" s="1783"/>
      <c r="K1007" s="1783"/>
      <c r="L1007" s="1783"/>
      <c r="M1007" s="1783"/>
      <c r="N1007" s="1783"/>
      <c r="O1007" s="1783"/>
      <c r="P1007" s="1783"/>
      <c r="Q1007" s="1783"/>
      <c r="R1007" s="1783"/>
      <c r="S1007" s="1783"/>
      <c r="T1007" s="1783"/>
      <c r="U1007" s="1783"/>
      <c r="V1007" s="1783"/>
      <c r="W1007" s="1783"/>
      <c r="X1007" s="1783"/>
      <c r="Y1007" s="1783"/>
      <c r="Z1007" s="1783"/>
      <c r="AA1007" s="1783"/>
      <c r="AB1007" s="1783"/>
      <c r="AC1007" s="1783"/>
      <c r="AD1007" s="1783"/>
      <c r="AE1007" s="1783"/>
      <c r="AF1007" s="1783"/>
      <c r="AG1007" s="1783"/>
      <c r="AH1007" s="1783"/>
      <c r="AI1007" s="1783"/>
      <c r="AJ1007" s="1783"/>
      <c r="AK1007" s="1783"/>
      <c r="AL1007" s="1783"/>
      <c r="AM1007" s="1783"/>
      <c r="AN1007" s="1783"/>
      <c r="AO1007" s="1783"/>
      <c r="AP1007" s="1783"/>
      <c r="AQ1007" s="1783"/>
      <c r="AR1007" s="1783"/>
      <c r="AS1007" s="1783"/>
      <c r="AT1007" s="1783"/>
      <c r="AU1007" s="1783"/>
      <c r="AV1007" s="1783"/>
      <c r="AW1007" s="1783"/>
      <c r="AX1007" s="1783"/>
      <c r="AY1007" s="1783"/>
      <c r="AZ1007" s="1783"/>
      <c r="BA1007" s="1783"/>
      <c r="BB1007" s="1783"/>
      <c r="BC1007" s="1783"/>
      <c r="BD1007" s="1783"/>
      <c r="BE1007" s="1783"/>
      <c r="BF1007" s="1783"/>
      <c r="BG1007" s="1783"/>
      <c r="BH1007" s="1783"/>
      <c r="BI1007" s="1783"/>
    </row>
    <row r="1008" spans="1:61">
      <c r="A1008" s="1819"/>
      <c r="B1008" s="1818"/>
      <c r="C1008" s="1818"/>
      <c r="D1008" s="1818"/>
      <c r="E1008" s="1818"/>
      <c r="F1008" s="1818"/>
      <c r="G1008" s="1818"/>
      <c r="H1008" s="1783"/>
      <c r="I1008" s="1783"/>
      <c r="J1008" s="1783"/>
      <c r="K1008" s="1783"/>
      <c r="L1008" s="1783"/>
      <c r="M1008" s="1783"/>
      <c r="N1008" s="1783"/>
      <c r="O1008" s="1783"/>
      <c r="P1008" s="1783"/>
      <c r="Q1008" s="1783"/>
      <c r="R1008" s="1783"/>
      <c r="S1008" s="1783"/>
      <c r="T1008" s="1783"/>
      <c r="U1008" s="1783"/>
      <c r="V1008" s="1783"/>
      <c r="W1008" s="1783"/>
      <c r="X1008" s="1783"/>
      <c r="Y1008" s="1783"/>
      <c r="Z1008" s="1783"/>
      <c r="AA1008" s="1783"/>
      <c r="AB1008" s="1783"/>
      <c r="AC1008" s="1783"/>
      <c r="AD1008" s="1783"/>
      <c r="AE1008" s="1783"/>
      <c r="AF1008" s="1783"/>
      <c r="AG1008" s="1783"/>
      <c r="AH1008" s="1783"/>
      <c r="AI1008" s="1783"/>
      <c r="AJ1008" s="1783"/>
      <c r="AK1008" s="1783"/>
      <c r="AL1008" s="1783"/>
      <c r="AM1008" s="1783"/>
      <c r="AN1008" s="1783"/>
      <c r="AO1008" s="1783"/>
      <c r="AP1008" s="1783"/>
      <c r="AQ1008" s="1783"/>
      <c r="AR1008" s="1783"/>
      <c r="AS1008" s="1783"/>
      <c r="AT1008" s="1783"/>
      <c r="AU1008" s="1783"/>
      <c r="AV1008" s="1783"/>
      <c r="AW1008" s="1783"/>
      <c r="AX1008" s="1783"/>
      <c r="AY1008" s="1783"/>
      <c r="AZ1008" s="1783"/>
      <c r="BA1008" s="1783"/>
      <c r="BB1008" s="1783"/>
      <c r="BC1008" s="1783"/>
      <c r="BD1008" s="1783"/>
      <c r="BE1008" s="1783"/>
      <c r="BF1008" s="1783"/>
      <c r="BG1008" s="1783"/>
      <c r="BH1008" s="1783"/>
      <c r="BI1008" s="1783"/>
    </row>
    <row r="1009" spans="1:61">
      <c r="A1009" s="1819"/>
      <c r="B1009" s="1818"/>
      <c r="C1009" s="1818"/>
      <c r="D1009" s="1818"/>
      <c r="E1009" s="1818"/>
      <c r="F1009" s="1818"/>
      <c r="G1009" s="1818"/>
      <c r="H1009" s="1783"/>
      <c r="I1009" s="1783"/>
      <c r="J1009" s="1783"/>
      <c r="K1009" s="1783"/>
      <c r="L1009" s="1783"/>
      <c r="M1009" s="1783"/>
      <c r="N1009" s="1783"/>
      <c r="O1009" s="1783"/>
      <c r="P1009" s="1783"/>
      <c r="Q1009" s="1783"/>
      <c r="R1009" s="1783"/>
      <c r="S1009" s="1783"/>
      <c r="T1009" s="1783"/>
      <c r="U1009" s="1783"/>
      <c r="V1009" s="1783"/>
      <c r="W1009" s="1783"/>
      <c r="X1009" s="1783"/>
      <c r="Y1009" s="1783"/>
      <c r="Z1009" s="1783"/>
      <c r="AA1009" s="1783"/>
      <c r="AB1009" s="1783"/>
      <c r="AC1009" s="1783"/>
      <c r="AD1009" s="1783"/>
      <c r="AE1009" s="1783"/>
      <c r="AF1009" s="1783"/>
      <c r="AG1009" s="1783"/>
      <c r="AH1009" s="1783"/>
      <c r="AI1009" s="1783"/>
      <c r="AJ1009" s="1783"/>
      <c r="AK1009" s="1783"/>
      <c r="AL1009" s="1783"/>
      <c r="AM1009" s="1783"/>
      <c r="AN1009" s="1783"/>
      <c r="AO1009" s="1783"/>
      <c r="AP1009" s="1783"/>
      <c r="AQ1009" s="1783"/>
      <c r="AR1009" s="1783"/>
      <c r="AS1009" s="1783"/>
      <c r="AT1009" s="1783"/>
      <c r="AU1009" s="1783"/>
      <c r="AV1009" s="1783"/>
      <c r="AW1009" s="1783"/>
      <c r="AX1009" s="1783"/>
      <c r="AY1009" s="1783"/>
      <c r="AZ1009" s="1783"/>
      <c r="BA1009" s="1783"/>
      <c r="BB1009" s="1783"/>
      <c r="BC1009" s="1783"/>
      <c r="BD1009" s="1783"/>
      <c r="BE1009" s="1783"/>
      <c r="BF1009" s="1783"/>
      <c r="BG1009" s="1783"/>
      <c r="BH1009" s="1783"/>
      <c r="BI1009" s="1783"/>
    </row>
    <row r="1010" spans="1:61">
      <c r="A1010" s="1819"/>
      <c r="B1010" s="1818"/>
      <c r="C1010" s="1818"/>
      <c r="D1010" s="1818"/>
      <c r="E1010" s="1818"/>
      <c r="F1010" s="1818"/>
      <c r="G1010" s="1818"/>
      <c r="H1010" s="1783"/>
      <c r="I1010" s="1783"/>
      <c r="J1010" s="1783"/>
      <c r="K1010" s="1783"/>
      <c r="L1010" s="1783"/>
      <c r="M1010" s="1783"/>
      <c r="N1010" s="1783"/>
      <c r="O1010" s="1783"/>
      <c r="P1010" s="1783"/>
      <c r="Q1010" s="1783"/>
      <c r="R1010" s="1783"/>
      <c r="S1010" s="1783"/>
      <c r="T1010" s="1783"/>
      <c r="U1010" s="1783"/>
      <c r="V1010" s="1783"/>
      <c r="W1010" s="1783"/>
      <c r="X1010" s="1783"/>
      <c r="Y1010" s="1783"/>
      <c r="Z1010" s="1783"/>
      <c r="AA1010" s="1783"/>
      <c r="AB1010" s="1783"/>
      <c r="AC1010" s="1783"/>
      <c r="AD1010" s="1783"/>
      <c r="AE1010" s="1783"/>
      <c r="AF1010" s="1783"/>
      <c r="AG1010" s="1783"/>
      <c r="AH1010" s="1783"/>
      <c r="AI1010" s="1783"/>
      <c r="AJ1010" s="1783"/>
      <c r="AK1010" s="1783"/>
      <c r="AL1010" s="1783"/>
      <c r="AM1010" s="1783"/>
      <c r="AN1010" s="1783"/>
      <c r="AO1010" s="1783"/>
      <c r="AP1010" s="1783"/>
      <c r="AQ1010" s="1783"/>
      <c r="AR1010" s="1783"/>
      <c r="AS1010" s="1783"/>
      <c r="AT1010" s="1783"/>
      <c r="AU1010" s="1783"/>
      <c r="AV1010" s="1783"/>
      <c r="AW1010" s="1783"/>
      <c r="AX1010" s="1783"/>
      <c r="AY1010" s="1783"/>
      <c r="AZ1010" s="1783"/>
      <c r="BA1010" s="1783"/>
      <c r="BB1010" s="1783"/>
      <c r="BC1010" s="1783"/>
      <c r="BD1010" s="1783"/>
      <c r="BE1010" s="1783"/>
      <c r="BF1010" s="1783"/>
      <c r="BG1010" s="1783"/>
      <c r="BH1010" s="1783"/>
      <c r="BI1010" s="1783"/>
    </row>
    <row r="1011" spans="1:61">
      <c r="A1011" s="1819"/>
      <c r="B1011" s="1818"/>
      <c r="C1011" s="1818"/>
      <c r="D1011" s="1818"/>
      <c r="E1011" s="1818"/>
      <c r="F1011" s="1818"/>
      <c r="G1011" s="1818"/>
      <c r="H1011" s="1783"/>
      <c r="I1011" s="1783"/>
      <c r="J1011" s="1783"/>
      <c r="K1011" s="1783"/>
      <c r="L1011" s="1783"/>
      <c r="M1011" s="1783"/>
      <c r="N1011" s="1783"/>
      <c r="O1011" s="1783"/>
      <c r="P1011" s="1783"/>
      <c r="Q1011" s="1783"/>
      <c r="R1011" s="1783"/>
      <c r="S1011" s="1783"/>
      <c r="T1011" s="1783"/>
      <c r="U1011" s="1783"/>
      <c r="V1011" s="1783"/>
      <c r="W1011" s="1783"/>
      <c r="X1011" s="1783"/>
      <c r="Y1011" s="1783"/>
      <c r="Z1011" s="1783"/>
      <c r="AA1011" s="1783"/>
      <c r="AB1011" s="1783"/>
      <c r="AC1011" s="1783"/>
      <c r="AD1011" s="1783"/>
      <c r="AE1011" s="1783"/>
      <c r="AF1011" s="1783"/>
      <c r="AG1011" s="1783"/>
      <c r="AH1011" s="1783"/>
      <c r="AI1011" s="1783"/>
      <c r="AJ1011" s="1783"/>
      <c r="AK1011" s="1783"/>
      <c r="AL1011" s="1783"/>
      <c r="AM1011" s="1783"/>
      <c r="AN1011" s="1783"/>
      <c r="AO1011" s="1783"/>
      <c r="AP1011" s="1783"/>
      <c r="AQ1011" s="1783"/>
      <c r="AR1011" s="1783"/>
      <c r="AS1011" s="1783"/>
      <c r="AT1011" s="1783"/>
      <c r="AU1011" s="1783"/>
      <c r="AV1011" s="1783"/>
      <c r="AW1011" s="1783"/>
      <c r="AX1011" s="1783"/>
      <c r="AY1011" s="1783"/>
      <c r="AZ1011" s="1783"/>
      <c r="BA1011" s="1783"/>
      <c r="BB1011" s="1783"/>
      <c r="BC1011" s="1783"/>
      <c r="BD1011" s="1783"/>
      <c r="BE1011" s="1783"/>
      <c r="BF1011" s="1783"/>
      <c r="BG1011" s="1783"/>
      <c r="BH1011" s="1783"/>
      <c r="BI1011" s="1783"/>
    </row>
    <row r="1012" spans="1:61">
      <c r="A1012" s="1819"/>
      <c r="B1012" s="1818"/>
      <c r="C1012" s="1818"/>
      <c r="D1012" s="1818"/>
      <c r="E1012" s="1818"/>
      <c r="F1012" s="1818"/>
      <c r="G1012" s="1818"/>
      <c r="H1012" s="1783"/>
      <c r="I1012" s="1783"/>
      <c r="J1012" s="1783"/>
      <c r="K1012" s="1783"/>
      <c r="L1012" s="1783"/>
      <c r="M1012" s="1783"/>
      <c r="N1012" s="1783"/>
      <c r="O1012" s="1783"/>
      <c r="P1012" s="1783"/>
      <c r="Q1012" s="1783"/>
      <c r="R1012" s="1783"/>
      <c r="S1012" s="1783"/>
      <c r="T1012" s="1783"/>
      <c r="U1012" s="1783"/>
      <c r="V1012" s="1783"/>
      <c r="W1012" s="1783"/>
      <c r="X1012" s="1783"/>
      <c r="Y1012" s="1783"/>
      <c r="Z1012" s="1783"/>
      <c r="AA1012" s="1783"/>
      <c r="AB1012" s="1783"/>
      <c r="AC1012" s="1783"/>
      <c r="AD1012" s="1783"/>
      <c r="AE1012" s="1783"/>
      <c r="AF1012" s="1783"/>
      <c r="AG1012" s="1783"/>
      <c r="AH1012" s="1783"/>
      <c r="AI1012" s="1783"/>
      <c r="AJ1012" s="1783"/>
      <c r="AK1012" s="1783"/>
      <c r="AL1012" s="1783"/>
      <c r="AM1012" s="1783"/>
      <c r="AN1012" s="1783"/>
      <c r="AO1012" s="1783"/>
      <c r="AP1012" s="1783"/>
      <c r="AQ1012" s="1783"/>
      <c r="AR1012" s="1783"/>
      <c r="AS1012" s="1783"/>
      <c r="AT1012" s="1783"/>
      <c r="AU1012" s="1783"/>
      <c r="AV1012" s="1783"/>
      <c r="AW1012" s="1783"/>
      <c r="AX1012" s="1783"/>
      <c r="AY1012" s="1783"/>
      <c r="AZ1012" s="1783"/>
      <c r="BA1012" s="1783"/>
      <c r="BB1012" s="1783"/>
      <c r="BC1012" s="1783"/>
      <c r="BD1012" s="1783"/>
      <c r="BE1012" s="1783"/>
      <c r="BF1012" s="1783"/>
      <c r="BG1012" s="1783"/>
      <c r="BH1012" s="1783"/>
      <c r="BI1012" s="1783"/>
    </row>
    <row r="1013" spans="1:61">
      <c r="A1013" s="1819"/>
      <c r="B1013" s="1818"/>
      <c r="C1013" s="1818"/>
      <c r="D1013" s="1818"/>
      <c r="E1013" s="1818"/>
      <c r="F1013" s="1818"/>
      <c r="G1013" s="1818"/>
      <c r="H1013" s="1783"/>
      <c r="I1013" s="1783"/>
      <c r="J1013" s="1783"/>
      <c r="K1013" s="1783"/>
      <c r="L1013" s="1783"/>
      <c r="M1013" s="1783"/>
      <c r="N1013" s="1783"/>
      <c r="O1013" s="1783"/>
      <c r="P1013" s="1783"/>
      <c r="Q1013" s="1783"/>
      <c r="R1013" s="1783"/>
      <c r="S1013" s="1783"/>
      <c r="T1013" s="1783"/>
      <c r="U1013" s="1783"/>
      <c r="V1013" s="1783"/>
      <c r="W1013" s="1783"/>
      <c r="X1013" s="1783"/>
      <c r="Y1013" s="1783"/>
      <c r="Z1013" s="1783"/>
      <c r="AA1013" s="1783"/>
      <c r="AB1013" s="1783"/>
      <c r="AC1013" s="1783"/>
      <c r="AD1013" s="1783"/>
      <c r="AE1013" s="1783"/>
      <c r="AF1013" s="1783"/>
      <c r="AG1013" s="1783"/>
      <c r="AH1013" s="1783"/>
      <c r="AI1013" s="1783"/>
      <c r="AJ1013" s="1783"/>
      <c r="AK1013" s="1783"/>
      <c r="AL1013" s="1783"/>
      <c r="AM1013" s="1783"/>
      <c r="AN1013" s="1783"/>
      <c r="AO1013" s="1783"/>
      <c r="AP1013" s="1783"/>
      <c r="AQ1013" s="1783"/>
      <c r="AR1013" s="1783"/>
      <c r="AS1013" s="1783"/>
      <c r="AT1013" s="1783"/>
      <c r="AU1013" s="1783"/>
      <c r="AV1013" s="1783"/>
      <c r="AW1013" s="1783"/>
      <c r="AX1013" s="1783"/>
      <c r="AY1013" s="1783"/>
      <c r="AZ1013" s="1783"/>
      <c r="BA1013" s="1783"/>
      <c r="BB1013" s="1783"/>
      <c r="BC1013" s="1783"/>
      <c r="BD1013" s="1783"/>
      <c r="BE1013" s="1783"/>
      <c r="BF1013" s="1783"/>
      <c r="BG1013" s="1783"/>
      <c r="BH1013" s="1783"/>
      <c r="BI1013" s="1783"/>
    </row>
    <row r="1014" spans="1:61">
      <c r="A1014" s="1819"/>
      <c r="B1014" s="1818"/>
      <c r="C1014" s="1818"/>
      <c r="D1014" s="1818"/>
      <c r="E1014" s="1818"/>
      <c r="F1014" s="1818"/>
      <c r="G1014" s="1818"/>
      <c r="H1014" s="1783"/>
      <c r="I1014" s="1783"/>
      <c r="J1014" s="1783"/>
      <c r="K1014" s="1783"/>
      <c r="L1014" s="1783"/>
      <c r="M1014" s="1783"/>
      <c r="N1014" s="1783"/>
      <c r="O1014" s="1783"/>
      <c r="P1014" s="1783"/>
      <c r="Q1014" s="1783"/>
      <c r="R1014" s="1783"/>
      <c r="S1014" s="1783"/>
      <c r="T1014" s="1783"/>
      <c r="U1014" s="1783"/>
      <c r="V1014" s="1783"/>
      <c r="W1014" s="1783"/>
      <c r="X1014" s="1783"/>
      <c r="Y1014" s="1783"/>
      <c r="Z1014" s="1783"/>
      <c r="AA1014" s="1783"/>
      <c r="AB1014" s="1783"/>
      <c r="AC1014" s="1783"/>
      <c r="AD1014" s="1783"/>
      <c r="AE1014" s="1783"/>
      <c r="AF1014" s="1783"/>
      <c r="AG1014" s="1783"/>
      <c r="AH1014" s="1783"/>
      <c r="AI1014" s="1783"/>
      <c r="AJ1014" s="1783"/>
      <c r="AK1014" s="1783"/>
      <c r="AL1014" s="1783"/>
      <c r="AM1014" s="1783"/>
      <c r="AN1014" s="1783"/>
      <c r="AO1014" s="1783"/>
      <c r="AP1014" s="1783"/>
      <c r="AQ1014" s="1783"/>
      <c r="AR1014" s="1783"/>
      <c r="AS1014" s="1783"/>
      <c r="AT1014" s="1783"/>
      <c r="AU1014" s="1783"/>
      <c r="AV1014" s="1783"/>
      <c r="AW1014" s="1783"/>
      <c r="AX1014" s="1783"/>
      <c r="AY1014" s="1783"/>
      <c r="AZ1014" s="1783"/>
      <c r="BA1014" s="1783"/>
      <c r="BB1014" s="1783"/>
      <c r="BC1014" s="1783"/>
      <c r="BD1014" s="1783"/>
      <c r="BE1014" s="1783"/>
      <c r="BF1014" s="1783"/>
      <c r="BG1014" s="1783"/>
      <c r="BH1014" s="1783"/>
      <c r="BI1014" s="1783"/>
    </row>
    <row r="1015" spans="1:61">
      <c r="A1015" s="1819"/>
      <c r="B1015" s="1818"/>
      <c r="C1015" s="1818"/>
      <c r="D1015" s="1818"/>
      <c r="E1015" s="1818"/>
      <c r="F1015" s="1818"/>
      <c r="G1015" s="1818"/>
      <c r="H1015" s="1783"/>
      <c r="I1015" s="1783"/>
      <c r="J1015" s="1783"/>
      <c r="K1015" s="1783"/>
      <c r="L1015" s="1783"/>
      <c r="M1015" s="1783"/>
      <c r="N1015" s="1783"/>
      <c r="O1015" s="1783"/>
      <c r="P1015" s="1783"/>
      <c r="Q1015" s="1783"/>
      <c r="R1015" s="1783"/>
      <c r="S1015" s="1783"/>
      <c r="T1015" s="1783"/>
      <c r="U1015" s="1783"/>
      <c r="V1015" s="1783"/>
      <c r="W1015" s="1783"/>
      <c r="X1015" s="1783"/>
      <c r="Y1015" s="1783"/>
      <c r="Z1015" s="1783"/>
      <c r="AA1015" s="1783"/>
      <c r="AB1015" s="1783"/>
      <c r="AC1015" s="1783"/>
      <c r="AD1015" s="1783"/>
      <c r="AE1015" s="1783"/>
      <c r="AF1015" s="1783"/>
      <c r="AG1015" s="1783"/>
      <c r="AH1015" s="1783"/>
      <c r="AI1015" s="1783"/>
      <c r="AJ1015" s="1783"/>
      <c r="AK1015" s="1783"/>
      <c r="AL1015" s="1783"/>
      <c r="AM1015" s="1783"/>
      <c r="AN1015" s="1783"/>
      <c r="AO1015" s="1783"/>
      <c r="AP1015" s="1783"/>
      <c r="AQ1015" s="1783"/>
      <c r="AR1015" s="1783"/>
      <c r="AS1015" s="1783"/>
      <c r="AT1015" s="1783"/>
      <c r="AU1015" s="1783"/>
      <c r="AV1015" s="1783"/>
      <c r="AW1015" s="1783"/>
      <c r="AX1015" s="1783"/>
      <c r="AY1015" s="1783"/>
      <c r="AZ1015" s="1783"/>
      <c r="BA1015" s="1783"/>
      <c r="BB1015" s="1783"/>
      <c r="BC1015" s="1783"/>
      <c r="BD1015" s="1783"/>
      <c r="BE1015" s="1783"/>
      <c r="BF1015" s="1783"/>
      <c r="BG1015" s="1783"/>
      <c r="BH1015" s="1783"/>
      <c r="BI1015" s="1783"/>
    </row>
    <row r="1016" spans="1:61">
      <c r="A1016" s="1819"/>
      <c r="B1016" s="1818"/>
      <c r="C1016" s="1818"/>
      <c r="D1016" s="1818"/>
      <c r="E1016" s="1818"/>
      <c r="F1016" s="1818"/>
      <c r="G1016" s="1818"/>
      <c r="H1016" s="1783"/>
      <c r="I1016" s="1783"/>
      <c r="J1016" s="1783"/>
      <c r="K1016" s="1783"/>
      <c r="L1016" s="1783"/>
      <c r="M1016" s="1783"/>
      <c r="N1016" s="1783"/>
      <c r="O1016" s="1783"/>
      <c r="P1016" s="1783"/>
      <c r="Q1016" s="1783"/>
      <c r="R1016" s="1783"/>
      <c r="S1016" s="1783"/>
      <c r="T1016" s="1783"/>
      <c r="U1016" s="1783"/>
      <c r="V1016" s="1783"/>
      <c r="W1016" s="1783"/>
      <c r="X1016" s="1783"/>
      <c r="Y1016" s="1783"/>
      <c r="Z1016" s="1783"/>
      <c r="AA1016" s="1783"/>
      <c r="AB1016" s="1783"/>
      <c r="AC1016" s="1783"/>
      <c r="AD1016" s="1783"/>
      <c r="AE1016" s="1783"/>
      <c r="AF1016" s="1783"/>
      <c r="AG1016" s="1783"/>
      <c r="AH1016" s="1783"/>
      <c r="AI1016" s="1783"/>
      <c r="AJ1016" s="1783"/>
      <c r="AK1016" s="1783"/>
      <c r="AL1016" s="1783"/>
      <c r="AM1016" s="1783"/>
      <c r="AN1016" s="1783"/>
      <c r="AO1016" s="1783"/>
      <c r="AP1016" s="1783"/>
      <c r="AQ1016" s="1783"/>
      <c r="AR1016" s="1783"/>
      <c r="AS1016" s="1783"/>
      <c r="AT1016" s="1783"/>
      <c r="AU1016" s="1783"/>
      <c r="AV1016" s="1783"/>
      <c r="AW1016" s="1783"/>
      <c r="AX1016" s="1783"/>
      <c r="AY1016" s="1783"/>
      <c r="AZ1016" s="1783"/>
      <c r="BA1016" s="1783"/>
      <c r="BB1016" s="1783"/>
      <c r="BC1016" s="1783"/>
      <c r="BD1016" s="1783"/>
      <c r="BE1016" s="1783"/>
      <c r="BF1016" s="1783"/>
      <c r="BG1016" s="1783"/>
      <c r="BH1016" s="1783"/>
      <c r="BI1016" s="1783"/>
    </row>
    <row r="1017" spans="1:61">
      <c r="A1017" s="1819"/>
      <c r="B1017" s="1818"/>
      <c r="C1017" s="1818"/>
      <c r="D1017" s="1818"/>
      <c r="E1017" s="1818"/>
      <c r="F1017" s="1818"/>
      <c r="G1017" s="1818"/>
      <c r="H1017" s="1783"/>
      <c r="I1017" s="1783"/>
      <c r="J1017" s="1783"/>
      <c r="K1017" s="1783"/>
      <c r="L1017" s="1783"/>
      <c r="M1017" s="1783"/>
      <c r="N1017" s="1783"/>
      <c r="O1017" s="1783"/>
      <c r="P1017" s="1783"/>
      <c r="Q1017" s="1783"/>
      <c r="R1017" s="1783"/>
      <c r="S1017" s="1783"/>
      <c r="T1017" s="1783"/>
      <c r="U1017" s="1783"/>
      <c r="V1017" s="1783"/>
      <c r="W1017" s="1783"/>
      <c r="X1017" s="1783"/>
      <c r="Y1017" s="1783"/>
      <c r="Z1017" s="1783"/>
      <c r="AA1017" s="1783"/>
      <c r="AB1017" s="1783"/>
      <c r="AC1017" s="1783"/>
      <c r="AD1017" s="1783"/>
      <c r="AE1017" s="1783"/>
      <c r="AF1017" s="1783"/>
      <c r="AG1017" s="1783"/>
      <c r="AH1017" s="1783"/>
      <c r="AI1017" s="1783"/>
      <c r="AJ1017" s="1783"/>
      <c r="AK1017" s="1783"/>
      <c r="AL1017" s="1783"/>
      <c r="AM1017" s="1783"/>
      <c r="AN1017" s="1783"/>
      <c r="AO1017" s="1783"/>
      <c r="AP1017" s="1783"/>
      <c r="AQ1017" s="1783"/>
      <c r="AR1017" s="1783"/>
      <c r="AS1017" s="1783"/>
      <c r="AT1017" s="1783"/>
      <c r="AU1017" s="1783"/>
      <c r="AV1017" s="1783"/>
      <c r="AW1017" s="1783"/>
      <c r="AX1017" s="1783"/>
      <c r="AY1017" s="1783"/>
      <c r="AZ1017" s="1783"/>
      <c r="BA1017" s="1783"/>
      <c r="BB1017" s="1783"/>
      <c r="BC1017" s="1783"/>
      <c r="BD1017" s="1783"/>
      <c r="BE1017" s="1783"/>
      <c r="BF1017" s="1783"/>
      <c r="BG1017" s="1783"/>
      <c r="BH1017" s="1783"/>
      <c r="BI1017" s="1783"/>
    </row>
    <row r="1018" spans="1:61">
      <c r="A1018" s="1819"/>
      <c r="B1018" s="1818"/>
      <c r="C1018" s="1818"/>
      <c r="D1018" s="1818"/>
      <c r="E1018" s="1818"/>
      <c r="F1018" s="1818"/>
      <c r="G1018" s="1818"/>
      <c r="H1018" s="1783"/>
      <c r="I1018" s="1783"/>
      <c r="J1018" s="1783"/>
      <c r="K1018" s="1783"/>
      <c r="L1018" s="1783"/>
      <c r="M1018" s="1783"/>
      <c r="N1018" s="1783"/>
      <c r="O1018" s="1783"/>
      <c r="P1018" s="1783"/>
      <c r="Q1018" s="1783"/>
      <c r="R1018" s="1783"/>
      <c r="S1018" s="1783"/>
      <c r="T1018" s="1783"/>
      <c r="U1018" s="1783"/>
      <c r="V1018" s="1783"/>
      <c r="W1018" s="1783"/>
      <c r="X1018" s="1783"/>
      <c r="Y1018" s="1783"/>
      <c r="Z1018" s="1783"/>
      <c r="AA1018" s="1783"/>
      <c r="AB1018" s="1783"/>
      <c r="AC1018" s="1783"/>
      <c r="AD1018" s="1783"/>
      <c r="AE1018" s="1783"/>
      <c r="AF1018" s="1783"/>
      <c r="AG1018" s="1783"/>
      <c r="AH1018" s="1783"/>
      <c r="AI1018" s="1783"/>
      <c r="AJ1018" s="1783"/>
      <c r="AK1018" s="1783"/>
      <c r="AL1018" s="1783"/>
      <c r="AM1018" s="1783"/>
      <c r="AN1018" s="1783"/>
      <c r="AO1018" s="1783"/>
      <c r="AP1018" s="1783"/>
      <c r="AQ1018" s="1783"/>
      <c r="AR1018" s="1783"/>
      <c r="AS1018" s="1783"/>
      <c r="AT1018" s="1783"/>
      <c r="AU1018" s="1783"/>
      <c r="AV1018" s="1783"/>
      <c r="AW1018" s="1783"/>
      <c r="AX1018" s="1783"/>
      <c r="AY1018" s="1783"/>
      <c r="AZ1018" s="1783"/>
      <c r="BA1018" s="1783"/>
      <c r="BB1018" s="1783"/>
      <c r="BC1018" s="1783"/>
      <c r="BD1018" s="1783"/>
      <c r="BE1018" s="1783"/>
      <c r="BF1018" s="1783"/>
      <c r="BG1018" s="1783"/>
      <c r="BH1018" s="1783"/>
      <c r="BI1018" s="1783"/>
    </row>
    <row r="1019" spans="1:61">
      <c r="A1019" s="1819"/>
      <c r="B1019" s="1818"/>
      <c r="C1019" s="1818"/>
      <c r="D1019" s="1818"/>
      <c r="E1019" s="1818"/>
      <c r="F1019" s="1818"/>
      <c r="G1019" s="1818"/>
      <c r="H1019" s="1783"/>
      <c r="I1019" s="1783"/>
      <c r="J1019" s="1783"/>
      <c r="K1019" s="1783"/>
      <c r="L1019" s="1783"/>
      <c r="M1019" s="1783"/>
      <c r="N1019" s="1783"/>
      <c r="O1019" s="1783"/>
      <c r="P1019" s="1783"/>
      <c r="Q1019" s="1783"/>
      <c r="R1019" s="1783"/>
      <c r="S1019" s="1783"/>
      <c r="T1019" s="1783"/>
      <c r="U1019" s="1783"/>
      <c r="V1019" s="1783"/>
      <c r="W1019" s="1783"/>
      <c r="X1019" s="1783"/>
      <c r="Y1019" s="1783"/>
      <c r="Z1019" s="1783"/>
      <c r="AA1019" s="1783"/>
      <c r="AB1019" s="1783"/>
      <c r="AC1019" s="1783"/>
      <c r="AD1019" s="1783"/>
      <c r="AE1019" s="1783"/>
      <c r="AF1019" s="1783"/>
      <c r="AG1019" s="1783"/>
      <c r="AH1019" s="1783"/>
      <c r="AI1019" s="1783"/>
      <c r="AJ1019" s="1783"/>
      <c r="AK1019" s="1783"/>
      <c r="AL1019" s="1783"/>
      <c r="AM1019" s="1783"/>
      <c r="AN1019" s="1783"/>
      <c r="AO1019" s="1783"/>
      <c r="AP1019" s="1783"/>
      <c r="AQ1019" s="1783"/>
      <c r="AR1019" s="1783"/>
      <c r="AS1019" s="1783"/>
      <c r="AT1019" s="1783"/>
      <c r="AU1019" s="1783"/>
      <c r="AV1019" s="1783"/>
      <c r="AW1019" s="1783"/>
      <c r="AX1019" s="1783"/>
      <c r="AY1019" s="1783"/>
      <c r="AZ1019" s="1783"/>
      <c r="BA1019" s="1783"/>
      <c r="BB1019" s="1783"/>
      <c r="BC1019" s="1783"/>
      <c r="BD1019" s="1783"/>
      <c r="BE1019" s="1783"/>
      <c r="BF1019" s="1783"/>
      <c r="BG1019" s="1783"/>
      <c r="BH1019" s="1783"/>
      <c r="BI1019" s="1783"/>
    </row>
    <row r="1020" spans="1:61">
      <c r="A1020" s="1819"/>
      <c r="B1020" s="1818"/>
      <c r="C1020" s="1818"/>
      <c r="D1020" s="1818"/>
      <c r="E1020" s="1818"/>
      <c r="F1020" s="1818"/>
      <c r="G1020" s="1818"/>
      <c r="H1020" s="1783"/>
      <c r="I1020" s="1783"/>
      <c r="J1020" s="1783"/>
      <c r="K1020" s="1783"/>
      <c r="L1020" s="1783"/>
      <c r="M1020" s="1783"/>
      <c r="N1020" s="1783"/>
      <c r="O1020" s="1783"/>
      <c r="P1020" s="1783"/>
      <c r="Q1020" s="1783"/>
      <c r="R1020" s="1783"/>
      <c r="S1020" s="1783"/>
      <c r="T1020" s="1783"/>
      <c r="U1020" s="1783"/>
      <c r="V1020" s="1783"/>
      <c r="W1020" s="1783"/>
      <c r="X1020" s="1783"/>
      <c r="Y1020" s="1783"/>
      <c r="Z1020" s="1783"/>
      <c r="AA1020" s="1783"/>
      <c r="AB1020" s="1783"/>
      <c r="AC1020" s="1783"/>
      <c r="AD1020" s="1783"/>
      <c r="AE1020" s="1783"/>
      <c r="AF1020" s="1783"/>
      <c r="AG1020" s="1783"/>
      <c r="AH1020" s="1783"/>
      <c r="AI1020" s="1783"/>
      <c r="AJ1020" s="1783"/>
      <c r="AK1020" s="1783"/>
      <c r="AL1020" s="1783"/>
      <c r="AM1020" s="1783"/>
      <c r="AN1020" s="1783"/>
      <c r="AO1020" s="1783"/>
      <c r="AP1020" s="1783"/>
      <c r="AQ1020" s="1783"/>
      <c r="AR1020" s="1783"/>
      <c r="AS1020" s="1783"/>
      <c r="AT1020" s="1783"/>
      <c r="AU1020" s="1783"/>
      <c r="AV1020" s="1783"/>
      <c r="AW1020" s="1783"/>
      <c r="AX1020" s="1783"/>
      <c r="AY1020" s="1783"/>
      <c r="AZ1020" s="1783"/>
      <c r="BA1020" s="1783"/>
      <c r="BB1020" s="1783"/>
      <c r="BC1020" s="1783"/>
      <c r="BD1020" s="1783"/>
      <c r="BE1020" s="1783"/>
      <c r="BF1020" s="1783"/>
      <c r="BG1020" s="1783"/>
      <c r="BH1020" s="1783"/>
      <c r="BI1020" s="1783"/>
    </row>
    <row r="1021" spans="1:61">
      <c r="A1021" s="1819"/>
      <c r="B1021" s="1818"/>
      <c r="C1021" s="1818"/>
      <c r="D1021" s="1818"/>
      <c r="E1021" s="1818"/>
      <c r="F1021" s="1818"/>
      <c r="G1021" s="1818"/>
      <c r="H1021" s="1783"/>
      <c r="I1021" s="1783"/>
      <c r="J1021" s="1783"/>
      <c r="K1021" s="1783"/>
      <c r="L1021" s="1783"/>
      <c r="M1021" s="1783"/>
      <c r="N1021" s="1783"/>
      <c r="O1021" s="1783"/>
      <c r="P1021" s="1783"/>
      <c r="Q1021" s="1783"/>
      <c r="R1021" s="1783"/>
      <c r="S1021" s="1783"/>
      <c r="T1021" s="1783"/>
      <c r="U1021" s="1783"/>
      <c r="V1021" s="1783"/>
      <c r="W1021" s="1783"/>
      <c r="X1021" s="1783"/>
      <c r="Y1021" s="1783"/>
      <c r="Z1021" s="1783"/>
      <c r="AA1021" s="1783"/>
      <c r="AB1021" s="1783"/>
      <c r="AC1021" s="1783"/>
      <c r="AD1021" s="1783"/>
      <c r="AE1021" s="1783"/>
      <c r="AF1021" s="1783"/>
      <c r="AG1021" s="1783"/>
      <c r="AH1021" s="1783"/>
      <c r="AI1021" s="1783"/>
      <c r="AJ1021" s="1783"/>
      <c r="AK1021" s="1783"/>
      <c r="AL1021" s="1783"/>
      <c r="AM1021" s="1783"/>
      <c r="AN1021" s="1783"/>
      <c r="AO1021" s="1783"/>
      <c r="AP1021" s="1783"/>
      <c r="AQ1021" s="1783"/>
      <c r="AR1021" s="1783"/>
      <c r="AS1021" s="1783"/>
      <c r="AT1021" s="1783"/>
      <c r="AU1021" s="1783"/>
      <c r="AV1021" s="1783"/>
      <c r="AW1021" s="1783"/>
      <c r="AX1021" s="1783"/>
      <c r="AY1021" s="1783"/>
      <c r="AZ1021" s="1783"/>
      <c r="BA1021" s="1783"/>
      <c r="BB1021" s="1783"/>
      <c r="BC1021" s="1783"/>
      <c r="BD1021" s="1783"/>
      <c r="BE1021" s="1783"/>
      <c r="BF1021" s="1783"/>
      <c r="BG1021" s="1783"/>
      <c r="BH1021" s="1783"/>
      <c r="BI1021" s="1783"/>
    </row>
    <row r="1022" spans="1:61">
      <c r="A1022" s="1819"/>
      <c r="B1022" s="1818"/>
      <c r="C1022" s="1818"/>
      <c r="D1022" s="1818"/>
      <c r="E1022" s="1818"/>
      <c r="F1022" s="1818"/>
      <c r="G1022" s="1818"/>
      <c r="H1022" s="1783"/>
      <c r="I1022" s="1783"/>
      <c r="J1022" s="1783"/>
      <c r="K1022" s="1783"/>
      <c r="L1022" s="1783"/>
      <c r="M1022" s="1783"/>
      <c r="N1022" s="1783"/>
      <c r="O1022" s="1783"/>
      <c r="P1022" s="1783"/>
      <c r="Q1022" s="1783"/>
      <c r="R1022" s="1783"/>
      <c r="S1022" s="1783"/>
      <c r="T1022" s="1783"/>
      <c r="U1022" s="1783"/>
      <c r="V1022" s="1783"/>
      <c r="W1022" s="1783"/>
      <c r="X1022" s="1783"/>
      <c r="Y1022" s="1783"/>
      <c r="Z1022" s="1783"/>
      <c r="AA1022" s="1783"/>
      <c r="AB1022" s="1783"/>
      <c r="AC1022" s="1783"/>
      <c r="AD1022" s="1783"/>
      <c r="AE1022" s="1783"/>
      <c r="AF1022" s="1783"/>
      <c r="AG1022" s="1783"/>
      <c r="AH1022" s="1783"/>
      <c r="AI1022" s="1783"/>
      <c r="AJ1022" s="1783"/>
      <c r="AK1022" s="1783"/>
      <c r="AL1022" s="1783"/>
      <c r="AM1022" s="1783"/>
      <c r="AN1022" s="1783"/>
      <c r="AO1022" s="1783"/>
      <c r="AP1022" s="1783"/>
      <c r="AQ1022" s="1783"/>
      <c r="AR1022" s="1783"/>
      <c r="AS1022" s="1783"/>
      <c r="AT1022" s="1783"/>
      <c r="AU1022" s="1783"/>
      <c r="AV1022" s="1783"/>
      <c r="AW1022" s="1783"/>
      <c r="AX1022" s="1783"/>
      <c r="AY1022" s="1783"/>
      <c r="AZ1022" s="1783"/>
      <c r="BA1022" s="1783"/>
      <c r="BB1022" s="1783"/>
      <c r="BC1022" s="1783"/>
      <c r="BD1022" s="1783"/>
      <c r="BE1022" s="1783"/>
      <c r="BF1022" s="1783"/>
      <c r="BG1022" s="1783"/>
      <c r="BH1022" s="1783"/>
      <c r="BI1022" s="1783"/>
    </row>
    <row r="1023" spans="1:61">
      <c r="A1023" s="1819"/>
      <c r="B1023" s="1818"/>
      <c r="C1023" s="1818"/>
      <c r="D1023" s="1818"/>
      <c r="E1023" s="1818"/>
      <c r="F1023" s="1818"/>
      <c r="G1023" s="1818"/>
      <c r="H1023" s="1783"/>
      <c r="I1023" s="1783"/>
      <c r="J1023" s="1783"/>
      <c r="K1023" s="1783"/>
      <c r="L1023" s="1783"/>
      <c r="M1023" s="1783"/>
      <c r="N1023" s="1783"/>
      <c r="O1023" s="1783"/>
      <c r="P1023" s="1783"/>
      <c r="Q1023" s="1783"/>
      <c r="R1023" s="1783"/>
      <c r="S1023" s="1783"/>
      <c r="T1023" s="1783"/>
      <c r="U1023" s="1783"/>
      <c r="V1023" s="1783"/>
      <c r="W1023" s="1783"/>
      <c r="X1023" s="1783"/>
      <c r="Y1023" s="1783"/>
      <c r="Z1023" s="1783"/>
      <c r="AA1023" s="1783"/>
      <c r="AB1023" s="1783"/>
      <c r="AC1023" s="1783"/>
      <c r="AD1023" s="1783"/>
      <c r="AE1023" s="1783"/>
      <c r="AF1023" s="1783"/>
      <c r="AG1023" s="1783"/>
      <c r="AH1023" s="1783"/>
      <c r="AI1023" s="1783"/>
      <c r="AJ1023" s="1783"/>
      <c r="AK1023" s="1783"/>
      <c r="AL1023" s="1783"/>
      <c r="AM1023" s="1783"/>
      <c r="AN1023" s="1783"/>
      <c r="AO1023" s="1783"/>
      <c r="AP1023" s="1783"/>
      <c r="AQ1023" s="1783"/>
      <c r="AR1023" s="1783"/>
      <c r="AS1023" s="1783"/>
      <c r="AT1023" s="1783"/>
      <c r="AU1023" s="1783"/>
      <c r="AV1023" s="1783"/>
      <c r="AW1023" s="1783"/>
      <c r="AX1023" s="1783"/>
      <c r="AY1023" s="1783"/>
      <c r="AZ1023" s="1783"/>
      <c r="BA1023" s="1783"/>
      <c r="BB1023" s="1783"/>
      <c r="BC1023" s="1783"/>
      <c r="BD1023" s="1783"/>
      <c r="BE1023" s="1783"/>
      <c r="BF1023" s="1783"/>
      <c r="BG1023" s="1783"/>
      <c r="BH1023" s="1783"/>
      <c r="BI1023" s="1783"/>
    </row>
    <row r="1024" spans="1:61">
      <c r="A1024" s="1819"/>
      <c r="B1024" s="1818"/>
      <c r="C1024" s="1818"/>
      <c r="D1024" s="1818"/>
      <c r="E1024" s="1818"/>
      <c r="F1024" s="1818"/>
      <c r="G1024" s="1818"/>
      <c r="H1024" s="1783"/>
      <c r="I1024" s="1783"/>
      <c r="J1024" s="1783"/>
      <c r="K1024" s="1783"/>
      <c r="L1024" s="1783"/>
      <c r="M1024" s="1783"/>
      <c r="N1024" s="1783"/>
      <c r="O1024" s="1783"/>
      <c r="P1024" s="1783"/>
      <c r="Q1024" s="1783"/>
      <c r="R1024" s="1783"/>
      <c r="S1024" s="1783"/>
      <c r="T1024" s="1783"/>
      <c r="U1024" s="1783"/>
      <c r="V1024" s="1783"/>
      <c r="W1024" s="1783"/>
      <c r="X1024" s="1783"/>
      <c r="Y1024" s="1783"/>
      <c r="Z1024" s="1783"/>
      <c r="AA1024" s="1783"/>
      <c r="AB1024" s="1783"/>
      <c r="AC1024" s="1783"/>
      <c r="AD1024" s="1783"/>
      <c r="AE1024" s="1783"/>
      <c r="AF1024" s="1783"/>
      <c r="AG1024" s="1783"/>
      <c r="AH1024" s="1783"/>
      <c r="AI1024" s="1783"/>
      <c r="AJ1024" s="1783"/>
      <c r="AK1024" s="1783"/>
      <c r="AL1024" s="1783"/>
      <c r="AM1024" s="1783"/>
      <c r="AN1024" s="1783"/>
      <c r="AO1024" s="1783"/>
      <c r="AP1024" s="1783"/>
      <c r="AQ1024" s="1783"/>
      <c r="AR1024" s="1783"/>
      <c r="AS1024" s="1783"/>
      <c r="AT1024" s="1783"/>
      <c r="AU1024" s="1783"/>
      <c r="AV1024" s="1783"/>
      <c r="AW1024" s="1783"/>
      <c r="AX1024" s="1783"/>
      <c r="AY1024" s="1783"/>
      <c r="AZ1024" s="1783"/>
      <c r="BA1024" s="1783"/>
      <c r="BB1024" s="1783"/>
      <c r="BC1024" s="1783"/>
      <c r="BD1024" s="1783"/>
      <c r="BE1024" s="1783"/>
      <c r="BF1024" s="1783"/>
      <c r="BG1024" s="1783"/>
      <c r="BH1024" s="1783"/>
      <c r="BI1024" s="1783"/>
    </row>
    <row r="1025" spans="1:61">
      <c r="A1025" s="1819"/>
      <c r="B1025" s="1818"/>
      <c r="C1025" s="1818"/>
      <c r="D1025" s="1818"/>
      <c r="E1025" s="1818"/>
      <c r="F1025" s="1818"/>
      <c r="G1025" s="1818"/>
      <c r="H1025" s="1783"/>
      <c r="I1025" s="1783"/>
      <c r="J1025" s="1783"/>
      <c r="K1025" s="1783"/>
      <c r="L1025" s="1783"/>
      <c r="M1025" s="1783"/>
      <c r="N1025" s="1783"/>
      <c r="O1025" s="1783"/>
      <c r="P1025" s="1783"/>
      <c r="Q1025" s="1783"/>
      <c r="R1025" s="1783"/>
      <c r="S1025" s="1783"/>
      <c r="T1025" s="1783"/>
      <c r="U1025" s="1783"/>
      <c r="V1025" s="1783"/>
      <c r="W1025" s="1783"/>
      <c r="X1025" s="1783"/>
      <c r="Y1025" s="1783"/>
      <c r="Z1025" s="1783"/>
      <c r="AA1025" s="1783"/>
      <c r="AB1025" s="1783"/>
      <c r="AC1025" s="1783"/>
      <c r="AD1025" s="1783"/>
      <c r="AE1025" s="1783"/>
      <c r="AF1025" s="1783"/>
      <c r="AG1025" s="1783"/>
      <c r="AH1025" s="1783"/>
      <c r="AI1025" s="1783"/>
      <c r="AJ1025" s="1783"/>
      <c r="AK1025" s="1783"/>
      <c r="AL1025" s="1783"/>
      <c r="AM1025" s="1783"/>
      <c r="AN1025" s="1783"/>
      <c r="AO1025" s="1783"/>
      <c r="AP1025" s="1783"/>
      <c r="AQ1025" s="1783"/>
      <c r="AR1025" s="1783"/>
      <c r="AS1025" s="1783"/>
      <c r="AT1025" s="1783"/>
      <c r="AU1025" s="1783"/>
      <c r="AV1025" s="1783"/>
      <c r="AW1025" s="1783"/>
      <c r="AX1025" s="1783"/>
      <c r="AY1025" s="1783"/>
      <c r="AZ1025" s="1783"/>
      <c r="BA1025" s="1783"/>
      <c r="BB1025" s="1783"/>
      <c r="BC1025" s="1783"/>
      <c r="BD1025" s="1783"/>
      <c r="BE1025" s="1783"/>
      <c r="BF1025" s="1783"/>
      <c r="BG1025" s="1783"/>
      <c r="BH1025" s="1783"/>
      <c r="BI1025" s="1783"/>
    </row>
    <row r="1026" spans="1:61">
      <c r="A1026" s="1819"/>
      <c r="B1026" s="1818"/>
      <c r="C1026" s="1818"/>
      <c r="D1026" s="1818"/>
      <c r="E1026" s="1818"/>
      <c r="F1026" s="1818"/>
      <c r="G1026" s="1818"/>
      <c r="H1026" s="1783"/>
      <c r="I1026" s="1783"/>
      <c r="J1026" s="1783"/>
      <c r="K1026" s="1783"/>
      <c r="L1026" s="1783"/>
      <c r="M1026" s="1783"/>
      <c r="N1026" s="1783"/>
      <c r="O1026" s="1783"/>
      <c r="P1026" s="1783"/>
      <c r="Q1026" s="1783"/>
      <c r="R1026" s="1783"/>
      <c r="S1026" s="1783"/>
      <c r="T1026" s="1783"/>
      <c r="U1026" s="1783"/>
      <c r="V1026" s="1783"/>
      <c r="W1026" s="1783"/>
      <c r="X1026" s="1783"/>
      <c r="Y1026" s="1783"/>
      <c r="Z1026" s="1783"/>
      <c r="AA1026" s="1783"/>
      <c r="AB1026" s="1783"/>
      <c r="AC1026" s="1783"/>
      <c r="AD1026" s="1783"/>
      <c r="AE1026" s="1783"/>
      <c r="AF1026" s="1783"/>
      <c r="AG1026" s="1783"/>
      <c r="AH1026" s="1783"/>
      <c r="AI1026" s="1783"/>
      <c r="AJ1026" s="1783"/>
      <c r="AK1026" s="1783"/>
      <c r="AL1026" s="1783"/>
      <c r="AM1026" s="1783"/>
      <c r="AN1026" s="1783"/>
      <c r="AO1026" s="1783"/>
      <c r="AP1026" s="1783"/>
      <c r="AQ1026" s="1783"/>
      <c r="AR1026" s="1783"/>
      <c r="AS1026" s="1783"/>
      <c r="AT1026" s="1783"/>
      <c r="AU1026" s="1783"/>
      <c r="AV1026" s="1783"/>
      <c r="AW1026" s="1783"/>
      <c r="AX1026" s="1783"/>
      <c r="AY1026" s="1783"/>
      <c r="AZ1026" s="1783"/>
      <c r="BA1026" s="1783"/>
      <c r="BB1026" s="1783"/>
      <c r="BC1026" s="1783"/>
      <c r="BD1026" s="1783"/>
      <c r="BE1026" s="1783"/>
      <c r="BF1026" s="1783"/>
      <c r="BG1026" s="1783"/>
      <c r="BH1026" s="1783"/>
      <c r="BI1026" s="1783"/>
    </row>
    <row r="1027" spans="1:61">
      <c r="A1027" s="1819"/>
      <c r="B1027" s="1818"/>
      <c r="C1027" s="1818"/>
      <c r="D1027" s="1818"/>
      <c r="E1027" s="1818"/>
      <c r="F1027" s="1818"/>
      <c r="G1027" s="1818"/>
      <c r="H1027" s="1783"/>
      <c r="I1027" s="1783"/>
      <c r="J1027" s="1783"/>
      <c r="K1027" s="1783"/>
      <c r="L1027" s="1783"/>
      <c r="M1027" s="1783"/>
      <c r="N1027" s="1783"/>
      <c r="O1027" s="1783"/>
      <c r="P1027" s="1783"/>
      <c r="Q1027" s="1783"/>
      <c r="R1027" s="1783"/>
      <c r="S1027" s="1783"/>
      <c r="T1027" s="1783"/>
      <c r="U1027" s="1783"/>
      <c r="V1027" s="1783"/>
      <c r="W1027" s="1783"/>
      <c r="X1027" s="1783"/>
      <c r="Y1027" s="1783"/>
      <c r="Z1027" s="1783"/>
      <c r="AA1027" s="1783"/>
      <c r="AB1027" s="1783"/>
      <c r="AC1027" s="1783"/>
      <c r="AD1027" s="1783"/>
      <c r="AE1027" s="1783"/>
      <c r="AF1027" s="1783"/>
      <c r="AG1027" s="1783"/>
      <c r="AH1027" s="1783"/>
      <c r="AI1027" s="1783"/>
      <c r="AJ1027" s="1783"/>
      <c r="AK1027" s="1783"/>
      <c r="AL1027" s="1783"/>
      <c r="AM1027" s="1783"/>
      <c r="AN1027" s="1783"/>
      <c r="AO1027" s="1783"/>
      <c r="AP1027" s="1783"/>
      <c r="AQ1027" s="1783"/>
      <c r="AR1027" s="1783"/>
      <c r="AS1027" s="1783"/>
      <c r="AT1027" s="1783"/>
      <c r="AU1027" s="1783"/>
      <c r="AV1027" s="1783"/>
      <c r="AW1027" s="1783"/>
      <c r="AX1027" s="1783"/>
      <c r="AY1027" s="1783"/>
      <c r="AZ1027" s="1783"/>
      <c r="BA1027" s="1783"/>
      <c r="BB1027" s="1783"/>
      <c r="BC1027" s="1783"/>
      <c r="BD1027" s="1783"/>
      <c r="BE1027" s="1783"/>
      <c r="BF1027" s="1783"/>
      <c r="BG1027" s="1783"/>
      <c r="BH1027" s="1783"/>
      <c r="BI1027" s="1783"/>
    </row>
    <row r="1028" spans="1:61">
      <c r="A1028" s="1819"/>
      <c r="B1028" s="1818"/>
      <c r="C1028" s="1818"/>
      <c r="D1028" s="1818"/>
      <c r="E1028" s="1818"/>
      <c r="F1028" s="1818"/>
      <c r="G1028" s="1818"/>
      <c r="H1028" s="1783"/>
      <c r="I1028" s="1783"/>
      <c r="J1028" s="1783"/>
      <c r="K1028" s="1783"/>
      <c r="L1028" s="1783"/>
      <c r="M1028" s="1783"/>
      <c r="N1028" s="1783"/>
      <c r="O1028" s="1783"/>
      <c r="P1028" s="1783"/>
      <c r="Q1028" s="1783"/>
      <c r="R1028" s="1783"/>
      <c r="S1028" s="1783"/>
      <c r="T1028" s="1783"/>
      <c r="U1028" s="1783"/>
      <c r="V1028" s="1783"/>
      <c r="W1028" s="1783"/>
      <c r="X1028" s="1783"/>
      <c r="Y1028" s="1783"/>
      <c r="Z1028" s="1783"/>
      <c r="AA1028" s="1783"/>
      <c r="AB1028" s="1783"/>
      <c r="AC1028" s="1783"/>
      <c r="AD1028" s="1783"/>
      <c r="AE1028" s="1783"/>
      <c r="AF1028" s="1783"/>
      <c r="AG1028" s="1783"/>
      <c r="AH1028" s="1783"/>
      <c r="AI1028" s="1783"/>
      <c r="AJ1028" s="1783"/>
      <c r="AK1028" s="1783"/>
      <c r="AL1028" s="1783"/>
      <c r="AM1028" s="1783"/>
      <c r="AN1028" s="1783"/>
      <c r="AO1028" s="1783"/>
      <c r="AP1028" s="1783"/>
      <c r="AQ1028" s="1783"/>
      <c r="AR1028" s="1783"/>
      <c r="AS1028" s="1783"/>
      <c r="AT1028" s="1783"/>
      <c r="AU1028" s="1783"/>
      <c r="AV1028" s="1783"/>
      <c r="AW1028" s="1783"/>
      <c r="AX1028" s="1783"/>
      <c r="AY1028" s="1783"/>
      <c r="AZ1028" s="1783"/>
      <c r="BA1028" s="1783"/>
      <c r="BB1028" s="1783"/>
      <c r="BC1028" s="1783"/>
      <c r="BD1028" s="1783"/>
      <c r="BE1028" s="1783"/>
      <c r="BF1028" s="1783"/>
      <c r="BG1028" s="1783"/>
      <c r="BH1028" s="1783"/>
      <c r="BI1028" s="1783"/>
    </row>
    <row r="1029" spans="1:61">
      <c r="A1029" s="1819"/>
      <c r="B1029" s="1818"/>
      <c r="C1029" s="1818"/>
      <c r="D1029" s="1818"/>
      <c r="E1029" s="1818"/>
      <c r="F1029" s="1818"/>
      <c r="G1029" s="1818"/>
      <c r="H1029" s="1783"/>
      <c r="I1029" s="1783"/>
      <c r="J1029" s="1783"/>
      <c r="K1029" s="1783"/>
      <c r="L1029" s="1783"/>
      <c r="M1029" s="1783"/>
      <c r="N1029" s="1783"/>
      <c r="O1029" s="1783"/>
      <c r="P1029" s="1783"/>
      <c r="Q1029" s="1783"/>
      <c r="R1029" s="1783"/>
      <c r="S1029" s="1783"/>
      <c r="T1029" s="1783"/>
      <c r="U1029" s="1783"/>
      <c r="V1029" s="1783"/>
      <c r="W1029" s="1783"/>
      <c r="X1029" s="1783"/>
      <c r="Y1029" s="1783"/>
      <c r="Z1029" s="1783"/>
      <c r="AA1029" s="1783"/>
      <c r="AB1029" s="1783"/>
      <c r="AC1029" s="1783"/>
      <c r="AD1029" s="1783"/>
      <c r="AE1029" s="1783"/>
      <c r="AF1029" s="1783"/>
      <c r="AG1029" s="1783"/>
      <c r="AH1029" s="1783"/>
      <c r="AI1029" s="1783"/>
      <c r="AJ1029" s="1783"/>
      <c r="AK1029" s="1783"/>
      <c r="AL1029" s="1783"/>
      <c r="AM1029" s="1783"/>
      <c r="AN1029" s="1783"/>
      <c r="AO1029" s="1783"/>
      <c r="AP1029" s="1783"/>
      <c r="AQ1029" s="1783"/>
      <c r="AR1029" s="1783"/>
      <c r="AS1029" s="1783"/>
      <c r="AT1029" s="1783"/>
      <c r="AU1029" s="1783"/>
      <c r="AV1029" s="1783"/>
      <c r="AW1029" s="1783"/>
      <c r="AX1029" s="1783"/>
      <c r="AY1029" s="1783"/>
      <c r="AZ1029" s="1783"/>
      <c r="BA1029" s="1783"/>
      <c r="BB1029" s="1783"/>
      <c r="BC1029" s="1783"/>
      <c r="BD1029" s="1783"/>
      <c r="BE1029" s="1783"/>
      <c r="BF1029" s="1783"/>
      <c r="BG1029" s="1783"/>
      <c r="BH1029" s="1783"/>
      <c r="BI1029" s="1783"/>
    </row>
    <row r="1030" spans="1:61">
      <c r="A1030" s="1819"/>
      <c r="B1030" s="1818"/>
      <c r="C1030" s="1818"/>
      <c r="D1030" s="1818"/>
      <c r="E1030" s="1818"/>
      <c r="F1030" s="1818"/>
      <c r="G1030" s="1818"/>
      <c r="H1030" s="1783"/>
      <c r="I1030" s="1783"/>
      <c r="J1030" s="1783"/>
      <c r="K1030" s="1783"/>
      <c r="L1030" s="1783"/>
      <c r="M1030" s="1783"/>
      <c r="N1030" s="1783"/>
      <c r="O1030" s="1783"/>
      <c r="P1030" s="1783"/>
      <c r="Q1030" s="1783"/>
      <c r="R1030" s="1783"/>
      <c r="S1030" s="1783"/>
      <c r="T1030" s="1783"/>
      <c r="U1030" s="1783"/>
      <c r="V1030" s="1783"/>
      <c r="W1030" s="1783"/>
      <c r="X1030" s="1783"/>
      <c r="Y1030" s="1783"/>
      <c r="Z1030" s="1783"/>
      <c r="AA1030" s="1783"/>
      <c r="AB1030" s="1783"/>
      <c r="AC1030" s="1783"/>
      <c r="AD1030" s="1783"/>
      <c r="AE1030" s="1783"/>
      <c r="AF1030" s="1783"/>
      <c r="AG1030" s="1783"/>
      <c r="AH1030" s="1783"/>
      <c r="AI1030" s="1783"/>
      <c r="AJ1030" s="1783"/>
      <c r="AK1030" s="1783"/>
      <c r="AL1030" s="1783"/>
      <c r="AM1030" s="1783"/>
      <c r="AN1030" s="1783"/>
      <c r="AO1030" s="1783"/>
      <c r="AP1030" s="1783"/>
      <c r="AQ1030" s="1783"/>
      <c r="AR1030" s="1783"/>
      <c r="AS1030" s="1783"/>
      <c r="AT1030" s="1783"/>
      <c r="AU1030" s="1783"/>
      <c r="AV1030" s="1783"/>
      <c r="AW1030" s="1783"/>
      <c r="AX1030" s="1783"/>
      <c r="AY1030" s="1783"/>
      <c r="AZ1030" s="1783"/>
      <c r="BA1030" s="1783"/>
      <c r="BB1030" s="1783"/>
      <c r="BC1030" s="1783"/>
      <c r="BD1030" s="1783"/>
      <c r="BE1030" s="1783"/>
      <c r="BF1030" s="1783"/>
      <c r="BG1030" s="1783"/>
      <c r="BH1030" s="1783"/>
      <c r="BI1030" s="1783"/>
    </row>
    <row r="1031" spans="1:61">
      <c r="A1031" s="1819"/>
      <c r="B1031" s="1818"/>
      <c r="C1031" s="1818"/>
      <c r="D1031" s="1818"/>
      <c r="E1031" s="1818"/>
      <c r="F1031" s="1818"/>
      <c r="G1031" s="1818"/>
      <c r="H1031" s="1783"/>
      <c r="I1031" s="1783"/>
      <c r="J1031" s="1783"/>
      <c r="K1031" s="1783"/>
      <c r="L1031" s="1783"/>
      <c r="M1031" s="1783"/>
      <c r="N1031" s="1783"/>
      <c r="O1031" s="1783"/>
      <c r="P1031" s="1783"/>
      <c r="Q1031" s="1783"/>
      <c r="R1031" s="1783"/>
      <c r="S1031" s="1783"/>
      <c r="T1031" s="1783"/>
      <c r="U1031" s="1783"/>
      <c r="V1031" s="1783"/>
      <c r="W1031" s="1783"/>
      <c r="X1031" s="1783"/>
      <c r="Y1031" s="1783"/>
      <c r="Z1031" s="1783"/>
      <c r="AA1031" s="1783"/>
      <c r="AB1031" s="1783"/>
      <c r="AC1031" s="1783"/>
      <c r="AD1031" s="1783"/>
      <c r="AE1031" s="1783"/>
      <c r="AF1031" s="1783"/>
      <c r="AG1031" s="1783"/>
      <c r="AH1031" s="1783"/>
      <c r="AI1031" s="1783"/>
      <c r="AJ1031" s="1783"/>
      <c r="AK1031" s="1783"/>
      <c r="AL1031" s="1783"/>
      <c r="AM1031" s="1783"/>
      <c r="AN1031" s="1783"/>
      <c r="AO1031" s="1783"/>
      <c r="AP1031" s="1783"/>
      <c r="AQ1031" s="1783"/>
      <c r="AR1031" s="1783"/>
      <c r="AS1031" s="1783"/>
      <c r="AT1031" s="1783"/>
      <c r="AU1031" s="1783"/>
      <c r="AV1031" s="1783"/>
      <c r="AW1031" s="1783"/>
      <c r="AX1031" s="1783"/>
      <c r="AY1031" s="1783"/>
      <c r="AZ1031" s="1783"/>
      <c r="BA1031" s="1783"/>
      <c r="BB1031" s="1783"/>
      <c r="BC1031" s="1783"/>
      <c r="BD1031" s="1783"/>
      <c r="BE1031" s="1783"/>
      <c r="BF1031" s="1783"/>
      <c r="BG1031" s="1783"/>
      <c r="BH1031" s="1783"/>
      <c r="BI1031" s="1783"/>
    </row>
    <row r="1032" spans="1:61">
      <c r="A1032" s="1819"/>
      <c r="B1032" s="1818"/>
      <c r="C1032" s="1818"/>
      <c r="D1032" s="1818"/>
      <c r="E1032" s="1818"/>
      <c r="F1032" s="1818"/>
      <c r="G1032" s="1818"/>
      <c r="H1032" s="1783"/>
      <c r="I1032" s="1783"/>
      <c r="J1032" s="1783"/>
      <c r="K1032" s="1783"/>
      <c r="L1032" s="1783"/>
      <c r="M1032" s="1783"/>
      <c r="N1032" s="1783"/>
      <c r="O1032" s="1783"/>
      <c r="P1032" s="1783"/>
      <c r="Q1032" s="1783"/>
      <c r="R1032" s="1783"/>
      <c r="S1032" s="1783"/>
      <c r="T1032" s="1783"/>
      <c r="U1032" s="1783"/>
      <c r="V1032" s="1783"/>
      <c r="W1032" s="1783"/>
      <c r="X1032" s="1783"/>
      <c r="Y1032" s="1783"/>
      <c r="Z1032" s="1783"/>
      <c r="AA1032" s="1783"/>
      <c r="AB1032" s="1783"/>
      <c r="AC1032" s="1783"/>
      <c r="AD1032" s="1783"/>
      <c r="AE1032" s="1783"/>
      <c r="AF1032" s="1783"/>
      <c r="AG1032" s="1783"/>
      <c r="AH1032" s="1783"/>
      <c r="AI1032" s="1783"/>
      <c r="AJ1032" s="1783"/>
      <c r="AK1032" s="1783"/>
      <c r="AL1032" s="1783"/>
      <c r="AM1032" s="1783"/>
      <c r="AN1032" s="1783"/>
      <c r="AO1032" s="1783"/>
      <c r="AP1032" s="1783"/>
      <c r="AQ1032" s="1783"/>
      <c r="AR1032" s="1783"/>
      <c r="AS1032" s="1783"/>
      <c r="AT1032" s="1783"/>
      <c r="AU1032" s="1783"/>
      <c r="AV1032" s="1783"/>
      <c r="AW1032" s="1783"/>
      <c r="AX1032" s="1783"/>
      <c r="AY1032" s="1783"/>
      <c r="AZ1032" s="1783"/>
      <c r="BA1032" s="1783"/>
      <c r="BB1032" s="1783"/>
      <c r="BC1032" s="1783"/>
      <c r="BD1032" s="1783"/>
      <c r="BE1032" s="1783"/>
      <c r="BF1032" s="1783"/>
      <c r="BG1032" s="1783"/>
      <c r="BH1032" s="1783"/>
      <c r="BI1032" s="1783"/>
    </row>
    <row r="1033" spans="1:61">
      <c r="A1033" s="1819"/>
      <c r="B1033" s="1818"/>
      <c r="C1033" s="1818"/>
      <c r="D1033" s="1818"/>
      <c r="E1033" s="1818"/>
      <c r="F1033" s="1818"/>
      <c r="G1033" s="1818"/>
      <c r="H1033" s="1783"/>
      <c r="I1033" s="1783"/>
      <c r="J1033" s="1783"/>
      <c r="K1033" s="1783"/>
      <c r="L1033" s="1783"/>
      <c r="M1033" s="1783"/>
      <c r="N1033" s="1783"/>
      <c r="O1033" s="1783"/>
      <c r="P1033" s="1783"/>
      <c r="Q1033" s="1783"/>
      <c r="R1033" s="1783"/>
      <c r="S1033" s="1783"/>
      <c r="T1033" s="1783"/>
      <c r="U1033" s="1783"/>
      <c r="V1033" s="1783"/>
      <c r="W1033" s="1783"/>
      <c r="X1033" s="1783"/>
      <c r="Y1033" s="1783"/>
      <c r="Z1033" s="1783"/>
      <c r="AA1033" s="1783"/>
      <c r="AB1033" s="1783"/>
      <c r="AC1033" s="1783"/>
      <c r="AD1033" s="1783"/>
      <c r="AE1033" s="1783"/>
      <c r="AF1033" s="1783"/>
      <c r="AG1033" s="1783"/>
      <c r="AH1033" s="1783"/>
      <c r="AI1033" s="1783"/>
      <c r="AJ1033" s="1783"/>
      <c r="AK1033" s="1783"/>
      <c r="AL1033" s="1783"/>
      <c r="AM1033" s="1783"/>
      <c r="AN1033" s="1783"/>
      <c r="AO1033" s="1783"/>
      <c r="AP1033" s="1783"/>
      <c r="AQ1033" s="1783"/>
      <c r="AR1033" s="1783"/>
      <c r="AS1033" s="1783"/>
      <c r="AT1033" s="1783"/>
      <c r="AU1033" s="1783"/>
      <c r="AV1033" s="1783"/>
      <c r="AW1033" s="1783"/>
      <c r="AX1033" s="1783"/>
      <c r="AY1033" s="1783"/>
      <c r="AZ1033" s="1783"/>
      <c r="BA1033" s="1783"/>
      <c r="BB1033" s="1783"/>
      <c r="BC1033" s="1783"/>
      <c r="BD1033" s="1783"/>
      <c r="BE1033" s="1783"/>
      <c r="BF1033" s="1783"/>
      <c r="BG1033" s="1783"/>
      <c r="BH1033" s="1783"/>
      <c r="BI1033" s="1783"/>
    </row>
    <row r="1034" spans="1:61">
      <c r="A1034" s="1819"/>
      <c r="B1034" s="1818"/>
      <c r="C1034" s="1818"/>
      <c r="D1034" s="1818"/>
      <c r="E1034" s="1818"/>
      <c r="F1034" s="1818"/>
      <c r="G1034" s="1818"/>
      <c r="H1034" s="1783"/>
      <c r="I1034" s="1783"/>
      <c r="J1034" s="1783"/>
      <c r="K1034" s="1783"/>
      <c r="L1034" s="1783"/>
      <c r="M1034" s="1783"/>
      <c r="N1034" s="1783"/>
      <c r="O1034" s="1783"/>
      <c r="P1034" s="1783"/>
      <c r="Q1034" s="1783"/>
      <c r="R1034" s="1783"/>
      <c r="S1034" s="1783"/>
      <c r="T1034" s="1783"/>
      <c r="U1034" s="1783"/>
      <c r="V1034" s="1783"/>
      <c r="W1034" s="1783"/>
      <c r="X1034" s="1783"/>
      <c r="Y1034" s="1783"/>
      <c r="Z1034" s="1783"/>
      <c r="AA1034" s="1783"/>
      <c r="AB1034" s="1783"/>
      <c r="AC1034" s="1783"/>
      <c r="AD1034" s="1783"/>
      <c r="AE1034" s="1783"/>
      <c r="AF1034" s="1783"/>
      <c r="AG1034" s="1783"/>
      <c r="AH1034" s="1783"/>
      <c r="AI1034" s="1783"/>
      <c r="AJ1034" s="1783"/>
      <c r="AK1034" s="1783"/>
      <c r="AL1034" s="1783"/>
      <c r="AM1034" s="1783"/>
      <c r="AN1034" s="1783"/>
      <c r="AO1034" s="1783"/>
      <c r="AP1034" s="1783"/>
      <c r="AQ1034" s="1783"/>
      <c r="AR1034" s="1783"/>
      <c r="AS1034" s="1783"/>
      <c r="AT1034" s="1783"/>
      <c r="AU1034" s="1783"/>
      <c r="AV1034" s="1783"/>
      <c r="AW1034" s="1783"/>
      <c r="AX1034" s="1783"/>
      <c r="AY1034" s="1783"/>
      <c r="AZ1034" s="1783"/>
      <c r="BA1034" s="1783"/>
      <c r="BB1034" s="1783"/>
      <c r="BC1034" s="1783"/>
      <c r="BD1034" s="1783"/>
      <c r="BE1034" s="1783"/>
      <c r="BF1034" s="1783"/>
      <c r="BG1034" s="1783"/>
      <c r="BH1034" s="1783"/>
      <c r="BI1034" s="1783"/>
    </row>
    <row r="1035" spans="1:61">
      <c r="A1035" s="1819"/>
      <c r="B1035" s="1818"/>
      <c r="C1035" s="1818"/>
      <c r="D1035" s="1818"/>
      <c r="E1035" s="1818"/>
      <c r="F1035" s="1818"/>
      <c r="G1035" s="1818"/>
      <c r="H1035" s="1783"/>
      <c r="I1035" s="1783"/>
      <c r="J1035" s="1783"/>
      <c r="K1035" s="1783"/>
      <c r="L1035" s="1783"/>
      <c r="M1035" s="1783"/>
      <c r="N1035" s="1783"/>
      <c r="O1035" s="1783"/>
      <c r="P1035" s="1783"/>
      <c r="Q1035" s="1783"/>
      <c r="R1035" s="1783"/>
      <c r="S1035" s="1783"/>
      <c r="T1035" s="1783"/>
      <c r="U1035" s="1783"/>
      <c r="V1035" s="1783"/>
      <c r="W1035" s="1783"/>
      <c r="X1035" s="1783"/>
      <c r="Y1035" s="1783"/>
      <c r="Z1035" s="1783"/>
      <c r="AA1035" s="1783"/>
      <c r="AB1035" s="1783"/>
      <c r="AC1035" s="1783"/>
      <c r="AD1035" s="1783"/>
      <c r="AE1035" s="1783"/>
      <c r="AF1035" s="1783"/>
      <c r="AG1035" s="1783"/>
      <c r="AH1035" s="1783"/>
      <c r="AI1035" s="1783"/>
      <c r="AJ1035" s="1783"/>
      <c r="AK1035" s="1783"/>
      <c r="AL1035" s="1783"/>
      <c r="AM1035" s="1783"/>
      <c r="AN1035" s="1783"/>
      <c r="AO1035" s="1783"/>
      <c r="AP1035" s="1783"/>
      <c r="AQ1035" s="1783"/>
      <c r="AR1035" s="1783"/>
      <c r="AS1035" s="1783"/>
      <c r="AT1035" s="1783"/>
      <c r="AU1035" s="1783"/>
      <c r="AV1035" s="1783"/>
      <c r="AW1035" s="1783"/>
      <c r="AX1035" s="1783"/>
      <c r="AY1035" s="1783"/>
      <c r="AZ1035" s="1783"/>
      <c r="BA1035" s="1783"/>
      <c r="BB1035" s="1783"/>
      <c r="BC1035" s="1783"/>
      <c r="BD1035" s="1783"/>
      <c r="BE1035" s="1783"/>
      <c r="BF1035" s="1783"/>
      <c r="BG1035" s="1783"/>
      <c r="BH1035" s="1783"/>
      <c r="BI1035" s="1783"/>
    </row>
    <row r="1036" spans="1:61">
      <c r="A1036" s="1819"/>
      <c r="B1036" s="1818"/>
      <c r="C1036" s="1818"/>
      <c r="D1036" s="1818"/>
      <c r="E1036" s="1818"/>
      <c r="F1036" s="1818"/>
      <c r="G1036" s="1818"/>
      <c r="H1036" s="1783"/>
      <c r="I1036" s="1783"/>
      <c r="J1036" s="1783"/>
      <c r="K1036" s="1783"/>
      <c r="L1036" s="1783"/>
      <c r="M1036" s="1783"/>
      <c r="N1036" s="1783"/>
      <c r="O1036" s="1783"/>
      <c r="P1036" s="1783"/>
      <c r="Q1036" s="1783"/>
      <c r="R1036" s="1783"/>
      <c r="S1036" s="1783"/>
      <c r="T1036" s="1783"/>
      <c r="U1036" s="1783"/>
      <c r="V1036" s="1783"/>
      <c r="W1036" s="1783"/>
      <c r="X1036" s="1783"/>
      <c r="Y1036" s="1783"/>
      <c r="Z1036" s="1783"/>
      <c r="AA1036" s="1783"/>
      <c r="AB1036" s="1783"/>
      <c r="AC1036" s="1783"/>
      <c r="AD1036" s="1783"/>
      <c r="AE1036" s="1783"/>
      <c r="AF1036" s="1783"/>
      <c r="AG1036" s="1783"/>
      <c r="AH1036" s="1783"/>
      <c r="AI1036" s="1783"/>
      <c r="AJ1036" s="1783"/>
      <c r="AK1036" s="1783"/>
      <c r="AL1036" s="1783"/>
      <c r="AM1036" s="1783"/>
      <c r="AN1036" s="1783"/>
      <c r="AO1036" s="1783"/>
      <c r="AP1036" s="1783"/>
      <c r="AQ1036" s="1783"/>
      <c r="AR1036" s="1783"/>
      <c r="AS1036" s="1783"/>
      <c r="AT1036" s="1783"/>
      <c r="AU1036" s="1783"/>
      <c r="AV1036" s="1783"/>
      <c r="AW1036" s="1783"/>
      <c r="AX1036" s="1783"/>
      <c r="AY1036" s="1783"/>
      <c r="AZ1036" s="1783"/>
      <c r="BA1036" s="1783"/>
      <c r="BB1036" s="1783"/>
      <c r="BC1036" s="1783"/>
      <c r="BD1036" s="1783"/>
      <c r="BE1036" s="1783"/>
      <c r="BF1036" s="1783"/>
      <c r="BG1036" s="1783"/>
      <c r="BH1036" s="1783"/>
      <c r="BI1036" s="1783"/>
    </row>
    <row r="1037" spans="1:61">
      <c r="A1037" s="1819"/>
      <c r="B1037" s="1818"/>
      <c r="C1037" s="1818"/>
      <c r="D1037" s="1818"/>
      <c r="E1037" s="1818"/>
      <c r="F1037" s="1818"/>
      <c r="G1037" s="1818"/>
      <c r="H1037" s="1783"/>
      <c r="I1037" s="1783"/>
      <c r="J1037" s="1783"/>
      <c r="K1037" s="1783"/>
      <c r="L1037" s="1783"/>
      <c r="M1037" s="1783"/>
      <c r="N1037" s="1783"/>
      <c r="O1037" s="1783"/>
      <c r="P1037" s="1783"/>
      <c r="Q1037" s="1783"/>
      <c r="R1037" s="1783"/>
      <c r="S1037" s="1783"/>
      <c r="T1037" s="1783"/>
      <c r="U1037" s="1783"/>
      <c r="V1037" s="1783"/>
      <c r="W1037" s="1783"/>
      <c r="X1037" s="1783"/>
      <c r="Y1037" s="1783"/>
      <c r="Z1037" s="1783"/>
      <c r="AA1037" s="1783"/>
      <c r="AB1037" s="1783"/>
      <c r="AC1037" s="1783"/>
      <c r="AD1037" s="1783"/>
      <c r="AE1037" s="1783"/>
      <c r="AF1037" s="1783"/>
      <c r="AG1037" s="1783"/>
      <c r="AH1037" s="1783"/>
      <c r="AI1037" s="1783"/>
      <c r="AJ1037" s="1783"/>
      <c r="AK1037" s="1783"/>
      <c r="AL1037" s="1783"/>
      <c r="AM1037" s="1783"/>
      <c r="AN1037" s="1783"/>
      <c r="AO1037" s="1783"/>
      <c r="AP1037" s="1783"/>
      <c r="AQ1037" s="1783"/>
      <c r="AR1037" s="1783"/>
      <c r="AS1037" s="1783"/>
      <c r="AT1037" s="1783"/>
      <c r="AU1037" s="1783"/>
      <c r="AV1037" s="1783"/>
      <c r="AW1037" s="1783"/>
      <c r="AX1037" s="1783"/>
      <c r="AY1037" s="1783"/>
      <c r="AZ1037" s="1783"/>
      <c r="BA1037" s="1783"/>
      <c r="BB1037" s="1783"/>
      <c r="BC1037" s="1783"/>
      <c r="BD1037" s="1783"/>
      <c r="BE1037" s="1783"/>
      <c r="BF1037" s="1783"/>
      <c r="BG1037" s="1783"/>
      <c r="BH1037" s="1783"/>
      <c r="BI1037" s="1783"/>
    </row>
    <row r="1038" spans="1:61">
      <c r="A1038" s="1819"/>
      <c r="B1038" s="1818"/>
      <c r="C1038" s="1818"/>
      <c r="D1038" s="1818"/>
      <c r="E1038" s="1818"/>
      <c r="F1038" s="1818"/>
      <c r="G1038" s="1818"/>
      <c r="H1038" s="1783"/>
      <c r="I1038" s="1783"/>
      <c r="J1038" s="1783"/>
      <c r="K1038" s="1783"/>
      <c r="L1038" s="1783"/>
      <c r="M1038" s="1783"/>
      <c r="N1038" s="1783"/>
      <c r="O1038" s="1783"/>
      <c r="P1038" s="1783"/>
      <c r="Q1038" s="1783"/>
      <c r="R1038" s="1783"/>
      <c r="S1038" s="1783"/>
      <c r="T1038" s="1783"/>
      <c r="U1038" s="1783"/>
      <c r="V1038" s="1783"/>
      <c r="W1038" s="1783"/>
      <c r="X1038" s="1783"/>
      <c r="Y1038" s="1783"/>
      <c r="Z1038" s="1783"/>
      <c r="AA1038" s="1783"/>
      <c r="AB1038" s="1783"/>
      <c r="AC1038" s="1783"/>
      <c r="AD1038" s="1783"/>
      <c r="AE1038" s="1783"/>
      <c r="AF1038" s="1783"/>
      <c r="AG1038" s="1783"/>
      <c r="AH1038" s="1783"/>
      <c r="AI1038" s="1783"/>
      <c r="AJ1038" s="1783"/>
      <c r="AK1038" s="1783"/>
      <c r="AL1038" s="1783"/>
      <c r="AM1038" s="1783"/>
      <c r="AN1038" s="1783"/>
      <c r="AO1038" s="1783"/>
      <c r="AP1038" s="1783"/>
      <c r="AQ1038" s="1783"/>
      <c r="AR1038" s="1783"/>
      <c r="AS1038" s="1783"/>
      <c r="AT1038" s="1783"/>
      <c r="AU1038" s="1783"/>
      <c r="AV1038" s="1783"/>
      <c r="AW1038" s="1783"/>
      <c r="AX1038" s="1783"/>
      <c r="AY1038" s="1783"/>
      <c r="AZ1038" s="1783"/>
      <c r="BA1038" s="1783"/>
      <c r="BB1038" s="1783"/>
      <c r="BC1038" s="1783"/>
      <c r="BD1038" s="1783"/>
      <c r="BE1038" s="1783"/>
      <c r="BF1038" s="1783"/>
      <c r="BG1038" s="1783"/>
      <c r="BH1038" s="1783"/>
      <c r="BI1038" s="1783"/>
    </row>
    <row r="1039" spans="1:61">
      <c r="A1039" s="1819"/>
      <c r="B1039" s="1818"/>
      <c r="C1039" s="1818"/>
      <c r="D1039" s="1818"/>
      <c r="E1039" s="1818"/>
      <c r="F1039" s="1818"/>
      <c r="G1039" s="1818"/>
      <c r="H1039" s="1783"/>
      <c r="I1039" s="1783"/>
      <c r="J1039" s="1783"/>
      <c r="K1039" s="1783"/>
      <c r="L1039" s="1783"/>
      <c r="M1039" s="1783"/>
      <c r="N1039" s="1783"/>
      <c r="O1039" s="1783"/>
      <c r="P1039" s="1783"/>
      <c r="Q1039" s="1783"/>
      <c r="R1039" s="1783"/>
      <c r="S1039" s="1783"/>
      <c r="T1039" s="1783"/>
      <c r="U1039" s="1783"/>
      <c r="V1039" s="1783"/>
      <c r="W1039" s="1783"/>
      <c r="X1039" s="1783"/>
      <c r="Y1039" s="1783"/>
      <c r="Z1039" s="1783"/>
      <c r="AA1039" s="1783"/>
      <c r="AB1039" s="1783"/>
      <c r="AC1039" s="1783"/>
      <c r="AD1039" s="1783"/>
      <c r="AE1039" s="1783"/>
      <c r="AF1039" s="1783"/>
      <c r="AG1039" s="1783"/>
      <c r="AH1039" s="1783"/>
      <c r="AI1039" s="1783"/>
      <c r="AJ1039" s="1783"/>
      <c r="AK1039" s="1783"/>
      <c r="AL1039" s="1783"/>
      <c r="AM1039" s="1783"/>
      <c r="AN1039" s="1783"/>
      <c r="AO1039" s="1783"/>
      <c r="AP1039" s="1783"/>
      <c r="AQ1039" s="1783"/>
      <c r="AR1039" s="1783"/>
      <c r="AS1039" s="1783"/>
      <c r="AT1039" s="1783"/>
      <c r="AU1039" s="1783"/>
      <c r="AV1039" s="1783"/>
      <c r="AW1039" s="1783"/>
      <c r="AX1039" s="1783"/>
      <c r="AY1039" s="1783"/>
      <c r="AZ1039" s="1783"/>
      <c r="BA1039" s="1783"/>
      <c r="BB1039" s="1783"/>
      <c r="BC1039" s="1783"/>
      <c r="BD1039" s="1783"/>
      <c r="BE1039" s="1783"/>
      <c r="BF1039" s="1783"/>
      <c r="BG1039" s="1783"/>
      <c r="BH1039" s="1783"/>
      <c r="BI1039" s="1783"/>
    </row>
    <row r="1040" spans="1:61">
      <c r="A1040" s="1819"/>
      <c r="B1040" s="1818"/>
      <c r="C1040" s="1818"/>
      <c r="D1040" s="1818"/>
      <c r="E1040" s="1818"/>
      <c r="F1040" s="1818"/>
      <c r="G1040" s="1818"/>
      <c r="H1040" s="1783"/>
      <c r="I1040" s="1783"/>
      <c r="J1040" s="1783"/>
      <c r="K1040" s="1783"/>
      <c r="L1040" s="1783"/>
      <c r="M1040" s="1783"/>
      <c r="N1040" s="1783"/>
      <c r="O1040" s="1783"/>
      <c r="P1040" s="1783"/>
      <c r="Q1040" s="1783"/>
      <c r="R1040" s="1783"/>
      <c r="S1040" s="1783"/>
      <c r="T1040" s="1783"/>
      <c r="U1040" s="1783"/>
      <c r="V1040" s="1783"/>
      <c r="W1040" s="1783"/>
      <c r="X1040" s="1783"/>
      <c r="Y1040" s="1783"/>
      <c r="Z1040" s="1783"/>
      <c r="AA1040" s="1783"/>
      <c r="AB1040" s="1783"/>
      <c r="AC1040" s="1783"/>
      <c r="AD1040" s="1783"/>
      <c r="AE1040" s="1783"/>
      <c r="AF1040" s="1783"/>
      <c r="AG1040" s="1783"/>
      <c r="AH1040" s="1783"/>
      <c r="AI1040" s="1783"/>
      <c r="AJ1040" s="1783"/>
      <c r="AK1040" s="1783"/>
      <c r="AL1040" s="1783"/>
      <c r="AM1040" s="1783"/>
      <c r="AN1040" s="1783"/>
      <c r="AO1040" s="1783"/>
      <c r="AP1040" s="1783"/>
      <c r="AQ1040" s="1783"/>
      <c r="AR1040" s="1783"/>
      <c r="AS1040" s="1783"/>
      <c r="AT1040" s="1783"/>
      <c r="AU1040" s="1783"/>
      <c r="AV1040" s="1783"/>
      <c r="AW1040" s="1783"/>
      <c r="AX1040" s="1783"/>
      <c r="AY1040" s="1783"/>
      <c r="AZ1040" s="1783"/>
      <c r="BA1040" s="1783"/>
      <c r="BB1040" s="1783"/>
      <c r="BC1040" s="1783"/>
      <c r="BD1040" s="1783"/>
      <c r="BE1040" s="1783"/>
      <c r="BF1040" s="1783"/>
      <c r="BG1040" s="1783"/>
      <c r="BH1040" s="1783"/>
      <c r="BI1040" s="1783"/>
    </row>
    <row r="1041" spans="1:61">
      <c r="A1041" s="1819"/>
      <c r="B1041" s="1818"/>
      <c r="C1041" s="1818"/>
      <c r="D1041" s="1818"/>
      <c r="E1041" s="1818"/>
      <c r="F1041" s="1818"/>
      <c r="G1041" s="1818"/>
      <c r="H1041" s="1783"/>
      <c r="I1041" s="1783"/>
      <c r="J1041" s="1783"/>
      <c r="K1041" s="1783"/>
      <c r="L1041" s="1783"/>
      <c r="M1041" s="1783"/>
      <c r="N1041" s="1783"/>
      <c r="O1041" s="1783"/>
      <c r="P1041" s="1783"/>
      <c r="Q1041" s="1783"/>
      <c r="R1041" s="1783"/>
      <c r="S1041" s="1783"/>
      <c r="T1041" s="1783"/>
      <c r="U1041" s="1783"/>
      <c r="V1041" s="1783"/>
      <c r="W1041" s="1783"/>
      <c r="X1041" s="1783"/>
      <c r="Y1041" s="1783"/>
      <c r="Z1041" s="1783"/>
      <c r="AA1041" s="1783"/>
      <c r="AB1041" s="1783"/>
      <c r="AC1041" s="1783"/>
      <c r="AD1041" s="1783"/>
      <c r="AE1041" s="1783"/>
      <c r="AF1041" s="1783"/>
      <c r="AG1041" s="1783"/>
      <c r="AH1041" s="1783"/>
      <c r="AI1041" s="1783"/>
      <c r="AJ1041" s="1783"/>
      <c r="AK1041" s="1783"/>
      <c r="AL1041" s="1783"/>
      <c r="AM1041" s="1783"/>
      <c r="AN1041" s="1783"/>
      <c r="AO1041" s="1783"/>
      <c r="AP1041" s="1783"/>
      <c r="AQ1041" s="1783"/>
      <c r="AR1041" s="1783"/>
      <c r="AS1041" s="1783"/>
      <c r="AT1041" s="1783"/>
      <c r="AU1041" s="1783"/>
      <c r="AV1041" s="1783"/>
      <c r="AW1041" s="1783"/>
      <c r="AX1041" s="1783"/>
      <c r="AY1041" s="1783"/>
      <c r="AZ1041" s="1783"/>
      <c r="BA1041" s="1783"/>
      <c r="BB1041" s="1783"/>
      <c r="BC1041" s="1783"/>
      <c r="BD1041" s="1783"/>
      <c r="BE1041" s="1783"/>
      <c r="BF1041" s="1783"/>
      <c r="BG1041" s="1783"/>
      <c r="BH1041" s="1783"/>
      <c r="BI1041" s="1783"/>
    </row>
    <row r="1042" spans="1:61">
      <c r="A1042" s="1819"/>
      <c r="B1042" s="1818"/>
      <c r="C1042" s="1818"/>
      <c r="D1042" s="1818"/>
      <c r="E1042" s="1818"/>
      <c r="F1042" s="1818"/>
      <c r="G1042" s="1818"/>
      <c r="H1042" s="1783"/>
      <c r="I1042" s="1783"/>
      <c r="J1042" s="1783"/>
      <c r="K1042" s="1783"/>
      <c r="L1042" s="1783"/>
      <c r="M1042" s="1783"/>
      <c r="N1042" s="1783"/>
      <c r="O1042" s="1783"/>
      <c r="P1042" s="1783"/>
      <c r="Q1042" s="1783"/>
      <c r="R1042" s="1783"/>
      <c r="S1042" s="1783"/>
      <c r="T1042" s="1783"/>
      <c r="U1042" s="1783"/>
      <c r="V1042" s="1783"/>
      <c r="W1042" s="1783"/>
      <c r="X1042" s="1783"/>
      <c r="Y1042" s="1783"/>
      <c r="Z1042" s="1783"/>
      <c r="AA1042" s="1783"/>
      <c r="AB1042" s="1783"/>
      <c r="AC1042" s="1783"/>
      <c r="AD1042" s="1783"/>
      <c r="AE1042" s="1783"/>
      <c r="AF1042" s="1783"/>
      <c r="AG1042" s="1783"/>
      <c r="AH1042" s="1783"/>
      <c r="AI1042" s="1783"/>
      <c r="AJ1042" s="1783"/>
      <c r="AK1042" s="1783"/>
      <c r="AL1042" s="1783"/>
      <c r="AM1042" s="1783"/>
      <c r="AN1042" s="1783"/>
      <c r="AO1042" s="1783"/>
      <c r="AP1042" s="1783"/>
      <c r="AQ1042" s="1783"/>
      <c r="AR1042" s="1783"/>
      <c r="AS1042" s="1783"/>
      <c r="AT1042" s="1783"/>
      <c r="AU1042" s="1783"/>
      <c r="AV1042" s="1783"/>
      <c r="AW1042" s="1783"/>
      <c r="AX1042" s="1783"/>
      <c r="AY1042" s="1783"/>
      <c r="AZ1042" s="1783"/>
      <c r="BA1042" s="1783"/>
      <c r="BB1042" s="1783"/>
      <c r="BC1042" s="1783"/>
      <c r="BD1042" s="1783"/>
      <c r="BE1042" s="1783"/>
      <c r="BF1042" s="1783"/>
      <c r="BG1042" s="1783"/>
      <c r="BH1042" s="1783"/>
      <c r="BI1042" s="1783"/>
    </row>
    <row r="1043" spans="1:61">
      <c r="A1043" s="1819"/>
      <c r="B1043" s="1818"/>
      <c r="C1043" s="1818"/>
      <c r="D1043" s="1818"/>
      <c r="E1043" s="1818"/>
      <c r="F1043" s="1818"/>
      <c r="G1043" s="1818"/>
      <c r="H1043" s="1783"/>
      <c r="I1043" s="1783"/>
      <c r="J1043" s="1783"/>
      <c r="K1043" s="1783"/>
      <c r="L1043" s="1783"/>
      <c r="M1043" s="1783"/>
      <c r="N1043" s="1783"/>
      <c r="O1043" s="1783"/>
      <c r="P1043" s="1783"/>
      <c r="Q1043" s="1783"/>
      <c r="R1043" s="1783"/>
      <c r="S1043" s="1783"/>
      <c r="T1043" s="1783"/>
      <c r="U1043" s="1783"/>
      <c r="V1043" s="1783"/>
      <c r="W1043" s="1783"/>
      <c r="X1043" s="1783"/>
      <c r="Y1043" s="1783"/>
      <c r="Z1043" s="1783"/>
      <c r="AA1043" s="1783"/>
      <c r="AB1043" s="1783"/>
      <c r="AC1043" s="1783"/>
      <c r="AD1043" s="1783"/>
      <c r="AE1043" s="1783"/>
      <c r="AF1043" s="1783"/>
      <c r="AG1043" s="1783"/>
      <c r="AH1043" s="1783"/>
      <c r="AI1043" s="1783"/>
      <c r="AJ1043" s="1783"/>
      <c r="AK1043" s="1783"/>
      <c r="AL1043" s="1783"/>
      <c r="AM1043" s="1783"/>
      <c r="AN1043" s="1783"/>
      <c r="AO1043" s="1783"/>
      <c r="AP1043" s="1783"/>
      <c r="AQ1043" s="1783"/>
      <c r="AR1043" s="1783"/>
      <c r="AS1043" s="1783"/>
      <c r="AT1043" s="1783"/>
      <c r="AU1043" s="1783"/>
      <c r="AV1043" s="1783"/>
      <c r="AW1043" s="1783"/>
      <c r="AX1043" s="1783"/>
      <c r="AY1043" s="1783"/>
      <c r="AZ1043" s="1783"/>
      <c r="BA1043" s="1783"/>
      <c r="BB1043" s="1783"/>
      <c r="BC1043" s="1783"/>
      <c r="BD1043" s="1783"/>
      <c r="BE1043" s="1783"/>
      <c r="BF1043" s="1783"/>
      <c r="BG1043" s="1783"/>
      <c r="BH1043" s="1783"/>
      <c r="BI1043" s="1783"/>
    </row>
    <row r="1044" spans="1:61">
      <c r="A1044" s="1819"/>
      <c r="B1044" s="1818"/>
      <c r="C1044" s="1818"/>
      <c r="D1044" s="1818"/>
      <c r="E1044" s="1818"/>
      <c r="F1044" s="1818"/>
      <c r="G1044" s="1818"/>
      <c r="H1044" s="1783"/>
      <c r="I1044" s="1783"/>
      <c r="J1044" s="1783"/>
      <c r="K1044" s="1783"/>
      <c r="L1044" s="1783"/>
      <c r="M1044" s="1783"/>
      <c r="N1044" s="1783"/>
      <c r="O1044" s="1783"/>
      <c r="P1044" s="1783"/>
      <c r="Q1044" s="1783"/>
      <c r="R1044" s="1783"/>
      <c r="S1044" s="1783"/>
      <c r="T1044" s="1783"/>
      <c r="U1044" s="1783"/>
      <c r="V1044" s="1783"/>
      <c r="W1044" s="1783"/>
      <c r="X1044" s="1783"/>
      <c r="Y1044" s="1783"/>
      <c r="Z1044" s="1783"/>
      <c r="AA1044" s="1783"/>
      <c r="AB1044" s="1783"/>
      <c r="AC1044" s="1783"/>
      <c r="AD1044" s="1783"/>
      <c r="AE1044" s="1783"/>
      <c r="AF1044" s="1783"/>
      <c r="AG1044" s="1783"/>
      <c r="AH1044" s="1783"/>
      <c r="AI1044" s="1783"/>
      <c r="AJ1044" s="1783"/>
      <c r="AK1044" s="1783"/>
      <c r="AL1044" s="1783"/>
      <c r="AM1044" s="1783"/>
      <c r="AN1044" s="1783"/>
      <c r="AO1044" s="1783"/>
      <c r="AP1044" s="1783"/>
      <c r="AQ1044" s="1783"/>
      <c r="AR1044" s="1783"/>
      <c r="AS1044" s="1783"/>
      <c r="AT1044" s="1783"/>
      <c r="AU1044" s="1783"/>
      <c r="AV1044" s="1783"/>
      <c r="AW1044" s="1783"/>
      <c r="AX1044" s="1783"/>
      <c r="AY1044" s="1783"/>
      <c r="AZ1044" s="1783"/>
      <c r="BA1044" s="1783"/>
      <c r="BB1044" s="1783"/>
      <c r="BC1044" s="1783"/>
      <c r="BD1044" s="1783"/>
      <c r="BE1044" s="1783"/>
      <c r="BF1044" s="1783"/>
      <c r="BG1044" s="1783"/>
      <c r="BH1044" s="1783"/>
      <c r="BI1044" s="1783"/>
    </row>
    <row r="1045" spans="1:61">
      <c r="A1045" s="1819"/>
      <c r="B1045" s="1818"/>
      <c r="C1045" s="1818"/>
      <c r="D1045" s="1818"/>
      <c r="E1045" s="1818"/>
      <c r="F1045" s="1818"/>
      <c r="G1045" s="1818"/>
      <c r="H1045" s="1783"/>
      <c r="I1045" s="1783"/>
      <c r="J1045" s="1783"/>
      <c r="K1045" s="1783"/>
      <c r="L1045" s="1783"/>
      <c r="M1045" s="1783"/>
      <c r="N1045" s="1783"/>
      <c r="O1045" s="1783"/>
      <c r="P1045" s="1783"/>
      <c r="Q1045" s="1783"/>
      <c r="R1045" s="1783"/>
      <c r="S1045" s="1783"/>
      <c r="T1045" s="1783"/>
      <c r="U1045" s="1783"/>
      <c r="V1045" s="1783"/>
      <c r="W1045" s="1783"/>
      <c r="X1045" s="1783"/>
      <c r="Y1045" s="1783"/>
      <c r="Z1045" s="1783"/>
      <c r="AA1045" s="1783"/>
      <c r="AB1045" s="1783"/>
      <c r="AC1045" s="1783"/>
      <c r="AD1045" s="1783"/>
      <c r="AE1045" s="1783"/>
      <c r="AF1045" s="1783"/>
      <c r="AG1045" s="1783"/>
      <c r="AH1045" s="1783"/>
      <c r="AI1045" s="1783"/>
      <c r="AJ1045" s="1783"/>
      <c r="AK1045" s="1783"/>
      <c r="AL1045" s="1783"/>
      <c r="AM1045" s="1783"/>
      <c r="AN1045" s="1783"/>
      <c r="AO1045" s="1783"/>
      <c r="AP1045" s="1783"/>
      <c r="AQ1045" s="1783"/>
      <c r="AR1045" s="1783"/>
      <c r="AS1045" s="1783"/>
      <c r="AT1045" s="1783"/>
      <c r="AU1045" s="1783"/>
      <c r="AV1045" s="1783"/>
      <c r="AW1045" s="1783"/>
      <c r="AX1045" s="1783"/>
      <c r="AY1045" s="1783"/>
      <c r="AZ1045" s="1783"/>
      <c r="BA1045" s="1783"/>
      <c r="BB1045" s="1783"/>
      <c r="BC1045" s="1783"/>
      <c r="BD1045" s="1783"/>
      <c r="BE1045" s="1783"/>
      <c r="BF1045" s="1783"/>
      <c r="BG1045" s="1783"/>
      <c r="BH1045" s="1783"/>
      <c r="BI1045" s="1783"/>
    </row>
    <row r="1046" spans="1:61">
      <c r="A1046" s="1819"/>
      <c r="B1046" s="1818"/>
      <c r="C1046" s="1818"/>
      <c r="D1046" s="1818"/>
      <c r="E1046" s="1818"/>
      <c r="F1046" s="1818"/>
      <c r="G1046" s="1818"/>
      <c r="H1046" s="1783"/>
      <c r="I1046" s="1783"/>
      <c r="J1046" s="1783"/>
      <c r="K1046" s="1783"/>
      <c r="L1046" s="1783"/>
      <c r="M1046" s="1783"/>
      <c r="N1046" s="1783"/>
      <c r="O1046" s="1783"/>
      <c r="P1046" s="1783"/>
      <c r="Q1046" s="1783"/>
      <c r="R1046" s="1783"/>
      <c r="S1046" s="1783"/>
      <c r="T1046" s="1783"/>
      <c r="U1046" s="1783"/>
      <c r="V1046" s="1783"/>
      <c r="W1046" s="1783"/>
      <c r="X1046" s="1783"/>
      <c r="Y1046" s="1783"/>
      <c r="Z1046" s="1783"/>
      <c r="AA1046" s="1783"/>
      <c r="AB1046" s="1783"/>
      <c r="AC1046" s="1783"/>
      <c r="AD1046" s="1783"/>
      <c r="AE1046" s="1783"/>
      <c r="AF1046" s="1783"/>
      <c r="AG1046" s="1783"/>
      <c r="AH1046" s="1783"/>
      <c r="AI1046" s="1783"/>
      <c r="AJ1046" s="1783"/>
      <c r="AK1046" s="1783"/>
      <c r="AL1046" s="1783"/>
      <c r="AM1046" s="1783"/>
      <c r="AN1046" s="1783"/>
      <c r="AO1046" s="1783"/>
      <c r="AP1046" s="1783"/>
      <c r="AQ1046" s="1783"/>
      <c r="AR1046" s="1783"/>
      <c r="AS1046" s="1783"/>
      <c r="AT1046" s="1783"/>
      <c r="AU1046" s="1783"/>
      <c r="AV1046" s="1783"/>
      <c r="AW1046" s="1783"/>
      <c r="AX1046" s="1783"/>
      <c r="AY1046" s="1783"/>
      <c r="AZ1046" s="1783"/>
      <c r="BA1046" s="1783"/>
      <c r="BB1046" s="1783"/>
      <c r="BC1046" s="1783"/>
      <c r="BD1046" s="1783"/>
      <c r="BE1046" s="1783"/>
      <c r="BF1046" s="1783"/>
      <c r="BG1046" s="1783"/>
      <c r="BH1046" s="1783"/>
      <c r="BI1046" s="1783"/>
    </row>
    <row r="1047" spans="1:61">
      <c r="A1047" s="1819"/>
      <c r="B1047" s="1818"/>
      <c r="C1047" s="1818"/>
      <c r="D1047" s="1818"/>
      <c r="E1047" s="1818"/>
      <c r="F1047" s="1818"/>
      <c r="G1047" s="1818"/>
      <c r="H1047" s="1783"/>
      <c r="I1047" s="1783"/>
      <c r="J1047" s="1783"/>
      <c r="K1047" s="1783"/>
      <c r="L1047" s="1783"/>
      <c r="M1047" s="1783"/>
      <c r="N1047" s="1783"/>
      <c r="O1047" s="1783"/>
      <c r="P1047" s="1783"/>
      <c r="Q1047" s="1783"/>
      <c r="R1047" s="1783"/>
      <c r="S1047" s="1783"/>
      <c r="T1047" s="1783"/>
      <c r="U1047" s="1783"/>
      <c r="V1047" s="1783"/>
      <c r="W1047" s="1783"/>
      <c r="X1047" s="1783"/>
      <c r="Y1047" s="1783"/>
      <c r="Z1047" s="1783"/>
      <c r="AA1047" s="1783"/>
      <c r="AB1047" s="1783"/>
      <c r="AC1047" s="1783"/>
      <c r="AD1047" s="1783"/>
      <c r="AE1047" s="1783"/>
      <c r="AF1047" s="1783"/>
      <c r="AG1047" s="1783"/>
      <c r="AH1047" s="1783"/>
      <c r="AI1047" s="1783"/>
      <c r="AJ1047" s="1783"/>
      <c r="AK1047" s="1783"/>
      <c r="AL1047" s="1783"/>
      <c r="AM1047" s="1783"/>
      <c r="AN1047" s="1783"/>
      <c r="AO1047" s="1783"/>
      <c r="AP1047" s="1783"/>
      <c r="AQ1047" s="1783"/>
      <c r="AR1047" s="1783"/>
      <c r="AS1047" s="1783"/>
      <c r="AT1047" s="1783"/>
      <c r="AU1047" s="1783"/>
      <c r="AV1047" s="1783"/>
      <c r="AW1047" s="1783"/>
      <c r="AX1047" s="1783"/>
      <c r="AY1047" s="1783"/>
      <c r="AZ1047" s="1783"/>
      <c r="BA1047" s="1783"/>
      <c r="BB1047" s="1783"/>
      <c r="BC1047" s="1783"/>
      <c r="BD1047" s="1783"/>
      <c r="BE1047" s="1783"/>
      <c r="BF1047" s="1783"/>
      <c r="BG1047" s="1783"/>
      <c r="BH1047" s="1783"/>
      <c r="BI1047" s="1783"/>
    </row>
    <row r="1048" spans="1:61">
      <c r="A1048" s="1819"/>
      <c r="B1048" s="1818"/>
      <c r="C1048" s="1818"/>
      <c r="D1048" s="1818"/>
      <c r="E1048" s="1818"/>
      <c r="F1048" s="1818"/>
      <c r="G1048" s="1818"/>
      <c r="H1048" s="1783"/>
      <c r="I1048" s="1783"/>
      <c r="J1048" s="1783"/>
      <c r="K1048" s="1783"/>
      <c r="L1048" s="1783"/>
      <c r="M1048" s="1783"/>
      <c r="N1048" s="1783"/>
      <c r="O1048" s="1783"/>
      <c r="P1048" s="1783"/>
      <c r="Q1048" s="1783"/>
      <c r="R1048" s="1783"/>
      <c r="S1048" s="1783"/>
      <c r="T1048" s="1783"/>
      <c r="U1048" s="1783"/>
      <c r="V1048" s="1783"/>
      <c r="W1048" s="1783"/>
      <c r="X1048" s="1783"/>
      <c r="Y1048" s="1783"/>
      <c r="Z1048" s="1783"/>
      <c r="AA1048" s="1783"/>
      <c r="AB1048" s="1783"/>
      <c r="AC1048" s="1783"/>
      <c r="AD1048" s="1783"/>
      <c r="AE1048" s="1783"/>
      <c r="AF1048" s="1783"/>
      <c r="AG1048" s="1783"/>
      <c r="AH1048" s="1783"/>
      <c r="AI1048" s="1783"/>
      <c r="AJ1048" s="1783"/>
      <c r="AK1048" s="1783"/>
      <c r="AL1048" s="1783"/>
      <c r="AM1048" s="1783"/>
      <c r="AN1048" s="1783"/>
      <c r="AO1048" s="1783"/>
      <c r="AP1048" s="1783"/>
      <c r="AQ1048" s="1783"/>
      <c r="AR1048" s="1783"/>
      <c r="AS1048" s="1783"/>
      <c r="AT1048" s="1783"/>
      <c r="AU1048" s="1783"/>
      <c r="AV1048" s="1783"/>
      <c r="AW1048" s="1783"/>
      <c r="AX1048" s="1783"/>
      <c r="AY1048" s="1783"/>
      <c r="AZ1048" s="1783"/>
      <c r="BA1048" s="1783"/>
      <c r="BB1048" s="1783"/>
      <c r="BC1048" s="1783"/>
      <c r="BD1048" s="1783"/>
      <c r="BE1048" s="1783"/>
      <c r="BF1048" s="1783"/>
      <c r="BG1048" s="1783"/>
      <c r="BH1048" s="1783"/>
      <c r="BI1048" s="1783"/>
    </row>
    <row r="1049" spans="1:61">
      <c r="A1049" s="1819"/>
      <c r="B1049" s="1818"/>
      <c r="C1049" s="1818"/>
      <c r="D1049" s="1818"/>
      <c r="E1049" s="1818"/>
      <c r="F1049" s="1818"/>
      <c r="G1049" s="1818"/>
      <c r="H1049" s="1783"/>
      <c r="I1049" s="1783"/>
      <c r="J1049" s="1783"/>
      <c r="K1049" s="1783"/>
      <c r="L1049" s="1783"/>
      <c r="M1049" s="1783"/>
      <c r="N1049" s="1783"/>
      <c r="O1049" s="1783"/>
      <c r="P1049" s="1783"/>
      <c r="Q1049" s="1783"/>
      <c r="R1049" s="1783"/>
      <c r="S1049" s="1783"/>
      <c r="T1049" s="1783"/>
      <c r="U1049" s="1783"/>
      <c r="V1049" s="1783"/>
      <c r="W1049" s="1783"/>
      <c r="X1049" s="1783"/>
      <c r="Y1049" s="1783"/>
      <c r="Z1049" s="1783"/>
      <c r="AA1049" s="1783"/>
      <c r="AB1049" s="1783"/>
      <c r="AC1049" s="1783"/>
      <c r="AD1049" s="1783"/>
      <c r="AE1049" s="1783"/>
      <c r="AF1049" s="1783"/>
      <c r="AG1049" s="1783"/>
      <c r="AH1049" s="1783"/>
      <c r="AI1049" s="1783"/>
      <c r="AJ1049" s="1783"/>
      <c r="AK1049" s="1783"/>
      <c r="AL1049" s="1783"/>
      <c r="AM1049" s="1783"/>
      <c r="AN1049" s="1783"/>
      <c r="AO1049" s="1783"/>
      <c r="AP1049" s="1783"/>
      <c r="AQ1049" s="1783"/>
      <c r="AR1049" s="1783"/>
      <c r="AS1049" s="1783"/>
      <c r="AT1049" s="1783"/>
      <c r="AU1049" s="1783"/>
      <c r="AV1049" s="1783"/>
      <c r="AW1049" s="1783"/>
      <c r="AX1049" s="1783"/>
      <c r="AY1049" s="1783"/>
      <c r="AZ1049" s="1783"/>
      <c r="BA1049" s="1783"/>
      <c r="BB1049" s="1783"/>
      <c r="BC1049" s="1783"/>
      <c r="BD1049" s="1783"/>
      <c r="BE1049" s="1783"/>
      <c r="BF1049" s="1783"/>
      <c r="BG1049" s="1783"/>
      <c r="BH1049" s="1783"/>
      <c r="BI1049" s="1783"/>
    </row>
    <row r="1050" spans="1:61">
      <c r="A1050" s="1819"/>
      <c r="B1050" s="1818"/>
      <c r="C1050" s="1818"/>
      <c r="D1050" s="1818"/>
      <c r="E1050" s="1818"/>
      <c r="F1050" s="1818"/>
      <c r="G1050" s="1818"/>
      <c r="H1050" s="1783"/>
      <c r="I1050" s="1783"/>
      <c r="J1050" s="1783"/>
      <c r="K1050" s="1783"/>
      <c r="L1050" s="1783"/>
      <c r="M1050" s="1783"/>
      <c r="N1050" s="1783"/>
      <c r="O1050" s="1783"/>
      <c r="P1050" s="1783"/>
      <c r="Q1050" s="1783"/>
      <c r="R1050" s="1783"/>
      <c r="S1050" s="1783"/>
      <c r="T1050" s="1783"/>
      <c r="U1050" s="1783"/>
      <c r="V1050" s="1783"/>
      <c r="W1050" s="1783"/>
      <c r="X1050" s="1783"/>
      <c r="Y1050" s="1783"/>
      <c r="Z1050" s="1783"/>
      <c r="AA1050" s="1783"/>
      <c r="AB1050" s="1783"/>
      <c r="AC1050" s="1783"/>
      <c r="AD1050" s="1783"/>
      <c r="AE1050" s="1783"/>
      <c r="AF1050" s="1783"/>
      <c r="AG1050" s="1783"/>
      <c r="AH1050" s="1783"/>
      <c r="AI1050" s="1783"/>
      <c r="AJ1050" s="1783"/>
      <c r="AK1050" s="1783"/>
      <c r="AL1050" s="1783"/>
      <c r="AM1050" s="1783"/>
      <c r="AN1050" s="1783"/>
      <c r="AO1050" s="1783"/>
      <c r="AP1050" s="1783"/>
      <c r="AQ1050" s="1783"/>
      <c r="AR1050" s="1783"/>
      <c r="AS1050" s="1783"/>
      <c r="AT1050" s="1783"/>
      <c r="AU1050" s="1783"/>
      <c r="AV1050" s="1783"/>
      <c r="AW1050" s="1783"/>
      <c r="AX1050" s="1783"/>
      <c r="AY1050" s="1783"/>
      <c r="AZ1050" s="1783"/>
      <c r="BA1050" s="1783"/>
      <c r="BB1050" s="1783"/>
      <c r="BC1050" s="1783"/>
      <c r="BD1050" s="1783"/>
      <c r="BE1050" s="1783"/>
      <c r="BF1050" s="1783"/>
      <c r="BG1050" s="1783"/>
      <c r="BH1050" s="1783"/>
      <c r="BI1050" s="1783"/>
    </row>
    <row r="1051" spans="1:61">
      <c r="A1051" s="1819"/>
      <c r="B1051" s="1818"/>
      <c r="C1051" s="1818"/>
      <c r="D1051" s="1818"/>
      <c r="E1051" s="1818"/>
      <c r="F1051" s="1818"/>
      <c r="G1051" s="1818"/>
      <c r="H1051" s="1783"/>
      <c r="I1051" s="1783"/>
      <c r="J1051" s="1783"/>
      <c r="K1051" s="1783"/>
      <c r="L1051" s="1783"/>
      <c r="M1051" s="1783"/>
      <c r="N1051" s="1783"/>
      <c r="O1051" s="1783"/>
      <c r="P1051" s="1783"/>
      <c r="Q1051" s="1783"/>
      <c r="R1051" s="1783"/>
      <c r="S1051" s="1783"/>
      <c r="T1051" s="1783"/>
      <c r="U1051" s="1783"/>
      <c r="V1051" s="1783"/>
      <c r="W1051" s="1783"/>
      <c r="X1051" s="1783"/>
      <c r="Y1051" s="1783"/>
      <c r="Z1051" s="1783"/>
      <c r="AA1051" s="1783"/>
      <c r="AB1051" s="1783"/>
      <c r="AC1051" s="1783"/>
      <c r="AD1051" s="1783"/>
      <c r="AE1051" s="1783"/>
      <c r="AF1051" s="1783"/>
      <c r="AG1051" s="1783"/>
      <c r="AH1051" s="1783"/>
      <c r="AI1051" s="1783"/>
      <c r="AJ1051" s="1783"/>
      <c r="AK1051" s="1783"/>
      <c r="AL1051" s="1783"/>
      <c r="AM1051" s="1783"/>
      <c r="AN1051" s="1783"/>
      <c r="AO1051" s="1783"/>
      <c r="AP1051" s="1783"/>
      <c r="AQ1051" s="1783"/>
      <c r="AR1051" s="1783"/>
      <c r="AS1051" s="1783"/>
      <c r="AT1051" s="1783"/>
      <c r="AU1051" s="1783"/>
      <c r="AV1051" s="1783"/>
      <c r="AW1051" s="1783"/>
      <c r="AX1051" s="1783"/>
      <c r="AY1051" s="1783"/>
      <c r="AZ1051" s="1783"/>
      <c r="BA1051" s="1783"/>
      <c r="BB1051" s="1783"/>
      <c r="BC1051" s="1783"/>
      <c r="BD1051" s="1783"/>
      <c r="BE1051" s="1783"/>
      <c r="BF1051" s="1783"/>
      <c r="BG1051" s="1783"/>
      <c r="BH1051" s="1783"/>
      <c r="BI1051" s="1783"/>
    </row>
    <row r="1052" spans="1:61">
      <c r="A1052" s="1819"/>
      <c r="B1052" s="1818"/>
      <c r="C1052" s="1818"/>
      <c r="D1052" s="1818"/>
      <c r="E1052" s="1818"/>
      <c r="F1052" s="1818"/>
      <c r="G1052" s="1818"/>
      <c r="H1052" s="1783"/>
      <c r="I1052" s="1783"/>
      <c r="J1052" s="1783"/>
      <c r="K1052" s="1783"/>
      <c r="L1052" s="1783"/>
      <c r="M1052" s="1783"/>
      <c r="N1052" s="1783"/>
      <c r="O1052" s="1783"/>
      <c r="P1052" s="1783"/>
      <c r="Q1052" s="1783"/>
      <c r="R1052" s="1783"/>
      <c r="S1052" s="1783"/>
      <c r="T1052" s="1783"/>
      <c r="U1052" s="1783"/>
      <c r="V1052" s="1783"/>
      <c r="W1052" s="1783"/>
      <c r="X1052" s="1783"/>
      <c r="Y1052" s="1783"/>
      <c r="Z1052" s="1783"/>
      <c r="AA1052" s="1783"/>
      <c r="AB1052" s="1783"/>
      <c r="AC1052" s="1783"/>
      <c r="AD1052" s="1783"/>
      <c r="AE1052" s="1783"/>
      <c r="AF1052" s="1783"/>
      <c r="AG1052" s="1783"/>
      <c r="AH1052" s="1783"/>
      <c r="AI1052" s="1783"/>
      <c r="AJ1052" s="1783"/>
      <c r="AK1052" s="1783"/>
      <c r="AL1052" s="1783"/>
      <c r="AM1052" s="1783"/>
      <c r="AN1052" s="1783"/>
      <c r="AO1052" s="1783"/>
      <c r="AP1052" s="1783"/>
      <c r="AQ1052" s="1783"/>
      <c r="AR1052" s="1783"/>
      <c r="AS1052" s="1783"/>
      <c r="AT1052" s="1783"/>
      <c r="AU1052" s="1783"/>
      <c r="AV1052" s="1783"/>
      <c r="AW1052" s="1783"/>
      <c r="AX1052" s="1783"/>
      <c r="AY1052" s="1783"/>
      <c r="AZ1052" s="1783"/>
      <c r="BA1052" s="1783"/>
      <c r="BB1052" s="1783"/>
      <c r="BC1052" s="1783"/>
      <c r="BD1052" s="1783"/>
      <c r="BE1052" s="1783"/>
      <c r="BF1052" s="1783"/>
      <c r="BG1052" s="1783"/>
      <c r="BH1052" s="1783"/>
      <c r="BI1052" s="1783"/>
    </row>
    <row r="1053" spans="1:61">
      <c r="A1053" s="1819"/>
      <c r="B1053" s="1818"/>
      <c r="C1053" s="1818"/>
      <c r="D1053" s="1818"/>
      <c r="E1053" s="1818"/>
      <c r="F1053" s="1818"/>
      <c r="G1053" s="1818"/>
      <c r="H1053" s="1783"/>
      <c r="I1053" s="1783"/>
      <c r="J1053" s="1783"/>
      <c r="K1053" s="1783"/>
      <c r="L1053" s="1783"/>
      <c r="M1053" s="1783"/>
      <c r="N1053" s="1783"/>
      <c r="O1053" s="1783"/>
      <c r="P1053" s="1783"/>
      <c r="Q1053" s="1783"/>
      <c r="R1053" s="1783"/>
      <c r="S1053" s="1783"/>
      <c r="T1053" s="1783"/>
      <c r="U1053" s="1783"/>
      <c r="V1053" s="1783"/>
      <c r="W1053" s="1783"/>
      <c r="X1053" s="1783"/>
      <c r="Y1053" s="1783"/>
      <c r="Z1053" s="1783"/>
      <c r="AA1053" s="1783"/>
      <c r="AB1053" s="1783"/>
      <c r="AC1053" s="1783"/>
      <c r="AD1053" s="1783"/>
      <c r="AE1053" s="1783"/>
      <c r="AF1053" s="1783"/>
      <c r="AG1053" s="1783"/>
      <c r="AH1053" s="1783"/>
      <c r="AI1053" s="1783"/>
      <c r="AJ1053" s="1783"/>
      <c r="AK1053" s="1783"/>
      <c r="AL1053" s="1783"/>
      <c r="AM1053" s="1783"/>
      <c r="AN1053" s="1783"/>
      <c r="AO1053" s="1783"/>
      <c r="AP1053" s="1783"/>
      <c r="AQ1053" s="1783"/>
      <c r="AR1053" s="1783"/>
      <c r="AS1053" s="1783"/>
      <c r="AT1053" s="1783"/>
      <c r="AU1053" s="1783"/>
      <c r="AV1053" s="1783"/>
      <c r="AW1053" s="1783"/>
      <c r="AX1053" s="1783"/>
      <c r="AY1053" s="1783"/>
      <c r="AZ1053" s="1783"/>
      <c r="BA1053" s="1783"/>
      <c r="BB1053" s="1783"/>
      <c r="BC1053" s="1783"/>
      <c r="BD1053" s="1783"/>
      <c r="BE1053" s="1783"/>
      <c r="BF1053" s="1783"/>
      <c r="BG1053" s="1783"/>
      <c r="BH1053" s="1783"/>
      <c r="BI1053" s="1783"/>
    </row>
    <row r="1054" spans="1:61">
      <c r="A1054" s="1819"/>
      <c r="B1054" s="1818"/>
      <c r="C1054" s="1818"/>
      <c r="D1054" s="1818"/>
      <c r="E1054" s="1818"/>
      <c r="F1054" s="1818"/>
      <c r="G1054" s="1818"/>
      <c r="H1054" s="1783"/>
      <c r="I1054" s="1783"/>
      <c r="J1054" s="1783"/>
      <c r="K1054" s="1783"/>
      <c r="L1054" s="1783"/>
      <c r="M1054" s="1783"/>
      <c r="N1054" s="1783"/>
      <c r="O1054" s="1783"/>
      <c r="P1054" s="1783"/>
      <c r="Q1054" s="1783"/>
      <c r="R1054" s="1783"/>
      <c r="S1054" s="1783"/>
      <c r="T1054" s="1783"/>
      <c r="U1054" s="1783"/>
      <c r="V1054" s="1783"/>
      <c r="W1054" s="1783"/>
      <c r="X1054" s="1783"/>
      <c r="Y1054" s="1783"/>
      <c r="Z1054" s="1783"/>
      <c r="AA1054" s="1783"/>
      <c r="AB1054" s="1783"/>
      <c r="AC1054" s="1783"/>
      <c r="AD1054" s="1783"/>
      <c r="AE1054" s="1783"/>
      <c r="AF1054" s="1783"/>
      <c r="AG1054" s="1783"/>
      <c r="AH1054" s="1783"/>
      <c r="AI1054" s="1783"/>
      <c r="AJ1054" s="1783"/>
      <c r="AK1054" s="1783"/>
      <c r="AL1054" s="1783"/>
      <c r="AM1054" s="1783"/>
      <c r="AN1054" s="1783"/>
      <c r="AO1054" s="1783"/>
      <c r="AP1054" s="1783"/>
      <c r="AQ1054" s="1783"/>
      <c r="AR1054" s="1783"/>
      <c r="AS1054" s="1783"/>
      <c r="AT1054" s="1783"/>
      <c r="AU1054" s="1783"/>
      <c r="AV1054" s="1783"/>
      <c r="AW1054" s="1783"/>
      <c r="AX1054" s="1783"/>
      <c r="AY1054" s="1783"/>
      <c r="AZ1054" s="1783"/>
      <c r="BA1054" s="1783"/>
      <c r="BB1054" s="1783"/>
      <c r="BC1054" s="1783"/>
      <c r="BD1054" s="1783"/>
      <c r="BE1054" s="1783"/>
      <c r="BF1054" s="1783"/>
      <c r="BG1054" s="1783"/>
      <c r="BH1054" s="1783"/>
      <c r="BI1054" s="1783"/>
    </row>
    <row r="1055" spans="1:61">
      <c r="A1055" s="1819"/>
      <c r="B1055" s="1818"/>
      <c r="C1055" s="1818"/>
      <c r="D1055" s="1818"/>
      <c r="E1055" s="1818"/>
      <c r="F1055" s="1818"/>
      <c r="G1055" s="1818"/>
      <c r="H1055" s="1783"/>
      <c r="I1055" s="1783"/>
      <c r="J1055" s="1783"/>
      <c r="K1055" s="1783"/>
      <c r="L1055" s="1783"/>
      <c r="M1055" s="1783"/>
      <c r="N1055" s="1783"/>
      <c r="O1055" s="1783"/>
      <c r="P1055" s="1783"/>
      <c r="Q1055" s="1783"/>
      <c r="R1055" s="1783"/>
      <c r="S1055" s="1783"/>
      <c r="T1055" s="1783"/>
      <c r="U1055" s="1783"/>
      <c r="V1055" s="1783"/>
      <c r="W1055" s="1783"/>
      <c r="X1055" s="1783"/>
      <c r="Y1055" s="1783"/>
      <c r="Z1055" s="1783"/>
      <c r="AA1055" s="1783"/>
      <c r="AB1055" s="1783"/>
      <c r="AC1055" s="1783"/>
      <c r="AD1055" s="1783"/>
      <c r="AE1055" s="1783"/>
      <c r="AF1055" s="1783"/>
      <c r="AG1055" s="1783"/>
      <c r="AH1055" s="1783"/>
      <c r="AI1055" s="1783"/>
      <c r="AJ1055" s="1783"/>
      <c r="AK1055" s="1783"/>
      <c r="AL1055" s="1783"/>
      <c r="AM1055" s="1783"/>
      <c r="AN1055" s="1783"/>
      <c r="AO1055" s="1783"/>
      <c r="AP1055" s="1783"/>
      <c r="AQ1055" s="1783"/>
      <c r="AR1055" s="1783"/>
      <c r="AS1055" s="1783"/>
      <c r="AT1055" s="1783"/>
      <c r="AU1055" s="1783"/>
      <c r="AV1055" s="1783"/>
      <c r="AW1055" s="1783"/>
      <c r="AX1055" s="1783"/>
      <c r="AY1055" s="1783"/>
      <c r="AZ1055" s="1783"/>
      <c r="BA1055" s="1783"/>
      <c r="BB1055" s="1783"/>
      <c r="BC1055" s="1783"/>
      <c r="BD1055" s="1783"/>
      <c r="BE1055" s="1783"/>
      <c r="BF1055" s="1783"/>
      <c r="BG1055" s="1783"/>
      <c r="BH1055" s="1783"/>
      <c r="BI1055" s="1783"/>
    </row>
    <row r="1056" spans="1:61">
      <c r="A1056" s="1819"/>
      <c r="B1056" s="1818"/>
      <c r="C1056" s="1818"/>
      <c r="D1056" s="1818"/>
      <c r="E1056" s="1818"/>
      <c r="F1056" s="1818"/>
      <c r="G1056" s="1818"/>
      <c r="H1056" s="1783"/>
      <c r="I1056" s="1783"/>
      <c r="J1056" s="1783"/>
      <c r="K1056" s="1783"/>
      <c r="L1056" s="1783"/>
      <c r="M1056" s="1783"/>
      <c r="N1056" s="1783"/>
      <c r="O1056" s="1783"/>
      <c r="P1056" s="1783"/>
      <c r="Q1056" s="1783"/>
      <c r="R1056" s="1783"/>
      <c r="S1056" s="1783"/>
      <c r="T1056" s="1783"/>
      <c r="U1056" s="1783"/>
      <c r="V1056" s="1783"/>
      <c r="W1056" s="1783"/>
      <c r="X1056" s="1783"/>
      <c r="Y1056" s="1783"/>
      <c r="Z1056" s="1783"/>
      <c r="AA1056" s="1783"/>
      <c r="AB1056" s="1783"/>
      <c r="AC1056" s="1783"/>
      <c r="AD1056" s="1783"/>
      <c r="AE1056" s="1783"/>
      <c r="AF1056" s="1783"/>
      <c r="AG1056" s="1783"/>
      <c r="AH1056" s="1783"/>
      <c r="AI1056" s="1783"/>
      <c r="AJ1056" s="1783"/>
      <c r="AK1056" s="1783"/>
      <c r="AL1056" s="1783"/>
      <c r="AM1056" s="1783"/>
      <c r="AN1056" s="1783"/>
      <c r="AO1056" s="1783"/>
      <c r="AP1056" s="1783"/>
      <c r="AQ1056" s="1783"/>
      <c r="AR1056" s="1783"/>
      <c r="AS1056" s="1783"/>
      <c r="AT1056" s="1783"/>
      <c r="AU1056" s="1783"/>
      <c r="AV1056" s="1783"/>
      <c r="AW1056" s="1783"/>
      <c r="AX1056" s="1783"/>
      <c r="AY1056" s="1783"/>
      <c r="AZ1056" s="1783"/>
      <c r="BA1056" s="1783"/>
      <c r="BB1056" s="1783"/>
      <c r="BC1056" s="1783"/>
      <c r="BD1056" s="1783"/>
      <c r="BE1056" s="1783"/>
      <c r="BF1056" s="1783"/>
      <c r="BG1056" s="1783"/>
      <c r="BH1056" s="1783"/>
      <c r="BI1056" s="1783"/>
    </row>
    <row r="1057" spans="1:61">
      <c r="A1057" s="1819"/>
      <c r="B1057" s="1818"/>
      <c r="C1057" s="1818"/>
      <c r="D1057" s="1818"/>
      <c r="E1057" s="1818"/>
      <c r="F1057" s="1818"/>
      <c r="G1057" s="1818"/>
      <c r="H1057" s="1783"/>
      <c r="I1057" s="1783"/>
      <c r="J1057" s="1783"/>
      <c r="K1057" s="1783"/>
      <c r="L1057" s="1783"/>
      <c r="M1057" s="1783"/>
      <c r="N1057" s="1783"/>
      <c r="O1057" s="1783"/>
      <c r="P1057" s="1783"/>
      <c r="Q1057" s="1783"/>
      <c r="R1057" s="1783"/>
      <c r="S1057" s="1783"/>
      <c r="T1057" s="1783"/>
      <c r="U1057" s="1783"/>
      <c r="V1057" s="1783"/>
      <c r="W1057" s="1783"/>
      <c r="X1057" s="1783"/>
      <c r="Y1057" s="1783"/>
      <c r="Z1057" s="1783"/>
      <c r="AA1057" s="1783"/>
      <c r="AB1057" s="1783"/>
      <c r="AC1057" s="1783"/>
      <c r="AD1057" s="1783"/>
      <c r="AE1057" s="1783"/>
      <c r="AF1057" s="1783"/>
      <c r="AG1057" s="1783"/>
      <c r="AH1057" s="1783"/>
      <c r="AI1057" s="1783"/>
      <c r="AJ1057" s="1783"/>
      <c r="AK1057" s="1783"/>
      <c r="AL1057" s="1783"/>
      <c r="AM1057" s="1783"/>
      <c r="AN1057" s="1783"/>
      <c r="AO1057" s="1783"/>
      <c r="AP1057" s="1783"/>
      <c r="AQ1057" s="1783"/>
      <c r="AR1057" s="1783"/>
      <c r="AS1057" s="1783"/>
      <c r="AT1057" s="1783"/>
      <c r="AU1057" s="1783"/>
      <c r="AV1057" s="1783"/>
      <c r="AW1057" s="1783"/>
      <c r="AX1057" s="1783"/>
      <c r="AY1057" s="1783"/>
      <c r="AZ1057" s="1783"/>
      <c r="BA1057" s="1783"/>
      <c r="BB1057" s="1783"/>
      <c r="BC1057" s="1783"/>
      <c r="BD1057" s="1783"/>
      <c r="BE1057" s="1783"/>
      <c r="BF1057" s="1783"/>
      <c r="BG1057" s="1783"/>
      <c r="BH1057" s="1783"/>
      <c r="BI1057" s="1783"/>
    </row>
    <row r="1058" spans="1:61">
      <c r="A1058" s="1819"/>
      <c r="B1058" s="1818"/>
      <c r="C1058" s="1818"/>
      <c r="D1058" s="1818"/>
      <c r="E1058" s="1818"/>
      <c r="F1058" s="1818"/>
      <c r="G1058" s="1818"/>
      <c r="H1058" s="1783"/>
      <c r="I1058" s="1783"/>
      <c r="J1058" s="1783"/>
      <c r="K1058" s="1783"/>
      <c r="L1058" s="1783"/>
      <c r="M1058" s="1783"/>
      <c r="N1058" s="1783"/>
      <c r="O1058" s="1783"/>
      <c r="P1058" s="1783"/>
      <c r="Q1058" s="1783"/>
      <c r="R1058" s="1783"/>
      <c r="S1058" s="1783"/>
      <c r="T1058" s="1783"/>
      <c r="U1058" s="1783"/>
      <c r="V1058" s="1783"/>
      <c r="W1058" s="1783"/>
      <c r="X1058" s="1783"/>
      <c r="Y1058" s="1783"/>
      <c r="Z1058" s="1783"/>
      <c r="AA1058" s="1783"/>
      <c r="AB1058" s="1783"/>
      <c r="AC1058" s="1783"/>
      <c r="AD1058" s="1783"/>
      <c r="AE1058" s="1783"/>
      <c r="AF1058" s="1783"/>
      <c r="AG1058" s="1783"/>
      <c r="AH1058" s="1783"/>
      <c r="AI1058" s="1783"/>
      <c r="AJ1058" s="1783"/>
      <c r="AK1058" s="1783"/>
      <c r="AL1058" s="1783"/>
      <c r="AM1058" s="1783"/>
      <c r="AN1058" s="1783"/>
      <c r="AO1058" s="1783"/>
      <c r="AP1058" s="1783"/>
      <c r="AQ1058" s="1783"/>
      <c r="AR1058" s="1783"/>
      <c r="AS1058" s="1783"/>
      <c r="AT1058" s="1783"/>
      <c r="AU1058" s="1783"/>
      <c r="AV1058" s="1783"/>
      <c r="AW1058" s="1783"/>
      <c r="AX1058" s="1783"/>
      <c r="AY1058" s="1783"/>
      <c r="AZ1058" s="1783"/>
      <c r="BA1058" s="1783"/>
      <c r="BB1058" s="1783"/>
      <c r="BC1058" s="1783"/>
      <c r="BD1058" s="1783"/>
      <c r="BE1058" s="1783"/>
      <c r="BF1058" s="1783"/>
      <c r="BG1058" s="1783"/>
      <c r="BH1058" s="1783"/>
      <c r="BI1058" s="1783"/>
    </row>
    <row r="1059" spans="1:61">
      <c r="A1059" s="1819"/>
      <c r="B1059" s="1818"/>
      <c r="C1059" s="1818"/>
      <c r="D1059" s="1818"/>
      <c r="E1059" s="1818"/>
      <c r="F1059" s="1818"/>
      <c r="G1059" s="1818"/>
      <c r="H1059" s="1783"/>
      <c r="I1059" s="1783"/>
      <c r="J1059" s="1783"/>
      <c r="K1059" s="1783"/>
      <c r="L1059" s="1783"/>
      <c r="M1059" s="1783"/>
      <c r="N1059" s="1783"/>
      <c r="O1059" s="1783"/>
      <c r="P1059" s="1783"/>
      <c r="Q1059" s="1783"/>
      <c r="R1059" s="1783"/>
      <c r="S1059" s="1783"/>
      <c r="T1059" s="1783"/>
      <c r="U1059" s="1783"/>
      <c r="V1059" s="1783"/>
      <c r="W1059" s="1783"/>
      <c r="X1059" s="1783"/>
      <c r="Y1059" s="1783"/>
      <c r="Z1059" s="1783"/>
      <c r="AA1059" s="1783"/>
      <c r="AB1059" s="1783"/>
      <c r="AC1059" s="1783"/>
      <c r="AD1059" s="1783"/>
      <c r="AE1059" s="1783"/>
      <c r="AF1059" s="1783"/>
      <c r="AG1059" s="1783"/>
      <c r="AH1059" s="1783"/>
      <c r="AI1059" s="1783"/>
      <c r="AJ1059" s="1783"/>
      <c r="AK1059" s="1783"/>
      <c r="AL1059" s="1783"/>
      <c r="AM1059" s="1783"/>
      <c r="AN1059" s="1783"/>
      <c r="AO1059" s="1783"/>
      <c r="AP1059" s="1783"/>
      <c r="AQ1059" s="1783"/>
      <c r="AR1059" s="1783"/>
      <c r="AS1059" s="1783"/>
      <c r="AT1059" s="1783"/>
      <c r="AU1059" s="1783"/>
      <c r="AV1059" s="1783"/>
      <c r="AW1059" s="1783"/>
      <c r="AX1059" s="1783"/>
      <c r="AY1059" s="1783"/>
      <c r="AZ1059" s="1783"/>
      <c r="BA1059" s="1783"/>
      <c r="BB1059" s="1783"/>
      <c r="BC1059" s="1783"/>
      <c r="BD1059" s="1783"/>
      <c r="BE1059" s="1783"/>
      <c r="BF1059" s="1783"/>
      <c r="BG1059" s="1783"/>
      <c r="BH1059" s="1783"/>
      <c r="BI1059" s="1783"/>
    </row>
    <row r="1060" spans="1:61">
      <c r="A1060" s="1819"/>
      <c r="B1060" s="1818"/>
      <c r="C1060" s="1818"/>
      <c r="D1060" s="1818"/>
      <c r="E1060" s="1818"/>
      <c r="F1060" s="1818"/>
      <c r="G1060" s="1818"/>
      <c r="H1060" s="1783"/>
      <c r="I1060" s="1783"/>
      <c r="J1060" s="1783"/>
      <c r="K1060" s="1783"/>
      <c r="L1060" s="1783"/>
      <c r="M1060" s="1783"/>
      <c r="N1060" s="1783"/>
      <c r="O1060" s="1783"/>
      <c r="P1060" s="1783"/>
      <c r="Q1060" s="1783"/>
      <c r="R1060" s="1783"/>
      <c r="S1060" s="1783"/>
      <c r="T1060" s="1783"/>
      <c r="U1060" s="1783"/>
      <c r="V1060" s="1783"/>
      <c r="W1060" s="1783"/>
      <c r="X1060" s="1783"/>
      <c r="Y1060" s="1783"/>
      <c r="Z1060" s="1783"/>
      <c r="AA1060" s="1783"/>
      <c r="AB1060" s="1783"/>
      <c r="AC1060" s="1783"/>
      <c r="AD1060" s="1783"/>
      <c r="AE1060" s="1783"/>
      <c r="AF1060" s="1783"/>
      <c r="AG1060" s="1783"/>
      <c r="AH1060" s="1783"/>
      <c r="AI1060" s="1783"/>
      <c r="AJ1060" s="1783"/>
      <c r="AK1060" s="1783"/>
      <c r="AL1060" s="1783"/>
      <c r="AM1060" s="1783"/>
      <c r="AN1060" s="1783"/>
      <c r="AO1060" s="1783"/>
      <c r="AP1060" s="1783"/>
      <c r="AQ1060" s="1783"/>
      <c r="AR1060" s="1783"/>
      <c r="AS1060" s="1783"/>
      <c r="AT1060" s="1783"/>
      <c r="AU1060" s="1783"/>
      <c r="AV1060" s="1783"/>
      <c r="AW1060" s="1783"/>
      <c r="AX1060" s="1783"/>
      <c r="AY1060" s="1783"/>
      <c r="AZ1060" s="1783"/>
      <c r="BA1060" s="1783"/>
      <c r="BB1060" s="1783"/>
      <c r="BC1060" s="1783"/>
      <c r="BD1060" s="1783"/>
      <c r="BE1060" s="1783"/>
      <c r="BF1060" s="1783"/>
      <c r="BG1060" s="1783"/>
      <c r="BH1060" s="1783"/>
      <c r="BI1060" s="1783"/>
    </row>
    <row r="1061" spans="1:61">
      <c r="A1061" s="1819"/>
      <c r="B1061" s="1818"/>
      <c r="C1061" s="1818"/>
      <c r="D1061" s="1818"/>
      <c r="E1061" s="1818"/>
      <c r="F1061" s="1818"/>
      <c r="G1061" s="1818"/>
      <c r="H1061" s="1783"/>
      <c r="I1061" s="1783"/>
      <c r="J1061" s="1783"/>
      <c r="K1061" s="1783"/>
      <c r="L1061" s="1783"/>
      <c r="M1061" s="1783"/>
      <c r="N1061" s="1783"/>
      <c r="O1061" s="1783"/>
      <c r="P1061" s="1783"/>
      <c r="Q1061" s="1783"/>
      <c r="R1061" s="1783"/>
      <c r="S1061" s="1783"/>
      <c r="T1061" s="1783"/>
      <c r="U1061" s="1783"/>
      <c r="V1061" s="1783"/>
      <c r="W1061" s="1783"/>
      <c r="X1061" s="1783"/>
      <c r="Y1061" s="1783"/>
      <c r="Z1061" s="1783"/>
      <c r="AA1061" s="1783"/>
      <c r="AB1061" s="1783"/>
      <c r="AC1061" s="1783"/>
      <c r="AD1061" s="1783"/>
      <c r="AE1061" s="1783"/>
      <c r="AF1061" s="1783"/>
      <c r="AG1061" s="1783"/>
      <c r="AH1061" s="1783"/>
      <c r="AI1061" s="1783"/>
      <c r="AJ1061" s="1783"/>
      <c r="AK1061" s="1783"/>
      <c r="AL1061" s="1783"/>
      <c r="AM1061" s="1783"/>
      <c r="AN1061" s="1783"/>
      <c r="AO1061" s="1783"/>
      <c r="AP1061" s="1783"/>
      <c r="AQ1061" s="1783"/>
      <c r="AR1061" s="1783"/>
      <c r="AS1061" s="1783"/>
      <c r="AT1061" s="1783"/>
      <c r="AU1061" s="1783"/>
      <c r="AV1061" s="1783"/>
      <c r="AW1061" s="1783"/>
      <c r="AX1061" s="1783"/>
      <c r="AY1061" s="1783"/>
      <c r="AZ1061" s="1783"/>
      <c r="BA1061" s="1783"/>
      <c r="BB1061" s="1783"/>
      <c r="BC1061" s="1783"/>
      <c r="BD1061" s="1783"/>
      <c r="BE1061" s="1783"/>
      <c r="BF1061" s="1783"/>
      <c r="BG1061" s="1783"/>
      <c r="BH1061" s="1783"/>
      <c r="BI1061" s="1783"/>
    </row>
    <row r="1062" spans="1:61">
      <c r="A1062" s="1819"/>
      <c r="B1062" s="1818"/>
      <c r="C1062" s="1818"/>
      <c r="D1062" s="1818"/>
      <c r="E1062" s="1818"/>
      <c r="F1062" s="1818"/>
      <c r="G1062" s="1818"/>
      <c r="H1062" s="1783"/>
      <c r="I1062" s="1783"/>
      <c r="J1062" s="1783"/>
      <c r="K1062" s="1783"/>
      <c r="L1062" s="1783"/>
      <c r="M1062" s="1783"/>
      <c r="N1062" s="1783"/>
      <c r="O1062" s="1783"/>
      <c r="P1062" s="1783"/>
      <c r="Q1062" s="1783"/>
      <c r="R1062" s="1783"/>
      <c r="S1062" s="1783"/>
      <c r="T1062" s="1783"/>
      <c r="U1062" s="1783"/>
      <c r="V1062" s="1783"/>
      <c r="W1062" s="1783"/>
      <c r="X1062" s="1783"/>
      <c r="Y1062" s="1783"/>
      <c r="Z1062" s="1783"/>
      <c r="AA1062" s="1783"/>
      <c r="AB1062" s="1783"/>
      <c r="AC1062" s="1783"/>
      <c r="AD1062" s="1783"/>
      <c r="AE1062" s="1783"/>
      <c r="AF1062" s="1783"/>
      <c r="AG1062" s="1783"/>
      <c r="AH1062" s="1783"/>
      <c r="AI1062" s="1783"/>
      <c r="AJ1062" s="1783"/>
      <c r="AK1062" s="1783"/>
      <c r="AL1062" s="1783"/>
      <c r="AM1062" s="1783"/>
      <c r="AN1062" s="1783"/>
      <c r="AO1062" s="1783"/>
      <c r="AP1062" s="1783"/>
      <c r="AQ1062" s="1783"/>
      <c r="AR1062" s="1783"/>
      <c r="AS1062" s="1783"/>
      <c r="AT1062" s="1783"/>
      <c r="AU1062" s="1783"/>
      <c r="AV1062" s="1783"/>
      <c r="AW1062" s="1783"/>
      <c r="AX1062" s="1783"/>
      <c r="AY1062" s="1783"/>
      <c r="AZ1062" s="1783"/>
      <c r="BA1062" s="1783"/>
      <c r="BB1062" s="1783"/>
      <c r="BC1062" s="1783"/>
      <c r="BD1062" s="1783"/>
      <c r="BE1062" s="1783"/>
      <c r="BF1062" s="1783"/>
      <c r="BG1062" s="1783"/>
      <c r="BH1062" s="1783"/>
      <c r="BI1062" s="1783"/>
    </row>
    <row r="1063" spans="1:61">
      <c r="A1063" s="1819"/>
      <c r="B1063" s="1818"/>
      <c r="C1063" s="1818"/>
      <c r="D1063" s="1818"/>
      <c r="E1063" s="1818"/>
      <c r="F1063" s="1818"/>
      <c r="G1063" s="1818"/>
      <c r="H1063" s="1783"/>
      <c r="I1063" s="1783"/>
      <c r="J1063" s="1783"/>
      <c r="K1063" s="1783"/>
      <c r="L1063" s="1783"/>
      <c r="M1063" s="1783"/>
      <c r="N1063" s="1783"/>
      <c r="O1063" s="1783"/>
      <c r="P1063" s="1783"/>
      <c r="Q1063" s="1783"/>
      <c r="R1063" s="1783"/>
      <c r="S1063" s="1783"/>
      <c r="T1063" s="1783"/>
      <c r="U1063" s="1783"/>
      <c r="V1063" s="1783"/>
      <c r="W1063" s="1783"/>
      <c r="X1063" s="1783"/>
      <c r="Y1063" s="1783"/>
      <c r="Z1063" s="1783"/>
      <c r="AA1063" s="1783"/>
      <c r="AB1063" s="1783"/>
      <c r="AC1063" s="1783"/>
      <c r="AD1063" s="1783"/>
      <c r="AE1063" s="1783"/>
      <c r="AF1063" s="1783"/>
      <c r="AG1063" s="1783"/>
      <c r="AH1063" s="1783"/>
      <c r="AI1063" s="1783"/>
      <c r="AJ1063" s="1783"/>
      <c r="AK1063" s="1783"/>
      <c r="AL1063" s="1783"/>
      <c r="AM1063" s="1783"/>
      <c r="AN1063" s="1783"/>
      <c r="AO1063" s="1783"/>
      <c r="AP1063" s="1783"/>
      <c r="AQ1063" s="1783"/>
      <c r="AR1063" s="1783"/>
      <c r="AS1063" s="1783"/>
      <c r="AT1063" s="1783"/>
      <c r="AU1063" s="1783"/>
      <c r="AV1063" s="1783"/>
      <c r="AW1063" s="1783"/>
      <c r="AX1063" s="1783"/>
      <c r="AY1063" s="1783"/>
      <c r="AZ1063" s="1783"/>
      <c r="BA1063" s="1783"/>
      <c r="BB1063" s="1783"/>
      <c r="BC1063" s="1783"/>
      <c r="BD1063" s="1783"/>
      <c r="BE1063" s="1783"/>
      <c r="BF1063" s="1783"/>
      <c r="BG1063" s="1783"/>
      <c r="BH1063" s="1783"/>
      <c r="BI1063" s="1783"/>
    </row>
    <row r="1064" spans="1:61">
      <c r="A1064" s="1819"/>
      <c r="B1064" s="1818"/>
      <c r="C1064" s="1818"/>
      <c r="D1064" s="1818"/>
      <c r="E1064" s="1818"/>
      <c r="F1064" s="1818"/>
      <c r="G1064" s="1818"/>
      <c r="H1064" s="1783"/>
      <c r="I1064" s="1783"/>
      <c r="J1064" s="1783"/>
      <c r="K1064" s="1783"/>
      <c r="L1064" s="1783"/>
      <c r="M1064" s="1783"/>
      <c r="N1064" s="1783"/>
      <c r="O1064" s="1783"/>
      <c r="P1064" s="1783"/>
      <c r="Q1064" s="1783"/>
      <c r="R1064" s="1783"/>
      <c r="S1064" s="1783"/>
      <c r="T1064" s="1783"/>
      <c r="U1064" s="1783"/>
      <c r="V1064" s="1783"/>
      <c r="W1064" s="1783"/>
      <c r="X1064" s="1783"/>
      <c r="Y1064" s="1783"/>
      <c r="Z1064" s="1783"/>
      <c r="AA1064" s="1783"/>
      <c r="AB1064" s="1783"/>
      <c r="AC1064" s="1783"/>
      <c r="AD1064" s="1783"/>
      <c r="AE1064" s="1783"/>
      <c r="AF1064" s="1783"/>
      <c r="AG1064" s="1783"/>
      <c r="AH1064" s="1783"/>
      <c r="AI1064" s="1783"/>
      <c r="AJ1064" s="1783"/>
      <c r="AK1064" s="1783"/>
      <c r="AL1064" s="1783"/>
      <c r="AM1064" s="1783"/>
      <c r="AN1064" s="1783"/>
      <c r="AO1064" s="1783"/>
      <c r="AP1064" s="1783"/>
      <c r="AQ1064" s="1783"/>
      <c r="AR1064" s="1783"/>
      <c r="AS1064" s="1783"/>
      <c r="AT1064" s="1783"/>
      <c r="AU1064" s="1783"/>
      <c r="AV1064" s="1783"/>
      <c r="AW1064" s="1783"/>
      <c r="AX1064" s="1783"/>
      <c r="AY1064" s="1783"/>
      <c r="AZ1064" s="1783"/>
      <c r="BA1064" s="1783"/>
      <c r="BB1064" s="1783"/>
      <c r="BC1064" s="1783"/>
      <c r="BD1064" s="1783"/>
      <c r="BE1064" s="1783"/>
      <c r="BF1064" s="1783"/>
      <c r="BG1064" s="1783"/>
      <c r="BH1064" s="1783"/>
      <c r="BI1064" s="1783"/>
    </row>
    <row r="1065" spans="1:61">
      <c r="A1065" s="1819"/>
      <c r="B1065" s="1818"/>
      <c r="C1065" s="1818"/>
      <c r="D1065" s="1818"/>
      <c r="E1065" s="1818"/>
      <c r="F1065" s="1818"/>
      <c r="G1065" s="1818"/>
      <c r="H1065" s="1783"/>
      <c r="I1065" s="1783"/>
      <c r="J1065" s="1783"/>
      <c r="K1065" s="1783"/>
      <c r="L1065" s="1783"/>
      <c r="M1065" s="1783"/>
      <c r="N1065" s="1783"/>
      <c r="O1065" s="1783"/>
      <c r="P1065" s="1783"/>
      <c r="Q1065" s="1783"/>
      <c r="R1065" s="1783"/>
      <c r="S1065" s="1783"/>
      <c r="T1065" s="1783"/>
      <c r="U1065" s="1783"/>
      <c r="V1065" s="1783"/>
      <c r="W1065" s="1783"/>
      <c r="X1065" s="1783"/>
      <c r="Y1065" s="1783"/>
      <c r="Z1065" s="1783"/>
      <c r="AA1065" s="1783"/>
      <c r="AB1065" s="1783"/>
      <c r="AC1065" s="1783"/>
      <c r="AD1065" s="1783"/>
      <c r="AE1065" s="1783"/>
      <c r="AF1065" s="1783"/>
      <c r="AG1065" s="1783"/>
      <c r="AH1065" s="1783"/>
      <c r="AI1065" s="1783"/>
      <c r="AJ1065" s="1783"/>
      <c r="AK1065" s="1783"/>
      <c r="AL1065" s="1783"/>
      <c r="AM1065" s="1783"/>
      <c r="AN1065" s="1783"/>
      <c r="AO1065" s="1783"/>
      <c r="AP1065" s="1783"/>
      <c r="AQ1065" s="1783"/>
      <c r="AR1065" s="1783"/>
      <c r="AS1065" s="1783"/>
      <c r="AT1065" s="1783"/>
      <c r="AU1065" s="1783"/>
      <c r="AV1065" s="1783"/>
      <c r="AW1065" s="1783"/>
      <c r="AX1065" s="1783"/>
      <c r="AY1065" s="1783"/>
      <c r="AZ1065" s="1783"/>
      <c r="BA1065" s="1783"/>
      <c r="BB1065" s="1783"/>
      <c r="BC1065" s="1783"/>
      <c r="BD1065" s="1783"/>
      <c r="BE1065" s="1783"/>
      <c r="BF1065" s="1783"/>
      <c r="BG1065" s="1783"/>
      <c r="BH1065" s="1783"/>
      <c r="BI1065" s="1783"/>
    </row>
    <row r="1066" spans="1:61">
      <c r="A1066" s="1819"/>
      <c r="B1066" s="1818"/>
      <c r="C1066" s="1818"/>
      <c r="D1066" s="1818"/>
      <c r="E1066" s="1818"/>
      <c r="F1066" s="1818"/>
      <c r="G1066" s="1818"/>
      <c r="H1066" s="1783"/>
      <c r="I1066" s="1783"/>
      <c r="J1066" s="1783"/>
      <c r="K1066" s="1783"/>
      <c r="L1066" s="1783"/>
      <c r="M1066" s="1783"/>
      <c r="N1066" s="1783"/>
      <c r="O1066" s="1783"/>
      <c r="P1066" s="1783"/>
      <c r="Q1066" s="1783"/>
      <c r="R1066" s="1783"/>
      <c r="S1066" s="1783"/>
      <c r="T1066" s="1783"/>
      <c r="U1066" s="1783"/>
      <c r="V1066" s="1783"/>
      <c r="W1066" s="1783"/>
      <c r="X1066" s="1783"/>
      <c r="Y1066" s="1783"/>
      <c r="Z1066" s="1783"/>
      <c r="AA1066" s="1783"/>
      <c r="AB1066" s="1783"/>
      <c r="AC1066" s="1783"/>
      <c r="AD1066" s="1783"/>
      <c r="AE1066" s="1783"/>
      <c r="AF1066" s="1783"/>
      <c r="AG1066" s="1783"/>
      <c r="AH1066" s="1783"/>
      <c r="AI1066" s="1783"/>
      <c r="AJ1066" s="1783"/>
      <c r="AK1066" s="1783"/>
      <c r="AL1066" s="1783"/>
      <c r="AM1066" s="1783"/>
      <c r="AN1066" s="1783"/>
      <c r="AO1066" s="1783"/>
      <c r="AP1066" s="1783"/>
      <c r="AQ1066" s="1783"/>
      <c r="AR1066" s="1783"/>
      <c r="AS1066" s="1783"/>
      <c r="AT1066" s="1783"/>
      <c r="AU1066" s="1783"/>
      <c r="AV1066" s="1783"/>
      <c r="AW1066" s="1783"/>
      <c r="AX1066" s="1783"/>
      <c r="AY1066" s="1783"/>
      <c r="AZ1066" s="1783"/>
      <c r="BA1066" s="1783"/>
      <c r="BB1066" s="1783"/>
      <c r="BC1066" s="1783"/>
      <c r="BD1066" s="1783"/>
      <c r="BE1066" s="1783"/>
      <c r="BF1066" s="1783"/>
      <c r="BG1066" s="1783"/>
      <c r="BH1066" s="1783"/>
      <c r="BI1066" s="1783"/>
    </row>
    <row r="1067" spans="1:61">
      <c r="A1067" s="1819"/>
      <c r="B1067" s="1818"/>
      <c r="C1067" s="1818"/>
      <c r="D1067" s="1818"/>
      <c r="E1067" s="1818"/>
      <c r="F1067" s="1818"/>
      <c r="G1067" s="1818"/>
      <c r="H1067" s="1783"/>
      <c r="I1067" s="1783"/>
      <c r="J1067" s="1783"/>
      <c r="K1067" s="1783"/>
      <c r="L1067" s="1783"/>
      <c r="M1067" s="1783"/>
      <c r="N1067" s="1783"/>
      <c r="O1067" s="1783"/>
      <c r="P1067" s="1783"/>
      <c r="Q1067" s="1783"/>
      <c r="R1067" s="1783"/>
      <c r="S1067" s="1783"/>
      <c r="T1067" s="1783"/>
      <c r="U1067" s="1783"/>
      <c r="V1067" s="1783"/>
      <c r="W1067" s="1783"/>
      <c r="X1067" s="1783"/>
      <c r="Y1067" s="1783"/>
      <c r="Z1067" s="1783"/>
      <c r="AA1067" s="1783"/>
      <c r="AB1067" s="1783"/>
      <c r="AC1067" s="1783"/>
      <c r="AD1067" s="1783"/>
      <c r="AE1067" s="1783"/>
      <c r="AF1067" s="1783"/>
      <c r="AG1067" s="1783"/>
      <c r="AH1067" s="1783"/>
      <c r="AI1067" s="1783"/>
      <c r="AJ1067" s="1783"/>
      <c r="AK1067" s="1783"/>
      <c r="AL1067" s="1783"/>
      <c r="AM1067" s="1783"/>
      <c r="AN1067" s="1783"/>
      <c r="AO1067" s="1783"/>
      <c r="AP1067" s="1783"/>
      <c r="AQ1067" s="1783"/>
      <c r="AR1067" s="1783"/>
      <c r="AS1067" s="1783"/>
      <c r="AT1067" s="1783"/>
      <c r="AU1067" s="1783"/>
      <c r="AV1067" s="1783"/>
      <c r="AW1067" s="1783"/>
      <c r="AX1067" s="1783"/>
      <c r="AY1067" s="1783"/>
      <c r="AZ1067" s="1783"/>
      <c r="BA1067" s="1783"/>
      <c r="BB1067" s="1783"/>
      <c r="BC1067" s="1783"/>
      <c r="BD1067" s="1783"/>
      <c r="BE1067" s="1783"/>
      <c r="BF1067" s="1783"/>
      <c r="BG1067" s="1783"/>
      <c r="BH1067" s="1783"/>
      <c r="BI1067" s="1783"/>
    </row>
    <row r="1068" spans="1:61">
      <c r="A1068" s="1819"/>
      <c r="B1068" s="1818"/>
      <c r="C1068" s="1818"/>
      <c r="D1068" s="1818"/>
      <c r="E1068" s="1818"/>
      <c r="F1068" s="1818"/>
      <c r="G1068" s="1818"/>
      <c r="H1068" s="1783"/>
      <c r="I1068" s="1783"/>
      <c r="J1068" s="1783"/>
      <c r="K1068" s="1783"/>
      <c r="L1068" s="1783"/>
      <c r="M1068" s="1783"/>
      <c r="N1068" s="1783"/>
      <c r="O1068" s="1783"/>
      <c r="P1068" s="1783"/>
      <c r="Q1068" s="1783"/>
      <c r="R1068" s="1783"/>
      <c r="S1068" s="1783"/>
      <c r="T1068" s="1783"/>
      <c r="U1068" s="1783"/>
      <c r="V1068" s="1783"/>
      <c r="W1068" s="1783"/>
      <c r="X1068" s="1783"/>
      <c r="Y1068" s="1783"/>
      <c r="Z1068" s="1783"/>
      <c r="AA1068" s="1783"/>
      <c r="AB1068" s="1783"/>
      <c r="AC1068" s="1783"/>
      <c r="AD1068" s="1783"/>
      <c r="AE1068" s="1783"/>
      <c r="AF1068" s="1783"/>
      <c r="AG1068" s="1783"/>
      <c r="AH1068" s="1783"/>
      <c r="AI1068" s="1783"/>
      <c r="AJ1068" s="1783"/>
      <c r="AK1068" s="1783"/>
      <c r="AL1068" s="1783"/>
      <c r="AM1068" s="1783"/>
      <c r="AN1068" s="1783"/>
      <c r="AO1068" s="1783"/>
      <c r="AP1068" s="1783"/>
      <c r="AQ1068" s="1783"/>
      <c r="AR1068" s="1783"/>
      <c r="AS1068" s="1783"/>
      <c r="AT1068" s="1783"/>
      <c r="AU1068" s="1783"/>
      <c r="AV1068" s="1783"/>
      <c r="AW1068" s="1783"/>
      <c r="AX1068" s="1783"/>
      <c r="AY1068" s="1783"/>
      <c r="AZ1068" s="1783"/>
      <c r="BA1068" s="1783"/>
      <c r="BB1068" s="1783"/>
      <c r="BC1068" s="1783"/>
      <c r="BD1068" s="1783"/>
      <c r="BE1068" s="1783"/>
      <c r="BF1068" s="1783"/>
      <c r="BG1068" s="1783"/>
      <c r="BH1068" s="1783"/>
      <c r="BI1068" s="1783"/>
    </row>
    <row r="1069" spans="1:61">
      <c r="A1069" s="1819"/>
      <c r="B1069" s="1818"/>
      <c r="C1069" s="1818"/>
      <c r="D1069" s="1818"/>
      <c r="E1069" s="1818"/>
      <c r="F1069" s="1818"/>
      <c r="G1069" s="1818"/>
      <c r="H1069" s="1783"/>
      <c r="I1069" s="1783"/>
      <c r="J1069" s="1783"/>
      <c r="K1069" s="1783"/>
      <c r="L1069" s="1783"/>
      <c r="M1069" s="1783"/>
      <c r="N1069" s="1783"/>
      <c r="O1069" s="1783"/>
      <c r="P1069" s="1783"/>
      <c r="Q1069" s="1783"/>
      <c r="R1069" s="1783"/>
      <c r="S1069" s="1783"/>
      <c r="T1069" s="1783"/>
      <c r="U1069" s="1783"/>
      <c r="V1069" s="1783"/>
      <c r="W1069" s="1783"/>
      <c r="X1069" s="1783"/>
      <c r="Y1069" s="1783"/>
      <c r="Z1069" s="1783"/>
      <c r="AA1069" s="1783"/>
      <c r="AB1069" s="1783"/>
      <c r="AC1069" s="1783"/>
      <c r="AD1069" s="1783"/>
      <c r="AE1069" s="1783"/>
      <c r="AF1069" s="1783"/>
      <c r="AG1069" s="1783"/>
      <c r="AH1069" s="1783"/>
      <c r="AI1069" s="1783"/>
      <c r="AJ1069" s="1783"/>
      <c r="AK1069" s="1783"/>
      <c r="AL1069" s="1783"/>
      <c r="AM1069" s="1783"/>
      <c r="AN1069" s="1783"/>
      <c r="AO1069" s="1783"/>
      <c r="AP1069" s="1783"/>
      <c r="AQ1069" s="1783"/>
      <c r="AR1069" s="1783"/>
      <c r="AS1069" s="1783"/>
      <c r="AT1069" s="1783"/>
      <c r="AU1069" s="1783"/>
      <c r="AV1069" s="1783"/>
      <c r="AW1069" s="1783"/>
      <c r="AX1069" s="1783"/>
      <c r="AY1069" s="1783"/>
      <c r="AZ1069" s="1783"/>
      <c r="BA1069" s="1783"/>
      <c r="BB1069" s="1783"/>
      <c r="BC1069" s="1783"/>
      <c r="BD1069" s="1783"/>
      <c r="BE1069" s="1783"/>
      <c r="BF1069" s="1783"/>
      <c r="BG1069" s="1783"/>
      <c r="BH1069" s="1783"/>
      <c r="BI1069" s="1783"/>
    </row>
    <row r="1070" spans="1:61">
      <c r="A1070" s="1819"/>
      <c r="B1070" s="1818"/>
      <c r="C1070" s="1818"/>
      <c r="D1070" s="1818"/>
      <c r="E1070" s="1818"/>
      <c r="F1070" s="1818"/>
      <c r="G1070" s="1818"/>
      <c r="H1070" s="1783"/>
      <c r="I1070" s="1783"/>
      <c r="J1070" s="1783"/>
      <c r="K1070" s="1783"/>
      <c r="L1070" s="1783"/>
      <c r="M1070" s="1783"/>
      <c r="N1070" s="1783"/>
      <c r="O1070" s="1783"/>
      <c r="P1070" s="1783"/>
      <c r="Q1070" s="1783"/>
      <c r="R1070" s="1783"/>
      <c r="S1070" s="1783"/>
      <c r="T1070" s="1783"/>
      <c r="U1070" s="1783"/>
      <c r="V1070" s="1783"/>
      <c r="W1070" s="1783"/>
      <c r="X1070" s="1783"/>
      <c r="Y1070" s="1783"/>
      <c r="Z1070" s="1783"/>
      <c r="AA1070" s="1783"/>
      <c r="AB1070" s="1783"/>
      <c r="AC1070" s="1783"/>
      <c r="AD1070" s="1783"/>
      <c r="AE1070" s="1783"/>
      <c r="AF1070" s="1783"/>
      <c r="AG1070" s="1783"/>
      <c r="AH1070" s="1783"/>
      <c r="AI1070" s="1783"/>
      <c r="AJ1070" s="1783"/>
      <c r="AK1070" s="1783"/>
      <c r="AL1070" s="1783"/>
      <c r="AM1070" s="1783"/>
      <c r="AN1070" s="1783"/>
      <c r="AO1070" s="1783"/>
      <c r="AP1070" s="1783"/>
      <c r="AQ1070" s="1783"/>
      <c r="AR1070" s="1783"/>
      <c r="AS1070" s="1783"/>
      <c r="AT1070" s="1783"/>
      <c r="AU1070" s="1783"/>
      <c r="AV1070" s="1783"/>
      <c r="AW1070" s="1783"/>
      <c r="AX1070" s="1783"/>
      <c r="AY1070" s="1783"/>
      <c r="AZ1070" s="1783"/>
      <c r="BA1070" s="1783"/>
      <c r="BB1070" s="1783"/>
      <c r="BC1070" s="1783"/>
      <c r="BD1070" s="1783"/>
      <c r="BE1070" s="1783"/>
      <c r="BF1070" s="1783"/>
      <c r="BG1070" s="1783"/>
      <c r="BH1070" s="1783"/>
      <c r="BI1070" s="1783"/>
    </row>
    <row r="1071" spans="1:61">
      <c r="A1071" s="1819"/>
      <c r="B1071" s="1818"/>
      <c r="C1071" s="1818"/>
      <c r="D1071" s="1818"/>
      <c r="E1071" s="1818"/>
      <c r="F1071" s="1818"/>
      <c r="G1071" s="1818"/>
      <c r="H1071" s="1783"/>
      <c r="I1071" s="1783"/>
      <c r="J1071" s="1783"/>
      <c r="K1071" s="1783"/>
      <c r="L1071" s="1783"/>
      <c r="M1071" s="1783"/>
      <c r="N1071" s="1783"/>
      <c r="O1071" s="1783"/>
      <c r="P1071" s="1783"/>
      <c r="Q1071" s="1783"/>
      <c r="R1071" s="1783"/>
      <c r="S1071" s="1783"/>
      <c r="T1071" s="1783"/>
      <c r="U1071" s="1783"/>
      <c r="V1071" s="1783"/>
      <c r="W1071" s="1783"/>
      <c r="X1071" s="1783"/>
      <c r="Y1071" s="1783"/>
      <c r="Z1071" s="1783"/>
      <c r="AA1071" s="1783"/>
      <c r="AB1071" s="1783"/>
      <c r="AC1071" s="1783"/>
      <c r="AD1071" s="1783"/>
      <c r="AE1071" s="1783"/>
      <c r="AF1071" s="1783"/>
      <c r="AG1071" s="1783"/>
      <c r="AH1071" s="1783"/>
      <c r="AI1071" s="1783"/>
      <c r="AJ1071" s="1783"/>
      <c r="AK1071" s="1783"/>
      <c r="AL1071" s="1783"/>
      <c r="AM1071" s="1783"/>
      <c r="AN1071" s="1783"/>
      <c r="AO1071" s="1783"/>
      <c r="AP1071" s="1783"/>
      <c r="AQ1071" s="1783"/>
      <c r="AR1071" s="1783"/>
      <c r="AS1071" s="1783"/>
      <c r="AT1071" s="1783"/>
      <c r="AU1071" s="1783"/>
      <c r="AV1071" s="1783"/>
      <c r="AW1071" s="1783"/>
      <c r="AX1071" s="1783"/>
      <c r="AY1071" s="1783"/>
      <c r="AZ1071" s="1783"/>
      <c r="BA1071" s="1783"/>
      <c r="BB1071" s="1783"/>
      <c r="BC1071" s="1783"/>
      <c r="BD1071" s="1783"/>
      <c r="BE1071" s="1783"/>
      <c r="BF1071" s="1783"/>
      <c r="BG1071" s="1783"/>
      <c r="BH1071" s="1783"/>
      <c r="BI1071" s="1783"/>
    </row>
    <row r="1072" spans="1:61">
      <c r="A1072" s="1819"/>
      <c r="B1072" s="1818"/>
      <c r="C1072" s="1818"/>
      <c r="D1072" s="1818"/>
      <c r="E1072" s="1818"/>
      <c r="F1072" s="1818"/>
      <c r="G1072" s="1818"/>
      <c r="H1072" s="1783"/>
      <c r="I1072" s="1783"/>
      <c r="J1072" s="1783"/>
      <c r="K1072" s="1783"/>
      <c r="L1072" s="1783"/>
      <c r="M1072" s="1783"/>
      <c r="N1072" s="1783"/>
      <c r="O1072" s="1783"/>
      <c r="P1072" s="1783"/>
      <c r="Q1072" s="1783"/>
      <c r="R1072" s="1783"/>
      <c r="S1072" s="1783"/>
      <c r="T1072" s="1783"/>
      <c r="U1072" s="1783"/>
      <c r="V1072" s="1783"/>
      <c r="W1072" s="1783"/>
      <c r="X1072" s="1783"/>
      <c r="Y1072" s="1783"/>
      <c r="Z1072" s="1783"/>
      <c r="AA1072" s="1783"/>
      <c r="AB1072" s="1783"/>
      <c r="AC1072" s="1783"/>
      <c r="AD1072" s="1783"/>
      <c r="AE1072" s="1783"/>
      <c r="AF1072" s="1783"/>
      <c r="AG1072" s="1783"/>
      <c r="AH1072" s="1783"/>
      <c r="AI1072" s="1783"/>
      <c r="AJ1072" s="1783"/>
      <c r="AK1072" s="1783"/>
      <c r="AL1072" s="1783"/>
      <c r="AM1072" s="1783"/>
      <c r="AN1072" s="1783"/>
      <c r="AO1072" s="1783"/>
      <c r="AP1072" s="1783"/>
      <c r="AQ1072" s="1783"/>
      <c r="AR1072" s="1783"/>
      <c r="AS1072" s="1783"/>
      <c r="AT1072" s="1783"/>
      <c r="AU1072" s="1783"/>
      <c r="AV1072" s="1783"/>
      <c r="AW1072" s="1783"/>
      <c r="AX1072" s="1783"/>
      <c r="AY1072" s="1783"/>
      <c r="AZ1072" s="1783"/>
      <c r="BA1072" s="1783"/>
      <c r="BB1072" s="1783"/>
      <c r="BC1072" s="1783"/>
      <c r="BD1072" s="1783"/>
      <c r="BE1072" s="1783"/>
      <c r="BF1072" s="1783"/>
      <c r="BG1072" s="1783"/>
      <c r="BH1072" s="1783"/>
      <c r="BI1072" s="1783"/>
    </row>
    <row r="1073" spans="1:61">
      <c r="A1073" s="1819"/>
      <c r="B1073" s="1818"/>
      <c r="C1073" s="1818"/>
      <c r="D1073" s="1818"/>
      <c r="E1073" s="1818"/>
      <c r="F1073" s="1818"/>
      <c r="G1073" s="1818"/>
      <c r="H1073" s="1783"/>
      <c r="I1073" s="1783"/>
      <c r="J1073" s="1783"/>
      <c r="K1073" s="1783"/>
      <c r="L1073" s="1783"/>
      <c r="M1073" s="1783"/>
      <c r="N1073" s="1783"/>
      <c r="O1073" s="1783"/>
      <c r="P1073" s="1783"/>
      <c r="Q1073" s="1783"/>
      <c r="R1073" s="1783"/>
      <c r="S1073" s="1783"/>
      <c r="T1073" s="1783"/>
      <c r="U1073" s="1783"/>
      <c r="V1073" s="1783"/>
      <c r="W1073" s="1783"/>
      <c r="X1073" s="1783"/>
      <c r="Y1073" s="1783"/>
      <c r="Z1073" s="1783"/>
      <c r="AA1073" s="1783"/>
      <c r="AB1073" s="1783"/>
      <c r="AC1073" s="1783"/>
      <c r="AD1073" s="1783"/>
      <c r="AE1073" s="1783"/>
      <c r="AF1073" s="1783"/>
      <c r="AG1073" s="1783"/>
      <c r="AH1073" s="1783"/>
      <c r="AI1073" s="1783"/>
      <c r="AJ1073" s="1783"/>
      <c r="AK1073" s="1783"/>
      <c r="AL1073" s="1783"/>
      <c r="AM1073" s="1783"/>
      <c r="AN1073" s="1783"/>
      <c r="AO1073" s="1783"/>
      <c r="AP1073" s="1783"/>
      <c r="AQ1073" s="1783"/>
      <c r="AR1073" s="1783"/>
      <c r="AS1073" s="1783"/>
      <c r="AT1073" s="1783"/>
      <c r="AU1073" s="1783"/>
      <c r="AV1073" s="1783"/>
      <c r="AW1073" s="1783"/>
      <c r="AX1073" s="1783"/>
      <c r="AY1073" s="1783"/>
      <c r="AZ1073" s="1783"/>
      <c r="BA1073" s="1783"/>
      <c r="BB1073" s="1783"/>
      <c r="BC1073" s="1783"/>
      <c r="BD1073" s="1783"/>
      <c r="BE1073" s="1783"/>
      <c r="BF1073" s="1783"/>
      <c r="BG1073" s="1783"/>
      <c r="BH1073" s="1783"/>
      <c r="BI1073" s="1783"/>
    </row>
    <row r="1074" spans="1:61">
      <c r="A1074" s="1819"/>
      <c r="B1074" s="1818"/>
      <c r="C1074" s="1818"/>
      <c r="D1074" s="1818"/>
      <c r="E1074" s="1818"/>
      <c r="F1074" s="1818"/>
      <c r="G1074" s="1818"/>
      <c r="H1074" s="1783"/>
      <c r="I1074" s="1783"/>
      <c r="J1074" s="1783"/>
      <c r="K1074" s="1783"/>
      <c r="L1074" s="1783"/>
      <c r="M1074" s="1783"/>
      <c r="N1074" s="1783"/>
      <c r="O1074" s="1783"/>
      <c r="P1074" s="1783"/>
      <c r="Q1074" s="1783"/>
      <c r="R1074" s="1783"/>
      <c r="S1074" s="1783"/>
      <c r="T1074" s="1783"/>
      <c r="U1074" s="1783"/>
      <c r="V1074" s="1783"/>
      <c r="W1074" s="1783"/>
      <c r="X1074" s="1783"/>
      <c r="Y1074" s="1783"/>
      <c r="Z1074" s="1783"/>
      <c r="AA1074" s="1783"/>
      <c r="AB1074" s="1783"/>
      <c r="AC1074" s="1783"/>
      <c r="AD1074" s="1783"/>
      <c r="AE1074" s="1783"/>
      <c r="AF1074" s="1783"/>
      <c r="AG1074" s="1783"/>
      <c r="AH1074" s="1783"/>
      <c r="AI1074" s="1783"/>
      <c r="AJ1074" s="1783"/>
      <c r="AK1074" s="1783"/>
      <c r="AL1074" s="1783"/>
      <c r="AM1074" s="1783"/>
      <c r="AN1074" s="1783"/>
      <c r="AO1074" s="1783"/>
      <c r="AP1074" s="1783"/>
      <c r="AQ1074" s="1783"/>
      <c r="AR1074" s="1783"/>
      <c r="AS1074" s="1783"/>
      <c r="AT1074" s="1783"/>
      <c r="AU1074" s="1783"/>
      <c r="AV1074" s="1783"/>
      <c r="AW1074" s="1783"/>
      <c r="AX1074" s="1783"/>
      <c r="AY1074" s="1783"/>
      <c r="AZ1074" s="1783"/>
      <c r="BA1074" s="1783"/>
      <c r="BB1074" s="1783"/>
      <c r="BC1074" s="1783"/>
      <c r="BD1074" s="1783"/>
      <c r="BE1074" s="1783"/>
      <c r="BF1074" s="1783"/>
      <c r="BG1074" s="1783"/>
      <c r="BH1074" s="1783"/>
      <c r="BI1074" s="1783"/>
    </row>
    <row r="1075" spans="1:61">
      <c r="A1075" s="1819"/>
      <c r="B1075" s="1818"/>
      <c r="C1075" s="1818"/>
      <c r="D1075" s="1818"/>
      <c r="E1075" s="1818"/>
      <c r="F1075" s="1818"/>
      <c r="G1075" s="1818"/>
      <c r="H1075" s="1783"/>
      <c r="I1075" s="1783"/>
      <c r="J1075" s="1783"/>
      <c r="K1075" s="1783"/>
      <c r="L1075" s="1783"/>
      <c r="M1075" s="1783"/>
      <c r="N1075" s="1783"/>
      <c r="O1075" s="1783"/>
      <c r="P1075" s="1783"/>
      <c r="Q1075" s="1783"/>
      <c r="R1075" s="1783"/>
      <c r="S1075" s="1783"/>
      <c r="T1075" s="1783"/>
      <c r="U1075" s="1783"/>
      <c r="V1075" s="1783"/>
      <c r="W1075" s="1783"/>
      <c r="X1075" s="1783"/>
      <c r="Y1075" s="1783"/>
      <c r="Z1075" s="1783"/>
      <c r="AA1075" s="1783"/>
      <c r="AB1075" s="1783"/>
      <c r="AC1075" s="1783"/>
      <c r="AD1075" s="1783"/>
      <c r="AE1075" s="1783"/>
      <c r="AF1075" s="1783"/>
      <c r="AG1075" s="1783"/>
      <c r="AH1075" s="1783"/>
      <c r="AI1075" s="1783"/>
      <c r="AJ1075" s="1783"/>
      <c r="AK1075" s="1783"/>
      <c r="AL1075" s="1783"/>
      <c r="AM1075" s="1783"/>
      <c r="AN1075" s="1783"/>
      <c r="AO1075" s="1783"/>
      <c r="AP1075" s="1783"/>
      <c r="AQ1075" s="1783"/>
      <c r="AR1075" s="1783"/>
      <c r="AS1075" s="1783"/>
      <c r="AT1075" s="1783"/>
      <c r="AU1075" s="1783"/>
      <c r="AV1075" s="1783"/>
      <c r="AW1075" s="1783"/>
      <c r="AX1075" s="1783"/>
      <c r="AY1075" s="1783"/>
      <c r="AZ1075" s="1783"/>
      <c r="BA1075" s="1783"/>
      <c r="BB1075" s="1783"/>
      <c r="BC1075" s="1783"/>
      <c r="BD1075" s="1783"/>
      <c r="BE1075" s="1783"/>
      <c r="BF1075" s="1783"/>
      <c r="BG1075" s="1783"/>
      <c r="BH1075" s="1783"/>
      <c r="BI1075" s="1783"/>
    </row>
    <row r="1076" spans="1:61">
      <c r="A1076" s="1819"/>
      <c r="B1076" s="1818"/>
      <c r="C1076" s="1818"/>
      <c r="D1076" s="1818"/>
      <c r="E1076" s="1818"/>
      <c r="F1076" s="1818"/>
      <c r="G1076" s="1818"/>
      <c r="H1076" s="1783"/>
      <c r="I1076" s="1783"/>
      <c r="J1076" s="1783"/>
      <c r="K1076" s="1783"/>
      <c r="L1076" s="1783"/>
      <c r="M1076" s="1783"/>
      <c r="N1076" s="1783"/>
      <c r="O1076" s="1783"/>
      <c r="P1076" s="1783"/>
      <c r="Q1076" s="1783"/>
      <c r="R1076" s="1783"/>
      <c r="S1076" s="1783"/>
      <c r="T1076" s="1783"/>
      <c r="U1076" s="1783"/>
      <c r="V1076" s="1783"/>
      <c r="W1076" s="1783"/>
      <c r="X1076" s="1783"/>
      <c r="Y1076" s="1783"/>
      <c r="Z1076" s="1783"/>
      <c r="AA1076" s="1783"/>
      <c r="AB1076" s="1783"/>
      <c r="AC1076" s="1783"/>
      <c r="AD1076" s="1783"/>
      <c r="AE1076" s="1783"/>
      <c r="AF1076" s="1783"/>
      <c r="AG1076" s="1783"/>
      <c r="AH1076" s="1783"/>
      <c r="AI1076" s="1783"/>
      <c r="AJ1076" s="1783"/>
      <c r="AK1076" s="1783"/>
      <c r="AL1076" s="1783"/>
      <c r="AM1076" s="1783"/>
      <c r="AN1076" s="1783"/>
      <c r="AO1076" s="1783"/>
      <c r="AP1076" s="1783"/>
      <c r="AQ1076" s="1783"/>
      <c r="AR1076" s="1783"/>
      <c r="AS1076" s="1783"/>
      <c r="AT1076" s="1783"/>
      <c r="AU1076" s="1783"/>
      <c r="AV1076" s="1783"/>
      <c r="AW1076" s="1783"/>
      <c r="AX1076" s="1783"/>
      <c r="AY1076" s="1783"/>
      <c r="AZ1076" s="1783"/>
      <c r="BA1076" s="1783"/>
      <c r="BB1076" s="1783"/>
      <c r="BC1076" s="1783"/>
      <c r="BD1076" s="1783"/>
      <c r="BE1076" s="1783"/>
      <c r="BF1076" s="1783"/>
      <c r="BG1076" s="1783"/>
      <c r="BH1076" s="1783"/>
      <c r="BI1076" s="1783"/>
    </row>
    <row r="1077" spans="1:61">
      <c r="A1077" s="1819"/>
      <c r="B1077" s="1818"/>
      <c r="C1077" s="1818"/>
      <c r="D1077" s="1818"/>
      <c r="E1077" s="1818"/>
      <c r="F1077" s="1818"/>
      <c r="G1077" s="1818"/>
      <c r="H1077" s="1783"/>
      <c r="I1077" s="1783"/>
      <c r="J1077" s="1783"/>
      <c r="K1077" s="1783"/>
      <c r="L1077" s="1783"/>
      <c r="M1077" s="1783"/>
      <c r="N1077" s="1783"/>
      <c r="O1077" s="1783"/>
      <c r="P1077" s="1783"/>
      <c r="Q1077" s="1783"/>
      <c r="R1077" s="1783"/>
      <c r="S1077" s="1783"/>
      <c r="T1077" s="1783"/>
      <c r="U1077" s="1783"/>
      <c r="V1077" s="1783"/>
      <c r="W1077" s="1783"/>
      <c r="X1077" s="1783"/>
      <c r="Y1077" s="1783"/>
      <c r="Z1077" s="1783"/>
      <c r="AA1077" s="1783"/>
      <c r="AB1077" s="1783"/>
      <c r="AC1077" s="1783"/>
      <c r="AD1077" s="1783"/>
      <c r="AE1077" s="1783"/>
      <c r="AF1077" s="1783"/>
      <c r="AG1077" s="1783"/>
      <c r="AH1077" s="1783"/>
      <c r="AI1077" s="1783"/>
      <c r="AJ1077" s="1783"/>
      <c r="AK1077" s="1783"/>
      <c r="AL1077" s="1783"/>
      <c r="AM1077" s="1783"/>
      <c r="AN1077" s="1783"/>
      <c r="AO1077" s="1783"/>
      <c r="AP1077" s="1783"/>
      <c r="AQ1077" s="1783"/>
      <c r="AR1077" s="1783"/>
      <c r="AS1077" s="1783"/>
      <c r="AT1077" s="1783"/>
      <c r="AU1077" s="1783"/>
      <c r="AV1077" s="1783"/>
      <c r="AW1077" s="1783"/>
      <c r="AX1077" s="1783"/>
      <c r="AY1077" s="1783"/>
      <c r="AZ1077" s="1783"/>
      <c r="BA1077" s="1783"/>
      <c r="BB1077" s="1783"/>
      <c r="BC1077" s="1783"/>
      <c r="BD1077" s="1783"/>
      <c r="BE1077" s="1783"/>
      <c r="BF1077" s="1783"/>
      <c r="BG1077" s="1783"/>
      <c r="BH1077" s="1783"/>
      <c r="BI1077" s="1783"/>
    </row>
    <row r="1078" spans="1:61">
      <c r="A1078" s="1819"/>
      <c r="B1078" s="1818"/>
      <c r="C1078" s="1818"/>
      <c r="D1078" s="1818"/>
      <c r="E1078" s="1818"/>
      <c r="F1078" s="1818"/>
      <c r="G1078" s="1818"/>
      <c r="H1078" s="1783"/>
      <c r="I1078" s="1783"/>
      <c r="J1078" s="1783"/>
      <c r="K1078" s="1783"/>
      <c r="L1078" s="1783"/>
      <c r="M1078" s="1783"/>
      <c r="N1078" s="1783"/>
      <c r="O1078" s="1783"/>
      <c r="P1078" s="1783"/>
      <c r="Q1078" s="1783"/>
      <c r="R1078" s="1783"/>
      <c r="S1078" s="1783"/>
      <c r="T1078" s="1783"/>
      <c r="U1078" s="1783"/>
      <c r="V1078" s="1783"/>
      <c r="W1078" s="1783"/>
      <c r="X1078" s="1783"/>
      <c r="Y1078" s="1783"/>
      <c r="Z1078" s="1783"/>
      <c r="AA1078" s="1783"/>
      <c r="AB1078" s="1783"/>
      <c r="AC1078" s="1783"/>
      <c r="AD1078" s="1783"/>
      <c r="AE1078" s="1783"/>
      <c r="AF1078" s="1783"/>
      <c r="AG1078" s="1783"/>
      <c r="AH1078" s="1783"/>
      <c r="AI1078" s="1783"/>
      <c r="AJ1078" s="1783"/>
      <c r="AK1078" s="1783"/>
      <c r="AL1078" s="1783"/>
      <c r="AM1078" s="1783"/>
      <c r="AN1078" s="1783"/>
      <c r="AO1078" s="1783"/>
      <c r="AP1078" s="1783"/>
      <c r="AQ1078" s="1783"/>
      <c r="AR1078" s="1783"/>
      <c r="AS1078" s="1783"/>
      <c r="AT1078" s="1783"/>
      <c r="AU1078" s="1783"/>
      <c r="AV1078" s="1783"/>
      <c r="AW1078" s="1783"/>
      <c r="AX1078" s="1783"/>
      <c r="AY1078" s="1783"/>
      <c r="AZ1078" s="1783"/>
      <c r="BA1078" s="1783"/>
      <c r="BB1078" s="1783"/>
      <c r="BC1078" s="1783"/>
      <c r="BD1078" s="1783"/>
      <c r="BE1078" s="1783"/>
      <c r="BF1078" s="1783"/>
      <c r="BG1078" s="1783"/>
      <c r="BH1078" s="1783"/>
      <c r="BI1078" s="1783"/>
    </row>
    <row r="1079" spans="1:61">
      <c r="A1079" s="1819"/>
      <c r="B1079" s="1818"/>
      <c r="C1079" s="1818"/>
      <c r="D1079" s="1818"/>
      <c r="E1079" s="1818"/>
      <c r="F1079" s="1818"/>
      <c r="G1079" s="1818"/>
      <c r="H1079" s="1783"/>
      <c r="I1079" s="1783"/>
      <c r="J1079" s="1783"/>
      <c r="K1079" s="1783"/>
      <c r="L1079" s="1783"/>
      <c r="M1079" s="1783"/>
      <c r="N1079" s="1783"/>
      <c r="O1079" s="1783"/>
      <c r="P1079" s="1783"/>
      <c r="Q1079" s="1783"/>
      <c r="R1079" s="1783"/>
      <c r="S1079" s="1783"/>
      <c r="T1079" s="1783"/>
      <c r="U1079" s="1783"/>
      <c r="V1079" s="1783"/>
      <c r="W1079" s="1783"/>
      <c r="X1079" s="1783"/>
      <c r="Y1079" s="1783"/>
      <c r="Z1079" s="1783"/>
      <c r="AA1079" s="1783"/>
      <c r="AB1079" s="1783"/>
      <c r="AC1079" s="1783"/>
      <c r="AD1079" s="1783"/>
      <c r="AE1079" s="1783"/>
      <c r="AF1079" s="1783"/>
      <c r="AG1079" s="1783"/>
      <c r="AH1079" s="1783"/>
      <c r="AI1079" s="1783"/>
      <c r="AJ1079" s="1783"/>
      <c r="AK1079" s="1783"/>
      <c r="AL1079" s="1783"/>
      <c r="AM1079" s="1783"/>
      <c r="AN1079" s="1783"/>
      <c r="AO1079" s="1783"/>
      <c r="AP1079" s="1783"/>
      <c r="AQ1079" s="1783"/>
      <c r="AR1079" s="1783"/>
      <c r="AS1079" s="1783"/>
      <c r="AT1079" s="1783"/>
      <c r="AU1079" s="1783"/>
      <c r="AV1079" s="1783"/>
      <c r="AW1079" s="1783"/>
      <c r="AX1079" s="1783"/>
      <c r="AY1079" s="1783"/>
      <c r="AZ1079" s="1783"/>
      <c r="BA1079" s="1783"/>
      <c r="BB1079" s="1783"/>
      <c r="BC1079" s="1783"/>
      <c r="BD1079" s="1783"/>
      <c r="BE1079" s="1783"/>
      <c r="BF1079" s="1783"/>
      <c r="BG1079" s="1783"/>
      <c r="BH1079" s="1783"/>
      <c r="BI1079" s="1783"/>
    </row>
    <row r="1080" spans="1:61">
      <c r="A1080" s="1819"/>
      <c r="B1080" s="1818"/>
      <c r="C1080" s="1818"/>
      <c r="D1080" s="1818"/>
      <c r="E1080" s="1818"/>
      <c r="F1080" s="1818"/>
      <c r="G1080" s="1818"/>
      <c r="H1080" s="1783"/>
      <c r="I1080" s="1783"/>
      <c r="J1080" s="1783"/>
      <c r="K1080" s="1783"/>
      <c r="L1080" s="1783"/>
      <c r="M1080" s="1783"/>
      <c r="N1080" s="1783"/>
      <c r="O1080" s="1783"/>
      <c r="P1080" s="1783"/>
      <c r="Q1080" s="1783"/>
      <c r="R1080" s="1783"/>
      <c r="S1080" s="1783"/>
      <c r="T1080" s="1783"/>
      <c r="U1080" s="1783"/>
      <c r="V1080" s="1783"/>
      <c r="W1080" s="1783"/>
      <c r="X1080" s="1783"/>
      <c r="Y1080" s="1783"/>
      <c r="Z1080" s="1783"/>
      <c r="AA1080" s="1783"/>
      <c r="AB1080" s="1783"/>
      <c r="AC1080" s="1783"/>
      <c r="AD1080" s="1783"/>
      <c r="AE1080" s="1783"/>
      <c r="AF1080" s="1783"/>
      <c r="AG1080" s="1783"/>
      <c r="AH1080" s="1783"/>
      <c r="AI1080" s="1783"/>
      <c r="AJ1080" s="1783"/>
      <c r="AK1080" s="1783"/>
      <c r="AL1080" s="1783"/>
      <c r="AM1080" s="1783"/>
      <c r="AN1080" s="1783"/>
      <c r="AO1080" s="1783"/>
      <c r="AP1080" s="1783"/>
      <c r="AQ1080" s="1783"/>
      <c r="AR1080" s="1783"/>
      <c r="AS1080" s="1783"/>
      <c r="AT1080" s="1783"/>
      <c r="AU1080" s="1783"/>
      <c r="AV1080" s="1783"/>
      <c r="AW1080" s="1783"/>
      <c r="AX1080" s="1783"/>
      <c r="AY1080" s="1783"/>
      <c r="AZ1080" s="1783"/>
      <c r="BA1080" s="1783"/>
      <c r="BB1080" s="1783"/>
      <c r="BC1080" s="1783"/>
      <c r="BD1080" s="1783"/>
      <c r="BE1080" s="1783"/>
      <c r="BF1080" s="1783"/>
      <c r="BG1080" s="1783"/>
      <c r="BH1080" s="1783"/>
      <c r="BI1080" s="1783"/>
    </row>
    <row r="1081" spans="1:61">
      <c r="A1081" s="1819"/>
      <c r="B1081" s="1818"/>
      <c r="C1081" s="1818"/>
      <c r="D1081" s="1818"/>
      <c r="E1081" s="1818"/>
      <c r="F1081" s="1818"/>
      <c r="G1081" s="1818"/>
      <c r="H1081" s="1783"/>
      <c r="I1081" s="1783"/>
      <c r="J1081" s="1783"/>
      <c r="K1081" s="1783"/>
      <c r="L1081" s="1783"/>
      <c r="M1081" s="1783"/>
      <c r="N1081" s="1783"/>
      <c r="O1081" s="1783"/>
      <c r="P1081" s="1783"/>
      <c r="Q1081" s="1783"/>
      <c r="R1081" s="1783"/>
      <c r="S1081" s="1783"/>
      <c r="T1081" s="1783"/>
      <c r="U1081" s="1783"/>
      <c r="V1081" s="1783"/>
      <c r="W1081" s="1783"/>
      <c r="X1081" s="1783"/>
      <c r="Y1081" s="1783"/>
      <c r="Z1081" s="1783"/>
      <c r="AA1081" s="1783"/>
      <c r="AB1081" s="1783"/>
      <c r="AC1081" s="1783"/>
      <c r="AD1081" s="1783"/>
      <c r="AE1081" s="1783"/>
      <c r="AF1081" s="1783"/>
      <c r="AG1081" s="1783"/>
      <c r="AH1081" s="1783"/>
      <c r="AI1081" s="1783"/>
      <c r="AJ1081" s="1783"/>
      <c r="AK1081" s="1783"/>
      <c r="AL1081" s="1783"/>
      <c r="AM1081" s="1783"/>
      <c r="AN1081" s="1783"/>
      <c r="AO1081" s="1783"/>
      <c r="AP1081" s="1783"/>
      <c r="AQ1081" s="1783"/>
      <c r="AR1081" s="1783"/>
      <c r="AS1081" s="1783"/>
      <c r="AT1081" s="1783"/>
      <c r="AU1081" s="1783"/>
      <c r="AV1081" s="1783"/>
      <c r="AW1081" s="1783"/>
      <c r="AX1081" s="1783"/>
      <c r="AY1081" s="1783"/>
      <c r="AZ1081" s="1783"/>
      <c r="BA1081" s="1783"/>
      <c r="BB1081" s="1783"/>
      <c r="BC1081" s="1783"/>
      <c r="BD1081" s="1783"/>
      <c r="BE1081" s="1783"/>
      <c r="BF1081" s="1783"/>
      <c r="BG1081" s="1783"/>
      <c r="BH1081" s="1783"/>
      <c r="BI1081" s="1783"/>
    </row>
    <row r="1082" spans="1:61">
      <c r="A1082" s="1819"/>
      <c r="B1082" s="1818"/>
      <c r="C1082" s="1818"/>
      <c r="D1082" s="1818"/>
      <c r="E1082" s="1818"/>
      <c r="F1082" s="1818"/>
      <c r="G1082" s="1818"/>
      <c r="H1082" s="1783"/>
      <c r="I1082" s="1783"/>
      <c r="J1082" s="1783"/>
      <c r="K1082" s="1783"/>
      <c r="L1082" s="1783"/>
      <c r="M1082" s="1783"/>
      <c r="N1082" s="1783"/>
      <c r="O1082" s="1783"/>
      <c r="P1082" s="1783"/>
      <c r="Q1082" s="1783"/>
      <c r="R1082" s="1783"/>
      <c r="S1082" s="1783"/>
      <c r="T1082" s="1783"/>
      <c r="U1082" s="1783"/>
      <c r="V1082" s="1783"/>
      <c r="W1082" s="1783"/>
      <c r="X1082" s="1783"/>
      <c r="Y1082" s="1783"/>
      <c r="Z1082" s="1783"/>
      <c r="AA1082" s="1783"/>
      <c r="AB1082" s="1783"/>
      <c r="AC1082" s="1783"/>
      <c r="AD1082" s="1783"/>
      <c r="AE1082" s="1783"/>
      <c r="AF1082" s="1783"/>
      <c r="AG1082" s="1783"/>
      <c r="AH1082" s="1783"/>
      <c r="AI1082" s="1783"/>
      <c r="AJ1082" s="1783"/>
      <c r="AK1082" s="1783"/>
      <c r="AL1082" s="1783"/>
      <c r="AM1082" s="1783"/>
      <c r="AN1082" s="1783"/>
      <c r="AO1082" s="1783"/>
      <c r="AP1082" s="1783"/>
      <c r="AQ1082" s="1783"/>
      <c r="AR1082" s="1783"/>
      <c r="AS1082" s="1783"/>
      <c r="AT1082" s="1783"/>
      <c r="AU1082" s="1783"/>
      <c r="AV1082" s="1783"/>
      <c r="AW1082" s="1783"/>
      <c r="AX1082" s="1783"/>
      <c r="AY1082" s="1783"/>
      <c r="AZ1082" s="1783"/>
      <c r="BA1082" s="1783"/>
      <c r="BB1082" s="1783"/>
      <c r="BC1082" s="1783"/>
      <c r="BD1082" s="1783"/>
      <c r="BE1082" s="1783"/>
      <c r="BF1082" s="1783"/>
      <c r="BG1082" s="1783"/>
      <c r="BH1082" s="1783"/>
      <c r="BI1082" s="1783"/>
    </row>
    <row r="1083" spans="1:61">
      <c r="A1083" s="1819"/>
      <c r="B1083" s="1818"/>
      <c r="C1083" s="1818"/>
      <c r="D1083" s="1818"/>
      <c r="E1083" s="1818"/>
      <c r="F1083" s="1818"/>
      <c r="G1083" s="1818"/>
      <c r="H1083" s="1783"/>
      <c r="I1083" s="1783"/>
      <c r="J1083" s="1783"/>
      <c r="K1083" s="1783"/>
      <c r="L1083" s="1783"/>
      <c r="M1083" s="1783"/>
      <c r="N1083" s="1783"/>
      <c r="O1083" s="1783"/>
      <c r="P1083" s="1783"/>
      <c r="Q1083" s="1783"/>
      <c r="R1083" s="1783"/>
      <c r="S1083" s="1783"/>
      <c r="T1083" s="1783"/>
      <c r="U1083" s="1783"/>
      <c r="V1083" s="1783"/>
      <c r="W1083" s="1783"/>
      <c r="X1083" s="1783"/>
      <c r="Y1083" s="1783"/>
      <c r="Z1083" s="1783"/>
      <c r="AA1083" s="1783"/>
      <c r="AB1083" s="1783"/>
      <c r="AC1083" s="1783"/>
      <c r="AD1083" s="1783"/>
      <c r="AE1083" s="1783"/>
      <c r="AF1083" s="1783"/>
      <c r="AG1083" s="1783"/>
      <c r="AH1083" s="1783"/>
      <c r="AI1083" s="1783"/>
      <c r="AJ1083" s="1783"/>
      <c r="AK1083" s="1783"/>
      <c r="AL1083" s="1783"/>
      <c r="AM1083" s="1783"/>
      <c r="AN1083" s="1783"/>
      <c r="AO1083" s="1783"/>
      <c r="AP1083" s="1783"/>
      <c r="AQ1083" s="1783"/>
      <c r="AR1083" s="1783"/>
      <c r="AS1083" s="1783"/>
      <c r="AT1083" s="1783"/>
      <c r="AU1083" s="1783"/>
      <c r="AV1083" s="1783"/>
      <c r="AW1083" s="1783"/>
      <c r="AX1083" s="1783"/>
      <c r="AY1083" s="1783"/>
      <c r="AZ1083" s="1783"/>
      <c r="BA1083" s="1783"/>
      <c r="BB1083" s="1783"/>
      <c r="BC1083" s="1783"/>
      <c r="BD1083" s="1783"/>
      <c r="BE1083" s="1783"/>
      <c r="BF1083" s="1783"/>
      <c r="BG1083" s="1783"/>
      <c r="BH1083" s="1783"/>
      <c r="BI1083" s="1783"/>
    </row>
    <row r="1084" spans="1:61">
      <c r="A1084" s="1819"/>
      <c r="B1084" s="1818"/>
      <c r="C1084" s="1818"/>
      <c r="D1084" s="1818"/>
      <c r="E1084" s="1818"/>
      <c r="F1084" s="1818"/>
      <c r="G1084" s="1818"/>
      <c r="H1084" s="1783"/>
      <c r="I1084" s="1783"/>
      <c r="J1084" s="1783"/>
      <c r="K1084" s="1783"/>
      <c r="L1084" s="1783"/>
      <c r="M1084" s="1783"/>
      <c r="N1084" s="1783"/>
      <c r="O1084" s="1783"/>
      <c r="P1084" s="1783"/>
      <c r="Q1084" s="1783"/>
      <c r="R1084" s="1783"/>
      <c r="S1084" s="1783"/>
      <c r="T1084" s="1783"/>
      <c r="U1084" s="1783"/>
      <c r="V1084" s="1783"/>
      <c r="W1084" s="1783"/>
      <c r="X1084" s="1783"/>
      <c r="Y1084" s="1783"/>
      <c r="Z1084" s="1783"/>
      <c r="AA1084" s="1783"/>
      <c r="AB1084" s="1783"/>
      <c r="AC1084" s="1783"/>
      <c r="AD1084" s="1783"/>
      <c r="AE1084" s="1783"/>
      <c r="AF1084" s="1783"/>
      <c r="AG1084" s="1783"/>
      <c r="AH1084" s="1783"/>
      <c r="AI1084" s="1783"/>
      <c r="AJ1084" s="1783"/>
      <c r="AK1084" s="1783"/>
      <c r="AL1084" s="1783"/>
      <c r="AM1084" s="1783"/>
      <c r="AN1084" s="1783"/>
      <c r="AO1084" s="1783"/>
      <c r="AP1084" s="1783"/>
      <c r="AQ1084" s="1783"/>
      <c r="AR1084" s="1783"/>
      <c r="AS1084" s="1783"/>
      <c r="AT1084" s="1783"/>
      <c r="AU1084" s="1783"/>
      <c r="AV1084" s="1783"/>
      <c r="AW1084" s="1783"/>
      <c r="AX1084" s="1783"/>
      <c r="AY1084" s="1783"/>
      <c r="AZ1084" s="1783"/>
      <c r="BA1084" s="1783"/>
      <c r="BB1084" s="1783"/>
      <c r="BC1084" s="1783"/>
      <c r="BD1084" s="1783"/>
      <c r="BE1084" s="1783"/>
      <c r="BF1084" s="1783"/>
      <c r="BG1084" s="1783"/>
      <c r="BH1084" s="1783"/>
      <c r="BI1084" s="1783"/>
    </row>
    <row r="1085" spans="1:61">
      <c r="A1085" s="1819"/>
      <c r="B1085" s="1818"/>
      <c r="C1085" s="1818"/>
      <c r="D1085" s="1818"/>
      <c r="E1085" s="1818"/>
      <c r="F1085" s="1818"/>
      <c r="G1085" s="1818"/>
      <c r="H1085" s="1783"/>
      <c r="I1085" s="1783"/>
      <c r="J1085" s="1783"/>
      <c r="K1085" s="1783"/>
      <c r="L1085" s="1783"/>
      <c r="M1085" s="1783"/>
      <c r="N1085" s="1783"/>
      <c r="O1085" s="1783"/>
      <c r="P1085" s="1783"/>
      <c r="Q1085" s="1783"/>
      <c r="R1085" s="1783"/>
      <c r="S1085" s="1783"/>
      <c r="T1085" s="1783"/>
      <c r="U1085" s="1783"/>
      <c r="V1085" s="1783"/>
      <c r="W1085" s="1783"/>
      <c r="X1085" s="1783"/>
      <c r="Y1085" s="1783"/>
      <c r="Z1085" s="1783"/>
      <c r="AA1085" s="1783"/>
      <c r="AB1085" s="1783"/>
      <c r="AC1085" s="1783"/>
      <c r="AD1085" s="1783"/>
      <c r="AE1085" s="1783"/>
      <c r="AF1085" s="1783"/>
      <c r="AG1085" s="1783"/>
      <c r="AH1085" s="1783"/>
      <c r="AI1085" s="1783"/>
      <c r="AJ1085" s="1783"/>
      <c r="AK1085" s="1783"/>
      <c r="AL1085" s="1783"/>
      <c r="AM1085" s="1783"/>
      <c r="AN1085" s="1783"/>
      <c r="AO1085" s="1783"/>
      <c r="AP1085" s="1783"/>
      <c r="AQ1085" s="1783"/>
      <c r="AR1085" s="1783"/>
      <c r="AS1085" s="1783"/>
      <c r="AT1085" s="1783"/>
      <c r="AU1085" s="1783"/>
      <c r="AV1085" s="1783"/>
      <c r="AW1085" s="1783"/>
      <c r="AX1085" s="1783"/>
      <c r="AY1085" s="1783"/>
      <c r="AZ1085" s="1783"/>
      <c r="BA1085" s="1783"/>
      <c r="BB1085" s="1783"/>
      <c r="BC1085" s="1783"/>
      <c r="BD1085" s="1783"/>
      <c r="BE1085" s="1783"/>
      <c r="BF1085" s="1783"/>
      <c r="BG1085" s="1783"/>
      <c r="BH1085" s="1783"/>
      <c r="BI1085" s="1783"/>
    </row>
    <row r="1086" spans="1:61">
      <c r="A1086" s="1819"/>
      <c r="B1086" s="1818"/>
      <c r="C1086" s="1818"/>
      <c r="D1086" s="1818"/>
      <c r="E1086" s="1818"/>
      <c r="F1086" s="1818"/>
      <c r="G1086" s="1818"/>
      <c r="H1086" s="1783"/>
      <c r="I1086" s="1783"/>
      <c r="J1086" s="1783"/>
      <c r="K1086" s="1783"/>
      <c r="L1086" s="1783"/>
      <c r="M1086" s="1783"/>
      <c r="N1086" s="1783"/>
      <c r="O1086" s="1783"/>
      <c r="P1086" s="1783"/>
      <c r="Q1086" s="1783"/>
      <c r="R1086" s="1783"/>
      <c r="S1086" s="1783"/>
      <c r="T1086" s="1783"/>
      <c r="U1086" s="1783"/>
      <c r="V1086" s="1783"/>
      <c r="W1086" s="1783"/>
      <c r="X1086" s="1783"/>
      <c r="Y1086" s="1783"/>
      <c r="Z1086" s="1783"/>
      <c r="AA1086" s="1783"/>
      <c r="AB1086" s="1783"/>
      <c r="AC1086" s="1783"/>
      <c r="AD1086" s="1783"/>
      <c r="AE1086" s="1783"/>
      <c r="AF1086" s="1783"/>
      <c r="AG1086" s="1783"/>
      <c r="AH1086" s="1783"/>
      <c r="AI1086" s="1783"/>
      <c r="AJ1086" s="1783"/>
      <c r="AK1086" s="1783"/>
      <c r="AL1086" s="1783"/>
      <c r="AM1086" s="1783"/>
      <c r="AN1086" s="1783"/>
      <c r="AO1086" s="1783"/>
      <c r="AP1086" s="1783"/>
      <c r="AQ1086" s="1783"/>
      <c r="AR1086" s="1783"/>
      <c r="AS1086" s="1783"/>
      <c r="AT1086" s="1783"/>
      <c r="AU1086" s="1783"/>
      <c r="AV1086" s="1783"/>
      <c r="AW1086" s="1783"/>
      <c r="AX1086" s="1783"/>
      <c r="AY1086" s="1783"/>
      <c r="AZ1086" s="1783"/>
      <c r="BA1086" s="1783"/>
      <c r="BB1086" s="1783"/>
      <c r="BC1086" s="1783"/>
      <c r="BD1086" s="1783"/>
      <c r="BE1086" s="1783"/>
      <c r="BF1086" s="1783"/>
      <c r="BG1086" s="1783"/>
      <c r="BH1086" s="1783"/>
      <c r="BI1086" s="1783"/>
    </row>
    <row r="1087" spans="1:61">
      <c r="A1087" s="1819"/>
      <c r="B1087" s="1818"/>
      <c r="C1087" s="1818"/>
      <c r="D1087" s="1818"/>
      <c r="E1087" s="1818"/>
      <c r="F1087" s="1818"/>
      <c r="G1087" s="1818"/>
      <c r="H1087" s="1783"/>
      <c r="I1087" s="1783"/>
      <c r="J1087" s="1783"/>
      <c r="K1087" s="1783"/>
      <c r="L1087" s="1783"/>
      <c r="M1087" s="1783"/>
      <c r="N1087" s="1783"/>
      <c r="O1087" s="1783"/>
      <c r="P1087" s="1783"/>
      <c r="Q1087" s="1783"/>
      <c r="R1087" s="1783"/>
      <c r="S1087" s="1783"/>
      <c r="T1087" s="1783"/>
      <c r="U1087" s="1783"/>
      <c r="V1087" s="1783"/>
      <c r="W1087" s="1783"/>
      <c r="X1087" s="1783"/>
      <c r="Y1087" s="1783"/>
      <c r="Z1087" s="1783"/>
      <c r="AA1087" s="1783"/>
      <c r="AB1087" s="1783"/>
      <c r="AC1087" s="1783"/>
      <c r="AD1087" s="1783"/>
      <c r="AE1087" s="1783"/>
      <c r="AF1087" s="1783"/>
      <c r="AG1087" s="1783"/>
      <c r="AH1087" s="1783"/>
      <c r="AI1087" s="1783"/>
      <c r="AJ1087" s="1783"/>
      <c r="AK1087" s="1783"/>
      <c r="AL1087" s="1783"/>
      <c r="AM1087" s="1783"/>
      <c r="AN1087" s="1783"/>
      <c r="AO1087" s="1783"/>
      <c r="AP1087" s="1783"/>
      <c r="AQ1087" s="1783"/>
      <c r="AR1087" s="1783"/>
      <c r="AS1087" s="1783"/>
      <c r="AT1087" s="1783"/>
      <c r="AU1087" s="1783"/>
      <c r="AV1087" s="1783"/>
      <c r="AW1087" s="1783"/>
      <c r="AX1087" s="1783"/>
      <c r="AY1087" s="1783"/>
      <c r="AZ1087" s="1783"/>
      <c r="BA1087" s="1783"/>
      <c r="BB1087" s="1783"/>
      <c r="BC1087" s="1783"/>
      <c r="BD1087" s="1783"/>
      <c r="BE1087" s="1783"/>
      <c r="BF1087" s="1783"/>
      <c r="BG1087" s="1783"/>
      <c r="BH1087" s="1783"/>
      <c r="BI1087" s="1783"/>
    </row>
    <row r="1088" spans="1:61">
      <c r="A1088" s="1819"/>
      <c r="B1088" s="1818"/>
      <c r="C1088" s="1818"/>
      <c r="D1088" s="1818"/>
      <c r="E1088" s="1818"/>
      <c r="F1088" s="1818"/>
      <c r="G1088" s="1818"/>
      <c r="H1088" s="1783"/>
      <c r="I1088" s="1783"/>
      <c r="J1088" s="1783"/>
      <c r="K1088" s="1783"/>
      <c r="L1088" s="1783"/>
      <c r="M1088" s="1783"/>
      <c r="N1088" s="1783"/>
      <c r="O1088" s="1783"/>
      <c r="P1088" s="1783"/>
      <c r="Q1088" s="1783"/>
      <c r="R1088" s="1783"/>
      <c r="S1088" s="1783"/>
      <c r="T1088" s="1783"/>
      <c r="U1088" s="1783"/>
      <c r="V1088" s="1783"/>
      <c r="W1088" s="1783"/>
      <c r="X1088" s="1783"/>
      <c r="Y1088" s="1783"/>
      <c r="Z1088" s="1783"/>
      <c r="AA1088" s="1783"/>
      <c r="AB1088" s="1783"/>
      <c r="AC1088" s="1783"/>
      <c r="AD1088" s="1783"/>
      <c r="AE1088" s="1783"/>
      <c r="AF1088" s="1783"/>
      <c r="AG1088" s="1783"/>
      <c r="AH1088" s="1783"/>
      <c r="AI1088" s="1783"/>
      <c r="AJ1088" s="1783"/>
      <c r="AK1088" s="1783"/>
      <c r="AL1088" s="1783"/>
      <c r="AM1088" s="1783"/>
      <c r="AN1088" s="1783"/>
      <c r="AO1088" s="1783"/>
      <c r="AP1088" s="1783"/>
      <c r="AQ1088" s="1783"/>
      <c r="AR1088" s="1783"/>
      <c r="AS1088" s="1783"/>
      <c r="AT1088" s="1783"/>
      <c r="AU1088" s="1783"/>
      <c r="AV1088" s="1783"/>
      <c r="AW1088" s="1783"/>
      <c r="AX1088" s="1783"/>
      <c r="AY1088" s="1783"/>
      <c r="AZ1088" s="1783"/>
      <c r="BA1088" s="1783"/>
      <c r="BB1088" s="1783"/>
      <c r="BC1088" s="1783"/>
      <c r="BD1088" s="1783"/>
      <c r="BE1088" s="1783"/>
      <c r="BF1088" s="1783"/>
      <c r="BG1088" s="1783"/>
      <c r="BH1088" s="1783"/>
      <c r="BI1088" s="1783"/>
    </row>
    <row r="1089" spans="1:61">
      <c r="A1089" s="1819"/>
      <c r="B1089" s="1818"/>
      <c r="C1089" s="1818"/>
      <c r="D1089" s="1818"/>
      <c r="E1089" s="1818"/>
      <c r="F1089" s="1818"/>
      <c r="G1089" s="1818"/>
      <c r="H1089" s="1783"/>
      <c r="I1089" s="1783"/>
      <c r="J1089" s="1783"/>
      <c r="K1089" s="1783"/>
      <c r="L1089" s="1783"/>
      <c r="M1089" s="1783"/>
      <c r="N1089" s="1783"/>
      <c r="O1089" s="1783"/>
      <c r="P1089" s="1783"/>
      <c r="Q1089" s="1783"/>
      <c r="R1089" s="1783"/>
      <c r="S1089" s="1783"/>
      <c r="T1089" s="1783"/>
      <c r="U1089" s="1783"/>
      <c r="V1089" s="1783"/>
      <c r="W1089" s="1783"/>
      <c r="X1089" s="1783"/>
      <c r="Y1089" s="1783"/>
      <c r="Z1089" s="1783"/>
      <c r="AA1089" s="1783"/>
      <c r="AB1089" s="1783"/>
      <c r="AC1089" s="1783"/>
      <c r="AD1089" s="1783"/>
      <c r="AE1089" s="1783"/>
      <c r="AF1089" s="1783"/>
      <c r="AG1089" s="1783"/>
      <c r="AH1089" s="1783"/>
      <c r="AI1089" s="1783"/>
      <c r="AJ1089" s="1783"/>
      <c r="AK1089" s="1783"/>
      <c r="AL1089" s="1783"/>
      <c r="AM1089" s="1783"/>
      <c r="AN1089" s="1783"/>
      <c r="AO1089" s="1783"/>
      <c r="AP1089" s="1783"/>
      <c r="AQ1089" s="1783"/>
      <c r="AR1089" s="1783"/>
      <c r="AS1089" s="1783"/>
      <c r="AT1089" s="1783"/>
      <c r="AU1089" s="1783"/>
      <c r="AV1089" s="1783"/>
      <c r="AW1089" s="1783"/>
      <c r="AX1089" s="1783"/>
      <c r="AY1089" s="1783"/>
      <c r="AZ1089" s="1783"/>
      <c r="BA1089" s="1783"/>
      <c r="BB1089" s="1783"/>
      <c r="BC1089" s="1783"/>
      <c r="BD1089" s="1783"/>
      <c r="BE1089" s="1783"/>
      <c r="BF1089" s="1783"/>
      <c r="BG1089" s="1783"/>
      <c r="BH1089" s="1783"/>
      <c r="BI1089" s="1783"/>
    </row>
    <row r="1090" spans="1:61">
      <c r="A1090" s="1819"/>
      <c r="B1090" s="1818"/>
      <c r="C1090" s="1818"/>
      <c r="D1090" s="1818"/>
      <c r="E1090" s="1818"/>
      <c r="F1090" s="1818"/>
      <c r="G1090" s="1818"/>
      <c r="H1090" s="1783"/>
      <c r="I1090" s="1783"/>
      <c r="J1090" s="1783"/>
      <c r="K1090" s="1783"/>
      <c r="L1090" s="1783"/>
      <c r="M1090" s="1783"/>
      <c r="N1090" s="1783"/>
      <c r="O1090" s="1783"/>
      <c r="P1090" s="1783"/>
      <c r="Q1090" s="1783"/>
      <c r="R1090" s="1783"/>
      <c r="S1090" s="1783"/>
      <c r="T1090" s="1783"/>
      <c r="U1090" s="1783"/>
      <c r="V1090" s="1783"/>
      <c r="W1090" s="1783"/>
      <c r="X1090" s="1783"/>
      <c r="Y1090" s="1783"/>
      <c r="Z1090" s="1783"/>
      <c r="AA1090" s="1783"/>
      <c r="AB1090" s="1783"/>
      <c r="AC1090" s="1783"/>
      <c r="AD1090" s="1783"/>
      <c r="AE1090" s="1783"/>
      <c r="AF1090" s="1783"/>
      <c r="AG1090" s="1783"/>
      <c r="AH1090" s="1783"/>
      <c r="AI1090" s="1783"/>
      <c r="AJ1090" s="1783"/>
      <c r="AK1090" s="1783"/>
      <c r="AL1090" s="1783"/>
      <c r="AM1090" s="1783"/>
      <c r="AN1090" s="1783"/>
      <c r="AO1090" s="1783"/>
      <c r="AP1090" s="1783"/>
      <c r="AQ1090" s="1783"/>
      <c r="AR1090" s="1783"/>
      <c r="AS1090" s="1783"/>
      <c r="AT1090" s="1783"/>
      <c r="AU1090" s="1783"/>
      <c r="AV1090" s="1783"/>
      <c r="AW1090" s="1783"/>
      <c r="AX1090" s="1783"/>
      <c r="AY1090" s="1783"/>
      <c r="AZ1090" s="1783"/>
      <c r="BA1090" s="1783"/>
      <c r="BB1090" s="1783"/>
      <c r="BC1090" s="1783"/>
      <c r="BD1090" s="1783"/>
      <c r="BE1090" s="1783"/>
      <c r="BF1090" s="1783"/>
      <c r="BG1090" s="1783"/>
      <c r="BH1090" s="1783"/>
      <c r="BI1090" s="1783"/>
    </row>
    <row r="1091" spans="1:61">
      <c r="A1091" s="1819"/>
      <c r="B1091" s="1818"/>
      <c r="C1091" s="1818"/>
      <c r="D1091" s="1818"/>
      <c r="E1091" s="1818"/>
      <c r="F1091" s="1818"/>
      <c r="G1091" s="1818"/>
      <c r="H1091" s="1783"/>
      <c r="I1091" s="1783"/>
      <c r="J1091" s="1783"/>
      <c r="K1091" s="1783"/>
      <c r="L1091" s="1783"/>
      <c r="M1091" s="1783"/>
      <c r="N1091" s="1783"/>
      <c r="O1091" s="1783"/>
      <c r="P1091" s="1783"/>
      <c r="Q1091" s="1783"/>
      <c r="R1091" s="1783"/>
      <c r="S1091" s="1783"/>
      <c r="T1091" s="1783"/>
      <c r="U1091" s="1783"/>
      <c r="V1091" s="1783"/>
      <c r="W1091" s="1783"/>
      <c r="X1091" s="1783"/>
      <c r="Y1091" s="1783"/>
      <c r="Z1091" s="1783"/>
      <c r="AA1091" s="1783"/>
      <c r="AB1091" s="1783"/>
      <c r="AC1091" s="1783"/>
      <c r="AD1091" s="1783"/>
      <c r="AE1091" s="1783"/>
      <c r="AF1091" s="1783"/>
      <c r="AG1091" s="1783"/>
      <c r="AH1091" s="1783"/>
      <c r="AI1091" s="1783"/>
      <c r="AJ1091" s="1783"/>
      <c r="AK1091" s="1783"/>
      <c r="AL1091" s="1783"/>
      <c r="AM1091" s="1783"/>
      <c r="AN1091" s="1783"/>
      <c r="AO1091" s="1783"/>
      <c r="AP1091" s="1783"/>
      <c r="AQ1091" s="1783"/>
      <c r="AR1091" s="1783"/>
      <c r="AS1091" s="1783"/>
      <c r="AT1091" s="1783"/>
      <c r="AU1091" s="1783"/>
      <c r="AV1091" s="1783"/>
      <c r="AW1091" s="1783"/>
      <c r="AX1091" s="1783"/>
      <c r="AY1091" s="1783"/>
      <c r="AZ1091" s="1783"/>
      <c r="BA1091" s="1783"/>
      <c r="BB1091" s="1783"/>
      <c r="BC1091" s="1783"/>
      <c r="BD1091" s="1783"/>
      <c r="BE1091" s="1783"/>
      <c r="BF1091" s="1783"/>
      <c r="BG1091" s="1783"/>
      <c r="BH1091" s="1783"/>
      <c r="BI1091" s="1783"/>
    </row>
    <row r="1092" spans="1:61">
      <c r="A1092" s="1819"/>
      <c r="B1092" s="1818"/>
      <c r="C1092" s="1818"/>
      <c r="D1092" s="1818"/>
      <c r="E1092" s="1818"/>
      <c r="F1092" s="1818"/>
      <c r="G1092" s="1818"/>
      <c r="H1092" s="1783"/>
      <c r="I1092" s="1783"/>
      <c r="J1092" s="1783"/>
      <c r="K1092" s="1783"/>
      <c r="L1092" s="1783"/>
      <c r="M1092" s="1783"/>
      <c r="N1092" s="1783"/>
      <c r="O1092" s="1783"/>
      <c r="P1092" s="1783"/>
      <c r="Q1092" s="1783"/>
      <c r="R1092" s="1783"/>
      <c r="S1092" s="1783"/>
      <c r="T1092" s="1783"/>
      <c r="U1092" s="1783"/>
      <c r="V1092" s="1783"/>
      <c r="W1092" s="1783"/>
      <c r="X1092" s="1783"/>
      <c r="Y1092" s="1783"/>
      <c r="Z1092" s="1783"/>
      <c r="AA1092" s="1783"/>
      <c r="AB1092" s="1783"/>
      <c r="AC1092" s="1783"/>
      <c r="AD1092" s="1783"/>
      <c r="AE1092" s="1783"/>
      <c r="AF1092" s="1783"/>
      <c r="AG1092" s="1783"/>
      <c r="AH1092" s="1783"/>
      <c r="AI1092" s="1783"/>
      <c r="AJ1092" s="1783"/>
      <c r="AK1092" s="1783"/>
      <c r="AL1092" s="1783"/>
      <c r="AM1092" s="1783"/>
      <c r="AN1092" s="1783"/>
      <c r="AO1092" s="1783"/>
      <c r="AP1092" s="1783"/>
      <c r="AQ1092" s="1783"/>
      <c r="AR1092" s="1783"/>
      <c r="AS1092" s="1783"/>
      <c r="AT1092" s="1783"/>
      <c r="AU1092" s="1783"/>
      <c r="AV1092" s="1783"/>
      <c r="AW1092" s="1783"/>
      <c r="AX1092" s="1783"/>
      <c r="AY1092" s="1783"/>
      <c r="AZ1092" s="1783"/>
      <c r="BA1092" s="1783"/>
      <c r="BB1092" s="1783"/>
      <c r="BC1092" s="1783"/>
      <c r="BD1092" s="1783"/>
      <c r="BE1092" s="1783"/>
      <c r="BF1092" s="1783"/>
      <c r="BG1092" s="1783"/>
      <c r="BH1092" s="1783"/>
      <c r="BI1092" s="1783"/>
    </row>
    <row r="1093" spans="1:61">
      <c r="A1093" s="1819"/>
      <c r="B1093" s="1818"/>
      <c r="C1093" s="1818"/>
      <c r="D1093" s="1818"/>
      <c r="E1093" s="1818"/>
      <c r="F1093" s="1818"/>
      <c r="G1093" s="1818"/>
      <c r="H1093" s="1783"/>
      <c r="I1093" s="1783"/>
      <c r="J1093" s="1783"/>
      <c r="K1093" s="1783"/>
      <c r="L1093" s="1783"/>
      <c r="M1093" s="1783"/>
      <c r="N1093" s="1783"/>
      <c r="O1093" s="1783"/>
      <c r="P1093" s="1783"/>
      <c r="Q1093" s="1783"/>
      <c r="R1093" s="1783"/>
      <c r="S1093" s="1783"/>
      <c r="T1093" s="1783"/>
      <c r="U1093" s="1783"/>
      <c r="V1093" s="1783"/>
      <c r="W1093" s="1783"/>
      <c r="X1093" s="1783"/>
      <c r="Y1093" s="1783"/>
      <c r="Z1093" s="1783"/>
      <c r="AA1093" s="1783"/>
      <c r="AB1093" s="1783"/>
      <c r="AC1093" s="1783"/>
      <c r="AD1093" s="1783"/>
      <c r="AE1093" s="1783"/>
      <c r="AF1093" s="1783"/>
      <c r="AG1093" s="1783"/>
      <c r="AH1093" s="1783"/>
      <c r="AI1093" s="1783"/>
      <c r="AJ1093" s="1783"/>
      <c r="AK1093" s="1783"/>
      <c r="AL1093" s="1783"/>
      <c r="AM1093" s="1783"/>
      <c r="AN1093" s="1783"/>
      <c r="AO1093" s="1783"/>
      <c r="AP1093" s="1783"/>
      <c r="AQ1093" s="1783"/>
      <c r="AR1093" s="1783"/>
      <c r="AS1093" s="1783"/>
      <c r="AT1093" s="1783"/>
      <c r="AU1093" s="1783"/>
      <c r="AV1093" s="1783"/>
      <c r="AW1093" s="1783"/>
      <c r="AX1093" s="1783"/>
      <c r="AY1093" s="1783"/>
      <c r="AZ1093" s="1783"/>
      <c r="BA1093" s="1783"/>
      <c r="BB1093" s="1783"/>
      <c r="BC1093" s="1783"/>
      <c r="BD1093" s="1783"/>
      <c r="BE1093" s="1783"/>
      <c r="BF1093" s="1783"/>
      <c r="BG1093" s="1783"/>
      <c r="BH1093" s="1783"/>
      <c r="BI1093" s="1783"/>
    </row>
    <row r="1094" spans="1:61">
      <c r="A1094" s="1819"/>
      <c r="B1094" s="1818"/>
      <c r="C1094" s="1818"/>
      <c r="D1094" s="1818"/>
      <c r="E1094" s="1818"/>
      <c r="F1094" s="1818"/>
      <c r="G1094" s="1818"/>
      <c r="H1094" s="1783"/>
      <c r="I1094" s="1783"/>
      <c r="J1094" s="1783"/>
      <c r="K1094" s="1783"/>
      <c r="L1094" s="1783"/>
      <c r="M1094" s="1783"/>
      <c r="N1094" s="1783"/>
      <c r="O1094" s="1783"/>
      <c r="P1094" s="1783"/>
      <c r="Q1094" s="1783"/>
      <c r="R1094" s="1783"/>
      <c r="S1094" s="1783"/>
      <c r="T1094" s="1783"/>
      <c r="U1094" s="1783"/>
      <c r="V1094" s="1783"/>
      <c r="W1094" s="1783"/>
      <c r="X1094" s="1783"/>
      <c r="Y1094" s="1783"/>
      <c r="Z1094" s="1783"/>
      <c r="AA1094" s="1783"/>
      <c r="AB1094" s="1783"/>
      <c r="AC1094" s="1783"/>
      <c r="AD1094" s="1783"/>
      <c r="AE1094" s="1783"/>
      <c r="AF1094" s="1783"/>
      <c r="AG1094" s="1783"/>
      <c r="AH1094" s="1783"/>
      <c r="AI1094" s="1783"/>
      <c r="AJ1094" s="1783"/>
      <c r="AK1094" s="1783"/>
      <c r="AL1094" s="1783"/>
      <c r="AM1094" s="1783"/>
      <c r="AN1094" s="1783"/>
      <c r="AO1094" s="1783"/>
      <c r="AP1094" s="1783"/>
      <c r="AQ1094" s="1783"/>
      <c r="AR1094" s="1783"/>
      <c r="AS1094" s="1783"/>
      <c r="AT1094" s="1783"/>
      <c r="AU1094" s="1783"/>
      <c r="AV1094" s="1783"/>
      <c r="AW1094" s="1783"/>
      <c r="AX1094" s="1783"/>
      <c r="AY1094" s="1783"/>
      <c r="AZ1094" s="1783"/>
      <c r="BA1094" s="1783"/>
      <c r="BB1094" s="1783"/>
      <c r="BC1094" s="1783"/>
      <c r="BD1094" s="1783"/>
      <c r="BE1094" s="1783"/>
      <c r="BF1094" s="1783"/>
      <c r="BG1094" s="1783"/>
      <c r="BH1094" s="1783"/>
      <c r="BI1094" s="1783"/>
    </row>
    <row r="1095" spans="1:61">
      <c r="A1095" s="1819"/>
      <c r="B1095" s="1818"/>
      <c r="C1095" s="1818"/>
      <c r="D1095" s="1818"/>
      <c r="E1095" s="1818"/>
      <c r="F1095" s="1818"/>
      <c r="G1095" s="1818"/>
      <c r="H1095" s="1783"/>
      <c r="I1095" s="1783"/>
      <c r="J1095" s="1783"/>
      <c r="K1095" s="1783"/>
      <c r="L1095" s="1783"/>
      <c r="M1095" s="1783"/>
      <c r="N1095" s="1783"/>
      <c r="O1095" s="1783"/>
      <c r="P1095" s="1783"/>
      <c r="Q1095" s="1783"/>
      <c r="R1095" s="1783"/>
      <c r="S1095" s="1783"/>
      <c r="T1095" s="1783"/>
      <c r="U1095" s="1783"/>
      <c r="V1095" s="1783"/>
      <c r="W1095" s="1783"/>
      <c r="X1095" s="1783"/>
      <c r="Y1095" s="1783"/>
      <c r="Z1095" s="1783"/>
      <c r="AA1095" s="1783"/>
      <c r="AB1095" s="1783"/>
      <c r="AC1095" s="1783"/>
      <c r="AD1095" s="1783"/>
      <c r="AE1095" s="1783"/>
      <c r="AF1095" s="1783"/>
      <c r="AG1095" s="1783"/>
      <c r="AH1095" s="1783"/>
      <c r="AI1095" s="1783"/>
      <c r="AJ1095" s="1783"/>
      <c r="AK1095" s="1783"/>
      <c r="AL1095" s="1783"/>
      <c r="AM1095" s="1783"/>
      <c r="AN1095" s="1783"/>
      <c r="AO1095" s="1783"/>
      <c r="AP1095" s="1783"/>
      <c r="AQ1095" s="1783"/>
      <c r="AR1095" s="1783"/>
      <c r="AS1095" s="1783"/>
      <c r="AT1095" s="1783"/>
      <c r="AU1095" s="1783"/>
      <c r="AV1095" s="1783"/>
      <c r="AW1095" s="1783"/>
      <c r="AX1095" s="1783"/>
      <c r="AY1095" s="1783"/>
      <c r="AZ1095" s="1783"/>
      <c r="BA1095" s="1783"/>
      <c r="BB1095" s="1783"/>
      <c r="BC1095" s="1783"/>
      <c r="BD1095" s="1783"/>
      <c r="BE1095" s="1783"/>
      <c r="BF1095" s="1783"/>
      <c r="BG1095" s="1783"/>
      <c r="BH1095" s="1783"/>
      <c r="BI1095" s="1783"/>
    </row>
    <row r="1096" spans="1:61">
      <c r="A1096" s="1819"/>
      <c r="B1096" s="1818"/>
      <c r="C1096" s="1818"/>
      <c r="D1096" s="1818"/>
      <c r="E1096" s="1818"/>
      <c r="F1096" s="1818"/>
      <c r="G1096" s="1818"/>
      <c r="H1096" s="1783"/>
      <c r="I1096" s="1783"/>
      <c r="J1096" s="1783"/>
      <c r="K1096" s="1783"/>
      <c r="L1096" s="1783"/>
      <c r="M1096" s="1783"/>
      <c r="N1096" s="1783"/>
      <c r="O1096" s="1783"/>
      <c r="P1096" s="1783"/>
      <c r="Q1096" s="1783"/>
      <c r="R1096" s="1783"/>
      <c r="S1096" s="1783"/>
      <c r="T1096" s="1783"/>
      <c r="U1096" s="1783"/>
      <c r="V1096" s="1783"/>
      <c r="W1096" s="1783"/>
      <c r="X1096" s="1783"/>
      <c r="Y1096" s="1783"/>
      <c r="Z1096" s="1783"/>
      <c r="AA1096" s="1783"/>
      <c r="AB1096" s="1783"/>
      <c r="AC1096" s="1783"/>
      <c r="AD1096" s="1783"/>
      <c r="AE1096" s="1783"/>
      <c r="AF1096" s="1783"/>
      <c r="AG1096" s="1783"/>
      <c r="AH1096" s="1783"/>
      <c r="AI1096" s="1783"/>
      <c r="AJ1096" s="1783"/>
      <c r="AK1096" s="1783"/>
      <c r="AL1096" s="1783"/>
      <c r="AM1096" s="1783"/>
      <c r="AN1096" s="1783"/>
      <c r="AO1096" s="1783"/>
      <c r="AP1096" s="1783"/>
      <c r="AQ1096" s="1783"/>
      <c r="AR1096" s="1783"/>
      <c r="AS1096" s="1783"/>
      <c r="AT1096" s="1783"/>
      <c r="AU1096" s="1783"/>
      <c r="AV1096" s="1783"/>
      <c r="AW1096" s="1783"/>
      <c r="AX1096" s="1783"/>
      <c r="AY1096" s="1783"/>
      <c r="AZ1096" s="1783"/>
      <c r="BA1096" s="1783"/>
      <c r="BB1096" s="1783"/>
      <c r="BC1096" s="1783"/>
      <c r="BD1096" s="1783"/>
      <c r="BE1096" s="1783"/>
      <c r="BF1096" s="1783"/>
      <c r="BG1096" s="1783"/>
      <c r="BH1096" s="1783"/>
      <c r="BI1096" s="1783"/>
    </row>
    <row r="1097" spans="1:61">
      <c r="A1097" s="1819"/>
      <c r="B1097" s="1818"/>
      <c r="C1097" s="1818"/>
      <c r="D1097" s="1818"/>
      <c r="E1097" s="1818"/>
      <c r="F1097" s="1818"/>
      <c r="G1097" s="1818"/>
      <c r="H1097" s="1783"/>
      <c r="I1097" s="1783"/>
      <c r="J1097" s="1783"/>
      <c r="K1097" s="1783"/>
      <c r="L1097" s="1783"/>
      <c r="M1097" s="1783"/>
      <c r="N1097" s="1783"/>
      <c r="O1097" s="1783"/>
      <c r="P1097" s="1783"/>
      <c r="Q1097" s="1783"/>
      <c r="R1097" s="1783"/>
      <c r="S1097" s="1783"/>
      <c r="T1097" s="1783"/>
      <c r="U1097" s="1783"/>
      <c r="V1097" s="1783"/>
      <c r="W1097" s="1783"/>
      <c r="X1097" s="1783"/>
      <c r="Y1097" s="1783"/>
      <c r="Z1097" s="1783"/>
      <c r="AA1097" s="1783"/>
      <c r="AB1097" s="1783"/>
      <c r="AC1097" s="1783"/>
      <c r="AD1097" s="1783"/>
      <c r="AE1097" s="1783"/>
      <c r="AF1097" s="1783"/>
      <c r="AG1097" s="1783"/>
      <c r="AH1097" s="1783"/>
      <c r="AI1097" s="1783"/>
      <c r="AJ1097" s="1783"/>
      <c r="AK1097" s="1783"/>
      <c r="AL1097" s="1783"/>
      <c r="AM1097" s="1783"/>
      <c r="AN1097" s="1783"/>
      <c r="AO1097" s="1783"/>
      <c r="AP1097" s="1783"/>
      <c r="AQ1097" s="1783"/>
      <c r="AR1097" s="1783"/>
      <c r="AS1097" s="1783"/>
      <c r="AT1097" s="1783"/>
      <c r="AU1097" s="1783"/>
      <c r="AV1097" s="1783"/>
      <c r="AW1097" s="1783"/>
      <c r="AX1097" s="1783"/>
      <c r="AY1097" s="1783"/>
      <c r="AZ1097" s="1783"/>
      <c r="BA1097" s="1783"/>
      <c r="BB1097" s="1783"/>
      <c r="BC1097" s="1783"/>
      <c r="BD1097" s="1783"/>
      <c r="BE1097" s="1783"/>
      <c r="BF1097" s="1783"/>
      <c r="BG1097" s="1783"/>
      <c r="BH1097" s="1783"/>
      <c r="BI1097" s="1783"/>
    </row>
    <row r="1098" spans="1:61">
      <c r="A1098" s="1819"/>
      <c r="B1098" s="1818"/>
      <c r="C1098" s="1818"/>
      <c r="D1098" s="1818"/>
      <c r="E1098" s="1818"/>
      <c r="F1098" s="1818"/>
      <c r="G1098" s="1818"/>
      <c r="H1098" s="1783"/>
      <c r="I1098" s="1783"/>
      <c r="J1098" s="1783"/>
      <c r="K1098" s="1783"/>
      <c r="L1098" s="1783"/>
      <c r="M1098" s="1783"/>
      <c r="N1098" s="1783"/>
      <c r="O1098" s="1783"/>
      <c r="P1098" s="1783"/>
      <c r="Q1098" s="1783"/>
      <c r="R1098" s="1783"/>
      <c r="S1098" s="1783"/>
      <c r="T1098" s="1783"/>
      <c r="U1098" s="1783"/>
      <c r="V1098" s="1783"/>
      <c r="W1098" s="1783"/>
      <c r="X1098" s="1783"/>
      <c r="Y1098" s="1783"/>
      <c r="Z1098" s="1783"/>
      <c r="AA1098" s="1783"/>
      <c r="AB1098" s="1783"/>
      <c r="AC1098" s="1783"/>
      <c r="AD1098" s="1783"/>
      <c r="AE1098" s="1783"/>
      <c r="AF1098" s="1783"/>
      <c r="AG1098" s="1783"/>
      <c r="AH1098" s="1783"/>
      <c r="AI1098" s="1783"/>
      <c r="AJ1098" s="1783"/>
      <c r="AK1098" s="1783"/>
      <c r="AL1098" s="1783"/>
      <c r="AM1098" s="1783"/>
      <c r="AN1098" s="1783"/>
      <c r="AO1098" s="1783"/>
      <c r="AP1098" s="1783"/>
      <c r="AQ1098" s="1783"/>
      <c r="AR1098" s="1783"/>
      <c r="AS1098" s="1783"/>
      <c r="AT1098" s="1783"/>
      <c r="AU1098" s="1783"/>
      <c r="AV1098" s="1783"/>
      <c r="AW1098" s="1783"/>
      <c r="AX1098" s="1783"/>
      <c r="AY1098" s="1783"/>
      <c r="AZ1098" s="1783"/>
      <c r="BA1098" s="1783"/>
      <c r="BB1098" s="1783"/>
      <c r="BC1098" s="1783"/>
      <c r="BD1098" s="1783"/>
      <c r="BE1098" s="1783"/>
      <c r="BF1098" s="1783"/>
      <c r="BG1098" s="1783"/>
      <c r="BH1098" s="1783"/>
      <c r="BI1098" s="1783"/>
    </row>
    <row r="1099" spans="1:61">
      <c r="A1099" s="1819"/>
      <c r="B1099" s="1818"/>
      <c r="C1099" s="1818"/>
      <c r="D1099" s="1818"/>
      <c r="E1099" s="1818"/>
      <c r="F1099" s="1818"/>
      <c r="G1099" s="1818"/>
      <c r="H1099" s="1783"/>
      <c r="I1099" s="1783"/>
      <c r="J1099" s="1783"/>
      <c r="K1099" s="1783"/>
      <c r="L1099" s="1783"/>
      <c r="M1099" s="1783"/>
      <c r="N1099" s="1783"/>
      <c r="O1099" s="1783"/>
      <c r="P1099" s="1783"/>
      <c r="Q1099" s="1783"/>
      <c r="R1099" s="1783"/>
      <c r="S1099" s="1783"/>
      <c r="T1099" s="1783"/>
      <c r="U1099" s="1783"/>
      <c r="V1099" s="1783"/>
      <c r="W1099" s="1783"/>
      <c r="X1099" s="1783"/>
      <c r="Y1099" s="1783"/>
      <c r="Z1099" s="1783"/>
      <c r="AA1099" s="1783"/>
      <c r="AB1099" s="1783"/>
      <c r="AC1099" s="1783"/>
      <c r="AD1099" s="1783"/>
      <c r="AE1099" s="1783"/>
      <c r="AF1099" s="1783"/>
      <c r="AG1099" s="1783"/>
      <c r="AH1099" s="1783"/>
      <c r="AI1099" s="1783"/>
      <c r="AJ1099" s="1783"/>
      <c r="AK1099" s="1783"/>
      <c r="AL1099" s="1783"/>
      <c r="AM1099" s="1783"/>
      <c r="AN1099" s="1783"/>
      <c r="AO1099" s="1783"/>
      <c r="AP1099" s="1783"/>
      <c r="AQ1099" s="1783"/>
      <c r="AR1099" s="1783"/>
      <c r="AS1099" s="1783"/>
      <c r="AT1099" s="1783"/>
      <c r="AU1099" s="1783"/>
      <c r="AV1099" s="1783"/>
      <c r="AW1099" s="1783"/>
      <c r="AX1099" s="1783"/>
      <c r="AY1099" s="1783"/>
      <c r="AZ1099" s="1783"/>
      <c r="BA1099" s="1783"/>
      <c r="BB1099" s="1783"/>
      <c r="BC1099" s="1783"/>
      <c r="BD1099" s="1783"/>
      <c r="BE1099" s="1783"/>
      <c r="BF1099" s="1783"/>
      <c r="BG1099" s="1783"/>
      <c r="BH1099" s="1783"/>
      <c r="BI1099" s="1783"/>
    </row>
    <row r="1100" spans="1:61">
      <c r="A1100" s="1819"/>
      <c r="B1100" s="1818"/>
      <c r="C1100" s="1818"/>
      <c r="D1100" s="1818"/>
      <c r="E1100" s="1818"/>
      <c r="F1100" s="1818"/>
      <c r="G1100" s="1818"/>
      <c r="H1100" s="1783"/>
      <c r="I1100" s="1783"/>
      <c r="J1100" s="1783"/>
      <c r="K1100" s="1783"/>
      <c r="L1100" s="1783"/>
      <c r="M1100" s="1783"/>
      <c r="N1100" s="1783"/>
      <c r="O1100" s="1783"/>
      <c r="P1100" s="1783"/>
      <c r="Q1100" s="1783"/>
      <c r="R1100" s="1783"/>
      <c r="S1100" s="1783"/>
      <c r="T1100" s="1783"/>
      <c r="U1100" s="1783"/>
      <c r="V1100" s="1783"/>
      <c r="W1100" s="1783"/>
      <c r="X1100" s="1783"/>
      <c r="Y1100" s="1783"/>
      <c r="Z1100" s="1783"/>
      <c r="AA1100" s="1783"/>
      <c r="AB1100" s="1783"/>
      <c r="AC1100" s="1783"/>
      <c r="AD1100" s="1783"/>
      <c r="AE1100" s="1783"/>
      <c r="AF1100" s="1783"/>
      <c r="AG1100" s="1783"/>
      <c r="AH1100" s="1783"/>
      <c r="AI1100" s="1783"/>
      <c r="AJ1100" s="1783"/>
      <c r="AK1100" s="1783"/>
      <c r="AL1100" s="1783"/>
      <c r="AM1100" s="1783"/>
      <c r="AN1100" s="1783"/>
      <c r="AO1100" s="1783"/>
      <c r="AP1100" s="1783"/>
      <c r="AQ1100" s="1783"/>
      <c r="AR1100" s="1783"/>
      <c r="AS1100" s="1783"/>
      <c r="AT1100" s="1783"/>
      <c r="AU1100" s="1783"/>
      <c r="AV1100" s="1783"/>
      <c r="AW1100" s="1783"/>
      <c r="AX1100" s="1783"/>
      <c r="AY1100" s="1783"/>
      <c r="AZ1100" s="1783"/>
      <c r="BA1100" s="1783"/>
      <c r="BB1100" s="1783"/>
      <c r="BC1100" s="1783"/>
      <c r="BD1100" s="1783"/>
      <c r="BE1100" s="1783"/>
      <c r="BF1100" s="1783"/>
      <c r="BG1100" s="1783"/>
      <c r="BH1100" s="1783"/>
      <c r="BI1100" s="1783"/>
    </row>
    <row r="1101" spans="1:61">
      <c r="A1101" s="1819"/>
      <c r="B1101" s="1818"/>
      <c r="C1101" s="1818"/>
      <c r="D1101" s="1818"/>
      <c r="E1101" s="1818"/>
      <c r="F1101" s="1818"/>
      <c r="G1101" s="1818"/>
      <c r="H1101" s="1783"/>
      <c r="I1101" s="1783"/>
      <c r="J1101" s="1783"/>
      <c r="K1101" s="1783"/>
      <c r="L1101" s="1783"/>
      <c r="M1101" s="1783"/>
      <c r="N1101" s="1783"/>
      <c r="O1101" s="1783"/>
      <c r="P1101" s="1783"/>
      <c r="Q1101" s="1783"/>
      <c r="R1101" s="1783"/>
      <c r="S1101" s="1783"/>
      <c r="T1101" s="1783"/>
      <c r="U1101" s="1783"/>
      <c r="V1101" s="1783"/>
      <c r="W1101" s="1783"/>
      <c r="X1101" s="1783"/>
      <c r="Y1101" s="1783"/>
      <c r="Z1101" s="1783"/>
      <c r="AA1101" s="1783"/>
      <c r="AB1101" s="1783"/>
      <c r="AC1101" s="1783"/>
      <c r="AD1101" s="1783"/>
      <c r="AE1101" s="1783"/>
      <c r="AF1101" s="1783"/>
      <c r="AG1101" s="1783"/>
      <c r="AH1101" s="1783"/>
      <c r="AI1101" s="1783"/>
      <c r="AJ1101" s="1783"/>
      <c r="AK1101" s="1783"/>
      <c r="AL1101" s="1783"/>
      <c r="AM1101" s="1783"/>
      <c r="AN1101" s="1783"/>
      <c r="AO1101" s="1783"/>
      <c r="AP1101" s="1783"/>
      <c r="AQ1101" s="1783"/>
      <c r="AR1101" s="1783"/>
      <c r="AS1101" s="1783"/>
      <c r="AT1101" s="1783"/>
      <c r="AU1101" s="1783"/>
      <c r="AV1101" s="1783"/>
      <c r="AW1101" s="1783"/>
      <c r="AX1101" s="1783"/>
      <c r="AY1101" s="1783"/>
      <c r="AZ1101" s="1783"/>
      <c r="BA1101" s="1783"/>
      <c r="BB1101" s="1783"/>
      <c r="BC1101" s="1783"/>
      <c r="BD1101" s="1783"/>
      <c r="BE1101" s="1783"/>
      <c r="BF1101" s="1783"/>
      <c r="BG1101" s="1783"/>
      <c r="BH1101" s="1783"/>
      <c r="BI1101" s="1783"/>
    </row>
    <row r="1102" spans="1:61">
      <c r="A1102" s="1819"/>
      <c r="B1102" s="1818"/>
      <c r="C1102" s="1818"/>
      <c r="D1102" s="1818"/>
      <c r="E1102" s="1818"/>
      <c r="F1102" s="1818"/>
      <c r="G1102" s="1818"/>
      <c r="H1102" s="1783"/>
      <c r="I1102" s="1783"/>
      <c r="J1102" s="1783"/>
      <c r="K1102" s="1783"/>
      <c r="L1102" s="1783"/>
      <c r="M1102" s="1783"/>
      <c r="N1102" s="1783"/>
      <c r="O1102" s="1783"/>
      <c r="P1102" s="1783"/>
      <c r="Q1102" s="1783"/>
      <c r="R1102" s="1783"/>
      <c r="S1102" s="1783"/>
      <c r="T1102" s="1783"/>
      <c r="U1102" s="1783"/>
      <c r="V1102" s="1783"/>
      <c r="W1102" s="1783"/>
      <c r="X1102" s="1783"/>
      <c r="Y1102" s="1783"/>
      <c r="Z1102" s="1783"/>
      <c r="AA1102" s="1783"/>
      <c r="AB1102" s="1783"/>
      <c r="AC1102" s="1783"/>
      <c r="AD1102" s="1783"/>
      <c r="AE1102" s="1783"/>
      <c r="AF1102" s="1783"/>
      <c r="AG1102" s="1783"/>
      <c r="AH1102" s="1783"/>
      <c r="AI1102" s="1783"/>
      <c r="AJ1102" s="1783"/>
      <c r="AK1102" s="1783"/>
      <c r="AL1102" s="1783"/>
      <c r="AM1102" s="1783"/>
      <c r="AN1102" s="1783"/>
      <c r="AO1102" s="1783"/>
      <c r="AP1102" s="1783"/>
      <c r="AQ1102" s="1783"/>
      <c r="AR1102" s="1783"/>
      <c r="AS1102" s="1783"/>
      <c r="AT1102" s="1783"/>
      <c r="AU1102" s="1783"/>
      <c r="AV1102" s="1783"/>
      <c r="AW1102" s="1783"/>
      <c r="AX1102" s="1783"/>
      <c r="AY1102" s="1783"/>
      <c r="AZ1102" s="1783"/>
      <c r="BA1102" s="1783"/>
      <c r="BB1102" s="1783"/>
      <c r="BC1102" s="1783"/>
      <c r="BD1102" s="1783"/>
      <c r="BE1102" s="1783"/>
      <c r="BF1102" s="1783"/>
      <c r="BG1102" s="1783"/>
      <c r="BH1102" s="1783"/>
      <c r="BI1102" s="1783"/>
    </row>
    <row r="1103" spans="1:61">
      <c r="A1103" s="1819"/>
      <c r="B1103" s="1818"/>
      <c r="C1103" s="1818"/>
      <c r="D1103" s="1818"/>
      <c r="E1103" s="1818"/>
      <c r="F1103" s="1818"/>
      <c r="G1103" s="1818"/>
      <c r="H1103" s="1783"/>
      <c r="I1103" s="1783"/>
      <c r="J1103" s="1783"/>
      <c r="K1103" s="1783"/>
      <c r="L1103" s="1783"/>
      <c r="M1103" s="1783"/>
      <c r="N1103" s="1783"/>
      <c r="O1103" s="1783"/>
      <c r="P1103" s="1783"/>
      <c r="Q1103" s="1783"/>
      <c r="R1103" s="1783"/>
      <c r="S1103" s="1783"/>
      <c r="T1103" s="1783"/>
      <c r="U1103" s="1783"/>
      <c r="V1103" s="1783"/>
      <c r="W1103" s="1783"/>
      <c r="X1103" s="1783"/>
      <c r="Y1103" s="1783"/>
      <c r="Z1103" s="1783"/>
      <c r="AA1103" s="1783"/>
      <c r="AB1103" s="1783"/>
      <c r="AC1103" s="1783"/>
      <c r="AD1103" s="1783"/>
      <c r="AE1103" s="1783"/>
      <c r="AF1103" s="1783"/>
      <c r="AG1103" s="1783"/>
      <c r="AH1103" s="1783"/>
      <c r="AI1103" s="1783"/>
      <c r="AJ1103" s="1783"/>
      <c r="AK1103" s="1783"/>
      <c r="AL1103" s="1783"/>
      <c r="AM1103" s="1783"/>
      <c r="AN1103" s="1783"/>
      <c r="AO1103" s="1783"/>
      <c r="AP1103" s="1783"/>
      <c r="AQ1103" s="1783"/>
      <c r="AR1103" s="1783"/>
      <c r="AS1103" s="1783"/>
      <c r="AT1103" s="1783"/>
      <c r="AU1103" s="1783"/>
      <c r="AV1103" s="1783"/>
      <c r="AW1103" s="1783"/>
      <c r="AX1103" s="1783"/>
      <c r="AY1103" s="1783"/>
      <c r="AZ1103" s="1783"/>
      <c r="BA1103" s="1783"/>
      <c r="BB1103" s="1783"/>
      <c r="BC1103" s="1783"/>
      <c r="BD1103" s="1783"/>
      <c r="BE1103" s="1783"/>
      <c r="BF1103" s="1783"/>
      <c r="BG1103" s="1783"/>
      <c r="BH1103" s="1783"/>
      <c r="BI1103" s="1783"/>
    </row>
    <row r="1104" spans="1:61">
      <c r="A1104" s="1819"/>
      <c r="B1104" s="1818"/>
      <c r="C1104" s="1818"/>
      <c r="D1104" s="1818"/>
      <c r="E1104" s="1818"/>
      <c r="F1104" s="1818"/>
      <c r="G1104" s="1818"/>
      <c r="H1104" s="1783"/>
      <c r="I1104" s="1783"/>
      <c r="J1104" s="1783"/>
      <c r="K1104" s="1783"/>
      <c r="L1104" s="1783"/>
      <c r="M1104" s="1783"/>
      <c r="N1104" s="1783"/>
      <c r="O1104" s="1783"/>
      <c r="P1104" s="1783"/>
      <c r="Q1104" s="1783"/>
      <c r="R1104" s="1783"/>
      <c r="S1104" s="1783"/>
      <c r="T1104" s="1783"/>
      <c r="U1104" s="1783"/>
      <c r="V1104" s="1783"/>
      <c r="W1104" s="1783"/>
      <c r="X1104" s="1783"/>
      <c r="Y1104" s="1783"/>
      <c r="Z1104" s="1783"/>
      <c r="AA1104" s="1783"/>
      <c r="AB1104" s="1783"/>
      <c r="AC1104" s="1783"/>
      <c r="AD1104" s="1783"/>
      <c r="AE1104" s="1783"/>
      <c r="AF1104" s="1783"/>
      <c r="AG1104" s="1783"/>
      <c r="AH1104" s="1783"/>
      <c r="AI1104" s="1783"/>
      <c r="AJ1104" s="1783"/>
      <c r="AK1104" s="1783"/>
      <c r="AL1104" s="1783"/>
      <c r="AM1104" s="1783"/>
      <c r="AN1104" s="1783"/>
      <c r="AO1104" s="1783"/>
      <c r="AP1104" s="1783"/>
      <c r="AQ1104" s="1783"/>
      <c r="AR1104" s="1783"/>
      <c r="AS1104" s="1783"/>
      <c r="AT1104" s="1783"/>
      <c r="AU1104" s="1783"/>
      <c r="AV1104" s="1783"/>
      <c r="AW1104" s="1783"/>
      <c r="AX1104" s="1783"/>
      <c r="AY1104" s="1783"/>
      <c r="AZ1104" s="1783"/>
      <c r="BA1104" s="1783"/>
      <c r="BB1104" s="1783"/>
      <c r="BC1104" s="1783"/>
      <c r="BD1104" s="1783"/>
      <c r="BE1104" s="1783"/>
      <c r="BF1104" s="1783"/>
      <c r="BG1104" s="1783"/>
      <c r="BH1104" s="1783"/>
      <c r="BI1104" s="1783"/>
    </row>
    <row r="1105" spans="1:61">
      <c r="A1105" s="1819"/>
      <c r="B1105" s="1818"/>
      <c r="C1105" s="1818"/>
      <c r="D1105" s="1818"/>
      <c r="E1105" s="1818"/>
      <c r="F1105" s="1818"/>
      <c r="G1105" s="1818"/>
      <c r="H1105" s="1783"/>
      <c r="I1105" s="1783"/>
      <c r="J1105" s="1783"/>
      <c r="K1105" s="1783"/>
      <c r="L1105" s="1783"/>
      <c r="M1105" s="1783"/>
      <c r="N1105" s="1783"/>
      <c r="O1105" s="1783"/>
      <c r="P1105" s="1783"/>
      <c r="Q1105" s="1783"/>
      <c r="R1105" s="1783"/>
      <c r="S1105" s="1783"/>
      <c r="T1105" s="1783"/>
      <c r="U1105" s="1783"/>
      <c r="V1105" s="1783"/>
      <c r="W1105" s="1783"/>
      <c r="X1105" s="1783"/>
      <c r="Y1105" s="1783"/>
      <c r="Z1105" s="1783"/>
      <c r="AA1105" s="1783"/>
      <c r="AB1105" s="1783"/>
      <c r="AC1105" s="1783"/>
      <c r="AD1105" s="1783"/>
      <c r="AE1105" s="1783"/>
      <c r="AF1105" s="1783"/>
      <c r="AG1105" s="1783"/>
      <c r="AH1105" s="1783"/>
      <c r="AI1105" s="1783"/>
      <c r="AJ1105" s="1783"/>
      <c r="AK1105" s="1783"/>
      <c r="AL1105" s="1783"/>
      <c r="AM1105" s="1783"/>
      <c r="AN1105" s="1783"/>
      <c r="AO1105" s="1783"/>
      <c r="AP1105" s="1783"/>
      <c r="AQ1105" s="1783"/>
      <c r="AR1105" s="1783"/>
      <c r="AS1105" s="1783"/>
      <c r="AT1105" s="1783"/>
      <c r="AU1105" s="1783"/>
      <c r="AV1105" s="1783"/>
      <c r="AW1105" s="1783"/>
      <c r="AX1105" s="1783"/>
      <c r="AY1105" s="1783"/>
      <c r="AZ1105" s="1783"/>
      <c r="BA1105" s="1783"/>
      <c r="BB1105" s="1783"/>
      <c r="BC1105" s="1783"/>
      <c r="BD1105" s="1783"/>
      <c r="BE1105" s="1783"/>
      <c r="BF1105" s="1783"/>
      <c r="BG1105" s="1783"/>
      <c r="BH1105" s="1783"/>
      <c r="BI1105" s="1783"/>
    </row>
    <row r="1106" spans="1:61">
      <c r="A1106" s="1819"/>
      <c r="B1106" s="1818"/>
      <c r="C1106" s="1818"/>
      <c r="D1106" s="1818"/>
      <c r="E1106" s="1818"/>
      <c r="F1106" s="1818"/>
      <c r="G1106" s="1818"/>
      <c r="H1106" s="1783"/>
      <c r="I1106" s="1783"/>
      <c r="J1106" s="1783"/>
      <c r="K1106" s="1783"/>
      <c r="L1106" s="1783"/>
      <c r="M1106" s="1783"/>
      <c r="N1106" s="1783"/>
      <c r="O1106" s="1783"/>
      <c r="P1106" s="1783"/>
      <c r="Q1106" s="1783"/>
      <c r="R1106" s="1783"/>
      <c r="S1106" s="1783"/>
      <c r="T1106" s="1783"/>
      <c r="U1106" s="1783"/>
      <c r="V1106" s="1783"/>
      <c r="W1106" s="1783"/>
      <c r="X1106" s="1783"/>
      <c r="Y1106" s="1783"/>
      <c r="Z1106" s="1783"/>
      <c r="AA1106" s="1783"/>
      <c r="AB1106" s="1783"/>
      <c r="AC1106" s="1783"/>
      <c r="AD1106" s="1783"/>
      <c r="AE1106" s="1783"/>
      <c r="AF1106" s="1783"/>
      <c r="AG1106" s="1783"/>
      <c r="AH1106" s="1783"/>
      <c r="AI1106" s="1783"/>
      <c r="AJ1106" s="1783"/>
      <c r="AK1106" s="1783"/>
      <c r="AL1106" s="1783"/>
      <c r="AM1106" s="1783"/>
      <c r="AN1106" s="1783"/>
      <c r="AO1106" s="1783"/>
      <c r="AP1106" s="1783"/>
      <c r="AQ1106" s="1783"/>
      <c r="AR1106" s="1783"/>
      <c r="AS1106" s="1783"/>
      <c r="AT1106" s="1783"/>
      <c r="AU1106" s="1783"/>
      <c r="AV1106" s="1783"/>
      <c r="AW1106" s="1783"/>
      <c r="AX1106" s="1783"/>
      <c r="AY1106" s="1783"/>
      <c r="AZ1106" s="1783"/>
      <c r="BA1106" s="1783"/>
      <c r="BB1106" s="1783"/>
      <c r="BC1106" s="1783"/>
      <c r="BD1106" s="1783"/>
      <c r="BE1106" s="1783"/>
      <c r="BF1106" s="1783"/>
      <c r="BG1106" s="1783"/>
      <c r="BH1106" s="1783"/>
      <c r="BI1106" s="1783"/>
    </row>
    <row r="1107" spans="1:61">
      <c r="A1107" s="1819"/>
      <c r="B1107" s="1818"/>
      <c r="C1107" s="1818"/>
      <c r="D1107" s="1818"/>
      <c r="E1107" s="1818"/>
      <c r="F1107" s="1818"/>
      <c r="G1107" s="1818"/>
      <c r="H1107" s="1783"/>
      <c r="I1107" s="1783"/>
      <c r="J1107" s="1783"/>
      <c r="K1107" s="1783"/>
      <c r="L1107" s="1783"/>
      <c r="M1107" s="1783"/>
      <c r="N1107" s="1783"/>
      <c r="O1107" s="1783"/>
      <c r="P1107" s="1783"/>
      <c r="Q1107" s="1783"/>
      <c r="R1107" s="1783"/>
      <c r="S1107" s="1783"/>
      <c r="T1107" s="1783"/>
      <c r="U1107" s="1783"/>
      <c r="V1107" s="1783"/>
      <c r="W1107" s="1783"/>
      <c r="X1107" s="1783"/>
      <c r="Y1107" s="1783"/>
      <c r="Z1107" s="1783"/>
      <c r="AA1107" s="1783"/>
      <c r="AB1107" s="1783"/>
      <c r="AC1107" s="1783"/>
      <c r="AD1107" s="1783"/>
      <c r="AE1107" s="1783"/>
      <c r="AF1107" s="1783"/>
      <c r="AG1107" s="1783"/>
      <c r="AH1107" s="1783"/>
      <c r="AI1107" s="1783"/>
      <c r="AJ1107" s="1783"/>
      <c r="AK1107" s="1783"/>
      <c r="AL1107" s="1783"/>
      <c r="AM1107" s="1783"/>
      <c r="AN1107" s="1783"/>
      <c r="AO1107" s="1783"/>
      <c r="AP1107" s="1783"/>
      <c r="AQ1107" s="1783"/>
      <c r="AR1107" s="1783"/>
      <c r="AS1107" s="1783"/>
      <c r="AT1107" s="1783"/>
      <c r="AU1107" s="1783"/>
      <c r="AV1107" s="1783"/>
      <c r="AW1107" s="1783"/>
      <c r="AX1107" s="1783"/>
      <c r="AY1107" s="1783"/>
      <c r="AZ1107" s="1783"/>
      <c r="BA1107" s="1783"/>
      <c r="BB1107" s="1783"/>
      <c r="BC1107" s="1783"/>
      <c r="BD1107" s="1783"/>
      <c r="BE1107" s="1783"/>
      <c r="BF1107" s="1783"/>
      <c r="BG1107" s="1783"/>
      <c r="BH1107" s="1783"/>
      <c r="BI1107" s="1783"/>
    </row>
    <row r="1108" spans="1:61">
      <c r="A1108" s="1819"/>
      <c r="B1108" s="1818"/>
      <c r="C1108" s="1818"/>
      <c r="D1108" s="1818"/>
      <c r="E1108" s="1818"/>
      <c r="F1108" s="1818"/>
      <c r="G1108" s="1818"/>
      <c r="H1108" s="1783"/>
      <c r="I1108" s="1783"/>
      <c r="J1108" s="1783"/>
      <c r="K1108" s="1783"/>
      <c r="L1108" s="1783"/>
      <c r="M1108" s="1783"/>
      <c r="N1108" s="1783"/>
      <c r="O1108" s="1783"/>
      <c r="P1108" s="1783"/>
      <c r="Q1108" s="1783"/>
      <c r="R1108" s="1783"/>
      <c r="S1108" s="1783"/>
      <c r="T1108" s="1783"/>
      <c r="U1108" s="1783"/>
      <c r="V1108" s="1783"/>
      <c r="W1108" s="1783"/>
      <c r="X1108" s="1783"/>
      <c r="Y1108" s="1783"/>
      <c r="Z1108" s="1783"/>
      <c r="AA1108" s="1783"/>
      <c r="AB1108" s="1783"/>
      <c r="AC1108" s="1783"/>
      <c r="AD1108" s="1783"/>
      <c r="AE1108" s="1783"/>
      <c r="AF1108" s="1783"/>
      <c r="AG1108" s="1783"/>
      <c r="AH1108" s="1783"/>
      <c r="AI1108" s="1783"/>
      <c r="AJ1108" s="1783"/>
      <c r="AK1108" s="1783"/>
      <c r="AL1108" s="1783"/>
      <c r="AM1108" s="1783"/>
      <c r="AN1108" s="1783"/>
      <c r="AO1108" s="1783"/>
      <c r="AP1108" s="1783"/>
      <c r="AQ1108" s="1783"/>
      <c r="AR1108" s="1783"/>
      <c r="AS1108" s="1783"/>
      <c r="AT1108" s="1783"/>
      <c r="AU1108" s="1783"/>
      <c r="AV1108" s="1783"/>
      <c r="AW1108" s="1783"/>
      <c r="AX1108" s="1783"/>
      <c r="AY1108" s="1783"/>
      <c r="AZ1108" s="1783"/>
      <c r="BA1108" s="1783"/>
      <c r="BB1108" s="1783"/>
      <c r="BC1108" s="1783"/>
      <c r="BD1108" s="1783"/>
      <c r="BE1108" s="1783"/>
      <c r="BF1108" s="1783"/>
      <c r="BG1108" s="1783"/>
      <c r="BH1108" s="1783"/>
      <c r="BI1108" s="1783"/>
    </row>
    <row r="1109" spans="1:61">
      <c r="A1109" s="1819"/>
      <c r="B1109" s="1818"/>
      <c r="C1109" s="1818"/>
      <c r="D1109" s="1818"/>
      <c r="E1109" s="1818"/>
      <c r="F1109" s="1818"/>
      <c r="G1109" s="1818"/>
      <c r="H1109" s="1783"/>
      <c r="I1109" s="1783"/>
      <c r="J1109" s="1783"/>
      <c r="K1109" s="1783"/>
      <c r="L1109" s="1783"/>
      <c r="M1109" s="1783"/>
      <c r="N1109" s="1783"/>
      <c r="O1109" s="1783"/>
      <c r="P1109" s="1783"/>
      <c r="Q1109" s="1783"/>
      <c r="R1109" s="1783"/>
      <c r="S1109" s="1783"/>
      <c r="T1109" s="1783"/>
      <c r="U1109" s="1783"/>
      <c r="V1109" s="1783"/>
      <c r="W1109" s="1783"/>
      <c r="X1109" s="1783"/>
      <c r="Y1109" s="1783"/>
      <c r="Z1109" s="1783"/>
      <c r="AA1109" s="1783"/>
      <c r="AB1109" s="1783"/>
      <c r="AC1109" s="1783"/>
      <c r="AD1109" s="1783"/>
      <c r="AE1109" s="1783"/>
      <c r="AF1109" s="1783"/>
      <c r="AG1109" s="1783"/>
      <c r="AH1109" s="1783"/>
      <c r="AI1109" s="1783"/>
      <c r="AJ1109" s="1783"/>
      <c r="AK1109" s="1783"/>
      <c r="AL1109" s="1783"/>
      <c r="AM1109" s="1783"/>
      <c r="AN1109" s="1783"/>
      <c r="AO1109" s="1783"/>
      <c r="AP1109" s="1783"/>
      <c r="AQ1109" s="1783"/>
      <c r="AR1109" s="1783"/>
      <c r="AS1109" s="1783"/>
      <c r="AT1109" s="1783"/>
      <c r="AU1109" s="1783"/>
      <c r="AV1109" s="1783"/>
      <c r="AW1109" s="1783"/>
      <c r="AX1109" s="1783"/>
      <c r="AY1109" s="1783"/>
      <c r="AZ1109" s="1783"/>
      <c r="BA1109" s="1783"/>
      <c r="BB1109" s="1783"/>
      <c r="BC1109" s="1783"/>
      <c r="BD1109" s="1783"/>
      <c r="BE1109" s="1783"/>
      <c r="BF1109" s="1783"/>
      <c r="BG1109" s="1783"/>
      <c r="BH1109" s="1783"/>
      <c r="BI1109" s="1783"/>
    </row>
    <row r="1110" spans="1:61">
      <c r="A1110" s="1819"/>
      <c r="B1110" s="1818"/>
      <c r="C1110" s="1818"/>
      <c r="D1110" s="1818"/>
      <c r="E1110" s="1818"/>
      <c r="F1110" s="1818"/>
      <c r="G1110" s="1818"/>
      <c r="H1110" s="1783"/>
      <c r="I1110" s="1783"/>
      <c r="J1110" s="1783"/>
      <c r="K1110" s="1783"/>
      <c r="L1110" s="1783"/>
      <c r="M1110" s="1783"/>
      <c r="N1110" s="1783"/>
      <c r="O1110" s="1783"/>
      <c r="P1110" s="1783"/>
      <c r="Q1110" s="1783"/>
      <c r="R1110" s="1783"/>
      <c r="S1110" s="1783"/>
      <c r="T1110" s="1783"/>
      <c r="U1110" s="1783"/>
      <c r="V1110" s="1783"/>
      <c r="W1110" s="1783"/>
      <c r="X1110" s="1783"/>
      <c r="Y1110" s="1783"/>
      <c r="Z1110" s="1783"/>
      <c r="AA1110" s="1783"/>
      <c r="AB1110" s="1783"/>
      <c r="AC1110" s="1783"/>
      <c r="AD1110" s="1783"/>
      <c r="AE1110" s="1783"/>
      <c r="AF1110" s="1783"/>
      <c r="AG1110" s="1783"/>
      <c r="AH1110" s="1783"/>
      <c r="AI1110" s="1783"/>
      <c r="AJ1110" s="1783"/>
      <c r="AK1110" s="1783"/>
      <c r="AL1110" s="1783"/>
      <c r="AM1110" s="1783"/>
      <c r="AN1110" s="1783"/>
      <c r="AO1110" s="1783"/>
      <c r="AP1110" s="1783"/>
      <c r="AQ1110" s="1783"/>
      <c r="AR1110" s="1783"/>
      <c r="AS1110" s="1783"/>
      <c r="AT1110" s="1783"/>
      <c r="AU1110" s="1783"/>
      <c r="AV1110" s="1783"/>
      <c r="AW1110" s="1783"/>
      <c r="AX1110" s="1783"/>
      <c r="AY1110" s="1783"/>
      <c r="AZ1110" s="1783"/>
      <c r="BA1110" s="1783"/>
      <c r="BB1110" s="1783"/>
      <c r="BC1110" s="1783"/>
      <c r="BD1110" s="1783"/>
      <c r="BE1110" s="1783"/>
      <c r="BF1110" s="1783"/>
      <c r="BG1110" s="1783"/>
      <c r="BH1110" s="1783"/>
      <c r="BI1110" s="1783"/>
    </row>
    <row r="1111" spans="1:61">
      <c r="A1111" s="1819"/>
      <c r="B1111" s="1818"/>
      <c r="C1111" s="1818"/>
      <c r="D1111" s="1818"/>
      <c r="E1111" s="1818"/>
      <c r="F1111" s="1818"/>
      <c r="G1111" s="1818"/>
      <c r="H1111" s="1783"/>
      <c r="I1111" s="1783"/>
      <c r="J1111" s="1783"/>
      <c r="K1111" s="1783"/>
      <c r="L1111" s="1783"/>
      <c r="M1111" s="1783"/>
      <c r="N1111" s="1783"/>
      <c r="O1111" s="1783"/>
      <c r="P1111" s="1783"/>
      <c r="Q1111" s="1783"/>
      <c r="R1111" s="1783"/>
      <c r="S1111" s="1783"/>
      <c r="T1111" s="1783"/>
      <c r="U1111" s="1783"/>
      <c r="V1111" s="1783"/>
      <c r="W1111" s="1783"/>
      <c r="X1111" s="1783"/>
      <c r="Y1111" s="1783"/>
      <c r="Z1111" s="1783"/>
      <c r="AA1111" s="1783"/>
      <c r="AB1111" s="1783"/>
      <c r="AC1111" s="1783"/>
      <c r="AD1111" s="1783"/>
      <c r="AE1111" s="1783"/>
      <c r="AF1111" s="1783"/>
      <c r="AG1111" s="1783"/>
      <c r="AH1111" s="1783"/>
      <c r="AI1111" s="1783"/>
      <c r="AJ1111" s="1783"/>
      <c r="AK1111" s="1783"/>
      <c r="AL1111" s="1783"/>
      <c r="AM1111" s="1783"/>
      <c r="AN1111" s="1783"/>
      <c r="AO1111" s="1783"/>
      <c r="AP1111" s="1783"/>
      <c r="AQ1111" s="1783"/>
      <c r="AR1111" s="1783"/>
      <c r="AS1111" s="1783"/>
      <c r="AT1111" s="1783"/>
      <c r="AU1111" s="1783"/>
      <c r="AV1111" s="1783"/>
      <c r="AW1111" s="1783"/>
      <c r="AX1111" s="1783"/>
      <c r="AY1111" s="1783"/>
      <c r="AZ1111" s="1783"/>
      <c r="BA1111" s="1783"/>
      <c r="BB1111" s="1783"/>
      <c r="BC1111" s="1783"/>
      <c r="BD1111" s="1783"/>
      <c r="BE1111" s="1783"/>
      <c r="BF1111" s="1783"/>
      <c r="BG1111" s="1783"/>
      <c r="BH1111" s="1783"/>
      <c r="BI1111" s="1783"/>
    </row>
    <row r="1112" spans="1:61">
      <c r="A1112" s="1819"/>
      <c r="B1112" s="1818"/>
      <c r="C1112" s="1818"/>
      <c r="D1112" s="1818"/>
      <c r="E1112" s="1818"/>
      <c r="F1112" s="1818"/>
      <c r="G1112" s="1818"/>
      <c r="H1112" s="1783"/>
      <c r="I1112" s="1783"/>
      <c r="J1112" s="1783"/>
      <c r="K1112" s="1783"/>
      <c r="L1112" s="1783"/>
      <c r="M1112" s="1783"/>
      <c r="N1112" s="1783"/>
      <c r="O1112" s="1783"/>
      <c r="P1112" s="1783"/>
      <c r="Q1112" s="1783"/>
      <c r="R1112" s="1783"/>
      <c r="S1112" s="1783"/>
      <c r="T1112" s="1783"/>
      <c r="U1112" s="1783"/>
      <c r="V1112" s="1783"/>
      <c r="W1112" s="1783"/>
      <c r="X1112" s="1783"/>
      <c r="Y1112" s="1783"/>
      <c r="Z1112" s="1783"/>
      <c r="AA1112" s="1783"/>
      <c r="AB1112" s="1783"/>
      <c r="AC1112" s="1783"/>
      <c r="AD1112" s="1783"/>
      <c r="AE1112" s="1783"/>
      <c r="AF1112" s="1783"/>
      <c r="AG1112" s="1783"/>
      <c r="AH1112" s="1783"/>
      <c r="AI1112" s="1783"/>
      <c r="AJ1112" s="1783"/>
      <c r="AK1112" s="1783"/>
      <c r="AL1112" s="1783"/>
      <c r="AM1112" s="1783"/>
      <c r="AN1112" s="1783"/>
      <c r="AO1112" s="1783"/>
      <c r="AP1112" s="1783"/>
      <c r="AQ1112" s="1783"/>
      <c r="AR1112" s="1783"/>
      <c r="AS1112" s="1783"/>
      <c r="AT1112" s="1783"/>
      <c r="AU1112" s="1783"/>
      <c r="AV1112" s="1783"/>
      <c r="AW1112" s="1783"/>
      <c r="AX1112" s="1783"/>
      <c r="AY1112" s="1783"/>
      <c r="AZ1112" s="1783"/>
      <c r="BA1112" s="1783"/>
      <c r="BB1112" s="1783"/>
      <c r="BC1112" s="1783"/>
      <c r="BD1112" s="1783"/>
      <c r="BE1112" s="1783"/>
      <c r="BF1112" s="1783"/>
      <c r="BG1112" s="1783"/>
      <c r="BH1112" s="1783"/>
      <c r="BI1112" s="1783"/>
    </row>
    <row r="1113" spans="1:61">
      <c r="A1113" s="1819"/>
      <c r="B1113" s="1818"/>
      <c r="C1113" s="1818"/>
      <c r="D1113" s="1818"/>
      <c r="E1113" s="1818"/>
      <c r="F1113" s="1818"/>
      <c r="G1113" s="1818"/>
      <c r="H1113" s="1783"/>
      <c r="I1113" s="1783"/>
      <c r="J1113" s="1783"/>
      <c r="K1113" s="1783"/>
      <c r="L1113" s="1783"/>
      <c r="M1113" s="1783"/>
      <c r="N1113" s="1783"/>
      <c r="O1113" s="1783"/>
      <c r="P1113" s="1783"/>
      <c r="Q1113" s="1783"/>
      <c r="R1113" s="1783"/>
      <c r="S1113" s="1783"/>
      <c r="T1113" s="1783"/>
      <c r="U1113" s="1783"/>
      <c r="V1113" s="1783"/>
      <c r="W1113" s="1783"/>
      <c r="X1113" s="1783"/>
      <c r="Y1113" s="1783"/>
      <c r="Z1113" s="1783"/>
      <c r="AA1113" s="1783"/>
      <c r="AB1113" s="1783"/>
      <c r="AC1113" s="1783"/>
      <c r="AD1113" s="1783"/>
      <c r="AE1113" s="1783"/>
      <c r="AF1113" s="1783"/>
      <c r="AG1113" s="1783"/>
      <c r="AH1113" s="1783"/>
      <c r="AI1113" s="1783"/>
      <c r="AJ1113" s="1783"/>
      <c r="AK1113" s="1783"/>
      <c r="AL1113" s="1783"/>
      <c r="AM1113" s="1783"/>
      <c r="AN1113" s="1783"/>
      <c r="AO1113" s="1783"/>
      <c r="AP1113" s="1783"/>
      <c r="AQ1113" s="1783"/>
      <c r="AR1113" s="1783"/>
      <c r="AS1113" s="1783"/>
      <c r="AT1113" s="1783"/>
      <c r="AU1113" s="1783"/>
      <c r="AV1113" s="1783"/>
      <c r="AW1113" s="1783"/>
      <c r="AX1113" s="1783"/>
      <c r="AY1113" s="1783"/>
      <c r="AZ1113" s="1783"/>
      <c r="BA1113" s="1783"/>
      <c r="BB1113" s="1783"/>
      <c r="BC1113" s="1783"/>
      <c r="BD1113" s="1783"/>
      <c r="BE1113" s="1783"/>
      <c r="BF1113" s="1783"/>
      <c r="BG1113" s="1783"/>
      <c r="BH1113" s="1783"/>
      <c r="BI1113" s="1783"/>
    </row>
    <row r="1114" spans="1:61">
      <c r="A1114" s="1819"/>
      <c r="B1114" s="1818"/>
      <c r="C1114" s="1818"/>
      <c r="D1114" s="1818"/>
      <c r="E1114" s="1818"/>
      <c r="F1114" s="1818"/>
      <c r="G1114" s="1818"/>
      <c r="H1114" s="1783"/>
      <c r="I1114" s="1783"/>
      <c r="J1114" s="1783"/>
      <c r="K1114" s="1783"/>
      <c r="L1114" s="1783"/>
      <c r="M1114" s="1783"/>
      <c r="N1114" s="1783"/>
      <c r="O1114" s="1783"/>
      <c r="P1114" s="1783"/>
      <c r="Q1114" s="1783"/>
      <c r="R1114" s="1783"/>
      <c r="S1114" s="1783"/>
      <c r="T1114" s="1783"/>
      <c r="U1114" s="1783"/>
      <c r="V1114" s="1783"/>
      <c r="W1114" s="1783"/>
      <c r="X1114" s="1783"/>
      <c r="Y1114" s="1783"/>
      <c r="Z1114" s="1783"/>
      <c r="AA1114" s="1783"/>
      <c r="AB1114" s="1783"/>
      <c r="AC1114" s="1783"/>
      <c r="AD1114" s="1783"/>
      <c r="AE1114" s="1783"/>
      <c r="AF1114" s="1783"/>
      <c r="AG1114" s="1783"/>
      <c r="AH1114" s="1783"/>
      <c r="AI1114" s="1783"/>
      <c r="AJ1114" s="1783"/>
      <c r="AK1114" s="1783"/>
      <c r="AL1114" s="1783"/>
      <c r="AM1114" s="1783"/>
      <c r="AN1114" s="1783"/>
      <c r="AO1114" s="1783"/>
      <c r="AP1114" s="1783"/>
      <c r="AQ1114" s="1783"/>
      <c r="AR1114" s="1783"/>
      <c r="AS1114" s="1783"/>
      <c r="AT1114" s="1783"/>
      <c r="AU1114" s="1783"/>
      <c r="AV1114" s="1783"/>
      <c r="AW1114" s="1783"/>
      <c r="AX1114" s="1783"/>
      <c r="AY1114" s="1783"/>
      <c r="AZ1114" s="1783"/>
      <c r="BA1114" s="1783"/>
      <c r="BB1114" s="1783"/>
      <c r="BC1114" s="1783"/>
      <c r="BD1114" s="1783"/>
      <c r="BE1114" s="1783"/>
      <c r="BF1114" s="1783"/>
      <c r="BG1114" s="1783"/>
      <c r="BH1114" s="1783"/>
      <c r="BI1114" s="1783"/>
    </row>
    <row r="1115" spans="1:61">
      <c r="A1115" s="1819"/>
      <c r="B1115" s="1818"/>
      <c r="C1115" s="1818"/>
      <c r="D1115" s="1818"/>
      <c r="E1115" s="1818"/>
      <c r="F1115" s="1818"/>
      <c r="G1115" s="1818"/>
      <c r="H1115" s="1783"/>
      <c r="I1115" s="1783"/>
      <c r="J1115" s="1783"/>
      <c r="K1115" s="1783"/>
      <c r="L1115" s="1783"/>
      <c r="M1115" s="1783"/>
      <c r="N1115" s="1783"/>
      <c r="O1115" s="1783"/>
      <c r="P1115" s="1783"/>
      <c r="Q1115" s="1783"/>
      <c r="R1115" s="1783"/>
      <c r="S1115" s="1783"/>
      <c r="T1115" s="1783"/>
      <c r="U1115" s="1783"/>
      <c r="V1115" s="1783"/>
      <c r="W1115" s="1783"/>
      <c r="X1115" s="1783"/>
      <c r="Y1115" s="1783"/>
      <c r="Z1115" s="1783"/>
      <c r="AA1115" s="1783"/>
      <c r="AB1115" s="1783"/>
      <c r="AC1115" s="1783"/>
      <c r="AD1115" s="1783"/>
      <c r="AE1115" s="1783"/>
      <c r="AF1115" s="1783"/>
      <c r="AG1115" s="1783"/>
      <c r="AH1115" s="1783"/>
      <c r="AI1115" s="1783"/>
      <c r="AJ1115" s="1783"/>
      <c r="AK1115" s="1783"/>
      <c r="AL1115" s="1783"/>
      <c r="AM1115" s="1783"/>
      <c r="AN1115" s="1783"/>
      <c r="AO1115" s="1783"/>
      <c r="AP1115" s="1783"/>
      <c r="AQ1115" s="1783"/>
      <c r="AR1115" s="1783"/>
      <c r="AS1115" s="1783"/>
      <c r="AT1115" s="1783"/>
      <c r="AU1115" s="1783"/>
      <c r="AV1115" s="1783"/>
      <c r="AW1115" s="1783"/>
      <c r="AX1115" s="1783"/>
      <c r="AY1115" s="1783"/>
      <c r="AZ1115" s="1783"/>
      <c r="BA1115" s="1783"/>
      <c r="BB1115" s="1783"/>
      <c r="BC1115" s="1783"/>
      <c r="BD1115" s="1783"/>
      <c r="BE1115" s="1783"/>
      <c r="BF1115" s="1783"/>
      <c r="BG1115" s="1783"/>
      <c r="BH1115" s="1783"/>
      <c r="BI1115" s="1783"/>
    </row>
    <row r="1116" spans="1:61">
      <c r="A1116" s="1819"/>
      <c r="B1116" s="1818"/>
      <c r="C1116" s="1818"/>
      <c r="D1116" s="1818"/>
      <c r="E1116" s="1818"/>
      <c r="F1116" s="1818"/>
      <c r="G1116" s="1818"/>
      <c r="H1116" s="1783"/>
      <c r="I1116" s="1783"/>
      <c r="J1116" s="1783"/>
      <c r="K1116" s="1783"/>
      <c r="L1116" s="1783"/>
      <c r="M1116" s="1783"/>
      <c r="N1116" s="1783"/>
      <c r="O1116" s="1783"/>
      <c r="P1116" s="1783"/>
      <c r="Q1116" s="1783"/>
      <c r="R1116" s="1783"/>
      <c r="S1116" s="1783"/>
      <c r="T1116" s="1783"/>
      <c r="U1116" s="1783"/>
      <c r="V1116" s="1783"/>
      <c r="W1116" s="1783"/>
      <c r="X1116" s="1783"/>
      <c r="Y1116" s="1783"/>
      <c r="Z1116" s="1783"/>
      <c r="AA1116" s="1783"/>
      <c r="AB1116" s="1783"/>
      <c r="AC1116" s="1783"/>
      <c r="AD1116" s="1783"/>
      <c r="AE1116" s="1783"/>
      <c r="AF1116" s="1783"/>
      <c r="AG1116" s="1783"/>
      <c r="AH1116" s="1783"/>
      <c r="AI1116" s="1783"/>
      <c r="AJ1116" s="1783"/>
      <c r="AK1116" s="1783"/>
      <c r="AL1116" s="1783"/>
      <c r="AM1116" s="1783"/>
      <c r="AN1116" s="1783"/>
      <c r="AO1116" s="1783"/>
      <c r="AP1116" s="1783"/>
      <c r="AQ1116" s="1783"/>
      <c r="AR1116" s="1783"/>
      <c r="AS1116" s="1783"/>
      <c r="AT1116" s="1783"/>
      <c r="AU1116" s="1783"/>
      <c r="AV1116" s="1783"/>
      <c r="AW1116" s="1783"/>
      <c r="AX1116" s="1783"/>
      <c r="AY1116" s="1783"/>
      <c r="AZ1116" s="1783"/>
      <c r="BA1116" s="1783"/>
      <c r="BB1116" s="1783"/>
      <c r="BC1116" s="1783"/>
      <c r="BD1116" s="1783"/>
      <c r="BE1116" s="1783"/>
      <c r="BF1116" s="1783"/>
      <c r="BG1116" s="1783"/>
      <c r="BH1116" s="1783"/>
      <c r="BI1116" s="1783"/>
    </row>
    <row r="1117" spans="1:61">
      <c r="A1117" s="1819"/>
      <c r="B1117" s="1818"/>
      <c r="C1117" s="1818"/>
      <c r="D1117" s="1818"/>
      <c r="E1117" s="1818"/>
      <c r="F1117" s="1818"/>
      <c r="G1117" s="1818"/>
      <c r="H1117" s="1783"/>
      <c r="I1117" s="1783"/>
      <c r="J1117" s="1783"/>
      <c r="K1117" s="1783"/>
      <c r="L1117" s="1783"/>
      <c r="M1117" s="1783"/>
      <c r="N1117" s="1783"/>
      <c r="O1117" s="1783"/>
      <c r="P1117" s="1783"/>
      <c r="Q1117" s="1783"/>
      <c r="R1117" s="1783"/>
      <c r="S1117" s="1783"/>
      <c r="T1117" s="1783"/>
      <c r="U1117" s="1783"/>
      <c r="V1117" s="1783"/>
      <c r="W1117" s="1783"/>
      <c r="X1117" s="1783"/>
      <c r="Y1117" s="1783"/>
      <c r="Z1117" s="1783"/>
      <c r="AA1117" s="1783"/>
      <c r="AB1117" s="1783"/>
      <c r="AC1117" s="1783"/>
      <c r="AD1117" s="1783"/>
      <c r="AE1117" s="1783"/>
      <c r="AF1117" s="1783"/>
      <c r="AG1117" s="1783"/>
      <c r="AH1117" s="1783"/>
      <c r="AI1117" s="1783"/>
      <c r="AJ1117" s="1783"/>
      <c r="AK1117" s="1783"/>
      <c r="AL1117" s="1783"/>
      <c r="AM1117" s="1783"/>
      <c r="AN1117" s="1783"/>
      <c r="AO1117" s="1783"/>
      <c r="AP1117" s="1783"/>
      <c r="AQ1117" s="1783"/>
      <c r="AR1117" s="1783"/>
      <c r="AS1117" s="1783"/>
      <c r="AT1117" s="1783"/>
      <c r="AU1117" s="1783"/>
      <c r="AV1117" s="1783"/>
      <c r="AW1117" s="1783"/>
      <c r="AX1117" s="1783"/>
      <c r="AY1117" s="1783"/>
      <c r="AZ1117" s="1783"/>
      <c r="BA1117" s="1783"/>
      <c r="BB1117" s="1783"/>
      <c r="BC1117" s="1783"/>
      <c r="BD1117" s="1783"/>
      <c r="BE1117" s="1783"/>
      <c r="BF1117" s="1783"/>
      <c r="BG1117" s="1783"/>
      <c r="BH1117" s="1783"/>
      <c r="BI1117" s="1783"/>
    </row>
    <row r="1118" spans="1:61">
      <c r="A1118" s="1819"/>
      <c r="B1118" s="1818"/>
      <c r="C1118" s="1818"/>
      <c r="D1118" s="1818"/>
      <c r="E1118" s="1818"/>
      <c r="F1118" s="1818"/>
      <c r="G1118" s="1818"/>
      <c r="H1118" s="1783"/>
      <c r="I1118" s="1783"/>
      <c r="J1118" s="1783"/>
      <c r="K1118" s="1783"/>
      <c r="L1118" s="1783"/>
      <c r="M1118" s="1783"/>
      <c r="N1118" s="1783"/>
      <c r="O1118" s="1783"/>
      <c r="P1118" s="1783"/>
      <c r="Q1118" s="1783"/>
      <c r="R1118" s="1783"/>
      <c r="S1118" s="1783"/>
      <c r="T1118" s="1783"/>
      <c r="U1118" s="1783"/>
      <c r="V1118" s="1783"/>
      <c r="W1118" s="1783"/>
      <c r="X1118" s="1783"/>
      <c r="Y1118" s="1783"/>
      <c r="Z1118" s="1783"/>
      <c r="AA1118" s="1783"/>
      <c r="AB1118" s="1783"/>
      <c r="AC1118" s="1783"/>
      <c r="AD1118" s="1783"/>
      <c r="AE1118" s="1783"/>
      <c r="AF1118" s="1783"/>
      <c r="AG1118" s="1783"/>
      <c r="AH1118" s="1783"/>
      <c r="AI1118" s="1783"/>
      <c r="AJ1118" s="1783"/>
      <c r="AK1118" s="1783"/>
      <c r="AL1118" s="1783"/>
      <c r="AM1118" s="1783"/>
      <c r="AN1118" s="1783"/>
      <c r="AO1118" s="1783"/>
      <c r="AP1118" s="1783"/>
      <c r="AQ1118" s="1783"/>
      <c r="AR1118" s="1783"/>
      <c r="AS1118" s="1783"/>
      <c r="AT1118" s="1783"/>
      <c r="AU1118" s="1783"/>
      <c r="AV1118" s="1783"/>
      <c r="AW1118" s="1783"/>
      <c r="AX1118" s="1783"/>
      <c r="AY1118" s="1783"/>
      <c r="AZ1118" s="1783"/>
      <c r="BA1118" s="1783"/>
      <c r="BB1118" s="1783"/>
      <c r="BC1118" s="1783"/>
      <c r="BD1118" s="1783"/>
      <c r="BE1118" s="1783"/>
      <c r="BF1118" s="1783"/>
      <c r="BG1118" s="1783"/>
      <c r="BH1118" s="1783"/>
      <c r="BI1118" s="1783"/>
    </row>
    <row r="1119" spans="1:61">
      <c r="A1119" s="1819"/>
      <c r="B1119" s="1818"/>
      <c r="C1119" s="1818"/>
      <c r="D1119" s="1818"/>
      <c r="E1119" s="1818"/>
      <c r="F1119" s="1818"/>
      <c r="G1119" s="1818"/>
      <c r="H1119" s="1783"/>
      <c r="I1119" s="1783"/>
      <c r="J1119" s="1783"/>
      <c r="K1119" s="1783"/>
      <c r="L1119" s="1783"/>
      <c r="M1119" s="1783"/>
      <c r="N1119" s="1783"/>
      <c r="O1119" s="1783"/>
      <c r="P1119" s="1783"/>
      <c r="Q1119" s="1783"/>
      <c r="R1119" s="1783"/>
      <c r="S1119" s="1783"/>
      <c r="T1119" s="1783"/>
      <c r="U1119" s="1783"/>
      <c r="V1119" s="1783"/>
      <c r="W1119" s="1783"/>
      <c r="X1119" s="1783"/>
      <c r="Y1119" s="1783"/>
      <c r="Z1119" s="1783"/>
      <c r="AA1119" s="1783"/>
      <c r="AB1119" s="1783"/>
      <c r="AC1119" s="1783"/>
      <c r="AD1119" s="1783"/>
      <c r="AE1119" s="1783"/>
      <c r="AF1119" s="1783"/>
      <c r="AG1119" s="1783"/>
      <c r="AH1119" s="1783"/>
      <c r="AI1119" s="1783"/>
      <c r="AJ1119" s="1783"/>
      <c r="AK1119" s="1783"/>
      <c r="AL1119" s="1783"/>
      <c r="AM1119" s="1783"/>
      <c r="AN1119" s="1783"/>
      <c r="AO1119" s="1783"/>
      <c r="AP1119" s="1783"/>
      <c r="AQ1119" s="1783"/>
      <c r="AR1119" s="1783"/>
      <c r="AS1119" s="1783"/>
      <c r="AT1119" s="1783"/>
      <c r="AU1119" s="1783"/>
      <c r="AV1119" s="1783"/>
      <c r="AW1119" s="1783"/>
      <c r="AX1119" s="1783"/>
      <c r="AY1119" s="1783"/>
      <c r="AZ1119" s="1783"/>
      <c r="BA1119" s="1783"/>
      <c r="BB1119" s="1783"/>
      <c r="BC1119" s="1783"/>
      <c r="BD1119" s="1783"/>
      <c r="BE1119" s="1783"/>
      <c r="BF1119" s="1783"/>
      <c r="BG1119" s="1783"/>
      <c r="BH1119" s="1783"/>
      <c r="BI1119" s="1783"/>
    </row>
    <row r="1120" spans="1:61">
      <c r="A1120" s="1819"/>
      <c r="B1120" s="1818"/>
      <c r="C1120" s="1818"/>
      <c r="D1120" s="1818"/>
      <c r="E1120" s="1818"/>
      <c r="F1120" s="1818"/>
      <c r="G1120" s="1818"/>
      <c r="H1120" s="1783"/>
      <c r="I1120" s="1783"/>
      <c r="J1120" s="1783"/>
      <c r="K1120" s="1783"/>
      <c r="L1120" s="1783"/>
      <c r="M1120" s="1783"/>
      <c r="N1120" s="1783"/>
      <c r="O1120" s="1783"/>
      <c r="P1120" s="1783"/>
      <c r="Q1120" s="1783"/>
      <c r="R1120" s="1783"/>
      <c r="S1120" s="1783"/>
      <c r="T1120" s="1783"/>
      <c r="U1120" s="1783"/>
      <c r="V1120" s="1783"/>
      <c r="W1120" s="1783"/>
      <c r="X1120" s="1783"/>
      <c r="Y1120" s="1783"/>
      <c r="Z1120" s="1783"/>
      <c r="AA1120" s="1783"/>
      <c r="AB1120" s="1783"/>
      <c r="AC1120" s="1783"/>
      <c r="AD1120" s="1783"/>
      <c r="AE1120" s="1783"/>
      <c r="AF1120" s="1783"/>
      <c r="AG1120" s="1783"/>
      <c r="AH1120" s="1783"/>
      <c r="AI1120" s="1783"/>
      <c r="AJ1120" s="1783"/>
      <c r="AK1120" s="1783"/>
      <c r="AL1120" s="1783"/>
      <c r="AM1120" s="1783"/>
      <c r="AN1120" s="1783"/>
      <c r="AO1120" s="1783"/>
      <c r="AP1120" s="1783"/>
      <c r="AQ1120" s="1783"/>
      <c r="AR1120" s="1783"/>
      <c r="AS1120" s="1783"/>
      <c r="AT1120" s="1783"/>
      <c r="AU1120" s="1783"/>
      <c r="AV1120" s="1783"/>
      <c r="AW1120" s="1783"/>
      <c r="AX1120" s="1783"/>
      <c r="AY1120" s="1783"/>
      <c r="AZ1120" s="1783"/>
      <c r="BA1120" s="1783"/>
      <c r="BB1120" s="1783"/>
      <c r="BC1120" s="1783"/>
      <c r="BD1120" s="1783"/>
      <c r="BE1120" s="1783"/>
      <c r="BF1120" s="1783"/>
      <c r="BG1120" s="1783"/>
      <c r="BH1120" s="1783"/>
      <c r="BI1120" s="1783"/>
    </row>
    <row r="1121" spans="1:61">
      <c r="A1121" s="1819"/>
      <c r="B1121" s="1818"/>
      <c r="C1121" s="1818"/>
      <c r="D1121" s="1818"/>
      <c r="E1121" s="1818"/>
      <c r="F1121" s="1818"/>
      <c r="G1121" s="1818"/>
      <c r="H1121" s="1783"/>
      <c r="I1121" s="1783"/>
      <c r="J1121" s="1783"/>
      <c r="K1121" s="1783"/>
      <c r="L1121" s="1783"/>
      <c r="M1121" s="1783"/>
      <c r="N1121" s="1783"/>
      <c r="O1121" s="1783"/>
      <c r="P1121" s="1783"/>
      <c r="Q1121" s="1783"/>
      <c r="R1121" s="1783"/>
      <c r="S1121" s="1783"/>
      <c r="T1121" s="1783"/>
      <c r="U1121" s="1783"/>
      <c r="V1121" s="1783"/>
      <c r="W1121" s="1783"/>
      <c r="X1121" s="1783"/>
      <c r="Y1121" s="1783"/>
      <c r="Z1121" s="1783"/>
      <c r="AA1121" s="1783"/>
      <c r="AB1121" s="1783"/>
      <c r="AC1121" s="1783"/>
      <c r="AD1121" s="1783"/>
      <c r="AE1121" s="1783"/>
      <c r="AF1121" s="1783"/>
      <c r="AG1121" s="1783"/>
      <c r="AH1121" s="1783"/>
      <c r="AI1121" s="1783"/>
      <c r="AJ1121" s="1783"/>
      <c r="AK1121" s="1783"/>
      <c r="AL1121" s="1783"/>
      <c r="AM1121" s="1783"/>
      <c r="AN1121" s="1783"/>
      <c r="AO1121" s="1783"/>
      <c r="AP1121" s="1783"/>
      <c r="AQ1121" s="1783"/>
      <c r="AR1121" s="1783"/>
      <c r="AS1121" s="1783"/>
      <c r="AT1121" s="1783"/>
      <c r="AU1121" s="1783"/>
      <c r="AV1121" s="1783"/>
      <c r="AW1121" s="1783"/>
      <c r="AX1121" s="1783"/>
      <c r="AY1121" s="1783"/>
      <c r="AZ1121" s="1783"/>
      <c r="BA1121" s="1783"/>
      <c r="BB1121" s="1783"/>
      <c r="BC1121" s="1783"/>
      <c r="BD1121" s="1783"/>
      <c r="BE1121" s="1783"/>
      <c r="BF1121" s="1783"/>
      <c r="BG1121" s="1783"/>
      <c r="BH1121" s="1783"/>
      <c r="BI1121" s="1783"/>
    </row>
    <row r="1122" spans="1:61">
      <c r="A1122" s="1819"/>
      <c r="B1122" s="1818"/>
      <c r="C1122" s="1818"/>
      <c r="D1122" s="1818"/>
      <c r="E1122" s="1818"/>
      <c r="F1122" s="1818"/>
      <c r="G1122" s="1818"/>
      <c r="H1122" s="1783"/>
      <c r="I1122" s="1783"/>
      <c r="J1122" s="1783"/>
      <c r="K1122" s="1783"/>
      <c r="L1122" s="1783"/>
      <c r="M1122" s="1783"/>
      <c r="N1122" s="1783"/>
      <c r="O1122" s="1783"/>
      <c r="P1122" s="1783"/>
      <c r="Q1122" s="1783"/>
      <c r="R1122" s="1783"/>
      <c r="S1122" s="1783"/>
      <c r="T1122" s="1783"/>
      <c r="U1122" s="1783"/>
      <c r="V1122" s="1783"/>
      <c r="W1122" s="1783"/>
      <c r="X1122" s="1783"/>
      <c r="Y1122" s="1783"/>
      <c r="Z1122" s="1783"/>
      <c r="AA1122" s="1783"/>
      <c r="AB1122" s="1783"/>
      <c r="AC1122" s="1783"/>
      <c r="AD1122" s="1783"/>
      <c r="AE1122" s="1783"/>
      <c r="AF1122" s="1783"/>
      <c r="AG1122" s="1783"/>
      <c r="AH1122" s="1783"/>
      <c r="AI1122" s="1783"/>
      <c r="AJ1122" s="1783"/>
      <c r="AK1122" s="1783"/>
      <c r="AL1122" s="1783"/>
      <c r="AM1122" s="1783"/>
      <c r="AN1122" s="1783"/>
      <c r="AO1122" s="1783"/>
      <c r="AP1122" s="1783"/>
      <c r="AQ1122" s="1783"/>
      <c r="AR1122" s="1783"/>
      <c r="AS1122" s="1783"/>
      <c r="AT1122" s="1783"/>
      <c r="AU1122" s="1783"/>
      <c r="AV1122" s="1783"/>
      <c r="AW1122" s="1783"/>
      <c r="AX1122" s="1783"/>
      <c r="AY1122" s="1783"/>
      <c r="AZ1122" s="1783"/>
      <c r="BA1122" s="1783"/>
      <c r="BB1122" s="1783"/>
      <c r="BC1122" s="1783"/>
      <c r="BD1122" s="1783"/>
      <c r="BE1122" s="1783"/>
      <c r="BF1122" s="1783"/>
      <c r="BG1122" s="1783"/>
      <c r="BH1122" s="1783"/>
      <c r="BI1122" s="1783"/>
    </row>
    <row r="1123" spans="1:61">
      <c r="A1123" s="1819"/>
      <c r="B1123" s="1818"/>
      <c r="C1123" s="1818"/>
      <c r="D1123" s="1818"/>
      <c r="E1123" s="1818"/>
      <c r="F1123" s="1818"/>
      <c r="G1123" s="1818"/>
      <c r="H1123" s="1783"/>
      <c r="I1123" s="1783"/>
      <c r="J1123" s="1783"/>
      <c r="K1123" s="1783"/>
      <c r="L1123" s="1783"/>
      <c r="M1123" s="1783"/>
      <c r="N1123" s="1783"/>
      <c r="O1123" s="1783"/>
      <c r="P1123" s="1783"/>
      <c r="Q1123" s="1783"/>
      <c r="R1123" s="1783"/>
      <c r="S1123" s="1783"/>
      <c r="T1123" s="1783"/>
      <c r="U1123" s="1783"/>
      <c r="V1123" s="1783"/>
      <c r="W1123" s="1783"/>
      <c r="X1123" s="1783"/>
      <c r="Y1123" s="1783"/>
      <c r="Z1123" s="1783"/>
      <c r="AA1123" s="1783"/>
      <c r="AB1123" s="1783"/>
      <c r="AC1123" s="1783"/>
      <c r="AD1123" s="1783"/>
      <c r="AE1123" s="1783"/>
      <c r="AF1123" s="1783"/>
      <c r="AG1123" s="1783"/>
      <c r="AH1123" s="1783"/>
      <c r="AI1123" s="1783"/>
      <c r="AJ1123" s="1783"/>
      <c r="AK1123" s="1783"/>
      <c r="AL1123" s="1783"/>
      <c r="AM1123" s="1783"/>
      <c r="AN1123" s="1783"/>
      <c r="AO1123" s="1783"/>
      <c r="AP1123" s="1783"/>
      <c r="AQ1123" s="1783"/>
      <c r="AR1123" s="1783"/>
      <c r="AS1123" s="1783"/>
      <c r="AT1123" s="1783"/>
      <c r="AU1123" s="1783"/>
      <c r="AV1123" s="1783"/>
      <c r="AW1123" s="1783"/>
      <c r="AX1123" s="1783"/>
      <c r="AY1123" s="1783"/>
      <c r="AZ1123" s="1783"/>
      <c r="BA1123" s="1783"/>
      <c r="BB1123" s="1783"/>
      <c r="BC1123" s="1783"/>
      <c r="BD1123" s="1783"/>
      <c r="BE1123" s="1783"/>
      <c r="BF1123" s="1783"/>
      <c r="BG1123" s="1783"/>
      <c r="BH1123" s="1783"/>
      <c r="BI1123" s="1783"/>
    </row>
    <row r="1124" spans="1:61">
      <c r="A1124" s="1819"/>
      <c r="B1124" s="1818"/>
      <c r="C1124" s="1818"/>
      <c r="D1124" s="1818"/>
      <c r="E1124" s="1818"/>
      <c r="F1124" s="1818"/>
      <c r="G1124" s="1818"/>
      <c r="H1124" s="1783"/>
      <c r="I1124" s="1783"/>
      <c r="J1124" s="1783"/>
      <c r="K1124" s="1783"/>
      <c r="L1124" s="1783"/>
      <c r="M1124" s="1783"/>
      <c r="N1124" s="1783"/>
      <c r="O1124" s="1783"/>
      <c r="P1124" s="1783"/>
      <c r="Q1124" s="1783"/>
      <c r="R1124" s="1783"/>
      <c r="S1124" s="1783"/>
      <c r="T1124" s="1783"/>
      <c r="U1124" s="1783"/>
      <c r="V1124" s="1783"/>
      <c r="W1124" s="1783"/>
      <c r="X1124" s="1783"/>
      <c r="Y1124" s="1783"/>
      <c r="Z1124" s="1783"/>
      <c r="AA1124" s="1783"/>
      <c r="AB1124" s="1783"/>
      <c r="AC1124" s="1783"/>
      <c r="AD1124" s="1783"/>
      <c r="AE1124" s="1783"/>
      <c r="AF1124" s="1783"/>
      <c r="AG1124" s="1783"/>
      <c r="AH1124" s="1783"/>
      <c r="AI1124" s="1783"/>
      <c r="AJ1124" s="1783"/>
      <c r="AK1124" s="1783"/>
      <c r="AL1124" s="1783"/>
      <c r="AM1124" s="1783"/>
      <c r="AN1124" s="1783"/>
      <c r="AO1124" s="1783"/>
      <c r="AP1124" s="1783"/>
      <c r="AQ1124" s="1783"/>
      <c r="AR1124" s="1783"/>
      <c r="AS1124" s="1783"/>
      <c r="AT1124" s="1783"/>
      <c r="AU1124" s="1783"/>
      <c r="AV1124" s="1783"/>
      <c r="AW1124" s="1783"/>
      <c r="AX1124" s="1783"/>
      <c r="AY1124" s="1783"/>
      <c r="AZ1124" s="1783"/>
      <c r="BA1124" s="1783"/>
      <c r="BB1124" s="1783"/>
      <c r="BC1124" s="1783"/>
      <c r="BD1124" s="1783"/>
      <c r="BE1124" s="1783"/>
      <c r="BF1124" s="1783"/>
      <c r="BG1124" s="1783"/>
      <c r="BH1124" s="1783"/>
      <c r="BI1124" s="1783"/>
    </row>
    <row r="1125" spans="1:61">
      <c r="A1125" s="1819"/>
      <c r="B1125" s="1818"/>
      <c r="C1125" s="1818"/>
      <c r="D1125" s="1818"/>
      <c r="E1125" s="1818"/>
      <c r="F1125" s="1818"/>
      <c r="G1125" s="1818"/>
      <c r="H1125" s="1783"/>
      <c r="I1125" s="1783"/>
      <c r="J1125" s="1783"/>
      <c r="K1125" s="1783"/>
      <c r="L1125" s="1783"/>
      <c r="M1125" s="1783"/>
      <c r="N1125" s="1783"/>
      <c r="O1125" s="1783"/>
      <c r="P1125" s="1783"/>
      <c r="Q1125" s="1783"/>
      <c r="R1125" s="1783"/>
      <c r="S1125" s="1783"/>
      <c r="T1125" s="1783"/>
      <c r="U1125" s="1783"/>
      <c r="V1125" s="1783"/>
      <c r="W1125" s="1783"/>
      <c r="X1125" s="1783"/>
      <c r="Y1125" s="1783"/>
      <c r="Z1125" s="1783"/>
      <c r="AA1125" s="1783"/>
      <c r="AB1125" s="1783"/>
      <c r="AC1125" s="1783"/>
      <c r="AD1125" s="1783"/>
      <c r="AE1125" s="1783"/>
      <c r="AF1125" s="1783"/>
      <c r="AG1125" s="1783"/>
      <c r="AH1125" s="1783"/>
      <c r="AI1125" s="1783"/>
      <c r="AJ1125" s="1783"/>
      <c r="AK1125" s="1783"/>
      <c r="AL1125" s="1783"/>
      <c r="AM1125" s="1783"/>
      <c r="AN1125" s="1783"/>
      <c r="AO1125" s="1783"/>
      <c r="AP1125" s="1783"/>
      <c r="AQ1125" s="1783"/>
      <c r="AR1125" s="1783"/>
      <c r="AS1125" s="1783"/>
      <c r="AT1125" s="1783"/>
      <c r="AU1125" s="1783"/>
      <c r="AV1125" s="1783"/>
      <c r="AW1125" s="1783"/>
      <c r="AX1125" s="1783"/>
      <c r="AY1125" s="1783"/>
      <c r="AZ1125" s="1783"/>
      <c r="BA1125" s="1783"/>
      <c r="BB1125" s="1783"/>
      <c r="BC1125" s="1783"/>
      <c r="BD1125" s="1783"/>
      <c r="BE1125" s="1783"/>
      <c r="BF1125" s="1783"/>
      <c r="BG1125" s="1783"/>
      <c r="BH1125" s="1783"/>
      <c r="BI1125" s="1783"/>
    </row>
    <row r="1126" spans="1:61">
      <c r="A1126" s="1819"/>
      <c r="B1126" s="1818"/>
      <c r="C1126" s="1818"/>
      <c r="D1126" s="1818"/>
      <c r="E1126" s="1818"/>
      <c r="F1126" s="1818"/>
      <c r="G1126" s="1818"/>
      <c r="H1126" s="1783"/>
      <c r="I1126" s="1783"/>
      <c r="J1126" s="1783"/>
      <c r="K1126" s="1783"/>
      <c r="L1126" s="1783"/>
      <c r="M1126" s="1783"/>
      <c r="N1126" s="1783"/>
      <c r="O1126" s="1783"/>
      <c r="P1126" s="1783"/>
      <c r="Q1126" s="1783"/>
      <c r="R1126" s="1783"/>
      <c r="S1126" s="1783"/>
      <c r="T1126" s="1783"/>
      <c r="U1126" s="1783"/>
      <c r="V1126" s="1783"/>
      <c r="W1126" s="1783"/>
      <c r="X1126" s="1783"/>
      <c r="Y1126" s="1783"/>
      <c r="Z1126" s="1783"/>
      <c r="AA1126" s="1783"/>
      <c r="AB1126" s="1783"/>
      <c r="AC1126" s="1783"/>
      <c r="AD1126" s="1783"/>
      <c r="AE1126" s="1783"/>
      <c r="AF1126" s="1783"/>
      <c r="AG1126" s="1783"/>
      <c r="AH1126" s="1783"/>
      <c r="AI1126" s="1783"/>
      <c r="AJ1126" s="1783"/>
      <c r="AK1126" s="1783"/>
      <c r="AL1126" s="1783"/>
      <c r="AM1126" s="1783"/>
      <c r="AN1126" s="1783"/>
      <c r="AO1126" s="1783"/>
      <c r="AP1126" s="1783"/>
      <c r="AQ1126" s="1783"/>
      <c r="AR1126" s="1783"/>
      <c r="AS1126" s="1783"/>
      <c r="AT1126" s="1783"/>
      <c r="AU1126" s="1783"/>
      <c r="AV1126" s="1783"/>
      <c r="AW1126" s="1783"/>
      <c r="AX1126" s="1783"/>
      <c r="AY1126" s="1783"/>
      <c r="AZ1126" s="1783"/>
      <c r="BA1126" s="1783"/>
      <c r="BB1126" s="1783"/>
      <c r="BC1126" s="1783"/>
      <c r="BD1126" s="1783"/>
      <c r="BE1126" s="1783"/>
      <c r="BF1126" s="1783"/>
      <c r="BG1126" s="1783"/>
      <c r="BH1126" s="1783"/>
      <c r="BI1126" s="1783"/>
    </row>
    <row r="1127" spans="1:61">
      <c r="A1127" s="1819"/>
      <c r="B1127" s="1818"/>
      <c r="C1127" s="1818"/>
      <c r="D1127" s="1818"/>
      <c r="E1127" s="1818"/>
      <c r="F1127" s="1818"/>
      <c r="G1127" s="1818"/>
      <c r="H1127" s="1783"/>
      <c r="I1127" s="1783"/>
      <c r="J1127" s="1783"/>
      <c r="K1127" s="1783"/>
      <c r="L1127" s="1783"/>
      <c r="M1127" s="1783"/>
      <c r="N1127" s="1783"/>
      <c r="O1127" s="1783"/>
      <c r="P1127" s="1783"/>
      <c r="Q1127" s="1783"/>
      <c r="R1127" s="1783"/>
      <c r="S1127" s="1783"/>
      <c r="T1127" s="1783"/>
      <c r="U1127" s="1783"/>
      <c r="V1127" s="1783"/>
      <c r="W1127" s="1783"/>
      <c r="X1127" s="1783"/>
      <c r="Y1127" s="1783"/>
      <c r="Z1127" s="1783"/>
      <c r="AA1127" s="1783"/>
      <c r="AB1127" s="1783"/>
      <c r="AC1127" s="1783"/>
      <c r="AD1127" s="1783"/>
      <c r="AE1127" s="1783"/>
      <c r="AF1127" s="1783"/>
      <c r="AG1127" s="1783"/>
      <c r="AH1127" s="1783"/>
      <c r="AI1127" s="1783"/>
      <c r="AJ1127" s="1783"/>
      <c r="AK1127" s="1783"/>
      <c r="AL1127" s="1783"/>
      <c r="AM1127" s="1783"/>
      <c r="AN1127" s="1783"/>
      <c r="AO1127" s="1783"/>
      <c r="AP1127" s="1783"/>
      <c r="AQ1127" s="1783"/>
      <c r="AR1127" s="1783"/>
      <c r="AS1127" s="1783"/>
      <c r="AT1127" s="1783"/>
      <c r="AU1127" s="1783"/>
      <c r="AV1127" s="1783"/>
      <c r="AW1127" s="1783"/>
      <c r="AX1127" s="1783"/>
      <c r="AY1127" s="1783"/>
      <c r="AZ1127" s="1783"/>
      <c r="BA1127" s="1783"/>
      <c r="BB1127" s="1783"/>
      <c r="BC1127" s="1783"/>
      <c r="BD1127" s="1783"/>
      <c r="BE1127" s="1783"/>
      <c r="BF1127" s="1783"/>
      <c r="BG1127" s="1783"/>
      <c r="BH1127" s="1783"/>
      <c r="BI1127" s="1783"/>
    </row>
    <row r="1128" spans="1:61">
      <c r="A1128" s="1819"/>
      <c r="B1128" s="1818"/>
      <c r="C1128" s="1818"/>
      <c r="D1128" s="1818"/>
      <c r="E1128" s="1818"/>
      <c r="F1128" s="1818"/>
      <c r="G1128" s="1818"/>
      <c r="H1128" s="1783"/>
      <c r="I1128" s="1783"/>
      <c r="J1128" s="1783"/>
      <c r="K1128" s="1783"/>
      <c r="L1128" s="1783"/>
      <c r="M1128" s="1783"/>
      <c r="N1128" s="1783"/>
      <c r="O1128" s="1783"/>
      <c r="P1128" s="1783"/>
      <c r="Q1128" s="1783"/>
      <c r="R1128" s="1783"/>
      <c r="S1128" s="1783"/>
      <c r="T1128" s="1783"/>
      <c r="U1128" s="1783"/>
      <c r="V1128" s="1783"/>
      <c r="W1128" s="1783"/>
      <c r="X1128" s="1783"/>
      <c r="Y1128" s="1783"/>
      <c r="Z1128" s="1783"/>
      <c r="AA1128" s="1783"/>
      <c r="AB1128" s="1783"/>
      <c r="AC1128" s="1783"/>
      <c r="AD1128" s="1783"/>
      <c r="AE1128" s="1783"/>
      <c r="AF1128" s="1783"/>
      <c r="AG1128" s="1783"/>
      <c r="AH1128" s="1783"/>
      <c r="AI1128" s="1783"/>
      <c r="AJ1128" s="1783"/>
      <c r="AK1128" s="1783"/>
      <c r="AL1128" s="1783"/>
      <c r="AM1128" s="1783"/>
      <c r="AN1128" s="1783"/>
      <c r="AO1128" s="1783"/>
      <c r="AP1128" s="1783"/>
      <c r="AQ1128" s="1783"/>
      <c r="AR1128" s="1783"/>
      <c r="AS1128" s="1783"/>
      <c r="AT1128" s="1783"/>
      <c r="AU1128" s="1783"/>
      <c r="AV1128" s="1783"/>
      <c r="AW1128" s="1783"/>
      <c r="AX1128" s="1783"/>
      <c r="AY1128" s="1783"/>
      <c r="AZ1128" s="1783"/>
      <c r="BA1128" s="1783"/>
      <c r="BB1128" s="1783"/>
      <c r="BC1128" s="1783"/>
      <c r="BD1128" s="1783"/>
      <c r="BE1128" s="1783"/>
      <c r="BF1128" s="1783"/>
      <c r="BG1128" s="1783"/>
      <c r="BH1128" s="1783"/>
      <c r="BI1128" s="1783"/>
    </row>
    <row r="1129" spans="1:61">
      <c r="A1129" s="1819"/>
      <c r="B1129" s="1818"/>
      <c r="C1129" s="1818"/>
      <c r="D1129" s="1818"/>
      <c r="E1129" s="1818"/>
      <c r="F1129" s="1818"/>
      <c r="G1129" s="1818"/>
      <c r="H1129" s="1783"/>
      <c r="I1129" s="1783"/>
      <c r="J1129" s="1783"/>
      <c r="K1129" s="1783"/>
      <c r="L1129" s="1783"/>
      <c r="M1129" s="1783"/>
      <c r="N1129" s="1783"/>
      <c r="O1129" s="1783"/>
      <c r="P1129" s="1783"/>
      <c r="Q1129" s="1783"/>
      <c r="R1129" s="1783"/>
      <c r="S1129" s="1783"/>
      <c r="T1129" s="1783"/>
      <c r="U1129" s="1783"/>
      <c r="V1129" s="1783"/>
      <c r="W1129" s="1783"/>
      <c r="X1129" s="1783"/>
      <c r="Y1129" s="1783"/>
      <c r="Z1129" s="1783"/>
      <c r="AA1129" s="1783"/>
      <c r="AB1129" s="1783"/>
      <c r="AC1129" s="1783"/>
      <c r="AD1129" s="1783"/>
      <c r="AE1129" s="1783"/>
      <c r="AF1129" s="1783"/>
      <c r="AG1129" s="1783"/>
      <c r="AH1129" s="1783"/>
      <c r="AI1129" s="1783"/>
      <c r="AJ1129" s="1783"/>
      <c r="AK1129" s="1783"/>
      <c r="AL1129" s="1783"/>
      <c r="AM1129" s="1783"/>
      <c r="AN1129" s="1783"/>
      <c r="AO1129" s="1783"/>
      <c r="AP1129" s="1783"/>
      <c r="AQ1129" s="1783"/>
      <c r="AR1129" s="1783"/>
      <c r="AS1129" s="1783"/>
      <c r="AT1129" s="1783"/>
      <c r="AU1129" s="1783"/>
      <c r="AV1129" s="1783"/>
      <c r="AW1129" s="1783"/>
      <c r="AX1129" s="1783"/>
      <c r="AY1129" s="1783"/>
      <c r="AZ1129" s="1783"/>
      <c r="BA1129" s="1783"/>
      <c r="BB1129" s="1783"/>
      <c r="BC1129" s="1783"/>
      <c r="BD1129" s="1783"/>
      <c r="BE1129" s="1783"/>
      <c r="BF1129" s="1783"/>
      <c r="BG1129" s="1783"/>
      <c r="BH1129" s="1783"/>
      <c r="BI1129" s="1783"/>
    </row>
    <row r="1130" spans="1:61">
      <c r="A1130" s="1819"/>
      <c r="B1130" s="1818"/>
      <c r="C1130" s="1818"/>
      <c r="D1130" s="1818"/>
      <c r="E1130" s="1818"/>
      <c r="F1130" s="1818"/>
      <c r="G1130" s="1818"/>
      <c r="H1130" s="1783"/>
      <c r="I1130" s="1783"/>
      <c r="J1130" s="1783"/>
      <c r="K1130" s="1783"/>
      <c r="L1130" s="1783"/>
      <c r="M1130" s="1783"/>
      <c r="N1130" s="1783"/>
      <c r="O1130" s="1783"/>
      <c r="P1130" s="1783"/>
      <c r="Q1130" s="1783"/>
      <c r="R1130" s="1783"/>
      <c r="S1130" s="1783"/>
      <c r="T1130" s="1783"/>
      <c r="U1130" s="1783"/>
      <c r="V1130" s="1783"/>
      <c r="W1130" s="1783"/>
      <c r="X1130" s="1783"/>
      <c r="Y1130" s="1783"/>
      <c r="Z1130" s="1783"/>
      <c r="AA1130" s="1783"/>
      <c r="AB1130" s="1783"/>
      <c r="AC1130" s="1783"/>
      <c r="AD1130" s="1783"/>
      <c r="AE1130" s="1783"/>
      <c r="AF1130" s="1783"/>
      <c r="AG1130" s="1783"/>
      <c r="AH1130" s="1783"/>
      <c r="AI1130" s="1783"/>
      <c r="AJ1130" s="1783"/>
      <c r="AK1130" s="1783"/>
      <c r="AL1130" s="1783"/>
      <c r="AM1130" s="1783"/>
      <c r="AN1130" s="1783"/>
      <c r="AO1130" s="1783"/>
      <c r="AP1130" s="1783"/>
      <c r="AQ1130" s="1783"/>
      <c r="AR1130" s="1783"/>
      <c r="AS1130" s="1783"/>
      <c r="AT1130" s="1783"/>
      <c r="AU1130" s="1783"/>
      <c r="AV1130" s="1783"/>
      <c r="AW1130" s="1783"/>
      <c r="AX1130" s="1783"/>
      <c r="AY1130" s="1783"/>
      <c r="AZ1130" s="1783"/>
      <c r="BA1130" s="1783"/>
      <c r="BB1130" s="1783"/>
      <c r="BC1130" s="1783"/>
      <c r="BD1130" s="1783"/>
      <c r="BE1130" s="1783"/>
      <c r="BF1130" s="1783"/>
      <c r="BG1130" s="1783"/>
      <c r="BH1130" s="1783"/>
      <c r="BI1130" s="1783"/>
    </row>
    <row r="1131" spans="1:61">
      <c r="A1131" s="1819"/>
      <c r="B1131" s="1818"/>
      <c r="C1131" s="1818"/>
      <c r="D1131" s="1818"/>
      <c r="E1131" s="1818"/>
      <c r="F1131" s="1818"/>
      <c r="G1131" s="1818"/>
      <c r="H1131" s="1783"/>
      <c r="I1131" s="1783"/>
      <c r="J1131" s="1783"/>
      <c r="K1131" s="1783"/>
      <c r="L1131" s="1783"/>
      <c r="M1131" s="1783"/>
      <c r="N1131" s="1783"/>
      <c r="O1131" s="1783"/>
      <c r="P1131" s="1783"/>
      <c r="Q1131" s="1783"/>
      <c r="R1131" s="1783"/>
      <c r="S1131" s="1783"/>
      <c r="T1131" s="1783"/>
      <c r="U1131" s="1783"/>
      <c r="V1131" s="1783"/>
      <c r="W1131" s="1783"/>
      <c r="X1131" s="1783"/>
      <c r="Y1131" s="1783"/>
      <c r="Z1131" s="1783"/>
      <c r="AA1131" s="1783"/>
      <c r="AB1131" s="1783"/>
      <c r="AC1131" s="1783"/>
      <c r="AD1131" s="1783"/>
      <c r="AE1131" s="1783"/>
      <c r="AF1131" s="1783"/>
      <c r="AG1131" s="1783"/>
      <c r="AH1131" s="1783"/>
      <c r="AI1131" s="1783"/>
      <c r="AJ1131" s="1783"/>
      <c r="AK1131" s="1783"/>
      <c r="AL1131" s="1783"/>
      <c r="AM1131" s="1783"/>
      <c r="AN1131" s="1783"/>
      <c r="AO1131" s="1783"/>
      <c r="AP1131" s="1783"/>
      <c r="AQ1131" s="1783"/>
      <c r="AR1131" s="1783"/>
      <c r="AS1131" s="1783"/>
      <c r="AT1131" s="1783"/>
      <c r="AU1131" s="1783"/>
      <c r="AV1131" s="1783"/>
      <c r="AW1131" s="1783"/>
      <c r="AX1131" s="1783"/>
      <c r="AY1131" s="1783"/>
      <c r="AZ1131" s="1783"/>
      <c r="BA1131" s="1783"/>
      <c r="BB1131" s="1783"/>
      <c r="BC1131" s="1783"/>
      <c r="BD1131" s="1783"/>
      <c r="BE1131" s="1783"/>
      <c r="BF1131" s="1783"/>
      <c r="BG1131" s="1783"/>
      <c r="BH1131" s="1783"/>
      <c r="BI1131" s="1783"/>
    </row>
    <row r="1132" spans="1:61">
      <c r="A1132" s="1819"/>
      <c r="B1132" s="1818"/>
      <c r="C1132" s="1818"/>
      <c r="D1132" s="1818"/>
      <c r="E1132" s="1818"/>
      <c r="F1132" s="1818"/>
      <c r="G1132" s="1818"/>
      <c r="H1132" s="1783"/>
      <c r="I1132" s="1783"/>
      <c r="J1132" s="1783"/>
      <c r="K1132" s="1783"/>
      <c r="L1132" s="1783"/>
      <c r="M1132" s="1783"/>
      <c r="N1132" s="1783"/>
      <c r="O1132" s="1783"/>
      <c r="P1132" s="1783"/>
      <c r="Q1132" s="1783"/>
      <c r="R1132" s="1783"/>
      <c r="S1132" s="1783"/>
      <c r="T1132" s="1783"/>
      <c r="U1132" s="1783"/>
      <c r="V1132" s="1783"/>
      <c r="W1132" s="1783"/>
      <c r="X1132" s="1783"/>
      <c r="Y1132" s="1783"/>
      <c r="Z1132" s="1783"/>
      <c r="AA1132" s="1783"/>
      <c r="AB1132" s="1783"/>
      <c r="AC1132" s="1783"/>
      <c r="AD1132" s="1783"/>
      <c r="AE1132" s="1783"/>
      <c r="AF1132" s="1783"/>
      <c r="AG1132" s="1783"/>
      <c r="AH1132" s="1783"/>
      <c r="AI1132" s="1783"/>
      <c r="AJ1132" s="1783"/>
      <c r="AK1132" s="1783"/>
      <c r="AL1132" s="1783"/>
      <c r="AM1132" s="1783"/>
      <c r="AN1132" s="1783"/>
      <c r="AO1132" s="1783"/>
      <c r="AP1132" s="1783"/>
      <c r="AQ1132" s="1783"/>
      <c r="AR1132" s="1783"/>
      <c r="AS1132" s="1783"/>
      <c r="AT1132" s="1783"/>
      <c r="AU1132" s="1783"/>
      <c r="AV1132" s="1783"/>
      <c r="AW1132" s="1783"/>
      <c r="AX1132" s="1783"/>
      <c r="AY1132" s="1783"/>
      <c r="AZ1132" s="1783"/>
      <c r="BA1132" s="1783"/>
      <c r="BB1132" s="1783"/>
      <c r="BC1132" s="1783"/>
      <c r="BD1132" s="1783"/>
      <c r="BE1132" s="1783"/>
      <c r="BF1132" s="1783"/>
      <c r="BG1132" s="1783"/>
      <c r="BH1132" s="1783"/>
      <c r="BI1132" s="1783"/>
    </row>
    <row r="1133" spans="1:61">
      <c r="A1133" s="1819"/>
      <c r="B1133" s="1818"/>
      <c r="C1133" s="1818"/>
      <c r="D1133" s="1818"/>
      <c r="E1133" s="1818"/>
      <c r="F1133" s="1818"/>
      <c r="G1133" s="1818"/>
      <c r="H1133" s="1783"/>
      <c r="I1133" s="1783"/>
      <c r="J1133" s="1783"/>
      <c r="K1133" s="1783"/>
      <c r="L1133" s="1783"/>
      <c r="M1133" s="1783"/>
      <c r="N1133" s="1783"/>
      <c r="O1133" s="1783"/>
      <c r="P1133" s="1783"/>
      <c r="Q1133" s="1783"/>
      <c r="R1133" s="1783"/>
      <c r="S1133" s="1783"/>
      <c r="T1133" s="1783"/>
      <c r="U1133" s="1783"/>
      <c r="V1133" s="1783"/>
      <c r="W1133" s="1783"/>
      <c r="X1133" s="1783"/>
      <c r="Y1133" s="1783"/>
      <c r="Z1133" s="1783"/>
      <c r="AA1133" s="1783"/>
      <c r="AB1133" s="1783"/>
      <c r="AC1133" s="1783"/>
      <c r="AD1133" s="1783"/>
      <c r="AE1133" s="1783"/>
      <c r="AF1133" s="1783"/>
      <c r="AG1133" s="1783"/>
      <c r="AH1133" s="1783"/>
      <c r="AI1133" s="1783"/>
      <c r="AJ1133" s="1783"/>
      <c r="AK1133" s="1783"/>
      <c r="AL1133" s="1783"/>
      <c r="AM1133" s="1783"/>
      <c r="AN1133" s="1783"/>
      <c r="AO1133" s="1783"/>
      <c r="AP1133" s="1783"/>
      <c r="AQ1133" s="1783"/>
      <c r="AR1133" s="1783"/>
      <c r="AS1133" s="1783"/>
      <c r="AT1133" s="1783"/>
      <c r="AU1133" s="1783"/>
      <c r="AV1133" s="1783"/>
      <c r="AW1133" s="1783"/>
      <c r="AX1133" s="1783"/>
      <c r="AY1133" s="1783"/>
      <c r="AZ1133" s="1783"/>
      <c r="BA1133" s="1783"/>
      <c r="BB1133" s="1783"/>
      <c r="BC1133" s="1783"/>
      <c r="BD1133" s="1783"/>
      <c r="BE1133" s="1783"/>
      <c r="BF1133" s="1783"/>
      <c r="BG1133" s="1783"/>
      <c r="BH1133" s="1783"/>
      <c r="BI1133" s="1783"/>
    </row>
    <row r="1134" spans="1:61">
      <c r="A1134" s="1819"/>
      <c r="B1134" s="1818"/>
      <c r="C1134" s="1818"/>
      <c r="D1134" s="1818"/>
      <c r="E1134" s="1818"/>
      <c r="F1134" s="1818"/>
      <c r="G1134" s="1818"/>
      <c r="H1134" s="1783"/>
      <c r="I1134" s="1783"/>
      <c r="J1134" s="1783"/>
      <c r="K1134" s="1783"/>
      <c r="L1134" s="1783"/>
      <c r="M1134" s="1783"/>
      <c r="N1134" s="1783"/>
      <c r="O1134" s="1783"/>
      <c r="P1134" s="1783"/>
      <c r="Q1134" s="1783"/>
      <c r="R1134" s="1783"/>
      <c r="S1134" s="1783"/>
      <c r="T1134" s="1783"/>
      <c r="U1134" s="1783"/>
      <c r="V1134" s="1783"/>
      <c r="W1134" s="1783"/>
      <c r="X1134" s="1783"/>
      <c r="Y1134" s="1783"/>
      <c r="Z1134" s="1783"/>
      <c r="AA1134" s="1783"/>
      <c r="AB1134" s="1783"/>
      <c r="AC1134" s="1783"/>
      <c r="AD1134" s="1783"/>
      <c r="AE1134" s="1783"/>
      <c r="AF1134" s="1783"/>
      <c r="AG1134" s="1783"/>
      <c r="AH1134" s="1783"/>
      <c r="AI1134" s="1783"/>
      <c r="AJ1134" s="1783"/>
      <c r="AK1134" s="1783"/>
      <c r="AL1134" s="1783"/>
      <c r="AM1134" s="1783"/>
      <c r="AN1134" s="1783"/>
      <c r="AO1134" s="1783"/>
      <c r="AP1134" s="1783"/>
      <c r="AQ1134" s="1783"/>
      <c r="AR1134" s="1783"/>
      <c r="AS1134" s="1783"/>
      <c r="AT1134" s="1783"/>
      <c r="AU1134" s="1783"/>
      <c r="AV1134" s="1783"/>
      <c r="AW1134" s="1783"/>
      <c r="AX1134" s="1783"/>
      <c r="AY1134" s="1783"/>
      <c r="AZ1134" s="1783"/>
      <c r="BA1134" s="1783"/>
      <c r="BB1134" s="1783"/>
      <c r="BC1134" s="1783"/>
      <c r="BD1134" s="1783"/>
      <c r="BE1134" s="1783"/>
      <c r="BF1134" s="1783"/>
      <c r="BG1134" s="1783"/>
      <c r="BH1134" s="1783"/>
      <c r="BI1134" s="1783"/>
    </row>
    <row r="1135" spans="1:61">
      <c r="A1135" s="1819"/>
      <c r="B1135" s="1818"/>
      <c r="C1135" s="1818"/>
      <c r="D1135" s="1818"/>
      <c r="E1135" s="1818"/>
      <c r="F1135" s="1818"/>
      <c r="G1135" s="1818"/>
      <c r="H1135" s="1783"/>
      <c r="I1135" s="1783"/>
      <c r="J1135" s="1783"/>
      <c r="K1135" s="1783"/>
      <c r="L1135" s="1783"/>
      <c r="M1135" s="1783"/>
      <c r="N1135" s="1783"/>
      <c r="O1135" s="1783"/>
      <c r="P1135" s="1783"/>
      <c r="Q1135" s="1783"/>
      <c r="R1135" s="1783"/>
      <c r="S1135" s="1783"/>
      <c r="T1135" s="1783"/>
      <c r="U1135" s="1783"/>
      <c r="V1135" s="1783"/>
      <c r="W1135" s="1783"/>
      <c r="X1135" s="1783"/>
      <c r="Y1135" s="1783"/>
      <c r="Z1135" s="1783"/>
      <c r="AA1135" s="1783"/>
      <c r="AB1135" s="1783"/>
      <c r="AC1135" s="1783"/>
      <c r="AD1135" s="1783"/>
      <c r="AE1135" s="1783"/>
      <c r="AF1135" s="1783"/>
      <c r="AG1135" s="1783"/>
      <c r="AH1135" s="1783"/>
      <c r="AI1135" s="1783"/>
      <c r="AJ1135" s="1783"/>
      <c r="AK1135" s="1783"/>
      <c r="AL1135" s="1783"/>
      <c r="AM1135" s="1783"/>
      <c r="AN1135" s="1783"/>
      <c r="AO1135" s="1783"/>
      <c r="AP1135" s="1783"/>
      <c r="AQ1135" s="1783"/>
      <c r="AR1135" s="1783"/>
      <c r="AS1135" s="1783"/>
      <c r="AT1135" s="1783"/>
      <c r="AU1135" s="1783"/>
      <c r="AV1135" s="1783"/>
      <c r="AW1135" s="1783"/>
      <c r="AX1135" s="1783"/>
      <c r="AY1135" s="1783"/>
      <c r="AZ1135" s="1783"/>
      <c r="BA1135" s="1783"/>
      <c r="BB1135" s="1783"/>
      <c r="BC1135" s="1783"/>
      <c r="BD1135" s="1783"/>
      <c r="BE1135" s="1783"/>
      <c r="BF1135" s="1783"/>
      <c r="BG1135" s="1783"/>
      <c r="BH1135" s="1783"/>
      <c r="BI1135" s="1783"/>
    </row>
    <row r="1136" spans="1:61">
      <c r="A1136" s="1819"/>
      <c r="B1136" s="1818"/>
      <c r="C1136" s="1818"/>
      <c r="D1136" s="1818"/>
      <c r="E1136" s="1818"/>
      <c r="F1136" s="1818"/>
      <c r="G1136" s="1818"/>
      <c r="H1136" s="1783"/>
      <c r="I1136" s="1783"/>
      <c r="J1136" s="1783"/>
      <c r="K1136" s="1783"/>
      <c r="L1136" s="1783"/>
      <c r="M1136" s="1783"/>
      <c r="N1136" s="1783"/>
      <c r="O1136" s="1783"/>
      <c r="P1136" s="1783"/>
      <c r="Q1136" s="1783"/>
      <c r="R1136" s="1783"/>
      <c r="S1136" s="1783"/>
      <c r="T1136" s="1783"/>
      <c r="U1136" s="1783"/>
      <c r="V1136" s="1783"/>
      <c r="W1136" s="1783"/>
      <c r="X1136" s="1783"/>
      <c r="Y1136" s="1783"/>
      <c r="Z1136" s="1783"/>
      <c r="AA1136" s="1783"/>
      <c r="AB1136" s="1783"/>
      <c r="AC1136" s="1783"/>
      <c r="AD1136" s="1783"/>
      <c r="AE1136" s="1783"/>
      <c r="AF1136" s="1783"/>
      <c r="AG1136" s="1783"/>
      <c r="AH1136" s="1783"/>
      <c r="AI1136" s="1783"/>
      <c r="AJ1136" s="1783"/>
      <c r="AK1136" s="1783"/>
      <c r="AL1136" s="1783"/>
      <c r="AM1136" s="1783"/>
      <c r="AN1136" s="1783"/>
      <c r="AO1136" s="1783"/>
      <c r="AP1136" s="1783"/>
      <c r="AQ1136" s="1783"/>
      <c r="AR1136" s="1783"/>
      <c r="AS1136" s="1783"/>
      <c r="AT1136" s="1783"/>
      <c r="AU1136" s="1783"/>
      <c r="AV1136" s="1783"/>
      <c r="AW1136" s="1783"/>
      <c r="AX1136" s="1783"/>
      <c r="AY1136" s="1783"/>
      <c r="AZ1136" s="1783"/>
      <c r="BA1136" s="1783"/>
      <c r="BB1136" s="1783"/>
      <c r="BC1136" s="1783"/>
      <c r="BD1136" s="1783"/>
      <c r="BE1136" s="1783"/>
      <c r="BF1136" s="1783"/>
      <c r="BG1136" s="1783"/>
      <c r="BH1136" s="1783"/>
      <c r="BI1136" s="1783"/>
    </row>
    <row r="1137" spans="1:61">
      <c r="A1137" s="1819"/>
      <c r="B1137" s="1818"/>
      <c r="C1137" s="1818"/>
      <c r="D1137" s="1818"/>
      <c r="E1137" s="1818"/>
      <c r="F1137" s="1818"/>
      <c r="G1137" s="1818"/>
      <c r="H1137" s="1783"/>
      <c r="I1137" s="1783"/>
      <c r="J1137" s="1783"/>
      <c r="K1137" s="1783"/>
      <c r="L1137" s="1783"/>
      <c r="M1137" s="1783"/>
      <c r="N1137" s="1783"/>
      <c r="O1137" s="1783"/>
      <c r="P1137" s="1783"/>
      <c r="Q1137" s="1783"/>
      <c r="R1137" s="1783"/>
      <c r="S1137" s="1783"/>
      <c r="T1137" s="1783"/>
      <c r="U1137" s="1783"/>
      <c r="V1137" s="1783"/>
      <c r="W1137" s="1783"/>
      <c r="X1137" s="1783"/>
      <c r="Y1137" s="1783"/>
      <c r="Z1137" s="1783"/>
      <c r="AA1137" s="1783"/>
      <c r="AB1137" s="1783"/>
      <c r="AC1137" s="1783"/>
      <c r="AD1137" s="1783"/>
      <c r="AE1137" s="1783"/>
      <c r="AF1137" s="1783"/>
      <c r="AG1137" s="1783"/>
      <c r="AH1137" s="1783"/>
      <c r="AI1137" s="1783"/>
      <c r="AJ1137" s="1783"/>
      <c r="AK1137" s="1783"/>
      <c r="AL1137" s="1783"/>
      <c r="AM1137" s="1783"/>
      <c r="AN1137" s="1783"/>
      <c r="AO1137" s="1783"/>
      <c r="AP1137" s="1783"/>
      <c r="AQ1137" s="1783"/>
      <c r="AR1137" s="1783"/>
      <c r="AS1137" s="1783"/>
      <c r="AT1137" s="1783"/>
      <c r="AU1137" s="1783"/>
      <c r="AV1137" s="1783"/>
      <c r="AW1137" s="1783"/>
      <c r="AX1137" s="1783"/>
      <c r="AY1137" s="1783"/>
      <c r="AZ1137" s="1783"/>
      <c r="BA1137" s="1783"/>
      <c r="BB1137" s="1783"/>
      <c r="BC1137" s="1783"/>
      <c r="BD1137" s="1783"/>
      <c r="BE1137" s="1783"/>
      <c r="BF1137" s="1783"/>
      <c r="BG1137" s="1783"/>
      <c r="BH1137" s="1783"/>
      <c r="BI1137" s="1783"/>
    </row>
    <row r="1138" spans="1:61">
      <c r="A1138" s="1819"/>
      <c r="B1138" s="1818"/>
      <c r="C1138" s="1818"/>
      <c r="D1138" s="1818"/>
      <c r="E1138" s="1818"/>
      <c r="F1138" s="1818"/>
      <c r="G1138" s="1818"/>
      <c r="H1138" s="1783"/>
      <c r="I1138" s="1783"/>
      <c r="J1138" s="1783"/>
      <c r="K1138" s="1783"/>
      <c r="L1138" s="1783"/>
      <c r="M1138" s="1783"/>
      <c r="N1138" s="1783"/>
      <c r="O1138" s="1783"/>
      <c r="P1138" s="1783"/>
      <c r="Q1138" s="1783"/>
      <c r="R1138" s="1783"/>
      <c r="S1138" s="1783"/>
      <c r="T1138" s="1783"/>
      <c r="U1138" s="1783"/>
      <c r="V1138" s="1783"/>
      <c r="W1138" s="1783"/>
      <c r="X1138" s="1783"/>
      <c r="Y1138" s="1783"/>
      <c r="Z1138" s="1783"/>
      <c r="AA1138" s="1783"/>
      <c r="AB1138" s="1783"/>
      <c r="AC1138" s="1783"/>
      <c r="AD1138" s="1783"/>
      <c r="AE1138" s="1783"/>
      <c r="AF1138" s="1783"/>
      <c r="AG1138" s="1783"/>
      <c r="AH1138" s="1783"/>
      <c r="AI1138" s="1783"/>
      <c r="AJ1138" s="1783"/>
      <c r="AK1138" s="1783"/>
      <c r="AL1138" s="1783"/>
      <c r="AM1138" s="1783"/>
      <c r="AN1138" s="1783"/>
      <c r="AO1138" s="1783"/>
      <c r="AP1138" s="1783"/>
      <c r="AQ1138" s="1783"/>
      <c r="AR1138" s="1783"/>
      <c r="AS1138" s="1783"/>
      <c r="AT1138" s="1783"/>
      <c r="AU1138" s="1783"/>
      <c r="AV1138" s="1783"/>
      <c r="AW1138" s="1783"/>
      <c r="AX1138" s="1783"/>
      <c r="AY1138" s="1783"/>
      <c r="AZ1138" s="1783"/>
      <c r="BA1138" s="1783"/>
      <c r="BB1138" s="1783"/>
      <c r="BC1138" s="1783"/>
      <c r="BD1138" s="1783"/>
      <c r="BE1138" s="1783"/>
      <c r="BF1138" s="1783"/>
      <c r="BG1138" s="1783"/>
      <c r="BH1138" s="1783"/>
      <c r="BI1138" s="1783"/>
    </row>
    <row r="1139" spans="1:61">
      <c r="A1139" s="1819"/>
      <c r="B1139" s="1818"/>
      <c r="C1139" s="1818"/>
      <c r="D1139" s="1818"/>
      <c r="E1139" s="1818"/>
      <c r="F1139" s="1818"/>
      <c r="G1139" s="1818"/>
      <c r="H1139" s="1783"/>
      <c r="I1139" s="1783"/>
      <c r="J1139" s="1783"/>
      <c r="K1139" s="1783"/>
      <c r="L1139" s="1783"/>
      <c r="M1139" s="1783"/>
      <c r="N1139" s="1783"/>
      <c r="O1139" s="1783"/>
      <c r="P1139" s="1783"/>
      <c r="Q1139" s="1783"/>
      <c r="R1139" s="1783"/>
      <c r="S1139" s="1783"/>
      <c r="T1139" s="1783"/>
      <c r="U1139" s="1783"/>
      <c r="V1139" s="1783"/>
      <c r="W1139" s="1783"/>
      <c r="X1139" s="1783"/>
      <c r="Y1139" s="1783"/>
      <c r="Z1139" s="1783"/>
      <c r="AA1139" s="1783"/>
      <c r="AB1139" s="1783"/>
      <c r="AC1139" s="1783"/>
      <c r="AD1139" s="1783"/>
      <c r="AE1139" s="1783"/>
      <c r="AF1139" s="1783"/>
      <c r="AG1139" s="1783"/>
      <c r="AH1139" s="1783"/>
      <c r="AI1139" s="1783"/>
      <c r="AJ1139" s="1783"/>
      <c r="AK1139" s="1783"/>
      <c r="AL1139" s="1783"/>
      <c r="AM1139" s="1783"/>
      <c r="AN1139" s="1783"/>
      <c r="AO1139" s="1783"/>
      <c r="AP1139" s="1783"/>
      <c r="AQ1139" s="1783"/>
      <c r="AR1139" s="1783"/>
      <c r="AS1139" s="1783"/>
      <c r="AT1139" s="1783"/>
      <c r="AU1139" s="1783"/>
      <c r="AV1139" s="1783"/>
      <c r="AW1139" s="1783"/>
      <c r="AX1139" s="1783"/>
      <c r="AY1139" s="1783"/>
      <c r="AZ1139" s="1783"/>
      <c r="BA1139" s="1783"/>
      <c r="BB1139" s="1783"/>
      <c r="BC1139" s="1783"/>
      <c r="BD1139" s="1783"/>
      <c r="BE1139" s="1783"/>
      <c r="BF1139" s="1783"/>
      <c r="BG1139" s="1783"/>
      <c r="BH1139" s="1783"/>
      <c r="BI1139" s="1783"/>
    </row>
    <row r="1140" spans="1:61">
      <c r="A1140" s="1819"/>
      <c r="B1140" s="1818"/>
      <c r="C1140" s="1818"/>
      <c r="D1140" s="1818"/>
      <c r="E1140" s="1818"/>
      <c r="F1140" s="1818"/>
      <c r="G1140" s="1818"/>
      <c r="H1140" s="1783"/>
      <c r="I1140" s="1783"/>
      <c r="J1140" s="1783"/>
      <c r="K1140" s="1783"/>
      <c r="L1140" s="1783"/>
      <c r="M1140" s="1783"/>
      <c r="N1140" s="1783"/>
      <c r="O1140" s="1783"/>
      <c r="P1140" s="1783"/>
      <c r="Q1140" s="1783"/>
      <c r="R1140" s="1783"/>
      <c r="S1140" s="1783"/>
      <c r="T1140" s="1783"/>
      <c r="U1140" s="1783"/>
      <c r="V1140" s="1783"/>
      <c r="W1140" s="1783"/>
      <c r="X1140" s="1783"/>
      <c r="Y1140" s="1783"/>
      <c r="Z1140" s="1783"/>
      <c r="AA1140" s="1783"/>
      <c r="AB1140" s="1783"/>
      <c r="AC1140" s="1783"/>
      <c r="AD1140" s="1783"/>
      <c r="AE1140" s="1783"/>
      <c r="AF1140" s="1783"/>
      <c r="AG1140" s="1783"/>
      <c r="AH1140" s="1783"/>
      <c r="AI1140" s="1783"/>
      <c r="AJ1140" s="1783"/>
      <c r="AK1140" s="1783"/>
      <c r="AL1140" s="1783"/>
      <c r="AM1140" s="1783"/>
      <c r="AN1140" s="1783"/>
      <c r="AO1140" s="1783"/>
      <c r="AP1140" s="1783"/>
      <c r="AQ1140" s="1783"/>
      <c r="AR1140" s="1783"/>
      <c r="AS1140" s="1783"/>
      <c r="AT1140" s="1783"/>
      <c r="AU1140" s="1783"/>
      <c r="AV1140" s="1783"/>
      <c r="AW1140" s="1783"/>
      <c r="AX1140" s="1783"/>
      <c r="AY1140" s="1783"/>
      <c r="AZ1140" s="1783"/>
      <c r="BA1140" s="1783"/>
      <c r="BB1140" s="1783"/>
      <c r="BC1140" s="1783"/>
      <c r="BD1140" s="1783"/>
      <c r="BE1140" s="1783"/>
      <c r="BF1140" s="1783"/>
      <c r="BG1140" s="1783"/>
      <c r="BH1140" s="1783"/>
      <c r="BI1140" s="1783"/>
    </row>
    <row r="1141" spans="1:61">
      <c r="A1141" s="1819"/>
      <c r="B1141" s="1818"/>
      <c r="C1141" s="1818"/>
      <c r="D1141" s="1818"/>
      <c r="E1141" s="1818"/>
      <c r="F1141" s="1818"/>
      <c r="G1141" s="1818"/>
      <c r="H1141" s="1783"/>
      <c r="I1141" s="1783"/>
      <c r="J1141" s="1783"/>
      <c r="K1141" s="1783"/>
      <c r="L1141" s="1783"/>
      <c r="M1141" s="1783"/>
      <c r="N1141" s="1783"/>
      <c r="O1141" s="1783"/>
      <c r="P1141" s="1783"/>
      <c r="Q1141" s="1783"/>
      <c r="R1141" s="1783"/>
      <c r="S1141" s="1783"/>
      <c r="T1141" s="1783"/>
      <c r="U1141" s="1783"/>
      <c r="V1141" s="1783"/>
      <c r="W1141" s="1783"/>
      <c r="X1141" s="1783"/>
      <c r="Y1141" s="1783"/>
      <c r="Z1141" s="1783"/>
      <c r="AA1141" s="1783"/>
      <c r="AB1141" s="1783"/>
      <c r="AC1141" s="1783"/>
      <c r="AD1141" s="1783"/>
      <c r="AE1141" s="1783"/>
      <c r="AF1141" s="1783"/>
      <c r="AG1141" s="1783"/>
      <c r="AH1141" s="1783"/>
      <c r="AI1141" s="1783"/>
      <c r="AJ1141" s="1783"/>
      <c r="AK1141" s="1783"/>
      <c r="AL1141" s="1783"/>
      <c r="AM1141" s="1783"/>
      <c r="AN1141" s="1783"/>
      <c r="AO1141" s="1783"/>
      <c r="AP1141" s="1783"/>
      <c r="AQ1141" s="1783"/>
      <c r="AR1141" s="1783"/>
      <c r="AS1141" s="1783"/>
      <c r="AT1141" s="1783"/>
      <c r="AU1141" s="1783"/>
      <c r="AV1141" s="1783"/>
      <c r="AW1141" s="1783"/>
      <c r="AX1141" s="1783"/>
      <c r="AY1141" s="1783"/>
      <c r="AZ1141" s="1783"/>
      <c r="BA1141" s="1783"/>
      <c r="BB1141" s="1783"/>
      <c r="BC1141" s="1783"/>
      <c r="BD1141" s="1783"/>
      <c r="BE1141" s="1783"/>
      <c r="BF1141" s="1783"/>
      <c r="BG1141" s="1783"/>
      <c r="BH1141" s="1783"/>
      <c r="BI1141" s="1783"/>
    </row>
    <row r="1142" spans="1:61">
      <c r="A1142" s="1819"/>
      <c r="B1142" s="1818"/>
      <c r="C1142" s="1818"/>
      <c r="D1142" s="1818"/>
      <c r="E1142" s="1818"/>
      <c r="F1142" s="1818"/>
      <c r="G1142" s="1818"/>
      <c r="H1142" s="1783"/>
      <c r="I1142" s="1783"/>
      <c r="J1142" s="1783"/>
      <c r="K1142" s="1783"/>
      <c r="L1142" s="1783"/>
      <c r="M1142" s="1783"/>
      <c r="N1142" s="1783"/>
      <c r="O1142" s="1783"/>
      <c r="P1142" s="1783"/>
      <c r="Q1142" s="1783"/>
      <c r="R1142" s="1783"/>
      <c r="S1142" s="1783"/>
      <c r="T1142" s="1783"/>
      <c r="U1142" s="1783"/>
      <c r="V1142" s="1783"/>
      <c r="W1142" s="1783"/>
      <c r="X1142" s="1783"/>
      <c r="Y1142" s="1783"/>
      <c r="Z1142" s="1783"/>
      <c r="AA1142" s="1783"/>
      <c r="AB1142" s="1783"/>
      <c r="AC1142" s="1783"/>
      <c r="AD1142" s="1783"/>
      <c r="AE1142" s="1783"/>
      <c r="AF1142" s="1783"/>
      <c r="AG1142" s="1783"/>
      <c r="AH1142" s="1783"/>
      <c r="AI1142" s="1783"/>
      <c r="AJ1142" s="1783"/>
      <c r="AK1142" s="1783"/>
      <c r="AL1142" s="1783"/>
      <c r="AM1142" s="1783"/>
      <c r="AN1142" s="1783"/>
      <c r="AO1142" s="1783"/>
      <c r="AP1142" s="1783"/>
      <c r="AQ1142" s="1783"/>
      <c r="AR1142" s="1783"/>
      <c r="AS1142" s="1783"/>
      <c r="AT1142" s="1783"/>
      <c r="AU1142" s="1783"/>
      <c r="AV1142" s="1783"/>
      <c r="AW1142" s="1783"/>
      <c r="AX1142" s="1783"/>
      <c r="AY1142" s="1783"/>
      <c r="AZ1142" s="1783"/>
      <c r="BA1142" s="1783"/>
      <c r="BB1142" s="1783"/>
      <c r="BC1142" s="1783"/>
      <c r="BD1142" s="1783"/>
      <c r="BE1142" s="1783"/>
      <c r="BF1142" s="1783"/>
      <c r="BG1142" s="1783"/>
      <c r="BH1142" s="1783"/>
      <c r="BI1142" s="1783"/>
    </row>
    <row r="1143" spans="1:61">
      <c r="A1143" s="1819"/>
      <c r="B1143" s="1818"/>
      <c r="C1143" s="1818"/>
      <c r="D1143" s="1818"/>
      <c r="E1143" s="1818"/>
      <c r="F1143" s="1818"/>
      <c r="G1143" s="1818"/>
      <c r="H1143" s="1783"/>
      <c r="I1143" s="1783"/>
      <c r="J1143" s="1783"/>
      <c r="K1143" s="1783"/>
      <c r="L1143" s="1783"/>
      <c r="M1143" s="1783"/>
      <c r="N1143" s="1783"/>
      <c r="O1143" s="1783"/>
      <c r="P1143" s="1783"/>
      <c r="Q1143" s="1783"/>
      <c r="R1143" s="1783"/>
      <c r="S1143" s="1783"/>
      <c r="T1143" s="1783"/>
      <c r="U1143" s="1783"/>
      <c r="V1143" s="1783"/>
      <c r="W1143" s="1783"/>
      <c r="X1143" s="1783"/>
      <c r="Y1143" s="1783"/>
      <c r="Z1143" s="1783"/>
      <c r="AA1143" s="1783"/>
      <c r="AB1143" s="1783"/>
      <c r="AC1143" s="1783"/>
      <c r="AD1143" s="1783"/>
      <c r="AE1143" s="1783"/>
      <c r="AF1143" s="1783"/>
      <c r="AG1143" s="1783"/>
      <c r="AH1143" s="1783"/>
      <c r="AI1143" s="1783"/>
      <c r="AJ1143" s="1783"/>
      <c r="AK1143" s="1783"/>
      <c r="AL1143" s="1783"/>
      <c r="AM1143" s="1783"/>
      <c r="AN1143" s="1783"/>
      <c r="AO1143" s="1783"/>
      <c r="AP1143" s="1783"/>
      <c r="AQ1143" s="1783"/>
      <c r="AR1143" s="1783"/>
      <c r="AS1143" s="1783"/>
      <c r="AT1143" s="1783"/>
      <c r="AU1143" s="1783"/>
      <c r="AV1143" s="1783"/>
      <c r="AW1143" s="1783"/>
      <c r="AX1143" s="1783"/>
      <c r="AY1143" s="1783"/>
      <c r="AZ1143" s="1783"/>
      <c r="BA1143" s="1783"/>
      <c r="BB1143" s="1783"/>
      <c r="BC1143" s="1783"/>
      <c r="BD1143" s="1783"/>
      <c r="BE1143" s="1783"/>
      <c r="BF1143" s="1783"/>
      <c r="BG1143" s="1783"/>
      <c r="BH1143" s="1783"/>
      <c r="BI1143" s="1783"/>
    </row>
    <row r="1144" spans="1:61">
      <c r="A1144" s="1819"/>
      <c r="B1144" s="1818"/>
      <c r="C1144" s="1818"/>
      <c r="D1144" s="1818"/>
      <c r="E1144" s="1818"/>
      <c r="F1144" s="1818"/>
      <c r="G1144" s="1818"/>
      <c r="H1144" s="1783"/>
      <c r="I1144" s="1783"/>
      <c r="J1144" s="1783"/>
      <c r="K1144" s="1783"/>
      <c r="L1144" s="1783"/>
      <c r="M1144" s="1783"/>
      <c r="N1144" s="1783"/>
      <c r="O1144" s="1783"/>
      <c r="P1144" s="1783"/>
      <c r="Q1144" s="1783"/>
      <c r="R1144" s="1783"/>
      <c r="S1144" s="1783"/>
      <c r="T1144" s="1783"/>
      <c r="U1144" s="1783"/>
      <c r="V1144" s="1783"/>
      <c r="W1144" s="1783"/>
      <c r="X1144" s="1783"/>
      <c r="Y1144" s="1783"/>
      <c r="Z1144" s="1783"/>
      <c r="AA1144" s="1783"/>
      <c r="AB1144" s="1783"/>
      <c r="AC1144" s="1783"/>
      <c r="AD1144" s="1783"/>
      <c r="AE1144" s="1783"/>
      <c r="AF1144" s="1783"/>
      <c r="AG1144" s="1783"/>
      <c r="AH1144" s="1783"/>
      <c r="AI1144" s="1783"/>
      <c r="AJ1144" s="1783"/>
      <c r="AK1144" s="1783"/>
      <c r="AL1144" s="1783"/>
      <c r="AM1144" s="1783"/>
      <c r="AN1144" s="1783"/>
      <c r="AO1144" s="1783"/>
      <c r="AP1144" s="1783"/>
      <c r="AQ1144" s="1783"/>
      <c r="AR1144" s="1783"/>
      <c r="AS1144" s="1783"/>
      <c r="AT1144" s="1783"/>
      <c r="AU1144" s="1783"/>
      <c r="AV1144" s="1783"/>
      <c r="AW1144" s="1783"/>
      <c r="AX1144" s="1783"/>
      <c r="AY1144" s="1783"/>
      <c r="AZ1144" s="1783"/>
      <c r="BA1144" s="1783"/>
      <c r="BB1144" s="1783"/>
      <c r="BC1144" s="1783"/>
      <c r="BD1144" s="1783"/>
      <c r="BE1144" s="1783"/>
      <c r="BF1144" s="1783"/>
      <c r="BG1144" s="1783"/>
      <c r="BH1144" s="1783"/>
      <c r="BI1144" s="1783"/>
    </row>
    <row r="1145" spans="1:61">
      <c r="A1145" s="1819"/>
      <c r="B1145" s="1818"/>
      <c r="C1145" s="1818"/>
      <c r="D1145" s="1818"/>
      <c r="E1145" s="1818"/>
      <c r="F1145" s="1818"/>
      <c r="G1145" s="1818"/>
      <c r="H1145" s="1783"/>
      <c r="I1145" s="1783"/>
      <c r="J1145" s="1783"/>
      <c r="K1145" s="1783"/>
      <c r="L1145" s="1783"/>
      <c r="M1145" s="1783"/>
      <c r="N1145" s="1783"/>
      <c r="O1145" s="1783"/>
      <c r="P1145" s="1783"/>
      <c r="Q1145" s="1783"/>
      <c r="R1145" s="1783"/>
      <c r="S1145" s="1783"/>
      <c r="T1145" s="1783"/>
      <c r="U1145" s="1783"/>
      <c r="V1145" s="1783"/>
      <c r="W1145" s="1783"/>
      <c r="X1145" s="1783"/>
      <c r="Y1145" s="1783"/>
      <c r="Z1145" s="1783"/>
      <c r="AA1145" s="1783"/>
      <c r="AB1145" s="1783"/>
      <c r="AC1145" s="1783"/>
      <c r="AD1145" s="1783"/>
      <c r="AE1145" s="1783"/>
      <c r="AF1145" s="1783"/>
      <c r="AG1145" s="1783"/>
      <c r="AH1145" s="1783"/>
      <c r="AI1145" s="1783"/>
      <c r="AJ1145" s="1783"/>
      <c r="AK1145" s="1783"/>
      <c r="AL1145" s="1783"/>
      <c r="AM1145" s="1783"/>
      <c r="AN1145" s="1783"/>
      <c r="AO1145" s="1783"/>
      <c r="AP1145" s="1783"/>
      <c r="AQ1145" s="1783"/>
      <c r="AR1145" s="1783"/>
      <c r="AS1145" s="1783"/>
      <c r="AT1145" s="1783"/>
      <c r="AU1145" s="1783"/>
      <c r="AV1145" s="1783"/>
      <c r="AW1145" s="1783"/>
      <c r="AX1145" s="1783"/>
      <c r="AY1145" s="1783"/>
      <c r="AZ1145" s="1783"/>
      <c r="BA1145" s="1783"/>
      <c r="BB1145" s="1783"/>
      <c r="BC1145" s="1783"/>
      <c r="BD1145" s="1783"/>
      <c r="BE1145" s="1783"/>
      <c r="BF1145" s="1783"/>
      <c r="BG1145" s="1783"/>
      <c r="BH1145" s="1783"/>
      <c r="BI1145" s="1783"/>
    </row>
    <row r="1146" spans="1:61">
      <c r="A1146" s="1819"/>
      <c r="B1146" s="1818"/>
      <c r="C1146" s="1818"/>
      <c r="D1146" s="1818"/>
      <c r="E1146" s="1818"/>
      <c r="F1146" s="1818"/>
      <c r="G1146" s="1818"/>
      <c r="H1146" s="1783"/>
      <c r="I1146" s="1783"/>
      <c r="J1146" s="1783"/>
      <c r="K1146" s="1783"/>
      <c r="L1146" s="1783"/>
      <c r="M1146" s="1783"/>
      <c r="N1146" s="1783"/>
      <c r="O1146" s="1783"/>
      <c r="P1146" s="1783"/>
      <c r="Q1146" s="1783"/>
      <c r="R1146" s="1783"/>
      <c r="S1146" s="1783"/>
      <c r="T1146" s="1783"/>
      <c r="U1146" s="1783"/>
      <c r="V1146" s="1783"/>
      <c r="W1146" s="1783"/>
      <c r="X1146" s="1783"/>
      <c r="Y1146" s="1783"/>
      <c r="Z1146" s="1783"/>
      <c r="AA1146" s="1783"/>
      <c r="AB1146" s="1783"/>
      <c r="AC1146" s="1783"/>
      <c r="AD1146" s="1783"/>
      <c r="AE1146" s="1783"/>
      <c r="AF1146" s="1783"/>
      <c r="AG1146" s="1783"/>
      <c r="AH1146" s="1783"/>
      <c r="AI1146" s="1783"/>
      <c r="AJ1146" s="1783"/>
      <c r="AK1146" s="1783"/>
      <c r="AL1146" s="1783"/>
      <c r="AM1146" s="1783"/>
      <c r="AN1146" s="1783"/>
      <c r="AO1146" s="1783"/>
      <c r="AP1146" s="1783"/>
      <c r="AQ1146" s="1783"/>
      <c r="AR1146" s="1783"/>
      <c r="AS1146" s="1783"/>
      <c r="AT1146" s="1783"/>
      <c r="AU1146" s="1783"/>
      <c r="AV1146" s="1783"/>
      <c r="AW1146" s="1783"/>
      <c r="AX1146" s="1783"/>
      <c r="AY1146" s="1783"/>
      <c r="AZ1146" s="1783"/>
      <c r="BA1146" s="1783"/>
      <c r="BB1146" s="1783"/>
      <c r="BC1146" s="1783"/>
      <c r="BD1146" s="1783"/>
      <c r="BE1146" s="1783"/>
      <c r="BF1146" s="1783"/>
      <c r="BG1146" s="1783"/>
      <c r="BH1146" s="1783"/>
      <c r="BI1146" s="1783"/>
    </row>
    <row r="1147" spans="1:61">
      <c r="A1147" s="1819"/>
      <c r="B1147" s="1818"/>
      <c r="C1147" s="1818"/>
      <c r="D1147" s="1818"/>
      <c r="E1147" s="1818"/>
      <c r="F1147" s="1818"/>
      <c r="G1147" s="1818"/>
      <c r="H1147" s="1783"/>
      <c r="I1147" s="1783"/>
      <c r="J1147" s="1783"/>
      <c r="K1147" s="1783"/>
      <c r="L1147" s="1783"/>
      <c r="M1147" s="1783"/>
      <c r="N1147" s="1783"/>
      <c r="O1147" s="1783"/>
      <c r="P1147" s="1783"/>
      <c r="Q1147" s="1783"/>
      <c r="R1147" s="1783"/>
      <c r="S1147" s="1783"/>
      <c r="T1147" s="1783"/>
      <c r="U1147" s="1783"/>
      <c r="V1147" s="1783"/>
      <c r="W1147" s="1783"/>
      <c r="X1147" s="1783"/>
      <c r="Y1147" s="1783"/>
      <c r="Z1147" s="1783"/>
      <c r="AA1147" s="1783"/>
      <c r="AB1147" s="1783"/>
      <c r="AC1147" s="1783"/>
      <c r="AD1147" s="1783"/>
      <c r="AE1147" s="1783"/>
      <c r="AF1147" s="1783"/>
      <c r="AG1147" s="1783"/>
      <c r="AH1147" s="1783"/>
      <c r="AI1147" s="1783"/>
      <c r="AJ1147" s="1783"/>
      <c r="AK1147" s="1783"/>
      <c r="AL1147" s="1783"/>
      <c r="AM1147" s="1783"/>
      <c r="AN1147" s="1783"/>
      <c r="AO1147" s="1783"/>
      <c r="AP1147" s="1783"/>
      <c r="AQ1147" s="1783"/>
      <c r="AR1147" s="1783"/>
      <c r="AS1147" s="1783"/>
      <c r="AT1147" s="1783"/>
      <c r="AU1147" s="1783"/>
      <c r="AV1147" s="1783"/>
      <c r="AW1147" s="1783"/>
      <c r="AX1147" s="1783"/>
      <c r="AY1147" s="1783"/>
      <c r="AZ1147" s="1783"/>
      <c r="BA1147" s="1783"/>
      <c r="BB1147" s="1783"/>
      <c r="BC1147" s="1783"/>
      <c r="BD1147" s="1783"/>
      <c r="BE1147" s="1783"/>
      <c r="BF1147" s="1783"/>
      <c r="BG1147" s="1783"/>
      <c r="BH1147" s="1783"/>
      <c r="BI1147" s="1783"/>
    </row>
    <row r="1148" spans="1:61">
      <c r="A1148" s="1819"/>
      <c r="B1148" s="1818"/>
      <c r="C1148" s="1818"/>
      <c r="D1148" s="1818"/>
      <c r="E1148" s="1818"/>
      <c r="F1148" s="1818"/>
      <c r="G1148" s="1818"/>
      <c r="H1148" s="1783"/>
      <c r="I1148" s="1783"/>
      <c r="J1148" s="1783"/>
      <c r="K1148" s="1783"/>
      <c r="L1148" s="1783"/>
      <c r="M1148" s="1783"/>
      <c r="N1148" s="1783"/>
      <c r="O1148" s="1783"/>
      <c r="P1148" s="1783"/>
      <c r="Q1148" s="1783"/>
      <c r="R1148" s="1783"/>
      <c r="S1148" s="1783"/>
      <c r="T1148" s="1783"/>
      <c r="U1148" s="1783"/>
      <c r="V1148" s="1783"/>
      <c r="W1148" s="1783"/>
      <c r="X1148" s="1783"/>
      <c r="Y1148" s="1783"/>
      <c r="Z1148" s="1783"/>
      <c r="AA1148" s="1783"/>
      <c r="AB1148" s="1783"/>
      <c r="AC1148" s="1783"/>
      <c r="AD1148" s="1783"/>
      <c r="AE1148" s="1783"/>
      <c r="AF1148" s="1783"/>
      <c r="AG1148" s="1783"/>
      <c r="AH1148" s="1783"/>
      <c r="AI1148" s="1783"/>
      <c r="AJ1148" s="1783"/>
      <c r="AK1148" s="1783"/>
      <c r="AL1148" s="1783"/>
      <c r="AM1148" s="1783"/>
      <c r="AN1148" s="1783"/>
      <c r="AO1148" s="1783"/>
      <c r="AP1148" s="1783"/>
      <c r="AQ1148" s="1783"/>
      <c r="AR1148" s="1783"/>
      <c r="AS1148" s="1783"/>
      <c r="AT1148" s="1783"/>
      <c r="AU1148" s="1783"/>
      <c r="AV1148" s="1783"/>
      <c r="AW1148" s="1783"/>
      <c r="AX1148" s="1783"/>
      <c r="AY1148" s="1783"/>
      <c r="AZ1148" s="1783"/>
      <c r="BA1148" s="1783"/>
      <c r="BB1148" s="1783"/>
      <c r="BC1148" s="1783"/>
      <c r="BD1148" s="1783"/>
      <c r="BE1148" s="1783"/>
      <c r="BF1148" s="1783"/>
      <c r="BG1148" s="1783"/>
      <c r="BH1148" s="1783"/>
      <c r="BI1148" s="1783"/>
    </row>
    <row r="1149" spans="1:61">
      <c r="A1149" s="1819"/>
      <c r="B1149" s="1818"/>
      <c r="C1149" s="1818"/>
      <c r="D1149" s="1818"/>
      <c r="E1149" s="1818"/>
      <c r="F1149" s="1818"/>
      <c r="G1149" s="1818"/>
      <c r="H1149" s="1783"/>
      <c r="I1149" s="1783"/>
      <c r="J1149" s="1783"/>
      <c r="K1149" s="1783"/>
      <c r="L1149" s="1783"/>
      <c r="M1149" s="1783"/>
      <c r="N1149" s="1783"/>
      <c r="O1149" s="1783"/>
      <c r="P1149" s="1783"/>
      <c r="Q1149" s="1783"/>
      <c r="R1149" s="1783"/>
      <c r="S1149" s="1783"/>
      <c r="T1149" s="1783"/>
      <c r="U1149" s="1783"/>
      <c r="V1149" s="1783"/>
      <c r="W1149" s="1783"/>
      <c r="X1149" s="1783"/>
      <c r="Y1149" s="1783"/>
      <c r="Z1149" s="1783"/>
      <c r="AA1149" s="1783"/>
      <c r="AB1149" s="1783"/>
      <c r="AC1149" s="1783"/>
      <c r="AD1149" s="1783"/>
      <c r="AE1149" s="1783"/>
      <c r="AF1149" s="1783"/>
      <c r="AG1149" s="1783"/>
      <c r="AH1149" s="1783"/>
      <c r="AI1149" s="1783"/>
      <c r="AJ1149" s="1783"/>
      <c r="AK1149" s="1783"/>
      <c r="AL1149" s="1783"/>
      <c r="AM1149" s="1783"/>
      <c r="AN1149" s="1783"/>
      <c r="AO1149" s="1783"/>
      <c r="AP1149" s="1783"/>
      <c r="AQ1149" s="1783"/>
      <c r="AR1149" s="1783"/>
      <c r="AS1149" s="1783"/>
      <c r="AT1149" s="1783"/>
      <c r="AU1149" s="1783"/>
      <c r="AV1149" s="1783"/>
      <c r="AW1149" s="1783"/>
      <c r="AX1149" s="1783"/>
      <c r="AY1149" s="1783"/>
      <c r="AZ1149" s="1783"/>
      <c r="BA1149" s="1783"/>
      <c r="BB1149" s="1783"/>
      <c r="BC1149" s="1783"/>
      <c r="BD1149" s="1783"/>
      <c r="BE1149" s="1783"/>
      <c r="BF1149" s="1783"/>
      <c r="BG1149" s="1783"/>
      <c r="BH1149" s="1783"/>
      <c r="BI1149" s="1783"/>
    </row>
    <row r="1150" spans="1:61">
      <c r="A1150" s="1819"/>
      <c r="B1150" s="1818"/>
      <c r="C1150" s="1818"/>
      <c r="D1150" s="1818"/>
      <c r="E1150" s="1818"/>
      <c r="F1150" s="1818"/>
      <c r="G1150" s="1818"/>
      <c r="H1150" s="1783"/>
      <c r="I1150" s="1783"/>
      <c r="J1150" s="1783"/>
      <c r="K1150" s="1783"/>
      <c r="L1150" s="1783"/>
      <c r="M1150" s="1783"/>
      <c r="N1150" s="1783"/>
      <c r="O1150" s="1783"/>
      <c r="P1150" s="1783"/>
      <c r="Q1150" s="1783"/>
      <c r="R1150" s="1783"/>
      <c r="S1150" s="1783"/>
      <c r="T1150" s="1783"/>
      <c r="U1150" s="1783"/>
      <c r="V1150" s="1783"/>
      <c r="W1150" s="1783"/>
      <c r="X1150" s="1783"/>
      <c r="Y1150" s="1783"/>
      <c r="Z1150" s="1783"/>
      <c r="AA1150" s="1783"/>
      <c r="AB1150" s="1783"/>
      <c r="AC1150" s="1783"/>
      <c r="AD1150" s="1783"/>
      <c r="AE1150" s="1783"/>
      <c r="AF1150" s="1783"/>
      <c r="AG1150" s="1783"/>
      <c r="AH1150" s="1783"/>
      <c r="AI1150" s="1783"/>
      <c r="AJ1150" s="1783"/>
      <c r="AK1150" s="1783"/>
      <c r="AL1150" s="1783"/>
      <c r="AM1150" s="1783"/>
      <c r="AN1150" s="1783"/>
      <c r="AO1150" s="1783"/>
      <c r="AP1150" s="1783"/>
      <c r="AQ1150" s="1783"/>
      <c r="AR1150" s="1783"/>
      <c r="AS1150" s="1783"/>
      <c r="AT1150" s="1783"/>
      <c r="AU1150" s="1783"/>
      <c r="AV1150" s="1783"/>
      <c r="AW1150" s="1783"/>
      <c r="AX1150" s="1783"/>
      <c r="AY1150" s="1783"/>
      <c r="AZ1150" s="1783"/>
      <c r="BA1150" s="1783"/>
      <c r="BB1150" s="1783"/>
      <c r="BC1150" s="1783"/>
      <c r="BD1150" s="1783"/>
      <c r="BE1150" s="1783"/>
      <c r="BF1150" s="1783"/>
      <c r="BG1150" s="1783"/>
      <c r="BH1150" s="1783"/>
      <c r="BI1150" s="1783"/>
    </row>
    <row r="1151" spans="1:61">
      <c r="A1151" s="1819"/>
      <c r="B1151" s="1818"/>
      <c r="C1151" s="1818"/>
      <c r="D1151" s="1818"/>
      <c r="E1151" s="1818"/>
      <c r="F1151" s="1818"/>
      <c r="G1151" s="1818"/>
      <c r="H1151" s="1783"/>
      <c r="I1151" s="1783"/>
      <c r="J1151" s="1783"/>
      <c r="K1151" s="1783"/>
      <c r="L1151" s="1783"/>
      <c r="M1151" s="1783"/>
      <c r="N1151" s="1783"/>
      <c r="O1151" s="1783"/>
      <c r="P1151" s="1783"/>
      <c r="Q1151" s="1783"/>
      <c r="R1151" s="1783"/>
      <c r="S1151" s="1783"/>
      <c r="T1151" s="1783"/>
      <c r="U1151" s="1783"/>
      <c r="V1151" s="1783"/>
      <c r="W1151" s="1783"/>
      <c r="X1151" s="1783"/>
      <c r="Y1151" s="1783"/>
      <c r="Z1151" s="1783"/>
      <c r="AA1151" s="1783"/>
      <c r="AB1151" s="1783"/>
      <c r="AC1151" s="1783"/>
      <c r="AD1151" s="1783"/>
      <c r="AE1151" s="1783"/>
      <c r="AF1151" s="1783"/>
      <c r="AG1151" s="1783"/>
      <c r="AH1151" s="1783"/>
      <c r="AI1151" s="1783"/>
      <c r="AJ1151" s="1783"/>
      <c r="AK1151" s="1783"/>
      <c r="AL1151" s="1783"/>
      <c r="AM1151" s="1783"/>
      <c r="AN1151" s="1783"/>
      <c r="AO1151" s="1783"/>
      <c r="AP1151" s="1783"/>
      <c r="AQ1151" s="1783"/>
      <c r="AR1151" s="1783"/>
      <c r="AS1151" s="1783"/>
      <c r="AT1151" s="1783"/>
      <c r="AU1151" s="1783"/>
      <c r="AV1151" s="1783"/>
      <c r="AW1151" s="1783"/>
      <c r="AX1151" s="1783"/>
      <c r="AY1151" s="1783"/>
      <c r="AZ1151" s="1783"/>
      <c r="BA1151" s="1783"/>
      <c r="BB1151" s="1783"/>
      <c r="BC1151" s="1783"/>
      <c r="BD1151" s="1783"/>
      <c r="BE1151" s="1783"/>
      <c r="BF1151" s="1783"/>
      <c r="BG1151" s="1783"/>
      <c r="BH1151" s="1783"/>
      <c r="BI1151" s="1783"/>
    </row>
    <row r="1152" spans="1:61">
      <c r="A1152" s="1819"/>
      <c r="B1152" s="1818"/>
      <c r="C1152" s="1818"/>
      <c r="D1152" s="1818"/>
      <c r="E1152" s="1818"/>
      <c r="F1152" s="1818"/>
      <c r="G1152" s="1818"/>
      <c r="H1152" s="1783"/>
      <c r="I1152" s="1783"/>
      <c r="J1152" s="1783"/>
      <c r="K1152" s="1783"/>
      <c r="L1152" s="1783"/>
      <c r="M1152" s="1783"/>
      <c r="N1152" s="1783"/>
      <c r="O1152" s="1783"/>
      <c r="P1152" s="1783"/>
      <c r="Q1152" s="1783"/>
      <c r="R1152" s="1783"/>
      <c r="S1152" s="1783"/>
      <c r="T1152" s="1783"/>
      <c r="U1152" s="1783"/>
      <c r="V1152" s="1783"/>
      <c r="W1152" s="1783"/>
      <c r="X1152" s="1783"/>
      <c r="Y1152" s="1783"/>
      <c r="Z1152" s="1783"/>
      <c r="AA1152" s="1783"/>
      <c r="AB1152" s="1783"/>
      <c r="AC1152" s="1783"/>
      <c r="AD1152" s="1783"/>
      <c r="AE1152" s="1783"/>
      <c r="AF1152" s="1783"/>
      <c r="AG1152" s="1783"/>
      <c r="AH1152" s="1783"/>
      <c r="AI1152" s="1783"/>
      <c r="AJ1152" s="1783"/>
      <c r="AK1152" s="1783"/>
      <c r="AL1152" s="1783"/>
      <c r="AM1152" s="1783"/>
      <c r="AN1152" s="1783"/>
      <c r="AO1152" s="1783"/>
      <c r="AP1152" s="1783"/>
      <c r="AQ1152" s="1783"/>
      <c r="AR1152" s="1783"/>
      <c r="AS1152" s="1783"/>
      <c r="AT1152" s="1783"/>
      <c r="AU1152" s="1783"/>
      <c r="AV1152" s="1783"/>
      <c r="AW1152" s="1783"/>
      <c r="AX1152" s="1783"/>
      <c r="AY1152" s="1783"/>
      <c r="AZ1152" s="1783"/>
      <c r="BA1152" s="1783"/>
      <c r="BB1152" s="1783"/>
      <c r="BC1152" s="1783"/>
      <c r="BD1152" s="1783"/>
      <c r="BE1152" s="1783"/>
      <c r="BF1152" s="1783"/>
      <c r="BG1152" s="1783"/>
      <c r="BH1152" s="1783"/>
      <c r="BI1152" s="1783"/>
    </row>
    <row r="1153" spans="1:61">
      <c r="A1153" s="1819"/>
      <c r="B1153" s="1818"/>
      <c r="C1153" s="1818"/>
      <c r="D1153" s="1818"/>
      <c r="E1153" s="1818"/>
      <c r="F1153" s="1818"/>
      <c r="G1153" s="1818"/>
      <c r="H1153" s="1783"/>
      <c r="I1153" s="1783"/>
      <c r="J1153" s="1783"/>
      <c r="K1153" s="1783"/>
      <c r="L1153" s="1783"/>
      <c r="M1153" s="1783"/>
      <c r="N1153" s="1783"/>
      <c r="O1153" s="1783"/>
      <c r="P1153" s="1783"/>
      <c r="Q1153" s="1783"/>
      <c r="R1153" s="1783"/>
      <c r="S1153" s="1783"/>
      <c r="T1153" s="1783"/>
      <c r="U1153" s="1783"/>
      <c r="V1153" s="1783"/>
      <c r="W1153" s="1783"/>
      <c r="X1153" s="1783"/>
      <c r="Y1153" s="1783"/>
      <c r="Z1153" s="1783"/>
      <c r="AA1153" s="1783"/>
      <c r="AB1153" s="1783"/>
      <c r="AC1153" s="1783"/>
      <c r="AD1153" s="1783"/>
      <c r="AE1153" s="1783"/>
      <c r="AF1153" s="1783"/>
      <c r="AG1153" s="1783"/>
      <c r="AH1153" s="1783"/>
      <c r="AI1153" s="1783"/>
      <c r="AJ1153" s="1783"/>
      <c r="AK1153" s="1783"/>
      <c r="AL1153" s="1783"/>
      <c r="AM1153" s="1783"/>
      <c r="AN1153" s="1783"/>
      <c r="AO1153" s="1783"/>
      <c r="AP1153" s="1783"/>
      <c r="AQ1153" s="1783"/>
      <c r="AR1153" s="1783"/>
      <c r="AS1153" s="1783"/>
      <c r="AT1153" s="1783"/>
      <c r="AU1153" s="1783"/>
      <c r="AV1153" s="1783"/>
      <c r="AW1153" s="1783"/>
      <c r="AX1153" s="1783"/>
      <c r="AY1153" s="1783"/>
      <c r="AZ1153" s="1783"/>
      <c r="BA1153" s="1783"/>
      <c r="BB1153" s="1783"/>
      <c r="BC1153" s="1783"/>
      <c r="BD1153" s="1783"/>
      <c r="BE1153" s="1783"/>
      <c r="BF1153" s="1783"/>
      <c r="BG1153" s="1783"/>
      <c r="BH1153" s="1783"/>
      <c r="BI1153" s="1783"/>
    </row>
    <row r="1154" spans="1:61">
      <c r="A1154" s="1819"/>
      <c r="B1154" s="1818"/>
      <c r="C1154" s="1818"/>
      <c r="D1154" s="1818"/>
      <c r="E1154" s="1818"/>
      <c r="F1154" s="1818"/>
      <c r="G1154" s="1818"/>
      <c r="H1154" s="1783"/>
      <c r="I1154" s="1783"/>
      <c r="J1154" s="1783"/>
      <c r="K1154" s="1783"/>
      <c r="L1154" s="1783"/>
      <c r="M1154" s="1783"/>
      <c r="N1154" s="1783"/>
      <c r="O1154" s="1783"/>
      <c r="P1154" s="1783"/>
      <c r="Q1154" s="1783"/>
      <c r="R1154" s="1783"/>
      <c r="S1154" s="1783"/>
      <c r="T1154" s="1783"/>
      <c r="U1154" s="1783"/>
      <c r="V1154" s="1783"/>
      <c r="W1154" s="1783"/>
      <c r="X1154" s="1783"/>
      <c r="Y1154" s="1783"/>
      <c r="Z1154" s="1783"/>
      <c r="AA1154" s="1783"/>
      <c r="AB1154" s="1783"/>
      <c r="AC1154" s="1783"/>
      <c r="AD1154" s="1783"/>
      <c r="AE1154" s="1783"/>
      <c r="AF1154" s="1783"/>
      <c r="AG1154" s="1783"/>
      <c r="AH1154" s="1783"/>
      <c r="AI1154" s="1783"/>
      <c r="AJ1154" s="1783"/>
      <c r="AK1154" s="1783"/>
      <c r="AL1154" s="1783"/>
      <c r="AM1154" s="1783"/>
      <c r="AN1154" s="1783"/>
      <c r="AO1154" s="1783"/>
      <c r="AP1154" s="1783"/>
      <c r="AQ1154" s="1783"/>
      <c r="AR1154" s="1783"/>
      <c r="AS1154" s="1783"/>
      <c r="AT1154" s="1783"/>
      <c r="AU1154" s="1783"/>
      <c r="AV1154" s="1783"/>
      <c r="AW1154" s="1783"/>
      <c r="AX1154" s="1783"/>
      <c r="AY1154" s="1783"/>
      <c r="AZ1154" s="1783"/>
      <c r="BA1154" s="1783"/>
      <c r="BB1154" s="1783"/>
      <c r="BC1154" s="1783"/>
      <c r="BD1154" s="1783"/>
      <c r="BE1154" s="1783"/>
      <c r="BF1154" s="1783"/>
      <c r="BG1154" s="1783"/>
      <c r="BH1154" s="1783"/>
      <c r="BI1154" s="1783"/>
    </row>
    <row r="1155" spans="1:61">
      <c r="A1155" s="1819"/>
      <c r="B1155" s="1818"/>
      <c r="C1155" s="1818"/>
      <c r="D1155" s="1818"/>
      <c r="E1155" s="1818"/>
      <c r="F1155" s="1818"/>
      <c r="G1155" s="1818"/>
      <c r="H1155" s="1783"/>
      <c r="I1155" s="1783"/>
      <c r="J1155" s="1783"/>
      <c r="K1155" s="1783"/>
      <c r="L1155" s="1783"/>
      <c r="M1155" s="1783"/>
      <c r="N1155" s="1783"/>
      <c r="O1155" s="1783"/>
      <c r="P1155" s="1783"/>
      <c r="Q1155" s="1783"/>
      <c r="R1155" s="1783"/>
      <c r="S1155" s="1783"/>
      <c r="T1155" s="1783"/>
      <c r="U1155" s="1783"/>
      <c r="V1155" s="1783"/>
      <c r="W1155" s="1783"/>
      <c r="X1155" s="1783"/>
      <c r="Y1155" s="1783"/>
      <c r="Z1155" s="1783"/>
      <c r="AA1155" s="1783"/>
      <c r="AB1155" s="1783"/>
      <c r="AC1155" s="1783"/>
      <c r="AD1155" s="1783"/>
      <c r="AE1155" s="1783"/>
      <c r="AF1155" s="1783"/>
      <c r="AG1155" s="1783"/>
      <c r="AH1155" s="1783"/>
      <c r="AI1155" s="1783"/>
      <c r="AJ1155" s="1783"/>
      <c r="AK1155" s="1783"/>
      <c r="AL1155" s="1783"/>
      <c r="AM1155" s="1783"/>
      <c r="AN1155" s="1783"/>
      <c r="AO1155" s="1783"/>
      <c r="AP1155" s="1783"/>
      <c r="AQ1155" s="1783"/>
      <c r="AR1155" s="1783"/>
      <c r="AS1155" s="1783"/>
      <c r="AT1155" s="1783"/>
      <c r="AU1155" s="1783"/>
      <c r="AV1155" s="1783"/>
      <c r="AW1155" s="1783"/>
      <c r="AX1155" s="1783"/>
      <c r="AY1155" s="1783"/>
      <c r="AZ1155" s="1783"/>
      <c r="BA1155" s="1783"/>
      <c r="BB1155" s="1783"/>
      <c r="BC1155" s="1783"/>
      <c r="BD1155" s="1783"/>
      <c r="BE1155" s="1783"/>
      <c r="BF1155" s="1783"/>
      <c r="BG1155" s="1783"/>
      <c r="BH1155" s="1783"/>
      <c r="BI1155" s="1783"/>
    </row>
    <row r="1156" spans="1:61">
      <c r="A1156" s="1819"/>
      <c r="B1156" s="1818"/>
      <c r="C1156" s="1818"/>
      <c r="D1156" s="1818"/>
      <c r="E1156" s="1818"/>
      <c r="F1156" s="1818"/>
      <c r="G1156" s="1818"/>
      <c r="H1156" s="1783"/>
      <c r="I1156" s="1783"/>
      <c r="J1156" s="1783"/>
      <c r="K1156" s="1783"/>
      <c r="L1156" s="1783"/>
      <c r="M1156" s="1783"/>
      <c r="N1156" s="1783"/>
      <c r="O1156" s="1783"/>
      <c r="P1156" s="1783"/>
      <c r="Q1156" s="1783"/>
      <c r="R1156" s="1783"/>
      <c r="S1156" s="1783"/>
      <c r="T1156" s="1783"/>
      <c r="U1156" s="1783"/>
      <c r="V1156" s="1783"/>
      <c r="W1156" s="1783"/>
      <c r="X1156" s="1783"/>
      <c r="Y1156" s="1783"/>
      <c r="Z1156" s="1783"/>
      <c r="AA1156" s="1783"/>
      <c r="AB1156" s="1783"/>
      <c r="AC1156" s="1783"/>
      <c r="AD1156" s="1783"/>
      <c r="AE1156" s="1783"/>
      <c r="AF1156" s="1783"/>
      <c r="AG1156" s="1783"/>
      <c r="AH1156" s="1783"/>
      <c r="AI1156" s="1783"/>
      <c r="AJ1156" s="1783"/>
      <c r="AK1156" s="1783"/>
      <c r="AL1156" s="1783"/>
      <c r="AM1156" s="1783"/>
      <c r="AN1156" s="1783"/>
      <c r="AO1156" s="1783"/>
      <c r="AP1156" s="1783"/>
      <c r="AQ1156" s="1783"/>
      <c r="AR1156" s="1783"/>
      <c r="AS1156" s="1783"/>
      <c r="AT1156" s="1783"/>
      <c r="AU1156" s="1783"/>
      <c r="AV1156" s="1783"/>
      <c r="AW1156" s="1783"/>
      <c r="AX1156" s="1783"/>
      <c r="AY1156" s="1783"/>
      <c r="AZ1156" s="1783"/>
      <c r="BA1156" s="1783"/>
      <c r="BB1156" s="1783"/>
      <c r="BC1156" s="1783"/>
      <c r="BD1156" s="1783"/>
      <c r="BE1156" s="1783"/>
      <c r="BF1156" s="1783"/>
      <c r="BG1156" s="1783"/>
      <c r="BH1156" s="1783"/>
      <c r="BI1156" s="1783"/>
    </row>
    <row r="1157" spans="1:61">
      <c r="A1157" s="1819"/>
      <c r="B1157" s="1818"/>
      <c r="C1157" s="1818"/>
      <c r="D1157" s="1818"/>
      <c r="E1157" s="1818"/>
      <c r="F1157" s="1818"/>
      <c r="G1157" s="1818"/>
      <c r="H1157" s="1783"/>
      <c r="I1157" s="1783"/>
      <c r="J1157" s="1783"/>
      <c r="K1157" s="1783"/>
      <c r="L1157" s="1783"/>
      <c r="M1157" s="1783"/>
      <c r="N1157" s="1783"/>
      <c r="O1157" s="1783"/>
      <c r="P1157" s="1783"/>
      <c r="Q1157" s="1783"/>
      <c r="R1157" s="1783"/>
      <c r="S1157" s="1783"/>
      <c r="T1157" s="1783"/>
      <c r="U1157" s="1783"/>
      <c r="V1157" s="1783"/>
      <c r="W1157" s="1783"/>
      <c r="X1157" s="1783"/>
      <c r="Y1157" s="1783"/>
      <c r="Z1157" s="1783"/>
      <c r="AA1157" s="1783"/>
      <c r="AB1157" s="1783"/>
      <c r="AC1157" s="1783"/>
      <c r="AD1157" s="1783"/>
      <c r="AE1157" s="1783"/>
      <c r="AF1157" s="1783"/>
      <c r="AG1157" s="1783"/>
      <c r="AH1157" s="1783"/>
      <c r="AI1157" s="1783"/>
      <c r="AJ1157" s="1783"/>
      <c r="AK1157" s="1783"/>
      <c r="AL1157" s="1783"/>
      <c r="AM1157" s="1783"/>
      <c r="AN1157" s="1783"/>
      <c r="AO1157" s="1783"/>
      <c r="AP1157" s="1783"/>
      <c r="AQ1157" s="1783"/>
      <c r="AR1157" s="1783"/>
      <c r="AS1157" s="1783"/>
      <c r="AT1157" s="1783"/>
      <c r="AU1157" s="1783"/>
      <c r="AV1157" s="1783"/>
      <c r="AW1157" s="1783"/>
      <c r="AX1157" s="1783"/>
      <c r="AY1157" s="1783"/>
      <c r="AZ1157" s="1783"/>
      <c r="BA1157" s="1783"/>
      <c r="BB1157" s="1783"/>
      <c r="BC1157" s="1783"/>
      <c r="BD1157" s="1783"/>
      <c r="BE1157" s="1783"/>
      <c r="BF1157" s="1783"/>
      <c r="BG1157" s="1783"/>
      <c r="BH1157" s="1783"/>
      <c r="BI1157" s="1783"/>
    </row>
    <row r="1158" spans="1:61">
      <c r="A1158" s="1819"/>
      <c r="B1158" s="1818"/>
      <c r="C1158" s="1818"/>
      <c r="D1158" s="1818"/>
      <c r="E1158" s="1818"/>
      <c r="F1158" s="1818"/>
      <c r="G1158" s="1818"/>
      <c r="H1158" s="1783"/>
      <c r="I1158" s="1783"/>
      <c r="J1158" s="1783"/>
      <c r="K1158" s="1783"/>
      <c r="L1158" s="1783"/>
      <c r="M1158" s="1783"/>
      <c r="N1158" s="1783"/>
      <c r="O1158" s="1783"/>
      <c r="P1158" s="1783"/>
      <c r="Q1158" s="1783"/>
      <c r="R1158" s="1783"/>
      <c r="S1158" s="1783"/>
      <c r="T1158" s="1783"/>
      <c r="U1158" s="1783"/>
      <c r="V1158" s="1783"/>
      <c r="W1158" s="1783"/>
      <c r="X1158" s="1783"/>
      <c r="Y1158" s="1783"/>
      <c r="Z1158" s="1783"/>
      <c r="AA1158" s="1783"/>
      <c r="AB1158" s="1783"/>
      <c r="AC1158" s="1783"/>
      <c r="AD1158" s="1783"/>
      <c r="AE1158" s="1783"/>
      <c r="AF1158" s="1783"/>
      <c r="AG1158" s="1783"/>
      <c r="AH1158" s="1783"/>
      <c r="AI1158" s="1783"/>
      <c r="AJ1158" s="1783"/>
      <c r="AK1158" s="1783"/>
      <c r="AL1158" s="1783"/>
      <c r="AM1158" s="1783"/>
      <c r="AN1158" s="1783"/>
      <c r="AO1158" s="1783"/>
      <c r="AP1158" s="1783"/>
      <c r="AQ1158" s="1783"/>
      <c r="AR1158" s="1783"/>
      <c r="AS1158" s="1783"/>
      <c r="AT1158" s="1783"/>
      <c r="AU1158" s="1783"/>
      <c r="AV1158" s="1783"/>
      <c r="AW1158" s="1783"/>
      <c r="AX1158" s="1783"/>
      <c r="AY1158" s="1783"/>
      <c r="AZ1158" s="1783"/>
      <c r="BA1158" s="1783"/>
      <c r="BB1158" s="1783"/>
      <c r="BC1158" s="1783"/>
      <c r="BD1158" s="1783"/>
      <c r="BE1158" s="1783"/>
      <c r="BF1158" s="1783"/>
      <c r="BG1158" s="1783"/>
      <c r="BH1158" s="1783"/>
      <c r="BI1158" s="1783"/>
    </row>
    <row r="1159" spans="1:61">
      <c r="A1159" s="1819"/>
      <c r="B1159" s="1818"/>
      <c r="C1159" s="1818"/>
      <c r="D1159" s="1818"/>
      <c r="E1159" s="1818"/>
      <c r="F1159" s="1818"/>
      <c r="G1159" s="1818"/>
      <c r="H1159" s="1783"/>
      <c r="I1159" s="1783"/>
      <c r="J1159" s="1783"/>
      <c r="K1159" s="1783"/>
      <c r="L1159" s="1783"/>
      <c r="M1159" s="1783"/>
      <c r="N1159" s="1783"/>
      <c r="O1159" s="1783"/>
      <c r="P1159" s="1783"/>
      <c r="Q1159" s="1783"/>
      <c r="R1159" s="1783"/>
      <c r="S1159" s="1783"/>
      <c r="T1159" s="1783"/>
      <c r="U1159" s="1783"/>
      <c r="V1159" s="1783"/>
      <c r="W1159" s="1783"/>
      <c r="X1159" s="1783"/>
      <c r="Y1159" s="1783"/>
      <c r="Z1159" s="1783"/>
      <c r="AA1159" s="1783"/>
      <c r="AB1159" s="1783"/>
      <c r="AC1159" s="1783"/>
      <c r="AD1159" s="1783"/>
      <c r="AE1159" s="1783"/>
      <c r="AF1159" s="1783"/>
      <c r="AG1159" s="1783"/>
      <c r="AH1159" s="1783"/>
      <c r="AI1159" s="1783"/>
      <c r="AJ1159" s="1783"/>
      <c r="AK1159" s="1783"/>
      <c r="AL1159" s="1783"/>
      <c r="AM1159" s="1783"/>
      <c r="AN1159" s="1783"/>
      <c r="AO1159" s="1783"/>
      <c r="AP1159" s="1783"/>
      <c r="AQ1159" s="1783"/>
      <c r="AR1159" s="1783"/>
      <c r="AS1159" s="1783"/>
      <c r="AT1159" s="1783"/>
      <c r="AU1159" s="1783"/>
      <c r="AV1159" s="1783"/>
      <c r="AW1159" s="1783"/>
      <c r="AX1159" s="1783"/>
      <c r="AY1159" s="1783"/>
      <c r="AZ1159" s="1783"/>
      <c r="BA1159" s="1783"/>
      <c r="BB1159" s="1783"/>
      <c r="BC1159" s="1783"/>
      <c r="BD1159" s="1783"/>
      <c r="BE1159" s="1783"/>
      <c r="BF1159" s="1783"/>
      <c r="BG1159" s="1783"/>
      <c r="BH1159" s="1783"/>
      <c r="BI1159" s="1783"/>
    </row>
    <row r="1160" spans="1:61">
      <c r="A1160" s="1819"/>
      <c r="B1160" s="1818"/>
      <c r="C1160" s="1818"/>
      <c r="D1160" s="1818"/>
      <c r="E1160" s="1818"/>
      <c r="F1160" s="1818"/>
      <c r="G1160" s="1818"/>
      <c r="H1160" s="1783"/>
      <c r="I1160" s="1783"/>
      <c r="J1160" s="1783"/>
      <c r="K1160" s="1783"/>
      <c r="L1160" s="1783"/>
      <c r="M1160" s="1783"/>
      <c r="N1160" s="1783"/>
      <c r="O1160" s="1783"/>
      <c r="P1160" s="1783"/>
      <c r="Q1160" s="1783"/>
      <c r="R1160" s="1783"/>
      <c r="S1160" s="1783"/>
      <c r="T1160" s="1783"/>
      <c r="U1160" s="1783"/>
      <c r="V1160" s="1783"/>
      <c r="W1160" s="1783"/>
      <c r="X1160" s="1783"/>
      <c r="Y1160" s="1783"/>
      <c r="Z1160" s="1783"/>
      <c r="AA1160" s="1783"/>
      <c r="AB1160" s="1783"/>
      <c r="AC1160" s="1783"/>
      <c r="AD1160" s="1783"/>
      <c r="AE1160" s="1783"/>
      <c r="AF1160" s="1783"/>
      <c r="AG1160" s="1783"/>
      <c r="AH1160" s="1783"/>
      <c r="AI1160" s="1783"/>
      <c r="AJ1160" s="1783"/>
      <c r="AK1160" s="1783"/>
      <c r="AL1160" s="1783"/>
      <c r="AM1160" s="1783"/>
      <c r="AN1160" s="1783"/>
      <c r="AO1160" s="1783"/>
      <c r="AP1160" s="1783"/>
      <c r="AQ1160" s="1783"/>
      <c r="AR1160" s="1783"/>
      <c r="AS1160" s="1783"/>
      <c r="AT1160" s="1783"/>
      <c r="AU1160" s="1783"/>
      <c r="AV1160" s="1783"/>
      <c r="AW1160" s="1783"/>
      <c r="AX1160" s="1783"/>
      <c r="AY1160" s="1783"/>
      <c r="AZ1160" s="1783"/>
      <c r="BA1160" s="1783"/>
      <c r="BB1160" s="1783"/>
      <c r="BC1160" s="1783"/>
      <c r="BD1160" s="1783"/>
      <c r="BE1160" s="1783"/>
      <c r="BF1160" s="1783"/>
      <c r="BG1160" s="1783"/>
      <c r="BH1160" s="1783"/>
      <c r="BI1160" s="1783"/>
    </row>
    <row r="1161" spans="1:61">
      <c r="A1161" s="1819"/>
      <c r="B1161" s="1818"/>
      <c r="C1161" s="1818"/>
      <c r="D1161" s="1818"/>
      <c r="E1161" s="1818"/>
      <c r="F1161" s="1818"/>
      <c r="G1161" s="1818"/>
      <c r="H1161" s="1783"/>
      <c r="I1161" s="1783"/>
      <c r="J1161" s="1783"/>
      <c r="K1161" s="1783"/>
      <c r="L1161" s="1783"/>
      <c r="M1161" s="1783"/>
      <c r="N1161" s="1783"/>
      <c r="O1161" s="1783"/>
      <c r="P1161" s="1783"/>
      <c r="Q1161" s="1783"/>
      <c r="R1161" s="1783"/>
      <c r="S1161" s="1783"/>
      <c r="T1161" s="1783"/>
      <c r="U1161" s="1783"/>
      <c r="V1161" s="1783"/>
      <c r="W1161" s="1783"/>
      <c r="X1161" s="1783"/>
      <c r="Y1161" s="1783"/>
      <c r="Z1161" s="1783"/>
      <c r="AA1161" s="1783"/>
      <c r="AB1161" s="1783"/>
      <c r="AC1161" s="1783"/>
      <c r="AD1161" s="1783"/>
      <c r="AE1161" s="1783"/>
      <c r="AF1161" s="1783"/>
      <c r="AG1161" s="1783"/>
      <c r="AH1161" s="1783"/>
      <c r="AI1161" s="1783"/>
      <c r="AJ1161" s="1783"/>
      <c r="AK1161" s="1783"/>
      <c r="AL1161" s="1783"/>
      <c r="AM1161" s="1783"/>
      <c r="AN1161" s="1783"/>
      <c r="AO1161" s="1783"/>
      <c r="AP1161" s="1783"/>
      <c r="AQ1161" s="1783"/>
      <c r="AR1161" s="1783"/>
      <c r="AS1161" s="1783"/>
      <c r="AT1161" s="1783"/>
      <c r="AU1161" s="1783"/>
      <c r="AV1161" s="1783"/>
      <c r="AW1161" s="1783"/>
      <c r="AX1161" s="1783"/>
      <c r="AY1161" s="1783"/>
      <c r="AZ1161" s="1783"/>
      <c r="BA1161" s="1783"/>
      <c r="BB1161" s="1783"/>
      <c r="BC1161" s="1783"/>
      <c r="BD1161" s="1783"/>
      <c r="BE1161" s="1783"/>
      <c r="BF1161" s="1783"/>
      <c r="BG1161" s="1783"/>
      <c r="BH1161" s="1783"/>
      <c r="BI1161" s="1783"/>
    </row>
    <row r="1162" spans="1:61">
      <c r="A1162" s="1819"/>
      <c r="B1162" s="1818"/>
      <c r="C1162" s="1818"/>
      <c r="D1162" s="1818"/>
      <c r="E1162" s="1818"/>
      <c r="F1162" s="1818"/>
      <c r="G1162" s="1818"/>
      <c r="H1162" s="1783"/>
      <c r="I1162" s="1783"/>
      <c r="J1162" s="1783"/>
      <c r="K1162" s="1783"/>
      <c r="L1162" s="1783"/>
      <c r="M1162" s="1783"/>
      <c r="N1162" s="1783"/>
      <c r="O1162" s="1783"/>
      <c r="P1162" s="1783"/>
      <c r="Q1162" s="1783"/>
      <c r="R1162" s="1783"/>
      <c r="S1162" s="1783"/>
      <c r="T1162" s="1783"/>
      <c r="U1162" s="1783"/>
      <c r="V1162" s="1783"/>
      <c r="W1162" s="1783"/>
      <c r="X1162" s="1783"/>
      <c r="Y1162" s="1783"/>
      <c r="Z1162" s="1783"/>
      <c r="AA1162" s="1783"/>
      <c r="AB1162" s="1783"/>
      <c r="AC1162" s="1783"/>
      <c r="AD1162" s="1783"/>
      <c r="AE1162" s="1783"/>
      <c r="AF1162" s="1783"/>
      <c r="AG1162" s="1783"/>
      <c r="AH1162" s="1783"/>
      <c r="AI1162" s="1783"/>
      <c r="AJ1162" s="1783"/>
      <c r="AK1162" s="1783"/>
      <c r="AL1162" s="1783"/>
      <c r="AM1162" s="1783"/>
      <c r="AN1162" s="1783"/>
      <c r="AO1162" s="1783"/>
      <c r="AP1162" s="1783"/>
      <c r="AQ1162" s="1783"/>
      <c r="AR1162" s="1783"/>
      <c r="AS1162" s="1783"/>
      <c r="AT1162" s="1783"/>
      <c r="AU1162" s="1783"/>
      <c r="AV1162" s="1783"/>
      <c r="AW1162" s="1783"/>
      <c r="AX1162" s="1783"/>
      <c r="AY1162" s="1783"/>
      <c r="AZ1162" s="1783"/>
      <c r="BA1162" s="1783"/>
      <c r="BB1162" s="1783"/>
      <c r="BC1162" s="1783"/>
      <c r="BD1162" s="1783"/>
      <c r="BE1162" s="1783"/>
      <c r="BF1162" s="1783"/>
      <c r="BG1162" s="1783"/>
      <c r="BH1162" s="1783"/>
      <c r="BI1162" s="1783"/>
    </row>
    <row r="1163" spans="1:61">
      <c r="A1163" s="1819"/>
      <c r="B1163" s="1818"/>
      <c r="C1163" s="1818"/>
      <c r="D1163" s="1818"/>
      <c r="E1163" s="1818"/>
      <c r="F1163" s="1818"/>
      <c r="G1163" s="1818"/>
      <c r="H1163" s="1783"/>
      <c r="I1163" s="1783"/>
      <c r="J1163" s="1783"/>
      <c r="K1163" s="1783"/>
      <c r="L1163" s="1783"/>
      <c r="M1163" s="1783"/>
      <c r="N1163" s="1783"/>
      <c r="O1163" s="1783"/>
      <c r="P1163" s="1783"/>
      <c r="Q1163" s="1783"/>
      <c r="R1163" s="1783"/>
      <c r="S1163" s="1783"/>
      <c r="T1163" s="1783"/>
      <c r="U1163" s="1783"/>
      <c r="V1163" s="1783"/>
      <c r="W1163" s="1783"/>
      <c r="X1163" s="1783"/>
      <c r="Y1163" s="1783"/>
      <c r="Z1163" s="1783"/>
      <c r="AA1163" s="1783"/>
      <c r="AB1163" s="1783"/>
      <c r="AC1163" s="1783"/>
      <c r="AD1163" s="1783"/>
      <c r="AE1163" s="1783"/>
      <c r="AF1163" s="1783"/>
      <c r="AG1163" s="1783"/>
      <c r="AH1163" s="1783"/>
      <c r="AI1163" s="1783"/>
      <c r="AJ1163" s="1783"/>
      <c r="AK1163" s="1783"/>
      <c r="AL1163" s="1783"/>
      <c r="AM1163" s="1783"/>
      <c r="AN1163" s="1783"/>
      <c r="AO1163" s="1783"/>
      <c r="AP1163" s="1783"/>
      <c r="AQ1163" s="1783"/>
      <c r="AR1163" s="1783"/>
      <c r="AS1163" s="1783"/>
      <c r="AT1163" s="1783"/>
      <c r="AU1163" s="1783"/>
      <c r="AV1163" s="1783"/>
      <c r="AW1163" s="1783"/>
      <c r="AX1163" s="1783"/>
      <c r="AY1163" s="1783"/>
      <c r="AZ1163" s="1783"/>
      <c r="BA1163" s="1783"/>
      <c r="BB1163" s="1783"/>
      <c r="BC1163" s="1783"/>
      <c r="BD1163" s="1783"/>
      <c r="BE1163" s="1783"/>
      <c r="BF1163" s="1783"/>
      <c r="BG1163" s="1783"/>
      <c r="BH1163" s="1783"/>
      <c r="BI1163" s="1783"/>
    </row>
    <row r="1164" spans="1:61">
      <c r="A1164" s="1819"/>
      <c r="B1164" s="1818"/>
      <c r="C1164" s="1818"/>
      <c r="D1164" s="1818"/>
      <c r="E1164" s="1818"/>
      <c r="F1164" s="1818"/>
      <c r="G1164" s="1818"/>
      <c r="H1164" s="1783"/>
      <c r="I1164" s="1783"/>
      <c r="J1164" s="1783"/>
      <c r="K1164" s="1783"/>
      <c r="L1164" s="1783"/>
      <c r="M1164" s="1783"/>
      <c r="N1164" s="1783"/>
      <c r="O1164" s="1783"/>
      <c r="P1164" s="1783"/>
      <c r="Q1164" s="1783"/>
      <c r="R1164" s="1783"/>
      <c r="S1164" s="1783"/>
      <c r="T1164" s="1783"/>
      <c r="U1164" s="1783"/>
      <c r="V1164" s="1783"/>
      <c r="W1164" s="1783"/>
      <c r="X1164" s="1783"/>
      <c r="Y1164" s="1783"/>
      <c r="Z1164" s="1783"/>
      <c r="AA1164" s="1783"/>
      <c r="AB1164" s="1783"/>
      <c r="AC1164" s="1783"/>
      <c r="AD1164" s="1783"/>
      <c r="AE1164" s="1783"/>
      <c r="AF1164" s="1783"/>
      <c r="AG1164" s="1783"/>
      <c r="AH1164" s="1783"/>
      <c r="AI1164" s="1783"/>
      <c r="AJ1164" s="1783"/>
      <c r="AK1164" s="1783"/>
      <c r="AL1164" s="1783"/>
      <c r="AM1164" s="1783"/>
      <c r="AN1164" s="1783"/>
      <c r="AO1164" s="1783"/>
      <c r="AP1164" s="1783"/>
      <c r="AQ1164" s="1783"/>
      <c r="AR1164" s="1783"/>
      <c r="AS1164" s="1783"/>
      <c r="AT1164" s="1783"/>
      <c r="AU1164" s="1783"/>
      <c r="AV1164" s="1783"/>
      <c r="AW1164" s="1783"/>
      <c r="AX1164" s="1783"/>
      <c r="AY1164" s="1783"/>
      <c r="AZ1164" s="1783"/>
      <c r="BA1164" s="1783"/>
      <c r="BB1164" s="1783"/>
      <c r="BC1164" s="1783"/>
      <c r="BD1164" s="1783"/>
      <c r="BE1164" s="1783"/>
      <c r="BF1164" s="1783"/>
      <c r="BG1164" s="1783"/>
      <c r="BH1164" s="1783"/>
      <c r="BI1164" s="1783"/>
    </row>
    <row r="1165" spans="1:61">
      <c r="A1165" s="1819"/>
      <c r="B1165" s="1818"/>
      <c r="C1165" s="1818"/>
      <c r="D1165" s="1818"/>
      <c r="E1165" s="1818"/>
      <c r="F1165" s="1818"/>
      <c r="G1165" s="1818"/>
      <c r="H1165" s="1783"/>
      <c r="I1165" s="1783"/>
      <c r="J1165" s="1783"/>
      <c r="K1165" s="1783"/>
      <c r="L1165" s="1783"/>
      <c r="M1165" s="1783"/>
      <c r="N1165" s="1783"/>
      <c r="O1165" s="1783"/>
      <c r="P1165" s="1783"/>
      <c r="Q1165" s="1783"/>
      <c r="R1165" s="1783"/>
      <c r="S1165" s="1783"/>
      <c r="T1165" s="1783"/>
      <c r="U1165" s="1783"/>
      <c r="V1165" s="1783"/>
      <c r="W1165" s="1783"/>
      <c r="X1165" s="1783"/>
      <c r="Y1165" s="1783"/>
      <c r="Z1165" s="1783"/>
      <c r="AA1165" s="1783"/>
      <c r="AB1165" s="1783"/>
      <c r="AC1165" s="1783"/>
      <c r="AD1165" s="1783"/>
      <c r="AE1165" s="1783"/>
      <c r="AF1165" s="1783"/>
      <c r="AG1165" s="1783"/>
      <c r="AH1165" s="1783"/>
      <c r="AI1165" s="1783"/>
      <c r="AJ1165" s="1783"/>
      <c r="AK1165" s="1783"/>
      <c r="AL1165" s="1783"/>
      <c r="AM1165" s="1783"/>
      <c r="AN1165" s="1783"/>
      <c r="AO1165" s="1783"/>
      <c r="AP1165" s="1783"/>
      <c r="AQ1165" s="1783"/>
      <c r="AR1165" s="1783"/>
      <c r="AS1165" s="1783"/>
      <c r="AT1165" s="1783"/>
      <c r="AU1165" s="1783"/>
      <c r="AV1165" s="1783"/>
      <c r="AW1165" s="1783"/>
      <c r="AX1165" s="1783"/>
      <c r="AY1165" s="1783"/>
      <c r="AZ1165" s="1783"/>
      <c r="BA1165" s="1783"/>
      <c r="BB1165" s="1783"/>
      <c r="BC1165" s="1783"/>
      <c r="BD1165" s="1783"/>
      <c r="BE1165" s="1783"/>
      <c r="BF1165" s="1783"/>
      <c r="BG1165" s="1783"/>
      <c r="BH1165" s="1783"/>
      <c r="BI1165" s="1783"/>
    </row>
    <row r="1166" spans="1:61">
      <c r="A1166" s="1819"/>
      <c r="B1166" s="1818"/>
      <c r="C1166" s="1818"/>
      <c r="D1166" s="1818"/>
      <c r="E1166" s="1818"/>
      <c r="F1166" s="1818"/>
      <c r="G1166" s="1818"/>
      <c r="H1166" s="1783"/>
      <c r="I1166" s="1783"/>
      <c r="J1166" s="1783"/>
      <c r="K1166" s="1783"/>
      <c r="L1166" s="1783"/>
      <c r="M1166" s="1783"/>
      <c r="N1166" s="1783"/>
      <c r="O1166" s="1783"/>
      <c r="P1166" s="1783"/>
      <c r="Q1166" s="1783"/>
      <c r="R1166" s="1783"/>
      <c r="S1166" s="1783"/>
      <c r="T1166" s="1783"/>
      <c r="U1166" s="1783"/>
      <c r="V1166" s="1783"/>
      <c r="W1166" s="1783"/>
      <c r="X1166" s="1783"/>
      <c r="Y1166" s="1783"/>
      <c r="Z1166" s="1783"/>
      <c r="AA1166" s="1783"/>
      <c r="AB1166" s="1783"/>
      <c r="AC1166" s="1783"/>
      <c r="AD1166" s="1783"/>
      <c r="AE1166" s="1783"/>
      <c r="AF1166" s="1783"/>
      <c r="AG1166" s="1783"/>
      <c r="AH1166" s="1783"/>
      <c r="AI1166" s="1783"/>
      <c r="AJ1166" s="1783"/>
      <c r="AK1166" s="1783"/>
      <c r="AL1166" s="1783"/>
      <c r="AM1166" s="1783"/>
      <c r="AN1166" s="1783"/>
      <c r="AO1166" s="1783"/>
      <c r="AP1166" s="1783"/>
      <c r="AQ1166" s="1783"/>
      <c r="AR1166" s="1783"/>
      <c r="AS1166" s="1783"/>
      <c r="AT1166" s="1783"/>
      <c r="AU1166" s="1783"/>
      <c r="AV1166" s="1783"/>
      <c r="AW1166" s="1783"/>
      <c r="AX1166" s="1783"/>
      <c r="AY1166" s="1783"/>
      <c r="AZ1166" s="1783"/>
      <c r="BA1166" s="1783"/>
      <c r="BB1166" s="1783"/>
      <c r="BC1166" s="1783"/>
      <c r="BD1166" s="1783"/>
      <c r="BE1166" s="1783"/>
      <c r="BF1166" s="1783"/>
      <c r="BG1166" s="1783"/>
      <c r="BH1166" s="1783"/>
      <c r="BI1166" s="1783"/>
    </row>
    <row r="1167" spans="1:61">
      <c r="A1167" s="1819"/>
      <c r="B1167" s="1818"/>
      <c r="C1167" s="1818"/>
      <c r="D1167" s="1818"/>
      <c r="E1167" s="1818"/>
      <c r="F1167" s="1818"/>
      <c r="G1167" s="1818"/>
      <c r="H1167" s="1783"/>
      <c r="I1167" s="1783"/>
      <c r="J1167" s="1783"/>
      <c r="K1167" s="1783"/>
      <c r="L1167" s="1783"/>
      <c r="M1167" s="1783"/>
      <c r="N1167" s="1783"/>
      <c r="O1167" s="1783"/>
      <c r="P1167" s="1783"/>
      <c r="Q1167" s="1783"/>
      <c r="R1167" s="1783"/>
      <c r="S1167" s="1783"/>
      <c r="T1167" s="1783"/>
      <c r="U1167" s="1783"/>
      <c r="V1167" s="1783"/>
      <c r="W1167" s="1783"/>
      <c r="X1167" s="1783"/>
      <c r="Y1167" s="1783"/>
      <c r="Z1167" s="1783"/>
      <c r="AA1167" s="1783"/>
      <c r="AB1167" s="1783"/>
      <c r="AC1167" s="1783"/>
      <c r="AD1167" s="1783"/>
      <c r="AE1167" s="1783"/>
      <c r="AF1167" s="1783"/>
      <c r="AG1167" s="1783"/>
      <c r="AH1167" s="1783"/>
      <c r="AI1167" s="1783"/>
      <c r="AJ1167" s="1783"/>
      <c r="AK1167" s="1783"/>
      <c r="AL1167" s="1783"/>
      <c r="AM1167" s="1783"/>
      <c r="AN1167" s="1783"/>
      <c r="AO1167" s="1783"/>
      <c r="AP1167" s="1783"/>
      <c r="AQ1167" s="1783"/>
      <c r="AR1167" s="1783"/>
      <c r="AS1167" s="1783"/>
      <c r="AT1167" s="1783"/>
      <c r="AU1167" s="1783"/>
      <c r="AV1167" s="1783"/>
      <c r="AW1167" s="1783"/>
      <c r="AX1167" s="1783"/>
      <c r="AY1167" s="1783"/>
      <c r="AZ1167" s="1783"/>
      <c r="BA1167" s="1783"/>
      <c r="BB1167" s="1783"/>
      <c r="BC1167" s="1783"/>
      <c r="BD1167" s="1783"/>
      <c r="BE1167" s="1783"/>
      <c r="BF1167" s="1783"/>
      <c r="BG1167" s="1783"/>
      <c r="BH1167" s="1783"/>
      <c r="BI1167" s="1783"/>
    </row>
    <row r="1168" spans="1:61">
      <c r="A1168" s="1819"/>
      <c r="B1168" s="1818"/>
      <c r="C1168" s="1818"/>
      <c r="D1168" s="1818"/>
      <c r="E1168" s="1818"/>
      <c r="F1168" s="1818"/>
      <c r="G1168" s="1818"/>
      <c r="H1168" s="1783"/>
      <c r="I1168" s="1783"/>
      <c r="J1168" s="1783"/>
      <c r="K1168" s="1783"/>
      <c r="L1168" s="1783"/>
      <c r="M1168" s="1783"/>
      <c r="N1168" s="1783"/>
      <c r="O1168" s="1783"/>
      <c r="P1168" s="1783"/>
      <c r="Q1168" s="1783"/>
      <c r="R1168" s="1783"/>
      <c r="S1168" s="1783"/>
      <c r="T1168" s="1783"/>
      <c r="U1168" s="1783"/>
      <c r="V1168" s="1783"/>
      <c r="W1168" s="1783"/>
      <c r="X1168" s="1783"/>
      <c r="Y1168" s="1783"/>
      <c r="Z1168" s="1783"/>
      <c r="AA1168" s="1783"/>
      <c r="AB1168" s="1783"/>
      <c r="AC1168" s="1783"/>
      <c r="AD1168" s="1783"/>
      <c r="AE1168" s="1783"/>
      <c r="AF1168" s="1783"/>
      <c r="AG1168" s="1783"/>
      <c r="AH1168" s="1783"/>
      <c r="AI1168" s="1783"/>
      <c r="AJ1168" s="1783"/>
      <c r="AK1168" s="1783"/>
      <c r="AL1168" s="1783"/>
      <c r="AM1168" s="1783"/>
      <c r="AN1168" s="1783"/>
      <c r="AO1168" s="1783"/>
      <c r="AP1168" s="1783"/>
      <c r="AQ1168" s="1783"/>
      <c r="AR1168" s="1783"/>
      <c r="AS1168" s="1783"/>
      <c r="AT1168" s="1783"/>
      <c r="AU1168" s="1783"/>
      <c r="AV1168" s="1783"/>
      <c r="AW1168" s="1783"/>
      <c r="AX1168" s="1783"/>
      <c r="AY1168" s="1783"/>
      <c r="AZ1168" s="1783"/>
      <c r="BA1168" s="1783"/>
      <c r="BB1168" s="1783"/>
      <c r="BC1168" s="1783"/>
      <c r="BD1168" s="1783"/>
      <c r="BE1168" s="1783"/>
      <c r="BF1168" s="1783"/>
      <c r="BG1168" s="1783"/>
      <c r="BH1168" s="1783"/>
      <c r="BI1168" s="1783"/>
    </row>
    <row r="1169" spans="1:61">
      <c r="A1169" s="1819"/>
      <c r="B1169" s="1818"/>
      <c r="C1169" s="1818"/>
      <c r="D1169" s="1818"/>
      <c r="E1169" s="1818"/>
      <c r="F1169" s="1818"/>
      <c r="G1169" s="1818"/>
      <c r="H1169" s="1783"/>
      <c r="I1169" s="1783"/>
      <c r="J1169" s="1783"/>
      <c r="K1169" s="1783"/>
      <c r="L1169" s="1783"/>
      <c r="M1169" s="1783"/>
      <c r="N1169" s="1783"/>
      <c r="O1169" s="1783"/>
      <c r="P1169" s="1783"/>
      <c r="Q1169" s="1783"/>
      <c r="R1169" s="1783"/>
      <c r="S1169" s="1783"/>
      <c r="T1169" s="1783"/>
      <c r="U1169" s="1783"/>
      <c r="V1169" s="1783"/>
      <c r="W1169" s="1783"/>
      <c r="X1169" s="1783"/>
      <c r="Y1169" s="1783"/>
      <c r="Z1169" s="1783"/>
      <c r="AA1169" s="1783"/>
      <c r="AB1169" s="1783"/>
      <c r="AC1169" s="1783"/>
      <c r="AD1169" s="1783"/>
      <c r="AE1169" s="1783"/>
      <c r="AF1169" s="1783"/>
      <c r="AG1169" s="1783"/>
      <c r="AH1169" s="1783"/>
      <c r="AI1169" s="1783"/>
      <c r="AJ1169" s="1783"/>
      <c r="AK1169" s="1783"/>
      <c r="AL1169" s="1783"/>
      <c r="AM1169" s="1783"/>
      <c r="AN1169" s="1783"/>
      <c r="AO1169" s="1783"/>
      <c r="AP1169" s="1783"/>
      <c r="AQ1169" s="1783"/>
      <c r="AR1169" s="1783"/>
      <c r="AS1169" s="1783"/>
      <c r="AT1169" s="1783"/>
      <c r="AU1169" s="1783"/>
      <c r="AV1169" s="1783"/>
      <c r="AW1169" s="1783"/>
      <c r="AX1169" s="1783"/>
      <c r="AY1169" s="1783"/>
      <c r="AZ1169" s="1783"/>
      <c r="BA1169" s="1783"/>
      <c r="BB1169" s="1783"/>
      <c r="BC1169" s="1783"/>
      <c r="BD1169" s="1783"/>
      <c r="BE1169" s="1783"/>
      <c r="BF1169" s="1783"/>
      <c r="BG1169" s="1783"/>
      <c r="BH1169" s="1783"/>
      <c r="BI1169" s="1783"/>
    </row>
    <row r="1170" spans="1:61">
      <c r="A1170" s="1819"/>
      <c r="B1170" s="1818"/>
      <c r="C1170" s="1818"/>
      <c r="D1170" s="1818"/>
      <c r="E1170" s="1818"/>
      <c r="F1170" s="1818"/>
      <c r="G1170" s="1818"/>
      <c r="H1170" s="1783"/>
      <c r="I1170" s="1783"/>
      <c r="J1170" s="1783"/>
      <c r="K1170" s="1783"/>
      <c r="L1170" s="1783"/>
      <c r="M1170" s="1783"/>
      <c r="N1170" s="1783"/>
      <c r="O1170" s="1783"/>
      <c r="P1170" s="1783"/>
      <c r="Q1170" s="1783"/>
      <c r="R1170" s="1783"/>
      <c r="S1170" s="1783"/>
      <c r="T1170" s="1783"/>
      <c r="U1170" s="1783"/>
      <c r="V1170" s="1783"/>
      <c r="W1170" s="1783"/>
      <c r="X1170" s="1783"/>
      <c r="Y1170" s="1783"/>
      <c r="Z1170" s="1783"/>
      <c r="AA1170" s="1783"/>
      <c r="AB1170" s="1783"/>
      <c r="AC1170" s="1783"/>
      <c r="AD1170" s="1783"/>
      <c r="AE1170" s="1783"/>
      <c r="AF1170" s="1783"/>
      <c r="AG1170" s="1783"/>
      <c r="AH1170" s="1783"/>
      <c r="AI1170" s="1783"/>
      <c r="AJ1170" s="1783"/>
      <c r="AK1170" s="1783"/>
      <c r="AL1170" s="1783"/>
      <c r="AM1170" s="1783"/>
      <c r="AN1170" s="1783"/>
      <c r="AO1170" s="1783"/>
      <c r="AP1170" s="1783"/>
      <c r="AQ1170" s="1783"/>
      <c r="AR1170" s="1783"/>
      <c r="AS1170" s="1783"/>
      <c r="AT1170" s="1783"/>
      <c r="AU1170" s="1783"/>
      <c r="AV1170" s="1783"/>
      <c r="AW1170" s="1783"/>
      <c r="AX1170" s="1783"/>
      <c r="AY1170" s="1783"/>
      <c r="AZ1170" s="1783"/>
      <c r="BA1170" s="1783"/>
      <c r="BB1170" s="1783"/>
      <c r="BC1170" s="1783"/>
      <c r="BD1170" s="1783"/>
      <c r="BE1170" s="1783"/>
      <c r="BF1170" s="1783"/>
      <c r="BG1170" s="1783"/>
      <c r="BH1170" s="1783"/>
      <c r="BI1170" s="1783"/>
    </row>
    <row r="1171" spans="1:61">
      <c r="A1171" s="1819"/>
      <c r="B1171" s="1818"/>
      <c r="C1171" s="1818"/>
      <c r="D1171" s="1818"/>
      <c r="E1171" s="1818"/>
      <c r="F1171" s="1818"/>
      <c r="G1171" s="1818"/>
      <c r="H1171" s="1783"/>
      <c r="I1171" s="1783"/>
      <c r="J1171" s="1783"/>
      <c r="K1171" s="1783"/>
      <c r="L1171" s="1783"/>
      <c r="M1171" s="1783"/>
      <c r="N1171" s="1783"/>
      <c r="O1171" s="1783"/>
      <c r="P1171" s="1783"/>
      <c r="Q1171" s="1783"/>
      <c r="R1171" s="1783"/>
      <c r="S1171" s="1783"/>
      <c r="T1171" s="1783"/>
      <c r="U1171" s="1783"/>
      <c r="V1171" s="1783"/>
      <c r="W1171" s="1783"/>
      <c r="X1171" s="1783"/>
      <c r="Y1171" s="1783"/>
      <c r="Z1171" s="1783"/>
      <c r="AA1171" s="1783"/>
      <c r="AB1171" s="1783"/>
      <c r="AC1171" s="1783"/>
      <c r="AD1171" s="1783"/>
      <c r="AE1171" s="1783"/>
      <c r="AF1171" s="1783"/>
      <c r="AG1171" s="1783"/>
      <c r="AH1171" s="1783"/>
      <c r="AI1171" s="1783"/>
      <c r="AJ1171" s="1783"/>
      <c r="AK1171" s="1783"/>
      <c r="AL1171" s="1783"/>
      <c r="AM1171" s="1783"/>
      <c r="AN1171" s="1783"/>
      <c r="AO1171" s="1783"/>
      <c r="AP1171" s="1783"/>
      <c r="AQ1171" s="1783"/>
      <c r="AR1171" s="1783"/>
      <c r="AS1171" s="1783"/>
      <c r="AT1171" s="1783"/>
      <c r="AU1171" s="1783"/>
      <c r="AV1171" s="1783"/>
      <c r="AW1171" s="1783"/>
      <c r="AX1171" s="1783"/>
      <c r="AY1171" s="1783"/>
      <c r="AZ1171" s="1783"/>
      <c r="BA1171" s="1783"/>
      <c r="BB1171" s="1783"/>
      <c r="BC1171" s="1783"/>
      <c r="BD1171" s="1783"/>
      <c r="BE1171" s="1783"/>
      <c r="BF1171" s="1783"/>
      <c r="BG1171" s="1783"/>
      <c r="BH1171" s="1783"/>
      <c r="BI1171" s="1783"/>
    </row>
    <row r="1172" spans="1:61">
      <c r="A1172" s="1819"/>
      <c r="B1172" s="1818"/>
      <c r="C1172" s="1818"/>
      <c r="D1172" s="1818"/>
      <c r="E1172" s="1818"/>
      <c r="F1172" s="1818"/>
      <c r="G1172" s="1818"/>
      <c r="H1172" s="1783"/>
      <c r="I1172" s="1783"/>
      <c r="J1172" s="1783"/>
      <c r="K1172" s="1783"/>
      <c r="L1172" s="1783"/>
      <c r="M1172" s="1783"/>
      <c r="N1172" s="1783"/>
      <c r="O1172" s="1783"/>
      <c r="P1172" s="1783"/>
      <c r="Q1172" s="1783"/>
      <c r="R1172" s="1783"/>
      <c r="S1172" s="1783"/>
      <c r="T1172" s="1783"/>
      <c r="U1172" s="1783"/>
      <c r="V1172" s="1783"/>
      <c r="W1172" s="1783"/>
      <c r="X1172" s="1783"/>
      <c r="Y1172" s="1783"/>
      <c r="Z1172" s="1783"/>
      <c r="AA1172" s="1783"/>
      <c r="AB1172" s="1783"/>
      <c r="AC1172" s="1783"/>
      <c r="AD1172" s="1783"/>
      <c r="AE1172" s="1783"/>
      <c r="AF1172" s="1783"/>
      <c r="AG1172" s="1783"/>
      <c r="AH1172" s="1783"/>
      <c r="AI1172" s="1783"/>
      <c r="AJ1172" s="1783"/>
      <c r="AK1172" s="1783"/>
      <c r="AL1172" s="1783"/>
      <c r="AM1172" s="1783"/>
      <c r="AN1172" s="1783"/>
      <c r="AO1172" s="1783"/>
      <c r="AP1172" s="1783"/>
      <c r="AQ1172" s="1783"/>
      <c r="AR1172" s="1783"/>
      <c r="AS1172" s="1783"/>
      <c r="AT1172" s="1783"/>
      <c r="AU1172" s="1783"/>
      <c r="AV1172" s="1783"/>
      <c r="AW1172" s="1783"/>
      <c r="AX1172" s="1783"/>
      <c r="AY1172" s="1783"/>
      <c r="AZ1172" s="1783"/>
      <c r="BA1172" s="1783"/>
      <c r="BB1172" s="1783"/>
      <c r="BC1172" s="1783"/>
      <c r="BD1172" s="1783"/>
      <c r="BE1172" s="1783"/>
      <c r="BF1172" s="1783"/>
      <c r="BG1172" s="1783"/>
      <c r="BH1172" s="1783"/>
      <c r="BI1172" s="1783"/>
    </row>
    <row r="1173" spans="1:61">
      <c r="A1173" s="1819"/>
      <c r="B1173" s="1818"/>
      <c r="C1173" s="1818"/>
      <c r="D1173" s="1818"/>
      <c r="E1173" s="1818"/>
      <c r="F1173" s="1818"/>
      <c r="G1173" s="1818"/>
      <c r="H1173" s="1783"/>
      <c r="I1173" s="1783"/>
      <c r="J1173" s="1783"/>
      <c r="K1173" s="1783"/>
      <c r="L1173" s="1783"/>
      <c r="M1173" s="1783"/>
      <c r="N1173" s="1783"/>
      <c r="O1173" s="1783"/>
      <c r="P1173" s="1783"/>
      <c r="Q1173" s="1783"/>
      <c r="R1173" s="1783"/>
      <c r="S1173" s="1783"/>
      <c r="T1173" s="1783"/>
      <c r="U1173" s="1783"/>
      <c r="V1173" s="1783"/>
      <c r="W1173" s="1783"/>
      <c r="X1173" s="1783"/>
      <c r="Y1173" s="1783"/>
      <c r="Z1173" s="1783"/>
      <c r="AA1173" s="1783"/>
      <c r="AB1173" s="1783"/>
      <c r="AC1173" s="1783"/>
      <c r="AD1173" s="1783"/>
      <c r="AE1173" s="1783"/>
      <c r="AF1173" s="1783"/>
      <c r="AG1173" s="1783"/>
      <c r="AH1173" s="1783"/>
      <c r="AI1173" s="1783"/>
      <c r="AJ1173" s="1783"/>
      <c r="AK1173" s="1783"/>
      <c r="AL1173" s="1783"/>
      <c r="AM1173" s="1783"/>
      <c r="AN1173" s="1783"/>
      <c r="AO1173" s="1783"/>
      <c r="AP1173" s="1783"/>
      <c r="AQ1173" s="1783"/>
      <c r="AR1173" s="1783"/>
      <c r="AS1173" s="1783"/>
      <c r="AT1173" s="1783"/>
      <c r="AU1173" s="1783"/>
      <c r="AV1173" s="1783"/>
      <c r="AW1173" s="1783"/>
      <c r="AX1173" s="1783"/>
      <c r="AY1173" s="1783"/>
      <c r="AZ1173" s="1783"/>
      <c r="BA1173" s="1783"/>
      <c r="BB1173" s="1783"/>
      <c r="BC1173" s="1783"/>
      <c r="BD1173" s="1783"/>
      <c r="BE1173" s="1783"/>
      <c r="BF1173" s="1783"/>
      <c r="BG1173" s="1783"/>
      <c r="BH1173" s="1783"/>
      <c r="BI1173" s="1783"/>
    </row>
    <row r="1174" spans="1:61">
      <c r="A1174" s="1819"/>
      <c r="B1174" s="1818"/>
      <c r="C1174" s="1818"/>
      <c r="D1174" s="1818"/>
      <c r="E1174" s="1818"/>
      <c r="F1174" s="1818"/>
      <c r="G1174" s="1818"/>
      <c r="H1174" s="1783"/>
      <c r="I1174" s="1783"/>
      <c r="J1174" s="1783"/>
      <c r="K1174" s="1783"/>
      <c r="L1174" s="1783"/>
      <c r="M1174" s="1783"/>
      <c r="N1174" s="1783"/>
      <c r="O1174" s="1783"/>
      <c r="P1174" s="1783"/>
      <c r="Q1174" s="1783"/>
      <c r="R1174" s="1783"/>
      <c r="S1174" s="1783"/>
      <c r="T1174" s="1783"/>
      <c r="U1174" s="1783"/>
      <c r="V1174" s="1783"/>
      <c r="W1174" s="1783"/>
      <c r="X1174" s="1783"/>
      <c r="Y1174" s="1783"/>
      <c r="Z1174" s="1783"/>
      <c r="AA1174" s="1783"/>
      <c r="AB1174" s="1783"/>
      <c r="AC1174" s="1783"/>
      <c r="AD1174" s="1783"/>
      <c r="AE1174" s="1783"/>
      <c r="AF1174" s="1783"/>
      <c r="AG1174" s="1783"/>
      <c r="AH1174" s="1783"/>
      <c r="AI1174" s="1783"/>
      <c r="AJ1174" s="1783"/>
      <c r="AK1174" s="1783"/>
      <c r="AL1174" s="1783"/>
      <c r="AM1174" s="1783"/>
      <c r="AN1174" s="1783"/>
      <c r="AO1174" s="1783"/>
      <c r="AP1174" s="1783"/>
      <c r="AQ1174" s="1783"/>
      <c r="AR1174" s="1783"/>
      <c r="AS1174" s="1783"/>
      <c r="AT1174" s="1783"/>
      <c r="AU1174" s="1783"/>
      <c r="AV1174" s="1783"/>
      <c r="AW1174" s="1783"/>
      <c r="AX1174" s="1783"/>
      <c r="AY1174" s="1783"/>
      <c r="AZ1174" s="1783"/>
      <c r="BA1174" s="1783"/>
      <c r="BB1174" s="1783"/>
      <c r="BC1174" s="1783"/>
      <c r="BD1174" s="1783"/>
      <c r="BE1174" s="1783"/>
      <c r="BF1174" s="1783"/>
      <c r="BG1174" s="1783"/>
      <c r="BH1174" s="1783"/>
      <c r="BI1174" s="1783"/>
    </row>
    <row r="1175" spans="1:61">
      <c r="A1175" s="1819"/>
      <c r="B1175" s="1818"/>
      <c r="C1175" s="1818"/>
      <c r="D1175" s="1818"/>
      <c r="E1175" s="1818"/>
      <c r="F1175" s="1818"/>
      <c r="G1175" s="1818"/>
      <c r="H1175" s="1783"/>
      <c r="I1175" s="1783"/>
      <c r="J1175" s="1783"/>
      <c r="K1175" s="1783"/>
      <c r="L1175" s="1783"/>
      <c r="M1175" s="1783"/>
      <c r="N1175" s="1783"/>
      <c r="O1175" s="1783"/>
      <c r="P1175" s="1783"/>
      <c r="Q1175" s="1783"/>
      <c r="R1175" s="1783"/>
      <c r="S1175" s="1783"/>
      <c r="T1175" s="1783"/>
      <c r="U1175" s="1783"/>
      <c r="V1175" s="1783"/>
      <c r="W1175" s="1783"/>
      <c r="X1175" s="1783"/>
      <c r="Y1175" s="1783"/>
      <c r="Z1175" s="1783"/>
      <c r="AA1175" s="1783"/>
      <c r="AB1175" s="1783"/>
      <c r="AC1175" s="1783"/>
      <c r="AD1175" s="1783"/>
      <c r="AE1175" s="1783"/>
      <c r="AF1175" s="1783"/>
      <c r="AG1175" s="1783"/>
      <c r="AH1175" s="1783"/>
      <c r="AI1175" s="1783"/>
      <c r="AJ1175" s="1783"/>
      <c r="AK1175" s="1783"/>
      <c r="AL1175" s="1783"/>
      <c r="AM1175" s="1783"/>
      <c r="AN1175" s="1783"/>
      <c r="AO1175" s="1783"/>
      <c r="AP1175" s="1783"/>
      <c r="AQ1175" s="1783"/>
      <c r="AR1175" s="1783"/>
      <c r="AS1175" s="1783"/>
      <c r="AT1175" s="1783"/>
      <c r="AU1175" s="1783"/>
      <c r="AV1175" s="1783"/>
      <c r="AW1175" s="1783"/>
      <c r="AX1175" s="1783"/>
      <c r="AY1175" s="1783"/>
      <c r="AZ1175" s="1783"/>
      <c r="BA1175" s="1783"/>
      <c r="BB1175" s="1783"/>
      <c r="BC1175" s="1783"/>
      <c r="BD1175" s="1783"/>
      <c r="BE1175" s="1783"/>
      <c r="BF1175" s="1783"/>
      <c r="BG1175" s="1783"/>
      <c r="BH1175" s="1783"/>
      <c r="BI1175" s="1783"/>
    </row>
    <row r="1176" spans="1:61">
      <c r="A1176" s="1819"/>
      <c r="B1176" s="1818"/>
      <c r="C1176" s="1818"/>
      <c r="D1176" s="1818"/>
      <c r="E1176" s="1818"/>
      <c r="F1176" s="1818"/>
      <c r="G1176" s="1818"/>
      <c r="H1176" s="1783"/>
      <c r="I1176" s="1783"/>
      <c r="J1176" s="1783"/>
      <c r="K1176" s="1783"/>
      <c r="L1176" s="1783"/>
      <c r="M1176" s="1783"/>
      <c r="N1176" s="1783"/>
      <c r="O1176" s="1783"/>
      <c r="P1176" s="1783"/>
      <c r="Q1176" s="1783"/>
      <c r="R1176" s="1783"/>
      <c r="S1176" s="1783"/>
      <c r="T1176" s="1783"/>
      <c r="U1176" s="1783"/>
      <c r="V1176" s="1783"/>
      <c r="W1176" s="1783"/>
      <c r="X1176" s="1783"/>
      <c r="Y1176" s="1783"/>
      <c r="Z1176" s="1783"/>
      <c r="AA1176" s="1783"/>
      <c r="AB1176" s="1783"/>
      <c r="AC1176" s="1783"/>
      <c r="AD1176" s="1783"/>
      <c r="AE1176" s="1783"/>
      <c r="AF1176" s="1783"/>
      <c r="AG1176" s="1783"/>
      <c r="AH1176" s="1783"/>
      <c r="AI1176" s="1783"/>
      <c r="AJ1176" s="1783"/>
      <c r="AK1176" s="1783"/>
      <c r="AL1176" s="1783"/>
      <c r="AM1176" s="1783"/>
      <c r="AN1176" s="1783"/>
      <c r="AO1176" s="1783"/>
      <c r="AP1176" s="1783"/>
      <c r="AQ1176" s="1783"/>
      <c r="AR1176" s="1783"/>
      <c r="AS1176" s="1783"/>
      <c r="AT1176" s="1783"/>
      <c r="AU1176" s="1783"/>
      <c r="AV1176" s="1783"/>
      <c r="AW1176" s="1783"/>
      <c r="AX1176" s="1783"/>
      <c r="AY1176" s="1783"/>
      <c r="AZ1176" s="1783"/>
      <c r="BA1176" s="1783"/>
      <c r="BB1176" s="1783"/>
      <c r="BC1176" s="1783"/>
      <c r="BD1176" s="1783"/>
      <c r="BE1176" s="1783"/>
      <c r="BF1176" s="1783"/>
      <c r="BG1176" s="1783"/>
      <c r="BH1176" s="1783"/>
      <c r="BI1176" s="1783"/>
    </row>
    <row r="1177" spans="1:61">
      <c r="A1177" s="1819"/>
      <c r="B1177" s="1818"/>
      <c r="C1177" s="1818"/>
      <c r="D1177" s="1818"/>
      <c r="E1177" s="1818"/>
      <c r="F1177" s="1818"/>
      <c r="G1177" s="1818"/>
      <c r="H1177" s="1783"/>
      <c r="I1177" s="1783"/>
      <c r="J1177" s="1783"/>
      <c r="K1177" s="1783"/>
      <c r="L1177" s="1783"/>
      <c r="M1177" s="1783"/>
      <c r="N1177" s="1783"/>
      <c r="O1177" s="1783"/>
      <c r="P1177" s="1783"/>
      <c r="Q1177" s="1783"/>
      <c r="R1177" s="1783"/>
      <c r="S1177" s="1783"/>
      <c r="T1177" s="1783"/>
      <c r="U1177" s="1783"/>
      <c r="V1177" s="1783"/>
      <c r="W1177" s="1783"/>
      <c r="X1177" s="1783"/>
      <c r="Y1177" s="1783"/>
      <c r="Z1177" s="1783"/>
      <c r="AA1177" s="1783"/>
      <c r="AB1177" s="1783"/>
      <c r="AC1177" s="1783"/>
      <c r="AD1177" s="1783"/>
      <c r="AE1177" s="1783"/>
      <c r="AF1177" s="1783"/>
      <c r="AG1177" s="1783"/>
      <c r="AH1177" s="1783"/>
      <c r="AI1177" s="1783"/>
      <c r="AJ1177" s="1783"/>
      <c r="AK1177" s="1783"/>
      <c r="AL1177" s="1783"/>
      <c r="AM1177" s="1783"/>
      <c r="AN1177" s="1783"/>
      <c r="AO1177" s="1783"/>
      <c r="AP1177" s="1783"/>
      <c r="AQ1177" s="1783"/>
      <c r="AR1177" s="1783"/>
      <c r="AS1177" s="1783"/>
      <c r="AT1177" s="1783"/>
      <c r="AU1177" s="1783"/>
      <c r="AV1177" s="1783"/>
      <c r="AW1177" s="1783"/>
      <c r="AX1177" s="1783"/>
      <c r="AY1177" s="1783"/>
      <c r="AZ1177" s="1783"/>
      <c r="BA1177" s="1783"/>
      <c r="BB1177" s="1783"/>
      <c r="BC1177" s="1783"/>
      <c r="BD1177" s="1783"/>
      <c r="BE1177" s="1783"/>
      <c r="BF1177" s="1783"/>
      <c r="BG1177" s="1783"/>
      <c r="BH1177" s="1783"/>
      <c r="BI1177" s="1783"/>
    </row>
    <row r="1178" spans="1:61">
      <c r="A1178" s="1819"/>
      <c r="B1178" s="1818"/>
      <c r="C1178" s="1818"/>
      <c r="D1178" s="1818"/>
      <c r="E1178" s="1818"/>
      <c r="F1178" s="1818"/>
      <c r="G1178" s="1818"/>
      <c r="H1178" s="1783"/>
      <c r="I1178" s="1783"/>
      <c r="J1178" s="1783"/>
      <c r="K1178" s="1783"/>
      <c r="L1178" s="1783"/>
      <c r="M1178" s="1783"/>
      <c r="N1178" s="1783"/>
      <c r="O1178" s="1783"/>
      <c r="P1178" s="1783"/>
      <c r="Q1178" s="1783"/>
      <c r="R1178" s="1783"/>
      <c r="S1178" s="1783"/>
      <c r="T1178" s="1783"/>
      <c r="U1178" s="1783"/>
      <c r="V1178" s="1783"/>
      <c r="W1178" s="1783"/>
      <c r="X1178" s="1783"/>
      <c r="Y1178" s="1783"/>
      <c r="Z1178" s="1783"/>
      <c r="AA1178" s="1783"/>
      <c r="AB1178" s="1783"/>
      <c r="AC1178" s="1783"/>
      <c r="AD1178" s="1783"/>
      <c r="AE1178" s="1783"/>
      <c r="AF1178" s="1783"/>
      <c r="AG1178" s="1783"/>
      <c r="AH1178" s="1783"/>
      <c r="AI1178" s="1783"/>
      <c r="AJ1178" s="1783"/>
      <c r="AK1178" s="1783"/>
      <c r="AL1178" s="1783"/>
      <c r="AM1178" s="1783"/>
      <c r="AN1178" s="1783"/>
      <c r="AO1178" s="1783"/>
      <c r="AP1178" s="1783"/>
      <c r="AQ1178" s="1783"/>
      <c r="AR1178" s="1783"/>
      <c r="AS1178" s="1783"/>
      <c r="AT1178" s="1783"/>
      <c r="AU1178" s="1783"/>
      <c r="AV1178" s="1783"/>
      <c r="AW1178" s="1783"/>
      <c r="AX1178" s="1783"/>
      <c r="AY1178" s="1783"/>
      <c r="AZ1178" s="1783"/>
      <c r="BA1178" s="1783"/>
      <c r="BB1178" s="1783"/>
      <c r="BC1178" s="1783"/>
      <c r="BD1178" s="1783"/>
      <c r="BE1178" s="1783"/>
      <c r="BF1178" s="1783"/>
      <c r="BG1178" s="1783"/>
      <c r="BH1178" s="1783"/>
      <c r="BI1178" s="1783"/>
    </row>
    <row r="1179" spans="1:61">
      <c r="A1179" s="1819"/>
      <c r="B1179" s="1818"/>
      <c r="C1179" s="1818"/>
      <c r="D1179" s="1818"/>
      <c r="E1179" s="1818"/>
      <c r="F1179" s="1818"/>
      <c r="G1179" s="1818"/>
      <c r="H1179" s="1783"/>
      <c r="I1179" s="1783"/>
      <c r="J1179" s="1783"/>
      <c r="K1179" s="1783"/>
      <c r="L1179" s="1783"/>
      <c r="M1179" s="1783"/>
      <c r="N1179" s="1783"/>
      <c r="O1179" s="1783"/>
      <c r="P1179" s="1783"/>
      <c r="Q1179" s="1783"/>
      <c r="R1179" s="1783"/>
      <c r="S1179" s="1783"/>
      <c r="T1179" s="1783"/>
      <c r="U1179" s="1783"/>
      <c r="V1179" s="1783"/>
      <c r="W1179" s="1783"/>
      <c r="X1179" s="1783"/>
      <c r="Y1179" s="1783"/>
      <c r="Z1179" s="1783"/>
      <c r="AA1179" s="1783"/>
      <c r="AB1179" s="1783"/>
      <c r="AC1179" s="1783"/>
      <c r="AD1179" s="1783"/>
      <c r="AE1179" s="1783"/>
      <c r="AF1179" s="1783"/>
      <c r="AG1179" s="1783"/>
      <c r="AH1179" s="1783"/>
      <c r="AI1179" s="1783"/>
      <c r="AJ1179" s="1783"/>
      <c r="AK1179" s="1783"/>
      <c r="AL1179" s="1783"/>
      <c r="AM1179" s="1783"/>
      <c r="AN1179" s="1783"/>
      <c r="AO1179" s="1783"/>
      <c r="AP1179" s="1783"/>
      <c r="AQ1179" s="1783"/>
      <c r="AR1179" s="1783"/>
      <c r="AS1179" s="1783"/>
      <c r="AT1179" s="1783"/>
      <c r="AU1179" s="1783"/>
      <c r="AV1179" s="1783"/>
      <c r="AW1179" s="1783"/>
      <c r="AX1179" s="1783"/>
      <c r="AY1179" s="1783"/>
      <c r="AZ1179" s="1783"/>
      <c r="BA1179" s="1783"/>
      <c r="BB1179" s="1783"/>
      <c r="BC1179" s="1783"/>
      <c r="BD1179" s="1783"/>
      <c r="BE1179" s="1783"/>
      <c r="BF1179" s="1783"/>
      <c r="BG1179" s="1783"/>
      <c r="BH1179" s="1783"/>
      <c r="BI1179" s="1783"/>
    </row>
    <row r="1180" spans="1:61">
      <c r="A1180" s="1819"/>
      <c r="B1180" s="1818"/>
      <c r="C1180" s="1818"/>
      <c r="D1180" s="1818"/>
      <c r="E1180" s="1818"/>
      <c r="F1180" s="1818"/>
      <c r="G1180" s="1818"/>
      <c r="H1180" s="1783"/>
      <c r="I1180" s="1783"/>
      <c r="J1180" s="1783"/>
      <c r="K1180" s="1783"/>
      <c r="L1180" s="1783"/>
      <c r="M1180" s="1783"/>
      <c r="N1180" s="1783"/>
      <c r="O1180" s="1783"/>
      <c r="P1180" s="1783"/>
      <c r="Q1180" s="1783"/>
      <c r="R1180" s="1783"/>
      <c r="S1180" s="1783"/>
      <c r="T1180" s="1783"/>
      <c r="U1180" s="1783"/>
      <c r="V1180" s="1783"/>
      <c r="W1180" s="1783"/>
      <c r="X1180" s="1783"/>
      <c r="Y1180" s="1783"/>
      <c r="Z1180" s="1783"/>
      <c r="AA1180" s="1783"/>
      <c r="AB1180" s="1783"/>
      <c r="AC1180" s="1783"/>
      <c r="AD1180" s="1783"/>
      <c r="AE1180" s="1783"/>
      <c r="AF1180" s="1783"/>
      <c r="AG1180" s="1783"/>
      <c r="AH1180" s="1783"/>
      <c r="AI1180" s="1783"/>
      <c r="AJ1180" s="1783"/>
      <c r="AK1180" s="1783"/>
      <c r="AL1180" s="1783"/>
      <c r="AM1180" s="1783"/>
      <c r="AN1180" s="1783"/>
      <c r="AO1180" s="1783"/>
      <c r="AP1180" s="1783"/>
      <c r="AQ1180" s="1783"/>
      <c r="AR1180" s="1783"/>
      <c r="AS1180" s="1783"/>
      <c r="AT1180" s="1783"/>
      <c r="AU1180" s="1783"/>
      <c r="AV1180" s="1783"/>
      <c r="AW1180" s="1783"/>
      <c r="AX1180" s="1783"/>
      <c r="AY1180" s="1783"/>
      <c r="AZ1180" s="1783"/>
      <c r="BA1180" s="1783"/>
      <c r="BB1180" s="1783"/>
      <c r="BC1180" s="1783"/>
      <c r="BD1180" s="1783"/>
      <c r="BE1180" s="1783"/>
      <c r="BF1180" s="1783"/>
      <c r="BG1180" s="1783"/>
      <c r="BH1180" s="1783"/>
      <c r="BI1180" s="1783"/>
    </row>
    <row r="1181" spans="1:61">
      <c r="A1181" s="1819"/>
      <c r="B1181" s="1818"/>
      <c r="C1181" s="1818"/>
      <c r="D1181" s="1818"/>
      <c r="E1181" s="1818"/>
      <c r="F1181" s="1818"/>
      <c r="G1181" s="1818"/>
      <c r="H1181" s="1783"/>
      <c r="I1181" s="1783"/>
      <c r="J1181" s="1783"/>
      <c r="K1181" s="1783"/>
      <c r="L1181" s="1783"/>
      <c r="M1181" s="1783"/>
      <c r="N1181" s="1783"/>
      <c r="O1181" s="1783"/>
      <c r="P1181" s="1783"/>
      <c r="Q1181" s="1783"/>
      <c r="R1181" s="1783"/>
      <c r="S1181" s="1783"/>
      <c r="T1181" s="1783"/>
      <c r="U1181" s="1783"/>
      <c r="V1181" s="1783"/>
      <c r="W1181" s="1783"/>
      <c r="X1181" s="1783"/>
      <c r="Y1181" s="1783"/>
      <c r="Z1181" s="1783"/>
      <c r="AA1181" s="1783"/>
      <c r="AB1181" s="1783"/>
      <c r="AC1181" s="1783"/>
      <c r="AD1181" s="1783"/>
      <c r="AE1181" s="1783"/>
      <c r="AF1181" s="1783"/>
      <c r="AG1181" s="1783"/>
      <c r="AH1181" s="1783"/>
      <c r="AI1181" s="1783"/>
      <c r="AJ1181" s="1783"/>
      <c r="AK1181" s="1783"/>
      <c r="AL1181" s="1783"/>
      <c r="AM1181" s="1783"/>
      <c r="AN1181" s="1783"/>
      <c r="AO1181" s="1783"/>
      <c r="AP1181" s="1783"/>
      <c r="AQ1181" s="1783"/>
      <c r="AR1181" s="1783"/>
      <c r="AS1181" s="1783"/>
      <c r="AT1181" s="1783"/>
      <c r="AU1181" s="1783"/>
      <c r="AV1181" s="1783"/>
      <c r="AW1181" s="1783"/>
      <c r="AX1181" s="1783"/>
      <c r="AY1181" s="1783"/>
      <c r="AZ1181" s="1783"/>
      <c r="BA1181" s="1783"/>
      <c r="BB1181" s="1783"/>
      <c r="BC1181" s="1783"/>
      <c r="BD1181" s="1783"/>
      <c r="BE1181" s="1783"/>
      <c r="BF1181" s="1783"/>
      <c r="BG1181" s="1783"/>
      <c r="BH1181" s="1783"/>
      <c r="BI1181" s="1783"/>
    </row>
    <row r="1182" spans="1:61">
      <c r="A1182" s="1819"/>
      <c r="B1182" s="1818"/>
      <c r="C1182" s="1818"/>
      <c r="D1182" s="1818"/>
      <c r="E1182" s="1818"/>
      <c r="F1182" s="1818"/>
      <c r="G1182" s="1818"/>
      <c r="H1182" s="1783"/>
      <c r="I1182" s="1783"/>
      <c r="J1182" s="1783"/>
      <c r="K1182" s="1783"/>
      <c r="L1182" s="1783"/>
      <c r="M1182" s="1783"/>
      <c r="N1182" s="1783"/>
      <c r="O1182" s="1783"/>
      <c r="P1182" s="1783"/>
      <c r="Q1182" s="1783"/>
      <c r="R1182" s="1783"/>
      <c r="S1182" s="1783"/>
      <c r="T1182" s="1783"/>
      <c r="U1182" s="1783"/>
      <c r="V1182" s="1783"/>
      <c r="W1182" s="1783"/>
      <c r="X1182" s="1783"/>
      <c r="Y1182" s="1783"/>
      <c r="Z1182" s="1783"/>
      <c r="AA1182" s="1783"/>
      <c r="AB1182" s="1783"/>
      <c r="AC1182" s="1783"/>
      <c r="AD1182" s="1783"/>
      <c r="AE1182" s="1783"/>
      <c r="AF1182" s="1783"/>
      <c r="AG1182" s="1783"/>
      <c r="AH1182" s="1783"/>
      <c r="AI1182" s="1783"/>
      <c r="AJ1182" s="1783"/>
      <c r="AK1182" s="1783"/>
      <c r="AL1182" s="1783"/>
      <c r="AM1182" s="1783"/>
      <c r="AN1182" s="1783"/>
      <c r="AO1182" s="1783"/>
      <c r="AP1182" s="1783"/>
      <c r="AQ1182" s="1783"/>
      <c r="AR1182" s="1783"/>
      <c r="AS1182" s="1783"/>
      <c r="AT1182" s="1783"/>
      <c r="AU1182" s="1783"/>
      <c r="AV1182" s="1783"/>
      <c r="AW1182" s="1783"/>
      <c r="AX1182" s="1783"/>
      <c r="AY1182" s="1783"/>
      <c r="AZ1182" s="1783"/>
      <c r="BA1182" s="1783"/>
      <c r="BB1182" s="1783"/>
      <c r="BC1182" s="1783"/>
      <c r="BD1182" s="1783"/>
      <c r="BE1182" s="1783"/>
      <c r="BF1182" s="1783"/>
      <c r="BG1182" s="1783"/>
      <c r="BH1182" s="1783"/>
      <c r="BI1182" s="1783"/>
    </row>
    <row r="1183" spans="1:61">
      <c r="A1183" s="1819"/>
      <c r="B1183" s="1818"/>
      <c r="C1183" s="1818"/>
      <c r="D1183" s="1818"/>
      <c r="E1183" s="1818"/>
      <c r="F1183" s="1818"/>
      <c r="G1183" s="1818"/>
      <c r="H1183" s="1783"/>
      <c r="I1183" s="1783"/>
      <c r="J1183" s="1783"/>
      <c r="K1183" s="1783"/>
      <c r="L1183" s="1783"/>
      <c r="M1183" s="1783"/>
      <c r="N1183" s="1783"/>
      <c r="O1183" s="1783"/>
      <c r="P1183" s="1783"/>
      <c r="Q1183" s="1783"/>
      <c r="R1183" s="1783"/>
      <c r="S1183" s="1783"/>
      <c r="T1183" s="1783"/>
      <c r="U1183" s="1783"/>
      <c r="V1183" s="1783"/>
      <c r="W1183" s="1783"/>
      <c r="X1183" s="1783"/>
      <c r="Y1183" s="1783"/>
      <c r="Z1183" s="1783"/>
      <c r="AA1183" s="1783"/>
      <c r="AB1183" s="1783"/>
      <c r="AC1183" s="1783"/>
      <c r="AD1183" s="1783"/>
      <c r="AE1183" s="1783"/>
      <c r="AF1183" s="1783"/>
      <c r="AG1183" s="1783"/>
      <c r="AH1183" s="1783"/>
      <c r="AI1183" s="1783"/>
      <c r="AJ1183" s="1783"/>
      <c r="AK1183" s="1783"/>
      <c r="AL1183" s="1783"/>
      <c r="AM1183" s="1783"/>
      <c r="AN1183" s="1783"/>
      <c r="AO1183" s="1783"/>
      <c r="AP1183" s="1783"/>
      <c r="AQ1183" s="1783"/>
      <c r="AR1183" s="1783"/>
      <c r="AS1183" s="1783"/>
      <c r="AT1183" s="1783"/>
      <c r="AU1183" s="1783"/>
      <c r="AV1183" s="1783"/>
      <c r="AW1183" s="1783"/>
      <c r="AX1183" s="1783"/>
      <c r="AY1183" s="1783"/>
      <c r="AZ1183" s="1783"/>
      <c r="BA1183" s="1783"/>
      <c r="BB1183" s="1783"/>
      <c r="BC1183" s="1783"/>
      <c r="BD1183" s="1783"/>
      <c r="BE1183" s="1783"/>
      <c r="BF1183" s="1783"/>
      <c r="BG1183" s="1783"/>
      <c r="BH1183" s="1783"/>
      <c r="BI1183" s="1783"/>
    </row>
    <row r="1184" spans="1:61">
      <c r="A1184" s="1819"/>
      <c r="B1184" s="1818"/>
      <c r="C1184" s="1818"/>
      <c r="D1184" s="1818"/>
      <c r="E1184" s="1818"/>
      <c r="F1184" s="1818"/>
      <c r="G1184" s="1818"/>
      <c r="H1184" s="1783"/>
      <c r="I1184" s="1783"/>
      <c r="J1184" s="1783"/>
      <c r="K1184" s="1783"/>
      <c r="L1184" s="1783"/>
      <c r="M1184" s="1783"/>
      <c r="N1184" s="1783"/>
      <c r="O1184" s="1783"/>
      <c r="P1184" s="1783"/>
      <c r="Q1184" s="1783"/>
      <c r="R1184" s="1783"/>
      <c r="S1184" s="1783"/>
      <c r="T1184" s="1783"/>
      <c r="U1184" s="1783"/>
      <c r="V1184" s="1783"/>
      <c r="W1184" s="1783"/>
      <c r="X1184" s="1783"/>
      <c r="Y1184" s="1783"/>
      <c r="Z1184" s="1783"/>
      <c r="AA1184" s="1783"/>
      <c r="AB1184" s="1783"/>
      <c r="AC1184" s="1783"/>
      <c r="AD1184" s="1783"/>
      <c r="AE1184" s="1783"/>
      <c r="AF1184" s="1783"/>
      <c r="AG1184" s="1783"/>
      <c r="AH1184" s="1783"/>
      <c r="AI1184" s="1783"/>
      <c r="AJ1184" s="1783"/>
      <c r="AK1184" s="1783"/>
      <c r="AL1184" s="1783"/>
      <c r="AM1184" s="1783"/>
      <c r="AN1184" s="1783"/>
      <c r="AO1184" s="1783"/>
      <c r="AP1184" s="1783"/>
      <c r="AQ1184" s="1783"/>
      <c r="AR1184" s="1783"/>
      <c r="AS1184" s="1783"/>
      <c r="AT1184" s="1783"/>
      <c r="AU1184" s="1783"/>
      <c r="AV1184" s="1783"/>
      <c r="AW1184" s="1783"/>
      <c r="AX1184" s="1783"/>
      <c r="AY1184" s="1783"/>
      <c r="AZ1184" s="1783"/>
      <c r="BA1184" s="1783"/>
      <c r="BB1184" s="1783"/>
      <c r="BC1184" s="1783"/>
      <c r="BD1184" s="1783"/>
      <c r="BE1184" s="1783"/>
      <c r="BF1184" s="1783"/>
      <c r="BG1184" s="1783"/>
      <c r="BH1184" s="1783"/>
      <c r="BI1184" s="1783"/>
    </row>
    <row r="1185" spans="1:61">
      <c r="A1185" s="1819"/>
      <c r="B1185" s="1818"/>
      <c r="C1185" s="1818"/>
      <c r="D1185" s="1818"/>
      <c r="E1185" s="1818"/>
      <c r="F1185" s="1818"/>
      <c r="G1185" s="1818"/>
      <c r="H1185" s="1783"/>
      <c r="I1185" s="1783"/>
      <c r="J1185" s="1783"/>
      <c r="K1185" s="1783"/>
      <c r="L1185" s="1783"/>
      <c r="M1185" s="1783"/>
      <c r="N1185" s="1783"/>
      <c r="O1185" s="1783"/>
      <c r="P1185" s="1783"/>
      <c r="Q1185" s="1783"/>
      <c r="R1185" s="1783"/>
      <c r="S1185" s="1783"/>
      <c r="T1185" s="1783"/>
      <c r="U1185" s="1783"/>
      <c r="V1185" s="1783"/>
      <c r="W1185" s="1783"/>
      <c r="X1185" s="1783"/>
      <c r="Y1185" s="1783"/>
      <c r="Z1185" s="1783"/>
      <c r="AA1185" s="1783"/>
      <c r="AB1185" s="1783"/>
      <c r="AC1185" s="1783"/>
      <c r="AD1185" s="1783"/>
      <c r="AE1185" s="1783"/>
      <c r="AF1185" s="1783"/>
      <c r="AG1185" s="1783"/>
      <c r="AH1185" s="1783"/>
      <c r="AI1185" s="1783"/>
      <c r="AJ1185" s="1783"/>
      <c r="AK1185" s="1783"/>
      <c r="AL1185" s="1783"/>
      <c r="AM1185" s="1783"/>
      <c r="AN1185" s="1783"/>
      <c r="AO1185" s="1783"/>
      <c r="AP1185" s="1783"/>
      <c r="AQ1185" s="1783"/>
      <c r="AR1185" s="1783"/>
      <c r="AS1185" s="1783"/>
      <c r="AT1185" s="1783"/>
      <c r="AU1185" s="1783"/>
      <c r="AV1185" s="1783"/>
      <c r="AW1185" s="1783"/>
      <c r="AX1185" s="1783"/>
      <c r="AY1185" s="1783"/>
      <c r="AZ1185" s="1783"/>
      <c r="BA1185" s="1783"/>
      <c r="BB1185" s="1783"/>
      <c r="BC1185" s="1783"/>
      <c r="BD1185" s="1783"/>
      <c r="BE1185" s="1783"/>
      <c r="BF1185" s="1783"/>
      <c r="BG1185" s="1783"/>
      <c r="BH1185" s="1783"/>
      <c r="BI1185" s="1783"/>
    </row>
    <row r="1186" spans="1:61">
      <c r="A1186" s="1819"/>
      <c r="B1186" s="1818"/>
      <c r="C1186" s="1818"/>
      <c r="D1186" s="1818"/>
      <c r="E1186" s="1818"/>
      <c r="F1186" s="1818"/>
      <c r="G1186" s="1818"/>
      <c r="H1186" s="1783"/>
      <c r="I1186" s="1783"/>
      <c r="J1186" s="1783"/>
      <c r="K1186" s="1783"/>
      <c r="L1186" s="1783"/>
      <c r="M1186" s="1783"/>
      <c r="N1186" s="1783"/>
      <c r="O1186" s="1783"/>
      <c r="P1186" s="1783"/>
      <c r="Q1186" s="1783"/>
      <c r="R1186" s="1783"/>
      <c r="S1186" s="1783"/>
      <c r="T1186" s="1783"/>
      <c r="U1186" s="1783"/>
      <c r="V1186" s="1783"/>
      <c r="W1186" s="1783"/>
      <c r="X1186" s="1783"/>
      <c r="Y1186" s="1783"/>
      <c r="Z1186" s="1783"/>
      <c r="AA1186" s="1783"/>
      <c r="AB1186" s="1783"/>
      <c r="AC1186" s="1783"/>
      <c r="AD1186" s="1783"/>
      <c r="AE1186" s="1783"/>
      <c r="AF1186" s="1783"/>
      <c r="AG1186" s="1783"/>
      <c r="AH1186" s="1783"/>
      <c r="AI1186" s="1783"/>
      <c r="AJ1186" s="1783"/>
      <c r="AK1186" s="1783"/>
      <c r="AL1186" s="1783"/>
      <c r="AM1186" s="1783"/>
      <c r="AN1186" s="1783"/>
      <c r="AO1186" s="1783"/>
      <c r="AP1186" s="1783"/>
      <c r="AQ1186" s="1783"/>
      <c r="AR1186" s="1783"/>
      <c r="AS1186" s="1783"/>
      <c r="AT1186" s="1783"/>
      <c r="AU1186" s="1783"/>
      <c r="AV1186" s="1783"/>
      <c r="AW1186" s="1783"/>
      <c r="AX1186" s="1783"/>
      <c r="AY1186" s="1783"/>
      <c r="AZ1186" s="1783"/>
      <c r="BA1186" s="1783"/>
      <c r="BB1186" s="1783"/>
      <c r="BC1186" s="1783"/>
      <c r="BD1186" s="1783"/>
      <c r="BE1186" s="1783"/>
      <c r="BF1186" s="1783"/>
      <c r="BG1186" s="1783"/>
      <c r="BH1186" s="1783"/>
      <c r="BI1186" s="1783"/>
    </row>
    <row r="1187" spans="1:61">
      <c r="A1187" s="1819"/>
      <c r="B1187" s="1818"/>
      <c r="C1187" s="1818"/>
      <c r="D1187" s="1818"/>
      <c r="E1187" s="1818"/>
      <c r="F1187" s="1818"/>
      <c r="G1187" s="1818"/>
      <c r="H1187" s="1783"/>
      <c r="I1187" s="1783"/>
      <c r="J1187" s="1783"/>
      <c r="K1187" s="1783"/>
      <c r="L1187" s="1783"/>
      <c r="M1187" s="1783"/>
      <c r="N1187" s="1783"/>
      <c r="O1187" s="1783"/>
      <c r="P1187" s="1783"/>
      <c r="Q1187" s="1783"/>
      <c r="R1187" s="1783"/>
      <c r="S1187" s="1783"/>
      <c r="T1187" s="1783"/>
      <c r="U1187" s="1783"/>
      <c r="V1187" s="1783"/>
      <c r="W1187" s="1783"/>
      <c r="X1187" s="1783"/>
      <c r="Y1187" s="1783"/>
      <c r="Z1187" s="1783"/>
      <c r="AA1187" s="1783"/>
      <c r="AB1187" s="1783"/>
      <c r="AC1187" s="1783"/>
      <c r="AD1187" s="1783"/>
      <c r="AE1187" s="1783"/>
      <c r="AF1187" s="1783"/>
      <c r="AG1187" s="1783"/>
      <c r="AH1187" s="1783"/>
      <c r="AI1187" s="1783"/>
      <c r="AJ1187" s="1783"/>
      <c r="AK1187" s="1783"/>
      <c r="AL1187" s="1783"/>
      <c r="AM1187" s="1783"/>
      <c r="AN1187" s="1783"/>
      <c r="AO1187" s="1783"/>
      <c r="AP1187" s="1783"/>
      <c r="AQ1187" s="1783"/>
      <c r="AR1187" s="1783"/>
      <c r="AS1187" s="1783"/>
      <c r="AT1187" s="1783"/>
      <c r="AU1187" s="1783"/>
      <c r="AV1187" s="1783"/>
      <c r="AW1187" s="1783"/>
      <c r="AX1187" s="1783"/>
      <c r="AY1187" s="1783"/>
      <c r="AZ1187" s="1783"/>
      <c r="BA1187" s="1783"/>
      <c r="BB1187" s="1783"/>
      <c r="BC1187" s="1783"/>
      <c r="BD1187" s="1783"/>
      <c r="BE1187" s="1783"/>
      <c r="BF1187" s="1783"/>
      <c r="BG1187" s="1783"/>
      <c r="BH1187" s="1783"/>
      <c r="BI1187" s="1783"/>
    </row>
    <row r="1188" spans="1:61">
      <c r="A1188" s="1819"/>
      <c r="B1188" s="1818"/>
      <c r="C1188" s="1818"/>
      <c r="D1188" s="1818"/>
      <c r="E1188" s="1818"/>
      <c r="F1188" s="1818"/>
      <c r="G1188" s="1818"/>
      <c r="H1188" s="1783"/>
      <c r="I1188" s="1783"/>
      <c r="J1188" s="1783"/>
      <c r="K1188" s="1783"/>
      <c r="L1188" s="1783"/>
      <c r="M1188" s="1783"/>
      <c r="N1188" s="1783"/>
      <c r="O1188" s="1783"/>
      <c r="P1188" s="1783"/>
      <c r="Q1188" s="1783"/>
      <c r="R1188" s="1783"/>
      <c r="S1188" s="1783"/>
      <c r="T1188" s="1783"/>
      <c r="U1188" s="1783"/>
      <c r="V1188" s="1783"/>
      <c r="W1188" s="1783"/>
      <c r="X1188" s="1783"/>
      <c r="Y1188" s="1783"/>
      <c r="Z1188" s="1783"/>
      <c r="AA1188" s="1783"/>
      <c r="AB1188" s="1783"/>
      <c r="AC1188" s="1783"/>
      <c r="AD1188" s="1783"/>
      <c r="AE1188" s="1783"/>
      <c r="AF1188" s="1783"/>
      <c r="AG1188" s="1783"/>
      <c r="AH1188" s="1783"/>
      <c r="AI1188" s="1783"/>
      <c r="AJ1188" s="1783"/>
      <c r="AK1188" s="1783"/>
      <c r="AL1188" s="1783"/>
      <c r="AM1188" s="1783"/>
      <c r="AN1188" s="1783"/>
      <c r="AO1188" s="1783"/>
      <c r="AP1188" s="1783"/>
      <c r="AQ1188" s="1783"/>
      <c r="AR1188" s="1783"/>
      <c r="AS1188" s="1783"/>
      <c r="AT1188" s="1783"/>
      <c r="AU1188" s="1783"/>
      <c r="AV1188" s="1783"/>
      <c r="AW1188" s="1783"/>
      <c r="AX1188" s="1783"/>
      <c r="AY1188" s="1783"/>
      <c r="AZ1188" s="1783"/>
      <c r="BA1188" s="1783"/>
      <c r="BB1188" s="1783"/>
      <c r="BC1188" s="1783"/>
      <c r="BD1188" s="1783"/>
      <c r="BE1188" s="1783"/>
      <c r="BF1188" s="1783"/>
      <c r="BG1188" s="1783"/>
      <c r="BH1188" s="1783"/>
      <c r="BI1188" s="1783"/>
    </row>
    <row r="1189" spans="1:61">
      <c r="A1189" s="1819"/>
      <c r="B1189" s="1818"/>
      <c r="C1189" s="1818"/>
      <c r="D1189" s="1818"/>
      <c r="E1189" s="1818"/>
      <c r="F1189" s="1818"/>
      <c r="G1189" s="1818"/>
      <c r="H1189" s="1783"/>
      <c r="I1189" s="1783"/>
      <c r="J1189" s="1783"/>
      <c r="K1189" s="1783"/>
      <c r="L1189" s="1783"/>
      <c r="M1189" s="1783"/>
      <c r="N1189" s="1783"/>
      <c r="O1189" s="1783"/>
      <c r="P1189" s="1783"/>
      <c r="Q1189" s="1783"/>
      <c r="R1189" s="1783"/>
      <c r="S1189" s="1783"/>
      <c r="T1189" s="1783"/>
      <c r="U1189" s="1783"/>
      <c r="V1189" s="1783"/>
      <c r="W1189" s="1783"/>
      <c r="X1189" s="1783"/>
      <c r="Y1189" s="1783"/>
      <c r="Z1189" s="1783"/>
      <c r="AA1189" s="1783"/>
      <c r="AB1189" s="1783"/>
      <c r="AC1189" s="1783"/>
      <c r="AD1189" s="1783"/>
      <c r="AE1189" s="1783"/>
      <c r="AF1189" s="1783"/>
      <c r="AG1189" s="1783"/>
      <c r="AH1189" s="1783"/>
      <c r="AI1189" s="1783"/>
      <c r="AJ1189" s="1783"/>
      <c r="AK1189" s="1783"/>
      <c r="AL1189" s="1783"/>
      <c r="AM1189" s="1783"/>
      <c r="AN1189" s="1783"/>
      <c r="AO1189" s="1783"/>
      <c r="AP1189" s="1783"/>
      <c r="AQ1189" s="1783"/>
      <c r="AR1189" s="1783"/>
      <c r="AS1189" s="1783"/>
      <c r="AT1189" s="1783"/>
      <c r="AU1189" s="1783"/>
      <c r="AV1189" s="1783"/>
      <c r="AW1189" s="1783"/>
      <c r="AX1189" s="1783"/>
      <c r="AY1189" s="1783"/>
      <c r="AZ1189" s="1783"/>
      <c r="BA1189" s="1783"/>
      <c r="BB1189" s="1783"/>
      <c r="BC1189" s="1783"/>
      <c r="BD1189" s="1783"/>
      <c r="BE1189" s="1783"/>
      <c r="BF1189" s="1783"/>
      <c r="BG1189" s="1783"/>
      <c r="BH1189" s="1783"/>
      <c r="BI1189" s="1783"/>
    </row>
    <row r="1190" spans="1:61">
      <c r="A1190" s="1819"/>
      <c r="B1190" s="1818"/>
      <c r="C1190" s="1818"/>
      <c r="D1190" s="1818"/>
      <c r="E1190" s="1818"/>
      <c r="F1190" s="1818"/>
      <c r="G1190" s="1818"/>
      <c r="H1190" s="1783"/>
      <c r="I1190" s="1783"/>
      <c r="J1190" s="1783"/>
      <c r="K1190" s="1783"/>
      <c r="L1190" s="1783"/>
      <c r="M1190" s="1783"/>
      <c r="N1190" s="1783"/>
      <c r="O1190" s="1783"/>
      <c r="P1190" s="1783"/>
      <c r="Q1190" s="1783"/>
      <c r="R1190" s="1783"/>
      <c r="S1190" s="1783"/>
      <c r="T1190" s="1783"/>
      <c r="U1190" s="1783"/>
      <c r="V1190" s="1783"/>
      <c r="W1190" s="1783"/>
      <c r="X1190" s="1783"/>
      <c r="Y1190" s="1783"/>
      <c r="Z1190" s="1783"/>
      <c r="AA1190" s="1783"/>
      <c r="AB1190" s="1783"/>
      <c r="AC1190" s="1783"/>
      <c r="AD1190" s="1783"/>
      <c r="AE1190" s="1783"/>
      <c r="AF1190" s="1783"/>
      <c r="AG1190" s="1783"/>
      <c r="AH1190" s="1783"/>
      <c r="AI1190" s="1783"/>
      <c r="AJ1190" s="1783"/>
      <c r="AK1190" s="1783"/>
      <c r="AL1190" s="1783"/>
      <c r="AM1190" s="1783"/>
      <c r="AN1190" s="1783"/>
      <c r="AO1190" s="1783"/>
      <c r="AP1190" s="1783"/>
      <c r="AQ1190" s="1783"/>
      <c r="AR1190" s="1783"/>
      <c r="AS1190" s="1783"/>
      <c r="AT1190" s="1783"/>
      <c r="AU1190" s="1783"/>
      <c r="AV1190" s="1783"/>
      <c r="AW1190" s="1783"/>
      <c r="AX1190" s="1783"/>
      <c r="AY1190" s="1783"/>
      <c r="AZ1190" s="1783"/>
      <c r="BA1190" s="1783"/>
      <c r="BB1190" s="1783"/>
      <c r="BC1190" s="1783"/>
      <c r="BD1190" s="1783"/>
      <c r="BE1190" s="1783"/>
      <c r="BF1190" s="1783"/>
      <c r="BG1190" s="1783"/>
      <c r="BH1190" s="1783"/>
      <c r="BI1190" s="1783"/>
    </row>
    <row r="1191" spans="1:61">
      <c r="A1191" s="1819"/>
      <c r="B1191" s="1818"/>
      <c r="C1191" s="1818"/>
      <c r="D1191" s="1818"/>
      <c r="E1191" s="1818"/>
      <c r="F1191" s="1818"/>
      <c r="G1191" s="1818"/>
      <c r="H1191" s="1783"/>
      <c r="I1191" s="1783"/>
      <c r="J1191" s="1783"/>
      <c r="K1191" s="1783"/>
      <c r="L1191" s="1783"/>
      <c r="M1191" s="1783"/>
      <c r="N1191" s="1783"/>
      <c r="O1191" s="1783"/>
      <c r="P1191" s="1783"/>
      <c r="Q1191" s="1783"/>
      <c r="R1191" s="1783"/>
      <c r="S1191" s="1783"/>
      <c r="T1191" s="1783"/>
      <c r="U1191" s="1783"/>
      <c r="V1191" s="1783"/>
      <c r="W1191" s="1783"/>
      <c r="X1191" s="1783"/>
      <c r="Y1191" s="1783"/>
      <c r="Z1191" s="1783"/>
      <c r="AA1191" s="1783"/>
      <c r="AB1191" s="1783"/>
      <c r="AC1191" s="1783"/>
      <c r="AD1191" s="1783"/>
      <c r="AE1191" s="1783"/>
      <c r="AF1191" s="1783"/>
      <c r="AG1191" s="1783"/>
      <c r="AH1191" s="1783"/>
      <c r="AI1191" s="1783"/>
      <c r="AJ1191" s="1783"/>
      <c r="AK1191" s="1783"/>
      <c r="AL1191" s="1783"/>
      <c r="AM1191" s="1783"/>
      <c r="AN1191" s="1783"/>
      <c r="AO1191" s="1783"/>
      <c r="AP1191" s="1783"/>
      <c r="AQ1191" s="1783"/>
      <c r="AR1191" s="1783"/>
      <c r="AS1191" s="1783"/>
      <c r="AT1191" s="1783"/>
      <c r="AU1191" s="1783"/>
      <c r="AV1191" s="1783"/>
      <c r="AW1191" s="1783"/>
      <c r="AX1191" s="1783"/>
      <c r="AY1191" s="1783"/>
      <c r="AZ1191" s="1783"/>
      <c r="BA1191" s="1783"/>
      <c r="BB1191" s="1783"/>
      <c r="BC1191" s="1783"/>
      <c r="BD1191" s="1783"/>
      <c r="BE1191" s="1783"/>
      <c r="BF1191" s="1783"/>
      <c r="BG1191" s="1783"/>
      <c r="BH1191" s="1783"/>
      <c r="BI1191" s="1783"/>
    </row>
    <row r="1192" spans="1:61">
      <c r="A1192" s="1819"/>
      <c r="B1192" s="1818"/>
      <c r="C1192" s="1818"/>
      <c r="D1192" s="1818"/>
      <c r="E1192" s="1818"/>
      <c r="F1192" s="1818"/>
      <c r="G1192" s="1818"/>
      <c r="H1192" s="1783"/>
      <c r="I1192" s="1783"/>
      <c r="J1192" s="1783"/>
      <c r="K1192" s="1783"/>
      <c r="L1192" s="1783"/>
      <c r="M1192" s="1783"/>
      <c r="N1192" s="1783"/>
      <c r="O1192" s="1783"/>
      <c r="P1192" s="1783"/>
      <c r="Q1192" s="1783"/>
      <c r="R1192" s="1783"/>
      <c r="S1192" s="1783"/>
      <c r="T1192" s="1783"/>
      <c r="U1192" s="1783"/>
      <c r="V1192" s="1783"/>
      <c r="W1192" s="1783"/>
      <c r="X1192" s="1783"/>
      <c r="Y1192" s="1783"/>
      <c r="Z1192" s="1783"/>
      <c r="AA1192" s="1783"/>
      <c r="AB1192" s="1783"/>
      <c r="AC1192" s="1783"/>
      <c r="AD1192" s="1783"/>
      <c r="AE1192" s="1783"/>
      <c r="AF1192" s="1783"/>
      <c r="AG1192" s="1783"/>
      <c r="AH1192" s="1783"/>
      <c r="AI1192" s="1783"/>
      <c r="AJ1192" s="1783"/>
      <c r="AK1192" s="1783"/>
      <c r="AL1192" s="1783"/>
      <c r="AM1192" s="1783"/>
      <c r="AN1192" s="1783"/>
      <c r="AO1192" s="1783"/>
      <c r="AP1192" s="1783"/>
      <c r="AQ1192" s="1783"/>
      <c r="AR1192" s="1783"/>
      <c r="AS1192" s="1783"/>
      <c r="AT1192" s="1783"/>
      <c r="AU1192" s="1783"/>
      <c r="AV1192" s="1783"/>
      <c r="AW1192" s="1783"/>
      <c r="AX1192" s="1783"/>
      <c r="AY1192" s="1783"/>
      <c r="AZ1192" s="1783"/>
      <c r="BA1192" s="1783"/>
      <c r="BB1192" s="1783"/>
      <c r="BC1192" s="1783"/>
      <c r="BD1192" s="1783"/>
      <c r="BE1192" s="1783"/>
      <c r="BF1192" s="1783"/>
      <c r="BG1192" s="1783"/>
      <c r="BH1192" s="1783"/>
      <c r="BI1192" s="1783"/>
    </row>
    <row r="1193" spans="1:61">
      <c r="A1193" s="1819"/>
      <c r="B1193" s="1818"/>
      <c r="C1193" s="1818"/>
      <c r="D1193" s="1818"/>
      <c r="E1193" s="1818"/>
      <c r="F1193" s="1818"/>
      <c r="G1193" s="1818"/>
      <c r="H1193" s="1783"/>
      <c r="I1193" s="1783"/>
      <c r="J1193" s="1783"/>
      <c r="K1193" s="1783"/>
      <c r="L1193" s="1783"/>
      <c r="M1193" s="1783"/>
      <c r="N1193" s="1783"/>
      <c r="O1193" s="1783"/>
      <c r="P1193" s="1783"/>
      <c r="Q1193" s="1783"/>
      <c r="R1193" s="1783"/>
      <c r="S1193" s="1783"/>
      <c r="T1193" s="1783"/>
      <c r="U1193" s="1783"/>
      <c r="V1193" s="1783"/>
      <c r="W1193" s="1783"/>
      <c r="X1193" s="1783"/>
      <c r="Y1193" s="1783"/>
      <c r="Z1193" s="1783"/>
      <c r="AA1193" s="1783"/>
      <c r="AB1193" s="1783"/>
      <c r="AC1193" s="1783"/>
      <c r="AD1193" s="1783"/>
      <c r="AE1193" s="1783"/>
      <c r="AF1193" s="1783"/>
      <c r="AG1193" s="1783"/>
      <c r="AH1193" s="1783"/>
      <c r="AI1193" s="1783"/>
      <c r="AJ1193" s="1783"/>
      <c r="AK1193" s="1783"/>
      <c r="AL1193" s="1783"/>
      <c r="AM1193" s="1783"/>
      <c r="AN1193" s="1783"/>
      <c r="AO1193" s="1783"/>
      <c r="AP1193" s="1783"/>
      <c r="AQ1193" s="1783"/>
      <c r="AR1193" s="1783"/>
      <c r="AS1193" s="1783"/>
      <c r="AT1193" s="1783"/>
      <c r="AU1193" s="1783"/>
      <c r="AV1193" s="1783"/>
      <c r="AW1193" s="1783"/>
      <c r="AX1193" s="1783"/>
      <c r="AY1193" s="1783"/>
      <c r="AZ1193" s="1783"/>
      <c r="BA1193" s="1783"/>
      <c r="BB1193" s="1783"/>
      <c r="BC1193" s="1783"/>
      <c r="BD1193" s="1783"/>
      <c r="BE1193" s="1783"/>
      <c r="BF1193" s="1783"/>
      <c r="BG1193" s="1783"/>
      <c r="BH1193" s="1783"/>
      <c r="BI1193" s="1783"/>
    </row>
    <row r="1194" spans="1:61">
      <c r="A1194" s="1819"/>
      <c r="B1194" s="1818"/>
      <c r="C1194" s="1818"/>
      <c r="D1194" s="1818"/>
      <c r="E1194" s="1818"/>
      <c r="F1194" s="1818"/>
      <c r="G1194" s="1818"/>
      <c r="H1194" s="1783"/>
      <c r="I1194" s="1783"/>
      <c r="J1194" s="1783"/>
      <c r="K1194" s="1783"/>
      <c r="L1194" s="1783"/>
      <c r="M1194" s="1783"/>
      <c r="N1194" s="1783"/>
      <c r="O1194" s="1783"/>
      <c r="P1194" s="1783"/>
      <c r="Q1194" s="1783"/>
      <c r="R1194" s="1783"/>
      <c r="S1194" s="1783"/>
      <c r="T1194" s="1783"/>
      <c r="U1194" s="1783"/>
      <c r="V1194" s="1783"/>
      <c r="W1194" s="1783"/>
      <c r="X1194" s="1783"/>
      <c r="Y1194" s="1783"/>
      <c r="Z1194" s="1783"/>
      <c r="AA1194" s="1783"/>
      <c r="AB1194" s="1783"/>
      <c r="AC1194" s="1783"/>
      <c r="AD1194" s="1783"/>
      <c r="AE1194" s="1783"/>
      <c r="AF1194" s="1783"/>
      <c r="AG1194" s="1783"/>
      <c r="AH1194" s="1783"/>
      <c r="AI1194" s="1783"/>
      <c r="AJ1194" s="1783"/>
      <c r="AK1194" s="1783"/>
      <c r="AL1194" s="1783"/>
      <c r="AM1194" s="1783"/>
      <c r="AN1194" s="1783"/>
      <c r="AO1194" s="1783"/>
      <c r="AP1194" s="1783"/>
      <c r="AQ1194" s="1783"/>
      <c r="AR1194" s="1783"/>
      <c r="AS1194" s="1783"/>
      <c r="AT1194" s="1783"/>
      <c r="AU1194" s="1783"/>
      <c r="AV1194" s="1783"/>
      <c r="AW1194" s="1783"/>
      <c r="AX1194" s="1783"/>
      <c r="AY1194" s="1783"/>
      <c r="AZ1194" s="1783"/>
      <c r="BA1194" s="1783"/>
      <c r="BB1194" s="1783"/>
      <c r="BC1194" s="1783"/>
      <c r="BD1194" s="1783"/>
      <c r="BE1194" s="1783"/>
      <c r="BF1194" s="1783"/>
      <c r="BG1194" s="1783"/>
      <c r="BH1194" s="1783"/>
      <c r="BI1194" s="1783"/>
    </row>
    <row r="1195" spans="1:61">
      <c r="A1195" s="1819"/>
      <c r="B1195" s="1818"/>
      <c r="C1195" s="1818"/>
      <c r="D1195" s="1818"/>
      <c r="E1195" s="1818"/>
      <c r="F1195" s="1818"/>
      <c r="G1195" s="1818"/>
      <c r="H1195" s="1783"/>
      <c r="I1195" s="1783"/>
      <c r="J1195" s="1783"/>
      <c r="K1195" s="1783"/>
      <c r="L1195" s="1783"/>
      <c r="M1195" s="1783"/>
      <c r="N1195" s="1783"/>
      <c r="O1195" s="1783"/>
      <c r="P1195" s="1783"/>
      <c r="Q1195" s="1783"/>
      <c r="R1195" s="1783"/>
      <c r="S1195" s="1783"/>
      <c r="T1195" s="1783"/>
      <c r="U1195" s="1783"/>
      <c r="V1195" s="1783"/>
      <c r="W1195" s="1783"/>
      <c r="X1195" s="1783"/>
      <c r="Y1195" s="1783"/>
      <c r="Z1195" s="1783"/>
      <c r="AA1195" s="1783"/>
      <c r="AB1195" s="1783"/>
      <c r="AC1195" s="1783"/>
      <c r="AD1195" s="1783"/>
      <c r="AE1195" s="1783"/>
      <c r="AF1195" s="1783"/>
      <c r="AG1195" s="1783"/>
      <c r="AH1195" s="1783"/>
      <c r="AI1195" s="1783"/>
      <c r="AJ1195" s="1783"/>
      <c r="AK1195" s="1783"/>
      <c r="AL1195" s="1783"/>
      <c r="AM1195" s="1783"/>
      <c r="AN1195" s="1783"/>
      <c r="AO1195" s="1783"/>
      <c r="AP1195" s="1783"/>
      <c r="AQ1195" s="1783"/>
      <c r="AR1195" s="1783"/>
      <c r="AS1195" s="1783"/>
      <c r="AT1195" s="1783"/>
      <c r="AU1195" s="1783"/>
      <c r="AV1195" s="1783"/>
      <c r="AW1195" s="1783"/>
      <c r="AX1195" s="1783"/>
      <c r="AY1195" s="1783"/>
      <c r="AZ1195" s="1783"/>
      <c r="BA1195" s="1783"/>
      <c r="BB1195" s="1783"/>
      <c r="BC1195" s="1783"/>
      <c r="BD1195" s="1783"/>
      <c r="BE1195" s="1783"/>
      <c r="BF1195" s="1783"/>
      <c r="BG1195" s="1783"/>
      <c r="BH1195" s="1783"/>
      <c r="BI1195" s="1783"/>
    </row>
    <row r="1196" spans="1:61">
      <c r="A1196" s="1819"/>
      <c r="B1196" s="1818"/>
      <c r="C1196" s="1818"/>
      <c r="D1196" s="1818"/>
      <c r="E1196" s="1818"/>
      <c r="F1196" s="1818"/>
      <c r="G1196" s="1818"/>
      <c r="H1196" s="1783"/>
      <c r="I1196" s="1783"/>
      <c r="J1196" s="1783"/>
      <c r="K1196" s="1783"/>
      <c r="L1196" s="1783"/>
      <c r="M1196" s="1783"/>
      <c r="N1196" s="1783"/>
      <c r="O1196" s="1783"/>
      <c r="P1196" s="1783"/>
      <c r="Q1196" s="1783"/>
      <c r="R1196" s="1783"/>
      <c r="S1196" s="1783"/>
      <c r="T1196" s="1783"/>
      <c r="U1196" s="1783"/>
      <c r="V1196" s="1783"/>
      <c r="W1196" s="1783"/>
      <c r="X1196" s="1783"/>
      <c r="Y1196" s="1783"/>
      <c r="Z1196" s="1783"/>
      <c r="AA1196" s="1783"/>
      <c r="AB1196" s="1783"/>
      <c r="AC1196" s="1783"/>
      <c r="AD1196" s="1783"/>
      <c r="AE1196" s="1783"/>
      <c r="AF1196" s="1783"/>
      <c r="AG1196" s="1783"/>
      <c r="AH1196" s="1783"/>
      <c r="AI1196" s="1783"/>
      <c r="AJ1196" s="1783"/>
      <c r="AK1196" s="1783"/>
      <c r="AL1196" s="1783"/>
      <c r="AM1196" s="1783"/>
      <c r="AN1196" s="1783"/>
      <c r="AO1196" s="1783"/>
      <c r="AP1196" s="1783"/>
      <c r="AQ1196" s="1783"/>
      <c r="AR1196" s="1783"/>
      <c r="AS1196" s="1783"/>
      <c r="AT1196" s="1783"/>
      <c r="AU1196" s="1783"/>
      <c r="AV1196" s="1783"/>
      <c r="AW1196" s="1783"/>
      <c r="AX1196" s="1783"/>
      <c r="AY1196" s="1783"/>
      <c r="AZ1196" s="1783"/>
      <c r="BA1196" s="1783"/>
      <c r="BB1196" s="1783"/>
      <c r="BC1196" s="1783"/>
      <c r="BD1196" s="1783"/>
      <c r="BE1196" s="1783"/>
      <c r="BF1196" s="1783"/>
      <c r="BG1196" s="1783"/>
      <c r="BH1196" s="1783"/>
      <c r="BI1196" s="1783"/>
    </row>
    <row r="1197" spans="1:61">
      <c r="A1197" s="1819"/>
      <c r="B1197" s="1818"/>
      <c r="C1197" s="1818"/>
      <c r="D1197" s="1818"/>
      <c r="E1197" s="1818"/>
      <c r="F1197" s="1818"/>
      <c r="G1197" s="1818"/>
      <c r="H1197" s="1783"/>
      <c r="I1197" s="1783"/>
      <c r="J1197" s="1783"/>
      <c r="K1197" s="1783"/>
      <c r="L1197" s="1783"/>
      <c r="M1197" s="1783"/>
      <c r="N1197" s="1783"/>
      <c r="O1197" s="1783"/>
      <c r="P1197" s="1783"/>
      <c r="Q1197" s="1783"/>
      <c r="R1197" s="1783"/>
      <c r="S1197" s="1783"/>
      <c r="T1197" s="1783"/>
      <c r="U1197" s="1783"/>
      <c r="V1197" s="1783"/>
      <c r="W1197" s="1783"/>
      <c r="X1197" s="1783"/>
      <c r="Y1197" s="1783"/>
      <c r="Z1197" s="1783"/>
      <c r="AA1197" s="1783"/>
      <c r="AB1197" s="1783"/>
      <c r="AC1197" s="1783"/>
      <c r="AD1197" s="1783"/>
      <c r="AE1197" s="1783"/>
      <c r="AF1197" s="1783"/>
      <c r="AG1197" s="1783"/>
      <c r="AH1197" s="1783"/>
      <c r="AI1197" s="1783"/>
      <c r="AJ1197" s="1783"/>
      <c r="AK1197" s="1783"/>
      <c r="AL1197" s="1783"/>
      <c r="AM1197" s="1783"/>
      <c r="AN1197" s="1783"/>
      <c r="AO1197" s="1783"/>
      <c r="AP1197" s="1783"/>
      <c r="AQ1197" s="1783"/>
      <c r="AR1197" s="1783"/>
      <c r="AS1197" s="1783"/>
      <c r="AT1197" s="1783"/>
      <c r="AU1197" s="1783"/>
      <c r="AV1197" s="1783"/>
      <c r="AW1197" s="1783"/>
      <c r="AX1197" s="1783"/>
      <c r="AY1197" s="1783"/>
      <c r="AZ1197" s="1783"/>
      <c r="BA1197" s="1783"/>
      <c r="BB1197" s="1783"/>
      <c r="BC1197" s="1783"/>
      <c r="BD1197" s="1783"/>
      <c r="BE1197" s="1783"/>
      <c r="BF1197" s="1783"/>
      <c r="BG1197" s="1783"/>
      <c r="BH1197" s="1783"/>
      <c r="BI1197" s="1783"/>
    </row>
    <row r="1198" spans="1:61">
      <c r="A1198" s="1819"/>
      <c r="B1198" s="1818"/>
      <c r="C1198" s="1818"/>
      <c r="D1198" s="1818"/>
      <c r="E1198" s="1818"/>
      <c r="F1198" s="1818"/>
      <c r="G1198" s="1818"/>
      <c r="H1198" s="1783"/>
      <c r="I1198" s="1783"/>
      <c r="J1198" s="1783"/>
      <c r="K1198" s="1783"/>
      <c r="L1198" s="1783"/>
      <c r="M1198" s="1783"/>
      <c r="N1198" s="1783"/>
      <c r="O1198" s="1783"/>
      <c r="P1198" s="1783"/>
      <c r="Q1198" s="1783"/>
      <c r="R1198" s="1783"/>
      <c r="S1198" s="1783"/>
      <c r="T1198" s="1783"/>
      <c r="U1198" s="1783"/>
      <c r="V1198" s="1783"/>
      <c r="W1198" s="1783"/>
      <c r="X1198" s="1783"/>
      <c r="Y1198" s="1783"/>
      <c r="Z1198" s="1783"/>
      <c r="AA1198" s="1783"/>
      <c r="AB1198" s="1783"/>
      <c r="AC1198" s="1783"/>
      <c r="AD1198" s="1783"/>
      <c r="AE1198" s="1783"/>
      <c r="AF1198" s="1783"/>
      <c r="AG1198" s="1783"/>
      <c r="AH1198" s="1783"/>
      <c r="AI1198" s="1783"/>
      <c r="AJ1198" s="1783"/>
      <c r="AK1198" s="1783"/>
      <c r="AL1198" s="1783"/>
      <c r="AM1198" s="1783"/>
      <c r="AN1198" s="1783"/>
      <c r="AO1198" s="1783"/>
      <c r="AP1198" s="1783"/>
      <c r="AQ1198" s="1783"/>
      <c r="AR1198" s="1783"/>
      <c r="AS1198" s="1783"/>
      <c r="AT1198" s="1783"/>
      <c r="AU1198" s="1783"/>
      <c r="AV1198" s="1783"/>
      <c r="AW1198" s="1783"/>
      <c r="AX1198" s="1783"/>
      <c r="AY1198" s="1783"/>
      <c r="AZ1198" s="1783"/>
      <c r="BA1198" s="1783"/>
      <c r="BB1198" s="1783"/>
      <c r="BC1198" s="1783"/>
      <c r="BD1198" s="1783"/>
      <c r="BE1198" s="1783"/>
      <c r="BF1198" s="1783"/>
      <c r="BG1198" s="1783"/>
      <c r="BH1198" s="1783"/>
      <c r="BI1198" s="1783"/>
    </row>
    <row r="1199" spans="1:61">
      <c r="A1199" s="1819"/>
      <c r="B1199" s="1818"/>
      <c r="C1199" s="1818"/>
      <c r="D1199" s="1818"/>
      <c r="E1199" s="1818"/>
      <c r="F1199" s="1818"/>
      <c r="G1199" s="1818"/>
      <c r="H1199" s="1783"/>
      <c r="I1199" s="1783"/>
      <c r="J1199" s="1783"/>
      <c r="K1199" s="1783"/>
      <c r="L1199" s="1783"/>
      <c r="M1199" s="1783"/>
      <c r="N1199" s="1783"/>
      <c r="O1199" s="1783"/>
      <c r="P1199" s="1783"/>
      <c r="Q1199" s="1783"/>
      <c r="R1199" s="1783"/>
      <c r="S1199" s="1783"/>
      <c r="T1199" s="1783"/>
      <c r="U1199" s="1783"/>
      <c r="V1199" s="1783"/>
      <c r="W1199" s="1783"/>
      <c r="X1199" s="1783"/>
      <c r="Y1199" s="1783"/>
      <c r="Z1199" s="1783"/>
      <c r="AA1199" s="1783"/>
      <c r="AB1199" s="1783"/>
      <c r="AC1199" s="1783"/>
      <c r="AD1199" s="1783"/>
      <c r="AE1199" s="1783"/>
      <c r="AF1199" s="1783"/>
      <c r="AG1199" s="1783"/>
      <c r="AH1199" s="1783"/>
      <c r="AI1199" s="1783"/>
      <c r="AJ1199" s="1783"/>
      <c r="AK1199" s="1783"/>
      <c r="AL1199" s="1783"/>
      <c r="AM1199" s="1783"/>
      <c r="AN1199" s="1783"/>
      <c r="AO1199" s="1783"/>
      <c r="AP1199" s="1783"/>
      <c r="AQ1199" s="1783"/>
      <c r="AR1199" s="1783"/>
      <c r="AS1199" s="1783"/>
      <c r="AT1199" s="1783"/>
      <c r="AU1199" s="1783"/>
      <c r="AV1199" s="1783"/>
      <c r="AW1199" s="1783"/>
      <c r="AX1199" s="1783"/>
      <c r="AY1199" s="1783"/>
      <c r="AZ1199" s="1783"/>
      <c r="BA1199" s="1783"/>
      <c r="BB1199" s="1783"/>
      <c r="BC1199" s="1783"/>
      <c r="BD1199" s="1783"/>
      <c r="BE1199" s="1783"/>
      <c r="BF1199" s="1783"/>
      <c r="BG1199" s="1783"/>
      <c r="BH1199" s="1783"/>
      <c r="BI1199" s="1783"/>
    </row>
    <row r="1200" spans="1:61">
      <c r="A1200" s="1819"/>
      <c r="B1200" s="1818"/>
      <c r="C1200" s="1818"/>
      <c r="D1200" s="1818"/>
      <c r="E1200" s="1818"/>
      <c r="F1200" s="1818"/>
      <c r="G1200" s="1818"/>
      <c r="H1200" s="1783"/>
      <c r="I1200" s="1783"/>
      <c r="J1200" s="1783"/>
      <c r="K1200" s="1783"/>
      <c r="L1200" s="1783"/>
      <c r="M1200" s="1783"/>
      <c r="N1200" s="1783"/>
      <c r="O1200" s="1783"/>
      <c r="P1200" s="1783"/>
      <c r="Q1200" s="1783"/>
      <c r="R1200" s="1783"/>
      <c r="S1200" s="1783"/>
      <c r="T1200" s="1783"/>
      <c r="U1200" s="1783"/>
      <c r="V1200" s="1783"/>
      <c r="W1200" s="1783"/>
      <c r="X1200" s="1783"/>
      <c r="Y1200" s="1783"/>
      <c r="Z1200" s="1783"/>
      <c r="AA1200" s="1783"/>
      <c r="AB1200" s="1783"/>
      <c r="AC1200" s="1783"/>
      <c r="AD1200" s="1783"/>
      <c r="AE1200" s="1783"/>
      <c r="AF1200" s="1783"/>
      <c r="AG1200" s="1783"/>
      <c r="AH1200" s="1783"/>
      <c r="AI1200" s="1783"/>
      <c r="AJ1200" s="1783"/>
      <c r="AK1200" s="1783"/>
      <c r="AL1200" s="1783"/>
      <c r="AM1200" s="1783"/>
      <c r="AN1200" s="1783"/>
      <c r="AO1200" s="1783"/>
      <c r="AP1200" s="1783"/>
      <c r="AQ1200" s="1783"/>
      <c r="AR1200" s="1783"/>
      <c r="AS1200" s="1783"/>
      <c r="AT1200" s="1783"/>
      <c r="AU1200" s="1783"/>
      <c r="AV1200" s="1783"/>
      <c r="AW1200" s="1783"/>
      <c r="AX1200" s="1783"/>
      <c r="AY1200" s="1783"/>
      <c r="AZ1200" s="1783"/>
      <c r="BA1200" s="1783"/>
      <c r="BB1200" s="1783"/>
      <c r="BC1200" s="1783"/>
      <c r="BD1200" s="1783"/>
      <c r="BE1200" s="1783"/>
      <c r="BF1200" s="1783"/>
      <c r="BG1200" s="1783"/>
      <c r="BH1200" s="1783"/>
      <c r="BI1200" s="1783"/>
    </row>
    <row r="1201" spans="1:61">
      <c r="A1201" s="1819"/>
      <c r="B1201" s="1818"/>
      <c r="C1201" s="1818"/>
      <c r="D1201" s="1818"/>
      <c r="E1201" s="1818"/>
      <c r="F1201" s="1818"/>
      <c r="G1201" s="1818"/>
      <c r="H1201" s="1783"/>
      <c r="I1201" s="1783"/>
      <c r="J1201" s="1783"/>
      <c r="K1201" s="1783"/>
      <c r="L1201" s="1783"/>
      <c r="M1201" s="1783"/>
      <c r="N1201" s="1783"/>
      <c r="O1201" s="1783"/>
      <c r="P1201" s="1783"/>
      <c r="Q1201" s="1783"/>
      <c r="R1201" s="1783"/>
      <c r="S1201" s="1783"/>
      <c r="T1201" s="1783"/>
      <c r="U1201" s="1783"/>
      <c r="V1201" s="1783"/>
      <c r="W1201" s="1783"/>
      <c r="X1201" s="1783"/>
      <c r="Y1201" s="1783"/>
      <c r="Z1201" s="1783"/>
      <c r="AA1201" s="1783"/>
      <c r="AB1201" s="1783"/>
      <c r="AC1201" s="1783"/>
      <c r="AD1201" s="1783"/>
      <c r="AE1201" s="1783"/>
      <c r="AF1201" s="1783"/>
      <c r="AG1201" s="1783"/>
      <c r="AH1201" s="1783"/>
      <c r="AI1201" s="1783"/>
      <c r="AJ1201" s="1783"/>
      <c r="AK1201" s="1783"/>
      <c r="AL1201" s="1783"/>
      <c r="AM1201" s="1783"/>
      <c r="AN1201" s="1783"/>
      <c r="AO1201" s="1783"/>
      <c r="AP1201" s="1783"/>
      <c r="AQ1201" s="1783"/>
      <c r="AR1201" s="1783"/>
      <c r="AS1201" s="1783"/>
      <c r="AT1201" s="1783"/>
      <c r="AU1201" s="1783"/>
      <c r="AV1201" s="1783"/>
      <c r="AW1201" s="1783"/>
      <c r="AX1201" s="1783"/>
      <c r="AY1201" s="1783"/>
      <c r="AZ1201" s="1783"/>
      <c r="BA1201" s="1783"/>
      <c r="BB1201" s="1783"/>
      <c r="BC1201" s="1783"/>
      <c r="BD1201" s="1783"/>
      <c r="BE1201" s="1783"/>
      <c r="BF1201" s="1783"/>
      <c r="BG1201" s="1783"/>
      <c r="BH1201" s="1783"/>
      <c r="BI1201" s="1783"/>
    </row>
    <row r="1202" spans="1:61">
      <c r="A1202" s="1819"/>
      <c r="B1202" s="1818"/>
      <c r="C1202" s="1818"/>
      <c r="D1202" s="1818"/>
      <c r="E1202" s="1818"/>
      <c r="F1202" s="1818"/>
      <c r="G1202" s="1818"/>
      <c r="H1202" s="1783"/>
      <c r="I1202" s="1783"/>
      <c r="J1202" s="1783"/>
      <c r="K1202" s="1783"/>
      <c r="L1202" s="1783"/>
      <c r="M1202" s="1783"/>
      <c r="N1202" s="1783"/>
      <c r="O1202" s="1783"/>
      <c r="P1202" s="1783"/>
      <c r="Q1202" s="1783"/>
      <c r="R1202" s="1783"/>
      <c r="S1202" s="1783"/>
      <c r="T1202" s="1783"/>
      <c r="U1202" s="1783"/>
      <c r="V1202" s="1783"/>
      <c r="W1202" s="1783"/>
      <c r="X1202" s="1783"/>
      <c r="Y1202" s="1783"/>
      <c r="Z1202" s="1783"/>
      <c r="AA1202" s="1783"/>
      <c r="AB1202" s="1783"/>
      <c r="AC1202" s="1783"/>
      <c r="AD1202" s="1783"/>
      <c r="AE1202" s="1783"/>
      <c r="AF1202" s="1783"/>
      <c r="AG1202" s="1783"/>
      <c r="AH1202" s="1783"/>
      <c r="AI1202" s="1783"/>
      <c r="AJ1202" s="1783"/>
      <c r="AK1202" s="1783"/>
      <c r="AL1202" s="1783"/>
      <c r="AM1202" s="1783"/>
      <c r="AN1202" s="1783"/>
      <c r="AO1202" s="1783"/>
      <c r="AP1202" s="1783"/>
      <c r="AQ1202" s="1783"/>
      <c r="AR1202" s="1783"/>
      <c r="AS1202" s="1783"/>
      <c r="AT1202" s="1783"/>
      <c r="AU1202" s="1783"/>
      <c r="AV1202" s="1783"/>
      <c r="AW1202" s="1783"/>
      <c r="AX1202" s="1783"/>
      <c r="AY1202" s="1783"/>
      <c r="AZ1202" s="1783"/>
      <c r="BA1202" s="1783"/>
      <c r="BB1202" s="1783"/>
      <c r="BC1202" s="1783"/>
      <c r="BD1202" s="1783"/>
      <c r="BE1202" s="1783"/>
      <c r="BF1202" s="1783"/>
      <c r="BG1202" s="1783"/>
      <c r="BH1202" s="1783"/>
      <c r="BI1202" s="1783"/>
    </row>
    <row r="1203" spans="1:61">
      <c r="A1203" s="1819"/>
      <c r="B1203" s="1818"/>
      <c r="C1203" s="1818"/>
      <c r="D1203" s="1818"/>
      <c r="E1203" s="1818"/>
      <c r="F1203" s="1818"/>
      <c r="G1203" s="1818"/>
      <c r="H1203" s="1783"/>
      <c r="I1203" s="1783"/>
      <c r="J1203" s="1783"/>
      <c r="K1203" s="1783"/>
      <c r="L1203" s="1783"/>
      <c r="M1203" s="1783"/>
      <c r="N1203" s="1783"/>
      <c r="O1203" s="1783"/>
      <c r="P1203" s="1783"/>
      <c r="Q1203" s="1783"/>
      <c r="R1203" s="1783"/>
      <c r="S1203" s="1783"/>
      <c r="T1203" s="1783"/>
      <c r="U1203" s="1783"/>
      <c r="V1203" s="1783"/>
      <c r="W1203" s="1783"/>
      <c r="X1203" s="1783"/>
      <c r="Y1203" s="1783"/>
      <c r="Z1203" s="1783"/>
      <c r="AA1203" s="1783"/>
      <c r="AB1203" s="1783"/>
      <c r="AC1203" s="1783"/>
      <c r="AD1203" s="1783"/>
      <c r="AE1203" s="1783"/>
      <c r="AF1203" s="1783"/>
      <c r="AG1203" s="1783"/>
      <c r="AH1203" s="1783"/>
      <c r="AI1203" s="1783"/>
      <c r="AJ1203" s="1783"/>
      <c r="AK1203" s="1783"/>
      <c r="AL1203" s="1783"/>
      <c r="AM1203" s="1783"/>
      <c r="AN1203" s="1783"/>
      <c r="AO1203" s="1783"/>
      <c r="AP1203" s="1783"/>
      <c r="AQ1203" s="1783"/>
      <c r="AR1203" s="1783"/>
      <c r="AS1203" s="1783"/>
      <c r="AT1203" s="1783"/>
      <c r="AU1203" s="1783"/>
      <c r="AV1203" s="1783"/>
      <c r="AW1203" s="1783"/>
      <c r="AX1203" s="1783"/>
      <c r="AY1203" s="1783"/>
      <c r="AZ1203" s="1783"/>
      <c r="BA1203" s="1783"/>
      <c r="BB1203" s="1783"/>
      <c r="BC1203" s="1783"/>
      <c r="BD1203" s="1783"/>
      <c r="BE1203" s="1783"/>
      <c r="BF1203" s="1783"/>
      <c r="BG1203" s="1783"/>
      <c r="BH1203" s="1783"/>
      <c r="BI1203" s="1783"/>
    </row>
    <row r="1204" spans="1:61">
      <c r="A1204" s="1819"/>
      <c r="B1204" s="1818"/>
      <c r="C1204" s="1818"/>
      <c r="D1204" s="1818"/>
      <c r="E1204" s="1818"/>
      <c r="F1204" s="1818"/>
      <c r="G1204" s="1818"/>
      <c r="H1204" s="1783"/>
      <c r="I1204" s="1783"/>
      <c r="J1204" s="1783"/>
      <c r="K1204" s="1783"/>
      <c r="L1204" s="1783"/>
      <c r="M1204" s="1783"/>
      <c r="N1204" s="1783"/>
      <c r="O1204" s="1783"/>
      <c r="P1204" s="1783"/>
      <c r="Q1204" s="1783"/>
      <c r="R1204" s="1783"/>
      <c r="S1204" s="1783"/>
      <c r="T1204" s="1783"/>
      <c r="U1204" s="1783"/>
      <c r="V1204" s="1783"/>
      <c r="W1204" s="1783"/>
      <c r="X1204" s="1783"/>
      <c r="Y1204" s="1783"/>
      <c r="Z1204" s="1783"/>
      <c r="AA1204" s="1783"/>
      <c r="AB1204" s="1783"/>
      <c r="AC1204" s="1783"/>
      <c r="AD1204" s="1783"/>
      <c r="AE1204" s="1783"/>
      <c r="AF1204" s="1783"/>
      <c r="AG1204" s="1783"/>
      <c r="AH1204" s="1783"/>
      <c r="AI1204" s="1783"/>
      <c r="AJ1204" s="1783"/>
      <c r="AK1204" s="1783"/>
      <c r="AL1204" s="1783"/>
      <c r="AM1204" s="1783"/>
      <c r="AN1204" s="1783"/>
      <c r="AO1204" s="1783"/>
      <c r="AP1204" s="1783"/>
      <c r="AQ1204" s="1783"/>
      <c r="AR1204" s="1783"/>
      <c r="AS1204" s="1783"/>
      <c r="AT1204" s="1783"/>
      <c r="AU1204" s="1783"/>
      <c r="AV1204" s="1783"/>
      <c r="AW1204" s="1783"/>
      <c r="AX1204" s="1783"/>
      <c r="AY1204" s="1783"/>
      <c r="AZ1204" s="1783"/>
      <c r="BA1204" s="1783"/>
      <c r="BB1204" s="1783"/>
      <c r="BC1204" s="1783"/>
      <c r="BD1204" s="1783"/>
      <c r="BE1204" s="1783"/>
      <c r="BF1204" s="1783"/>
      <c r="BG1204" s="1783"/>
      <c r="BH1204" s="1783"/>
      <c r="BI1204" s="1783"/>
    </row>
    <row r="1205" spans="1:61">
      <c r="A1205" s="1819"/>
      <c r="B1205" s="1818"/>
      <c r="C1205" s="1818"/>
      <c r="D1205" s="1818"/>
      <c r="E1205" s="1818"/>
      <c r="F1205" s="1818"/>
      <c r="G1205" s="1818"/>
      <c r="H1205" s="1783"/>
      <c r="I1205" s="1783"/>
      <c r="J1205" s="1783"/>
      <c r="K1205" s="1783"/>
      <c r="L1205" s="1783"/>
      <c r="M1205" s="1783"/>
      <c r="N1205" s="1783"/>
      <c r="O1205" s="1783"/>
      <c r="P1205" s="1783"/>
      <c r="Q1205" s="1783"/>
      <c r="R1205" s="1783"/>
      <c r="S1205" s="1783"/>
      <c r="T1205" s="1783"/>
      <c r="U1205" s="1783"/>
      <c r="V1205" s="1783"/>
      <c r="W1205" s="1783"/>
      <c r="X1205" s="1783"/>
      <c r="Y1205" s="1783"/>
      <c r="Z1205" s="1783"/>
      <c r="AA1205" s="1783"/>
      <c r="AB1205" s="1783"/>
      <c r="AC1205" s="1783"/>
      <c r="AD1205" s="1783"/>
      <c r="AE1205" s="1783"/>
      <c r="AF1205" s="1783"/>
      <c r="AG1205" s="1783"/>
      <c r="AH1205" s="1783"/>
      <c r="AI1205" s="1783"/>
      <c r="AJ1205" s="1783"/>
      <c r="AK1205" s="1783"/>
      <c r="AL1205" s="1783"/>
      <c r="AM1205" s="1783"/>
      <c r="AN1205" s="1783"/>
      <c r="AO1205" s="1783"/>
      <c r="AP1205" s="1783"/>
      <c r="AQ1205" s="1783"/>
      <c r="AR1205" s="1783"/>
      <c r="AS1205" s="1783"/>
      <c r="AT1205" s="1783"/>
      <c r="AU1205" s="1783"/>
      <c r="AV1205" s="1783"/>
      <c r="AW1205" s="1783"/>
      <c r="AX1205" s="1783"/>
      <c r="AY1205" s="1783"/>
      <c r="AZ1205" s="1783"/>
      <c r="BA1205" s="1783"/>
      <c r="BB1205" s="1783"/>
      <c r="BC1205" s="1783"/>
      <c r="BD1205" s="1783"/>
      <c r="BE1205" s="1783"/>
      <c r="BF1205" s="1783"/>
      <c r="BG1205" s="1783"/>
      <c r="BH1205" s="1783"/>
      <c r="BI1205" s="1783"/>
    </row>
    <row r="1206" spans="1:61">
      <c r="A1206" s="1819"/>
      <c r="B1206" s="1818"/>
      <c r="C1206" s="1818"/>
      <c r="D1206" s="1818"/>
      <c r="E1206" s="1818"/>
      <c r="F1206" s="1818"/>
      <c r="G1206" s="1818"/>
      <c r="H1206" s="1783"/>
      <c r="I1206" s="1783"/>
      <c r="J1206" s="1783"/>
      <c r="K1206" s="1783"/>
      <c r="L1206" s="1783"/>
      <c r="M1206" s="1783"/>
      <c r="N1206" s="1783"/>
      <c r="O1206" s="1783"/>
      <c r="P1206" s="1783"/>
      <c r="Q1206" s="1783"/>
      <c r="R1206" s="1783"/>
      <c r="S1206" s="1783"/>
      <c r="T1206" s="1783"/>
      <c r="U1206" s="1783"/>
      <c r="V1206" s="1783"/>
      <c r="W1206" s="1783"/>
      <c r="X1206" s="1783"/>
      <c r="Y1206" s="1783"/>
      <c r="Z1206" s="1783"/>
      <c r="AA1206" s="1783"/>
      <c r="AB1206" s="1783"/>
      <c r="AC1206" s="1783"/>
      <c r="AD1206" s="1783"/>
      <c r="AE1206" s="1783"/>
      <c r="AF1206" s="1783"/>
      <c r="AG1206" s="1783"/>
      <c r="AH1206" s="1783"/>
      <c r="AI1206" s="1783"/>
      <c r="AJ1206" s="1783"/>
      <c r="AK1206" s="1783"/>
      <c r="AL1206" s="1783"/>
      <c r="AM1206" s="1783"/>
      <c r="AN1206" s="1783"/>
      <c r="AO1206" s="1783"/>
      <c r="AP1206" s="1783"/>
      <c r="AQ1206" s="1783"/>
      <c r="AR1206" s="1783"/>
      <c r="AS1206" s="1783"/>
      <c r="AT1206" s="1783"/>
      <c r="AU1206" s="1783"/>
      <c r="AV1206" s="1783"/>
      <c r="AW1206" s="1783"/>
      <c r="AX1206" s="1783"/>
      <c r="AY1206" s="1783"/>
      <c r="AZ1206" s="1783"/>
      <c r="BA1206" s="1783"/>
      <c r="BB1206" s="1783"/>
      <c r="BC1206" s="1783"/>
      <c r="BD1206" s="1783"/>
      <c r="BE1206" s="1783"/>
      <c r="BF1206" s="1783"/>
      <c r="BG1206" s="1783"/>
      <c r="BH1206" s="1783"/>
      <c r="BI1206" s="1783"/>
    </row>
    <row r="1207" spans="1:61">
      <c r="A1207" s="1819"/>
      <c r="B1207" s="1818"/>
      <c r="C1207" s="1818"/>
      <c r="D1207" s="1818"/>
      <c r="E1207" s="1818"/>
      <c r="F1207" s="1818"/>
      <c r="G1207" s="1818"/>
      <c r="H1207" s="1783"/>
      <c r="I1207" s="1783"/>
      <c r="J1207" s="1783"/>
      <c r="K1207" s="1783"/>
      <c r="L1207" s="1783"/>
      <c r="M1207" s="1783"/>
      <c r="N1207" s="1783"/>
      <c r="O1207" s="1783"/>
      <c r="P1207" s="1783"/>
      <c r="Q1207" s="1783"/>
      <c r="R1207" s="1783"/>
      <c r="S1207" s="1783"/>
      <c r="T1207" s="1783"/>
      <c r="U1207" s="1783"/>
      <c r="V1207" s="1783"/>
      <c r="W1207" s="1783"/>
      <c r="X1207" s="1783"/>
      <c r="Y1207" s="1783"/>
      <c r="Z1207" s="1783"/>
      <c r="AA1207" s="1783"/>
      <c r="AB1207" s="1783"/>
      <c r="AC1207" s="1783"/>
      <c r="AD1207" s="1783"/>
      <c r="AE1207" s="1783"/>
      <c r="AF1207" s="1783"/>
      <c r="AG1207" s="1783"/>
      <c r="AH1207" s="1783"/>
      <c r="AI1207" s="1783"/>
      <c r="AJ1207" s="1783"/>
      <c r="AK1207" s="1783"/>
      <c r="AL1207" s="1783"/>
      <c r="AM1207" s="1783"/>
      <c r="AN1207" s="1783"/>
      <c r="AO1207" s="1783"/>
      <c r="AP1207" s="1783"/>
      <c r="AQ1207" s="1783"/>
      <c r="AR1207" s="1783"/>
      <c r="AS1207" s="1783"/>
      <c r="AT1207" s="1783"/>
      <c r="AU1207" s="1783"/>
      <c r="AV1207" s="1783"/>
      <c r="AW1207" s="1783"/>
      <c r="AX1207" s="1783"/>
      <c r="AY1207" s="1783"/>
      <c r="AZ1207" s="1783"/>
      <c r="BA1207" s="1783"/>
      <c r="BB1207" s="1783"/>
      <c r="BC1207" s="1783"/>
      <c r="BD1207" s="1783"/>
      <c r="BE1207" s="1783"/>
      <c r="BF1207" s="1783"/>
      <c r="BG1207" s="1783"/>
      <c r="BH1207" s="1783"/>
      <c r="BI1207" s="1783"/>
    </row>
    <row r="1208" spans="1:61">
      <c r="A1208" s="1819"/>
      <c r="B1208" s="1818"/>
      <c r="C1208" s="1818"/>
      <c r="D1208" s="1818"/>
      <c r="E1208" s="1818"/>
      <c r="F1208" s="1818"/>
      <c r="G1208" s="1818"/>
      <c r="H1208" s="1783"/>
      <c r="I1208" s="1783"/>
      <c r="J1208" s="1783"/>
      <c r="K1208" s="1783"/>
      <c r="L1208" s="1783"/>
      <c r="M1208" s="1783"/>
      <c r="N1208" s="1783"/>
      <c r="O1208" s="1783"/>
      <c r="P1208" s="1783"/>
      <c r="Q1208" s="1783"/>
      <c r="R1208" s="1783"/>
      <c r="S1208" s="1783"/>
      <c r="T1208" s="1783"/>
      <c r="U1208" s="1783"/>
      <c r="V1208" s="1783"/>
      <c r="W1208" s="1783"/>
      <c r="X1208" s="1783"/>
      <c r="Y1208" s="1783"/>
      <c r="Z1208" s="1783"/>
      <c r="AA1208" s="1783"/>
      <c r="AB1208" s="1783"/>
      <c r="AC1208" s="1783"/>
      <c r="AD1208" s="1783"/>
      <c r="AE1208" s="1783"/>
      <c r="AF1208" s="1783"/>
      <c r="AG1208" s="1783"/>
      <c r="AH1208" s="1783"/>
      <c r="AI1208" s="1783"/>
      <c r="AJ1208" s="1783"/>
      <c r="AK1208" s="1783"/>
      <c r="AL1208" s="1783"/>
      <c r="AM1208" s="1783"/>
      <c r="AN1208" s="1783"/>
      <c r="AO1208" s="1783"/>
      <c r="AP1208" s="1783"/>
      <c r="AQ1208" s="1783"/>
      <c r="AR1208" s="1783"/>
      <c r="AS1208" s="1783"/>
      <c r="AT1208" s="1783"/>
      <c r="AU1208" s="1783"/>
      <c r="AV1208" s="1783"/>
      <c r="AW1208" s="1783"/>
      <c r="AX1208" s="1783"/>
      <c r="AY1208" s="1783"/>
      <c r="AZ1208" s="1783"/>
      <c r="BA1208" s="1783"/>
      <c r="BB1208" s="1783"/>
      <c r="BC1208" s="1783"/>
      <c r="BD1208" s="1783"/>
      <c r="BE1208" s="1783"/>
      <c r="BF1208" s="1783"/>
      <c r="BG1208" s="1783"/>
      <c r="BH1208" s="1783"/>
      <c r="BI1208" s="1783"/>
    </row>
    <row r="1209" spans="1:61">
      <c r="A1209" s="1819"/>
      <c r="B1209" s="1818"/>
      <c r="C1209" s="1818"/>
      <c r="D1209" s="1818"/>
      <c r="E1209" s="1818"/>
      <c r="F1209" s="1818"/>
      <c r="G1209" s="1818"/>
      <c r="H1209" s="1783"/>
      <c r="I1209" s="1783"/>
      <c r="J1209" s="1783"/>
      <c r="K1209" s="1783"/>
      <c r="L1209" s="1783"/>
      <c r="M1209" s="1783"/>
      <c r="N1209" s="1783"/>
      <c r="O1209" s="1783"/>
      <c r="P1209" s="1783"/>
      <c r="Q1209" s="1783"/>
      <c r="R1209" s="1783"/>
      <c r="S1209" s="1783"/>
      <c r="T1209" s="1783"/>
      <c r="U1209" s="1783"/>
      <c r="V1209" s="1783"/>
      <c r="W1209" s="1783"/>
      <c r="X1209" s="1783"/>
      <c r="Y1209" s="1783"/>
      <c r="Z1209" s="1783"/>
      <c r="AA1209" s="1783"/>
      <c r="AB1209" s="1783"/>
      <c r="AC1209" s="1783"/>
      <c r="AD1209" s="1783"/>
      <c r="AE1209" s="1783"/>
      <c r="AF1209" s="1783"/>
      <c r="AG1209" s="1783"/>
      <c r="AH1209" s="1783"/>
      <c r="AI1209" s="1783"/>
      <c r="AJ1209" s="1783"/>
      <c r="AK1209" s="1783"/>
      <c r="AL1209" s="1783"/>
      <c r="AM1209" s="1783"/>
      <c r="AN1209" s="1783"/>
      <c r="AO1209" s="1783"/>
      <c r="AP1209" s="1783"/>
      <c r="AQ1209" s="1783"/>
      <c r="AR1209" s="1783"/>
      <c r="AS1209" s="1783"/>
      <c r="AT1209" s="1783"/>
      <c r="AU1209" s="1783"/>
      <c r="AV1209" s="1783"/>
      <c r="AW1209" s="1783"/>
      <c r="AX1209" s="1783"/>
      <c r="AY1209" s="1783"/>
      <c r="AZ1209" s="1783"/>
      <c r="BA1209" s="1783"/>
      <c r="BB1209" s="1783"/>
      <c r="BC1209" s="1783"/>
      <c r="BD1209" s="1783"/>
      <c r="BE1209" s="1783"/>
      <c r="BF1209" s="1783"/>
      <c r="BG1209" s="1783"/>
      <c r="BH1209" s="1783"/>
      <c r="BI1209" s="1783"/>
    </row>
    <row r="1210" spans="1:61">
      <c r="A1210" s="1819"/>
      <c r="B1210" s="1818"/>
      <c r="C1210" s="1818"/>
      <c r="D1210" s="1818"/>
      <c r="E1210" s="1818"/>
      <c r="F1210" s="1818"/>
      <c r="G1210" s="1818"/>
      <c r="H1210" s="1783"/>
      <c r="I1210" s="1783"/>
      <c r="J1210" s="1783"/>
      <c r="K1210" s="1783"/>
      <c r="L1210" s="1783"/>
      <c r="M1210" s="1783"/>
      <c r="N1210" s="1783"/>
      <c r="O1210" s="1783"/>
      <c r="P1210" s="1783"/>
      <c r="Q1210" s="1783"/>
      <c r="R1210" s="1783"/>
      <c r="S1210" s="1783"/>
      <c r="T1210" s="1783"/>
      <c r="U1210" s="1783"/>
      <c r="V1210" s="1783"/>
      <c r="W1210" s="1783"/>
      <c r="X1210" s="1783"/>
      <c r="Y1210" s="1783"/>
      <c r="Z1210" s="1783"/>
      <c r="AA1210" s="1783"/>
      <c r="AB1210" s="1783"/>
      <c r="AC1210" s="1783"/>
      <c r="AD1210" s="1783"/>
      <c r="AE1210" s="1783"/>
      <c r="AF1210" s="1783"/>
      <c r="AG1210" s="1783"/>
      <c r="AH1210" s="1783"/>
      <c r="AI1210" s="1783"/>
      <c r="AJ1210" s="1783"/>
      <c r="AK1210" s="1783"/>
      <c r="AL1210" s="1783"/>
      <c r="AM1210" s="1783"/>
      <c r="AN1210" s="1783"/>
      <c r="AO1210" s="1783"/>
      <c r="AP1210" s="1783"/>
      <c r="AQ1210" s="1783"/>
      <c r="AR1210" s="1783"/>
      <c r="AS1210" s="1783"/>
      <c r="AT1210" s="1783"/>
      <c r="AU1210" s="1783"/>
      <c r="AV1210" s="1783"/>
      <c r="AW1210" s="1783"/>
      <c r="AX1210" s="1783"/>
      <c r="AY1210" s="1783"/>
      <c r="AZ1210" s="1783"/>
      <c r="BA1210" s="1783"/>
      <c r="BB1210" s="1783"/>
      <c r="BC1210" s="1783"/>
      <c r="BD1210" s="1783"/>
      <c r="BE1210" s="1783"/>
      <c r="BF1210" s="1783"/>
      <c r="BG1210" s="1783"/>
      <c r="BH1210" s="1783"/>
      <c r="BI1210" s="1783"/>
    </row>
    <row r="1211" spans="1:61">
      <c r="A1211" s="1819"/>
      <c r="B1211" s="1818"/>
      <c r="C1211" s="1818"/>
      <c r="D1211" s="1818"/>
      <c r="E1211" s="1818"/>
      <c r="F1211" s="1818"/>
      <c r="G1211" s="1818"/>
      <c r="H1211" s="1783"/>
      <c r="I1211" s="1783"/>
      <c r="J1211" s="1783"/>
      <c r="K1211" s="1783"/>
      <c r="L1211" s="1783"/>
      <c r="M1211" s="1783"/>
      <c r="N1211" s="1783"/>
      <c r="O1211" s="1783"/>
      <c r="P1211" s="1783"/>
      <c r="Q1211" s="1783"/>
      <c r="R1211" s="1783"/>
      <c r="S1211" s="1783"/>
      <c r="T1211" s="1783"/>
      <c r="U1211" s="1783"/>
      <c r="V1211" s="1783"/>
      <c r="W1211" s="1783"/>
      <c r="X1211" s="1783"/>
      <c r="Y1211" s="1783"/>
      <c r="Z1211" s="1783"/>
      <c r="AA1211" s="1783"/>
      <c r="AB1211" s="1783"/>
      <c r="AC1211" s="1783"/>
      <c r="AD1211" s="1783"/>
      <c r="AE1211" s="1783"/>
      <c r="AF1211" s="1783"/>
      <c r="AG1211" s="1783"/>
      <c r="AH1211" s="1783"/>
      <c r="AI1211" s="1783"/>
      <c r="AJ1211" s="1783"/>
      <c r="AK1211" s="1783"/>
      <c r="AL1211" s="1783"/>
      <c r="AM1211" s="1783"/>
      <c r="AN1211" s="1783"/>
      <c r="AO1211" s="1783"/>
      <c r="AP1211" s="1783"/>
      <c r="AQ1211" s="1783"/>
      <c r="AR1211" s="1783"/>
      <c r="AS1211" s="1783"/>
      <c r="AT1211" s="1783"/>
      <c r="AU1211" s="1783"/>
      <c r="AV1211" s="1783"/>
      <c r="AW1211" s="1783"/>
      <c r="AX1211" s="1783"/>
      <c r="AY1211" s="1783"/>
      <c r="AZ1211" s="1783"/>
      <c r="BA1211" s="1783"/>
      <c r="BB1211" s="1783"/>
      <c r="BC1211" s="1783"/>
      <c r="BD1211" s="1783"/>
      <c r="BE1211" s="1783"/>
      <c r="BF1211" s="1783"/>
      <c r="BG1211" s="1783"/>
      <c r="BH1211" s="1783"/>
      <c r="BI1211" s="1783"/>
    </row>
    <row r="1212" spans="1:61">
      <c r="A1212" s="1819"/>
      <c r="B1212" s="1818"/>
      <c r="C1212" s="1818"/>
      <c r="D1212" s="1818"/>
      <c r="E1212" s="1818"/>
      <c r="F1212" s="1818"/>
      <c r="G1212" s="1818"/>
      <c r="H1212" s="1783"/>
      <c r="I1212" s="1783"/>
      <c r="J1212" s="1783"/>
      <c r="K1212" s="1783"/>
      <c r="L1212" s="1783"/>
      <c r="M1212" s="1783"/>
      <c r="N1212" s="1783"/>
      <c r="O1212" s="1783"/>
      <c r="P1212" s="1783"/>
      <c r="Q1212" s="1783"/>
      <c r="R1212" s="1783"/>
      <c r="S1212" s="1783"/>
      <c r="T1212" s="1783"/>
      <c r="U1212" s="1783"/>
      <c r="V1212" s="1783"/>
      <c r="W1212" s="1783"/>
      <c r="X1212" s="1783"/>
      <c r="Y1212" s="1783"/>
      <c r="Z1212" s="1783"/>
      <c r="AA1212" s="1783"/>
      <c r="AB1212" s="1783"/>
      <c r="AC1212" s="1783"/>
      <c r="AD1212" s="1783"/>
      <c r="AE1212" s="1783"/>
      <c r="AF1212" s="1783"/>
      <c r="AG1212" s="1783"/>
      <c r="AH1212" s="1783"/>
      <c r="AI1212" s="1783"/>
      <c r="AJ1212" s="1783"/>
      <c r="AK1212" s="1783"/>
      <c r="AL1212" s="1783"/>
      <c r="AM1212" s="1783"/>
      <c r="AN1212" s="1783"/>
      <c r="AO1212" s="1783"/>
      <c r="AP1212" s="1783"/>
      <c r="AQ1212" s="1783"/>
      <c r="AR1212" s="1783"/>
      <c r="AS1212" s="1783"/>
      <c r="AT1212" s="1783"/>
      <c r="AU1212" s="1783"/>
      <c r="AV1212" s="1783"/>
      <c r="AW1212" s="1783"/>
      <c r="AX1212" s="1783"/>
      <c r="AY1212" s="1783"/>
      <c r="AZ1212" s="1783"/>
      <c r="BA1212" s="1783"/>
      <c r="BB1212" s="1783"/>
      <c r="BC1212" s="1783"/>
      <c r="BD1212" s="1783"/>
      <c r="BE1212" s="1783"/>
      <c r="BF1212" s="1783"/>
      <c r="BG1212" s="1783"/>
      <c r="BH1212" s="1783"/>
      <c r="BI1212" s="1783"/>
    </row>
    <row r="1213" spans="1:61">
      <c r="A1213" s="1819"/>
      <c r="B1213" s="1818"/>
      <c r="C1213" s="1818"/>
      <c r="D1213" s="1818"/>
      <c r="E1213" s="1818"/>
      <c r="F1213" s="1818"/>
      <c r="G1213" s="1818"/>
      <c r="H1213" s="1783"/>
      <c r="I1213" s="1783"/>
      <c r="J1213" s="1783"/>
      <c r="K1213" s="1783"/>
      <c r="L1213" s="1783"/>
      <c r="M1213" s="1783"/>
      <c r="N1213" s="1783"/>
      <c r="O1213" s="1783"/>
      <c r="P1213" s="1783"/>
      <c r="Q1213" s="1783"/>
      <c r="R1213" s="1783"/>
      <c r="S1213" s="1783"/>
      <c r="T1213" s="1783"/>
      <c r="U1213" s="1783"/>
      <c r="V1213" s="1783"/>
      <c r="W1213" s="1783"/>
      <c r="X1213" s="1783"/>
      <c r="Y1213" s="1783"/>
      <c r="Z1213" s="1783"/>
      <c r="AA1213" s="1783"/>
      <c r="AB1213" s="1783"/>
      <c r="AC1213" s="1783"/>
      <c r="AD1213" s="1783"/>
      <c r="AE1213" s="1783"/>
      <c r="AF1213" s="1783"/>
      <c r="AG1213" s="1783"/>
      <c r="AH1213" s="1783"/>
      <c r="AI1213" s="1783"/>
      <c r="AJ1213" s="1783"/>
      <c r="AK1213" s="1783"/>
      <c r="AL1213" s="1783"/>
      <c r="AM1213" s="1783"/>
      <c r="AN1213" s="1783"/>
      <c r="AO1213" s="1783"/>
      <c r="AP1213" s="1783"/>
      <c r="AQ1213" s="1783"/>
      <c r="AR1213" s="1783"/>
      <c r="AS1213" s="1783"/>
      <c r="AT1213" s="1783"/>
      <c r="AU1213" s="1783"/>
      <c r="AV1213" s="1783"/>
      <c r="AW1213" s="1783"/>
      <c r="AX1213" s="1783"/>
      <c r="AY1213" s="1783"/>
      <c r="AZ1213" s="1783"/>
      <c r="BA1213" s="1783"/>
      <c r="BB1213" s="1783"/>
      <c r="BC1213" s="1783"/>
      <c r="BD1213" s="1783"/>
      <c r="BE1213" s="1783"/>
      <c r="BF1213" s="1783"/>
      <c r="BG1213" s="1783"/>
      <c r="BH1213" s="1783"/>
      <c r="BI1213" s="1783"/>
    </row>
    <row r="1214" spans="1:61">
      <c r="A1214" s="1819"/>
      <c r="B1214" s="1818"/>
      <c r="C1214" s="1818"/>
      <c r="D1214" s="1818"/>
      <c r="E1214" s="1818"/>
      <c r="F1214" s="1818"/>
      <c r="G1214" s="1818"/>
      <c r="H1214" s="1783"/>
      <c r="I1214" s="1783"/>
      <c r="J1214" s="1783"/>
      <c r="K1214" s="1783"/>
      <c r="L1214" s="1783"/>
      <c r="M1214" s="1783"/>
      <c r="N1214" s="1783"/>
      <c r="O1214" s="1783"/>
      <c r="P1214" s="1783"/>
      <c r="Q1214" s="1783"/>
      <c r="R1214" s="1783"/>
      <c r="S1214" s="1783"/>
      <c r="T1214" s="1783"/>
      <c r="U1214" s="1783"/>
      <c r="V1214" s="1783"/>
      <c r="W1214" s="1783"/>
      <c r="X1214" s="1783"/>
      <c r="Y1214" s="1783"/>
      <c r="Z1214" s="1783"/>
      <c r="AA1214" s="1783"/>
      <c r="AB1214" s="1783"/>
      <c r="AC1214" s="1783"/>
      <c r="AD1214" s="1783"/>
      <c r="AE1214" s="1783"/>
      <c r="AF1214" s="1783"/>
      <c r="AG1214" s="1783"/>
      <c r="AH1214" s="1783"/>
      <c r="AI1214" s="1783"/>
      <c r="AJ1214" s="1783"/>
      <c r="AK1214" s="1783"/>
      <c r="AL1214" s="1783"/>
      <c r="AM1214" s="1783"/>
      <c r="AN1214" s="1783"/>
      <c r="AO1214" s="1783"/>
      <c r="AP1214" s="1783"/>
      <c r="AQ1214" s="1783"/>
      <c r="AR1214" s="1783"/>
      <c r="AS1214" s="1783"/>
      <c r="AT1214" s="1783"/>
      <c r="AU1214" s="1783"/>
      <c r="AV1214" s="1783"/>
      <c r="AW1214" s="1783"/>
      <c r="AX1214" s="1783"/>
      <c r="AY1214" s="1783"/>
      <c r="AZ1214" s="1783"/>
      <c r="BA1214" s="1783"/>
      <c r="BB1214" s="1783"/>
      <c r="BC1214" s="1783"/>
      <c r="BD1214" s="1783"/>
      <c r="BE1214" s="1783"/>
      <c r="BF1214" s="1783"/>
      <c r="BG1214" s="1783"/>
      <c r="BH1214" s="1783"/>
      <c r="BI1214" s="1783"/>
    </row>
    <row r="1215" spans="1:61">
      <c r="A1215" s="1819"/>
      <c r="B1215" s="1818"/>
      <c r="C1215" s="1818"/>
      <c r="D1215" s="1818"/>
      <c r="E1215" s="1818"/>
      <c r="F1215" s="1818"/>
      <c r="G1215" s="1818"/>
      <c r="H1215" s="1783"/>
      <c r="I1215" s="1783"/>
      <c r="J1215" s="1783"/>
      <c r="K1215" s="1783"/>
      <c r="L1215" s="1783"/>
      <c r="M1215" s="1783"/>
      <c r="N1215" s="1783"/>
      <c r="O1215" s="1783"/>
      <c r="P1215" s="1783"/>
      <c r="Q1215" s="1783"/>
      <c r="R1215" s="1783"/>
      <c r="S1215" s="1783"/>
      <c r="T1215" s="1783"/>
      <c r="U1215" s="1783"/>
      <c r="V1215" s="1783"/>
      <c r="W1215" s="1783"/>
      <c r="X1215" s="1783"/>
      <c r="Y1215" s="1783"/>
      <c r="Z1215" s="1783"/>
      <c r="AA1215" s="1783"/>
      <c r="AB1215" s="1783"/>
      <c r="AC1215" s="1783"/>
      <c r="AD1215" s="1783"/>
      <c r="AE1215" s="1783"/>
      <c r="AF1215" s="1783"/>
      <c r="AG1215" s="1783"/>
      <c r="AH1215" s="1783"/>
      <c r="AI1215" s="1783"/>
      <c r="AJ1215" s="1783"/>
      <c r="AK1215" s="1783"/>
      <c r="AL1215" s="1783"/>
      <c r="AM1215" s="1783"/>
      <c r="AN1215" s="1783"/>
      <c r="AO1215" s="1783"/>
      <c r="AP1215" s="1783"/>
      <c r="AQ1215" s="1783"/>
      <c r="AR1215" s="1783"/>
      <c r="AS1215" s="1783"/>
      <c r="AT1215" s="1783"/>
      <c r="AU1215" s="1783"/>
      <c r="AV1215" s="1783"/>
      <c r="AW1215" s="1783"/>
      <c r="AX1215" s="1783"/>
      <c r="AY1215" s="1783"/>
      <c r="AZ1215" s="1783"/>
      <c r="BA1215" s="1783"/>
      <c r="BB1215" s="1783"/>
      <c r="BC1215" s="1783"/>
      <c r="BD1215" s="1783"/>
      <c r="BE1215" s="1783"/>
      <c r="BF1215" s="1783"/>
      <c r="BG1215" s="1783"/>
      <c r="BH1215" s="1783"/>
      <c r="BI1215" s="1783"/>
    </row>
    <row r="1216" spans="1:61">
      <c r="A1216" s="1819"/>
      <c r="B1216" s="1818"/>
      <c r="C1216" s="1818"/>
      <c r="D1216" s="1818"/>
      <c r="E1216" s="1818"/>
      <c r="F1216" s="1818"/>
      <c r="G1216" s="1818"/>
      <c r="H1216" s="1783"/>
      <c r="I1216" s="1783"/>
      <c r="J1216" s="1783"/>
      <c r="K1216" s="1783"/>
      <c r="L1216" s="1783"/>
      <c r="M1216" s="1783"/>
      <c r="N1216" s="1783"/>
      <c r="O1216" s="1783"/>
      <c r="P1216" s="1783"/>
      <c r="Q1216" s="1783"/>
      <c r="R1216" s="1783"/>
      <c r="S1216" s="1783"/>
      <c r="T1216" s="1783"/>
      <c r="U1216" s="1783"/>
      <c r="V1216" s="1783"/>
      <c r="W1216" s="1783"/>
      <c r="X1216" s="1783"/>
      <c r="Y1216" s="1783"/>
      <c r="Z1216" s="1783"/>
      <c r="AA1216" s="1783"/>
      <c r="AB1216" s="1783"/>
      <c r="AC1216" s="1783"/>
      <c r="AD1216" s="1783"/>
      <c r="AE1216" s="1783"/>
      <c r="AF1216" s="1783"/>
      <c r="AG1216" s="1783"/>
      <c r="AH1216" s="1783"/>
      <c r="AI1216" s="1783"/>
      <c r="AJ1216" s="1783"/>
      <c r="AK1216" s="1783"/>
      <c r="AL1216" s="1783"/>
      <c r="AM1216" s="1783"/>
      <c r="AN1216" s="1783"/>
      <c r="AO1216" s="1783"/>
      <c r="AP1216" s="1783"/>
      <c r="AQ1216" s="1783"/>
      <c r="AR1216" s="1783"/>
      <c r="AS1216" s="1783"/>
      <c r="AT1216" s="1783"/>
      <c r="AU1216" s="1783"/>
      <c r="AV1216" s="1783"/>
      <c r="AW1216" s="1783"/>
      <c r="AX1216" s="1783"/>
      <c r="AY1216" s="1783"/>
      <c r="AZ1216" s="1783"/>
      <c r="BA1216" s="1783"/>
      <c r="BB1216" s="1783"/>
      <c r="BC1216" s="1783"/>
      <c r="BD1216" s="1783"/>
      <c r="BE1216" s="1783"/>
      <c r="BF1216" s="1783"/>
      <c r="BG1216" s="1783"/>
      <c r="BH1216" s="1783"/>
      <c r="BI1216" s="1783"/>
    </row>
    <row r="1217" spans="1:61">
      <c r="A1217" s="1819"/>
      <c r="B1217" s="1818"/>
      <c r="C1217" s="1818"/>
      <c r="D1217" s="1818"/>
      <c r="E1217" s="1818"/>
      <c r="F1217" s="1818"/>
      <c r="G1217" s="1818"/>
      <c r="H1217" s="1783"/>
      <c r="I1217" s="1783"/>
      <c r="J1217" s="1783"/>
      <c r="K1217" s="1783"/>
      <c r="L1217" s="1783"/>
      <c r="M1217" s="1783"/>
      <c r="N1217" s="1783"/>
      <c r="O1217" s="1783"/>
      <c r="P1217" s="1783"/>
      <c r="Q1217" s="1783"/>
      <c r="R1217" s="1783"/>
      <c r="S1217" s="1783"/>
      <c r="T1217" s="1783"/>
      <c r="U1217" s="1783"/>
      <c r="V1217" s="1783"/>
      <c r="W1217" s="1783"/>
      <c r="X1217" s="1783"/>
      <c r="Y1217" s="1783"/>
      <c r="Z1217" s="1783"/>
      <c r="AA1217" s="1783"/>
      <c r="AB1217" s="1783"/>
      <c r="AC1217" s="1783"/>
      <c r="AD1217" s="1783"/>
      <c r="AE1217" s="1783"/>
      <c r="AF1217" s="1783"/>
      <c r="AG1217" s="1783"/>
      <c r="AH1217" s="1783"/>
      <c r="AI1217" s="1783"/>
      <c r="AJ1217" s="1783"/>
      <c r="AK1217" s="1783"/>
      <c r="AL1217" s="1783"/>
      <c r="AM1217" s="1783"/>
      <c r="AN1217" s="1783"/>
      <c r="AO1217" s="1783"/>
      <c r="AP1217" s="1783"/>
      <c r="AQ1217" s="1783"/>
      <c r="AR1217" s="1783"/>
      <c r="AS1217" s="1783"/>
      <c r="AT1217" s="1783"/>
      <c r="AU1217" s="1783"/>
      <c r="AV1217" s="1783"/>
      <c r="AW1217" s="1783"/>
      <c r="AX1217" s="1783"/>
      <c r="AY1217" s="1783"/>
      <c r="AZ1217" s="1783"/>
      <c r="BA1217" s="1783"/>
      <c r="BB1217" s="1783"/>
      <c r="BC1217" s="1783"/>
      <c r="BD1217" s="1783"/>
      <c r="BE1217" s="1783"/>
      <c r="BF1217" s="1783"/>
      <c r="BG1217" s="1783"/>
      <c r="BH1217" s="1783"/>
      <c r="BI1217" s="1783"/>
    </row>
    <row r="1218" spans="1:61">
      <c r="A1218" s="1819"/>
      <c r="B1218" s="1818"/>
      <c r="C1218" s="1818"/>
      <c r="D1218" s="1818"/>
      <c r="E1218" s="1818"/>
      <c r="F1218" s="1818"/>
      <c r="G1218" s="1818"/>
      <c r="H1218" s="1783"/>
      <c r="I1218" s="1783"/>
      <c r="J1218" s="1783"/>
      <c r="K1218" s="1783"/>
      <c r="L1218" s="1783"/>
      <c r="M1218" s="1783"/>
      <c r="N1218" s="1783"/>
      <c r="O1218" s="1783"/>
      <c r="P1218" s="1783"/>
      <c r="Q1218" s="1783"/>
      <c r="R1218" s="1783"/>
      <c r="S1218" s="1783"/>
      <c r="T1218" s="1783"/>
      <c r="U1218" s="1783"/>
      <c r="V1218" s="1783"/>
      <c r="W1218" s="1783"/>
      <c r="X1218" s="1783"/>
      <c r="Y1218" s="1783"/>
      <c r="Z1218" s="1783"/>
      <c r="AA1218" s="1783"/>
      <c r="AB1218" s="1783"/>
      <c r="AC1218" s="1783"/>
      <c r="AD1218" s="1783"/>
      <c r="AE1218" s="1783"/>
      <c r="AF1218" s="1783"/>
      <c r="AG1218" s="1783"/>
      <c r="AH1218" s="1783"/>
      <c r="AI1218" s="1783"/>
      <c r="AJ1218" s="1783"/>
      <c r="AK1218" s="1783"/>
      <c r="AL1218" s="1783"/>
      <c r="AM1218" s="1783"/>
      <c r="AN1218" s="1783"/>
      <c r="AO1218" s="1783"/>
      <c r="AP1218" s="1783"/>
      <c r="AQ1218" s="1783"/>
      <c r="AR1218" s="1783"/>
      <c r="AS1218" s="1783"/>
      <c r="AT1218" s="1783"/>
      <c r="AU1218" s="1783"/>
      <c r="AV1218" s="1783"/>
      <c r="AW1218" s="1783"/>
      <c r="AX1218" s="1783"/>
      <c r="AY1218" s="1783"/>
      <c r="AZ1218" s="1783"/>
      <c r="BA1218" s="1783"/>
      <c r="BB1218" s="1783"/>
      <c r="BC1218" s="1783"/>
      <c r="BD1218" s="1783"/>
      <c r="BE1218" s="1783"/>
      <c r="BF1218" s="1783"/>
      <c r="BG1218" s="1783"/>
      <c r="BH1218" s="1783"/>
      <c r="BI1218" s="1783"/>
    </row>
    <row r="1219" spans="1:61">
      <c r="A1219" s="1819"/>
      <c r="B1219" s="1818"/>
      <c r="C1219" s="1818"/>
      <c r="D1219" s="1818"/>
      <c r="E1219" s="1818"/>
      <c r="F1219" s="1818"/>
      <c r="G1219" s="1818"/>
      <c r="H1219" s="1783"/>
      <c r="I1219" s="1783"/>
      <c r="J1219" s="1783"/>
      <c r="K1219" s="1783"/>
      <c r="L1219" s="1783"/>
      <c r="M1219" s="1783"/>
      <c r="N1219" s="1783"/>
      <c r="O1219" s="1783"/>
      <c r="P1219" s="1783"/>
      <c r="Q1219" s="1783"/>
      <c r="R1219" s="1783"/>
      <c r="S1219" s="1783"/>
      <c r="T1219" s="1783"/>
      <c r="U1219" s="1783"/>
      <c r="V1219" s="1783"/>
      <c r="W1219" s="1783"/>
      <c r="X1219" s="1783"/>
      <c r="Y1219" s="1783"/>
      <c r="Z1219" s="1783"/>
      <c r="AA1219" s="1783"/>
      <c r="AB1219" s="1783"/>
      <c r="AC1219" s="1783"/>
      <c r="AD1219" s="1783"/>
      <c r="AE1219" s="1783"/>
      <c r="AF1219" s="1783"/>
      <c r="AG1219" s="1783"/>
      <c r="AH1219" s="1783"/>
      <c r="AI1219" s="1783"/>
      <c r="AJ1219" s="1783"/>
      <c r="AK1219" s="1783"/>
      <c r="AL1219" s="1783"/>
      <c r="AM1219" s="1783"/>
      <c r="AN1219" s="1783"/>
      <c r="AO1219" s="1783"/>
      <c r="AP1219" s="1783"/>
      <c r="AQ1219" s="1783"/>
      <c r="AR1219" s="1783"/>
      <c r="AS1219" s="1783"/>
      <c r="AT1219" s="1783"/>
      <c r="AU1219" s="1783"/>
      <c r="AV1219" s="1783"/>
      <c r="AW1219" s="1783"/>
      <c r="AX1219" s="1783"/>
      <c r="AY1219" s="1783"/>
      <c r="AZ1219" s="1783"/>
      <c r="BA1219" s="1783"/>
      <c r="BB1219" s="1783"/>
      <c r="BC1219" s="1783"/>
      <c r="BD1219" s="1783"/>
      <c r="BE1219" s="1783"/>
      <c r="BF1219" s="1783"/>
      <c r="BG1219" s="1783"/>
      <c r="BH1219" s="1783"/>
      <c r="BI1219" s="1783"/>
    </row>
    <row r="1220" spans="1:61">
      <c r="A1220" s="1819"/>
      <c r="B1220" s="1818"/>
      <c r="C1220" s="1818"/>
      <c r="D1220" s="1818"/>
      <c r="E1220" s="1818"/>
      <c r="F1220" s="1818"/>
      <c r="G1220" s="1818"/>
      <c r="H1220" s="1783"/>
      <c r="I1220" s="1783"/>
      <c r="J1220" s="1783"/>
      <c r="K1220" s="1783"/>
      <c r="L1220" s="1783"/>
      <c r="M1220" s="1783"/>
      <c r="N1220" s="1783"/>
      <c r="O1220" s="1783"/>
      <c r="P1220" s="1783"/>
      <c r="Q1220" s="1783"/>
      <c r="R1220" s="1783"/>
      <c r="S1220" s="1783"/>
      <c r="T1220" s="1783"/>
      <c r="U1220" s="1783"/>
      <c r="V1220" s="1783"/>
      <c r="W1220" s="1783"/>
      <c r="X1220" s="1783"/>
      <c r="Y1220" s="1783"/>
      <c r="Z1220" s="1783"/>
      <c r="AA1220" s="1783"/>
      <c r="AB1220" s="1783"/>
      <c r="AC1220" s="1783"/>
      <c r="AD1220" s="1783"/>
      <c r="AE1220" s="1783"/>
      <c r="AF1220" s="1783"/>
      <c r="AG1220" s="1783"/>
      <c r="AH1220" s="1783"/>
      <c r="AI1220" s="1783"/>
      <c r="AJ1220" s="1783"/>
      <c r="AK1220" s="1783"/>
      <c r="AL1220" s="1783"/>
      <c r="AM1220" s="1783"/>
      <c r="AN1220" s="1783"/>
      <c r="AO1220" s="1783"/>
      <c r="AP1220" s="1783"/>
      <c r="AQ1220" s="1783"/>
      <c r="AR1220" s="1783"/>
      <c r="AS1220" s="1783"/>
      <c r="AT1220" s="1783"/>
      <c r="AU1220" s="1783"/>
      <c r="AV1220" s="1783"/>
      <c r="AW1220" s="1783"/>
      <c r="AX1220" s="1783"/>
      <c r="AY1220" s="1783"/>
      <c r="AZ1220" s="1783"/>
      <c r="BA1220" s="1783"/>
      <c r="BB1220" s="1783"/>
      <c r="BC1220" s="1783"/>
      <c r="BD1220" s="1783"/>
      <c r="BE1220" s="1783"/>
      <c r="BF1220" s="1783"/>
      <c r="BG1220" s="1783"/>
      <c r="BH1220" s="1783"/>
      <c r="BI1220" s="1783"/>
    </row>
    <row r="1221" spans="1:61">
      <c r="A1221" s="1819"/>
      <c r="B1221" s="1818"/>
      <c r="C1221" s="1818"/>
      <c r="D1221" s="1818"/>
      <c r="E1221" s="1818"/>
      <c r="F1221" s="1818"/>
      <c r="G1221" s="1818"/>
      <c r="H1221" s="1783"/>
      <c r="I1221" s="1783"/>
      <c r="J1221" s="1783"/>
      <c r="K1221" s="1783"/>
      <c r="L1221" s="1783"/>
      <c r="M1221" s="1783"/>
      <c r="N1221" s="1783"/>
      <c r="O1221" s="1783"/>
      <c r="P1221" s="1783"/>
      <c r="Q1221" s="1783"/>
      <c r="R1221" s="1783"/>
      <c r="S1221" s="1783"/>
      <c r="T1221" s="1783"/>
      <c r="U1221" s="1783"/>
      <c r="V1221" s="1783"/>
      <c r="W1221" s="1783"/>
      <c r="X1221" s="1783"/>
      <c r="Y1221" s="1783"/>
      <c r="Z1221" s="1783"/>
      <c r="AA1221" s="1783"/>
      <c r="AB1221" s="1783"/>
      <c r="AC1221" s="1783"/>
      <c r="AD1221" s="1783"/>
      <c r="AE1221" s="1783"/>
      <c r="AF1221" s="1783"/>
      <c r="AG1221" s="1783"/>
      <c r="AH1221" s="1783"/>
      <c r="AI1221" s="1783"/>
      <c r="AJ1221" s="1783"/>
      <c r="AK1221" s="1783"/>
      <c r="AL1221" s="1783"/>
      <c r="AM1221" s="1783"/>
      <c r="AN1221" s="1783"/>
      <c r="AO1221" s="1783"/>
      <c r="AP1221" s="1783"/>
      <c r="AQ1221" s="1783"/>
      <c r="AR1221" s="1783"/>
      <c r="AS1221" s="1783"/>
      <c r="AT1221" s="1783"/>
      <c r="AU1221" s="1783"/>
      <c r="AV1221" s="1783"/>
      <c r="AW1221" s="1783"/>
      <c r="AX1221" s="1783"/>
      <c r="AY1221" s="1783"/>
      <c r="AZ1221" s="1783"/>
      <c r="BA1221" s="1783"/>
      <c r="BB1221" s="1783"/>
      <c r="BC1221" s="1783"/>
      <c r="BD1221" s="1783"/>
      <c r="BE1221" s="1783"/>
      <c r="BF1221" s="1783"/>
      <c r="BG1221" s="1783"/>
      <c r="BH1221" s="1783"/>
      <c r="BI1221" s="1783"/>
    </row>
    <row r="1222" spans="1:61">
      <c r="A1222" s="1819"/>
      <c r="B1222" s="1818"/>
      <c r="C1222" s="1818"/>
      <c r="D1222" s="1818"/>
      <c r="E1222" s="1818"/>
      <c r="F1222" s="1818"/>
      <c r="G1222" s="1818"/>
      <c r="H1222" s="1783"/>
      <c r="I1222" s="1783"/>
      <c r="J1222" s="1783"/>
      <c r="K1222" s="1783"/>
      <c r="L1222" s="1783"/>
      <c r="M1222" s="1783"/>
      <c r="N1222" s="1783"/>
      <c r="O1222" s="1783"/>
      <c r="P1222" s="1783"/>
      <c r="Q1222" s="1783"/>
      <c r="R1222" s="1783"/>
      <c r="S1222" s="1783"/>
      <c r="T1222" s="1783"/>
      <c r="U1222" s="1783"/>
      <c r="V1222" s="1783"/>
      <c r="W1222" s="1783"/>
      <c r="X1222" s="1783"/>
      <c r="Y1222" s="1783"/>
      <c r="Z1222" s="1783"/>
      <c r="AA1222" s="1783"/>
      <c r="AB1222" s="1783"/>
      <c r="AC1222" s="1783"/>
      <c r="AD1222" s="1783"/>
      <c r="AE1222" s="1783"/>
      <c r="AF1222" s="1783"/>
      <c r="AG1222" s="1783"/>
      <c r="AH1222" s="1783"/>
      <c r="AI1222" s="1783"/>
      <c r="AJ1222" s="1783"/>
      <c r="AK1222" s="1783"/>
      <c r="AL1222" s="1783"/>
      <c r="AM1222" s="1783"/>
      <c r="AN1222" s="1783"/>
      <c r="AO1222" s="1783"/>
      <c r="AP1222" s="1783"/>
      <c r="AQ1222" s="1783"/>
      <c r="AR1222" s="1783"/>
      <c r="AS1222" s="1783"/>
      <c r="AT1222" s="1783"/>
      <c r="AU1222" s="1783"/>
      <c r="AV1222" s="1783"/>
      <c r="AW1222" s="1783"/>
      <c r="AX1222" s="1783"/>
      <c r="AY1222" s="1783"/>
      <c r="AZ1222" s="1783"/>
      <c r="BA1222" s="1783"/>
      <c r="BB1222" s="1783"/>
      <c r="BC1222" s="1783"/>
      <c r="BD1222" s="1783"/>
      <c r="BE1222" s="1783"/>
      <c r="BF1222" s="1783"/>
      <c r="BG1222" s="1783"/>
      <c r="BH1222" s="1783"/>
      <c r="BI1222" s="1783"/>
    </row>
    <row r="1223" spans="1:61">
      <c r="A1223" s="1819"/>
      <c r="B1223" s="1818"/>
      <c r="C1223" s="1818"/>
      <c r="D1223" s="1818"/>
      <c r="E1223" s="1818"/>
      <c r="F1223" s="1818"/>
      <c r="G1223" s="1818"/>
      <c r="H1223" s="1783"/>
      <c r="I1223" s="1783"/>
      <c r="J1223" s="1783"/>
      <c r="K1223" s="1783"/>
      <c r="L1223" s="1783"/>
      <c r="M1223" s="1783"/>
      <c r="N1223" s="1783"/>
      <c r="O1223" s="1783"/>
      <c r="P1223" s="1783"/>
      <c r="Q1223" s="1783"/>
      <c r="R1223" s="1783"/>
      <c r="S1223" s="1783"/>
      <c r="T1223" s="1783"/>
      <c r="U1223" s="1783"/>
      <c r="V1223" s="1783"/>
      <c r="W1223" s="1783"/>
      <c r="X1223" s="1783"/>
      <c r="Y1223" s="1783"/>
      <c r="Z1223" s="1783"/>
      <c r="AA1223" s="1783"/>
      <c r="AB1223" s="1783"/>
      <c r="AC1223" s="1783"/>
      <c r="AD1223" s="1783"/>
      <c r="AE1223" s="1783"/>
      <c r="AF1223" s="1783"/>
      <c r="AG1223" s="1783"/>
      <c r="AH1223" s="1783"/>
      <c r="AI1223" s="1783"/>
      <c r="AJ1223" s="1783"/>
      <c r="AK1223" s="1783"/>
      <c r="AL1223" s="1783"/>
      <c r="AM1223" s="1783"/>
      <c r="AN1223" s="1783"/>
      <c r="AO1223" s="1783"/>
      <c r="AP1223" s="1783"/>
      <c r="AQ1223" s="1783"/>
      <c r="AR1223" s="1783"/>
      <c r="AS1223" s="1783"/>
      <c r="AT1223" s="1783"/>
      <c r="AU1223" s="1783"/>
      <c r="AV1223" s="1783"/>
      <c r="AW1223" s="1783"/>
      <c r="AX1223" s="1783"/>
      <c r="AY1223" s="1783"/>
      <c r="AZ1223" s="1783"/>
      <c r="BA1223" s="1783"/>
      <c r="BB1223" s="1783"/>
      <c r="BC1223" s="1783"/>
      <c r="BD1223" s="1783"/>
      <c r="BE1223" s="1783"/>
      <c r="BF1223" s="1783"/>
      <c r="BG1223" s="1783"/>
      <c r="BH1223" s="1783"/>
      <c r="BI1223" s="1783"/>
    </row>
    <row r="1224" spans="1:61">
      <c r="A1224" s="1819"/>
      <c r="B1224" s="1818"/>
      <c r="C1224" s="1818"/>
      <c r="D1224" s="1818"/>
      <c r="E1224" s="1818"/>
      <c r="F1224" s="1818"/>
      <c r="G1224" s="1818"/>
      <c r="H1224" s="1783"/>
      <c r="I1224" s="1783"/>
      <c r="J1224" s="1783"/>
      <c r="K1224" s="1783"/>
      <c r="L1224" s="1783"/>
      <c r="M1224" s="1783"/>
      <c r="N1224" s="1783"/>
      <c r="O1224" s="1783"/>
      <c r="P1224" s="1783"/>
      <c r="Q1224" s="1783"/>
      <c r="R1224" s="1783"/>
      <c r="S1224" s="1783"/>
      <c r="T1224" s="1783"/>
      <c r="U1224" s="1783"/>
      <c r="V1224" s="1783"/>
      <c r="W1224" s="1783"/>
      <c r="X1224" s="1783"/>
      <c r="Y1224" s="1783"/>
      <c r="Z1224" s="1783"/>
      <c r="AA1224" s="1783"/>
      <c r="AB1224" s="1783"/>
      <c r="AC1224" s="1783"/>
      <c r="AD1224" s="1783"/>
      <c r="AE1224" s="1783"/>
      <c r="AF1224" s="1783"/>
      <c r="AG1224" s="1783"/>
      <c r="AH1224" s="1783"/>
      <c r="AI1224" s="1783"/>
      <c r="AJ1224" s="1783"/>
      <c r="AK1224" s="1783"/>
      <c r="AL1224" s="1783"/>
      <c r="AM1224" s="1783"/>
      <c r="AN1224" s="1783"/>
      <c r="AO1224" s="1783"/>
      <c r="AP1224" s="1783"/>
      <c r="AQ1224" s="1783"/>
      <c r="AR1224" s="1783"/>
      <c r="AS1224" s="1783"/>
      <c r="AT1224" s="1783"/>
      <c r="AU1224" s="1783"/>
      <c r="AV1224" s="1783"/>
      <c r="AW1224" s="1783"/>
      <c r="AX1224" s="1783"/>
      <c r="AY1224" s="1783"/>
      <c r="AZ1224" s="1783"/>
      <c r="BA1224" s="1783"/>
      <c r="BB1224" s="1783"/>
      <c r="BC1224" s="1783"/>
      <c r="BD1224" s="1783"/>
      <c r="BE1224" s="1783"/>
      <c r="BF1224" s="1783"/>
      <c r="BG1224" s="1783"/>
      <c r="BH1224" s="1783"/>
      <c r="BI1224" s="1783"/>
    </row>
    <row r="1225" spans="1:61">
      <c r="A1225" s="1819"/>
      <c r="B1225" s="1818"/>
      <c r="C1225" s="1818"/>
      <c r="D1225" s="1818"/>
      <c r="E1225" s="1818"/>
      <c r="F1225" s="1818"/>
      <c r="G1225" s="1818"/>
      <c r="H1225" s="1783"/>
      <c r="I1225" s="1783"/>
      <c r="J1225" s="1783"/>
      <c r="K1225" s="1783"/>
      <c r="L1225" s="1783"/>
      <c r="M1225" s="1783"/>
      <c r="N1225" s="1783"/>
      <c r="O1225" s="1783"/>
      <c r="P1225" s="1783"/>
      <c r="Q1225" s="1783"/>
      <c r="R1225" s="1783"/>
      <c r="S1225" s="1783"/>
      <c r="T1225" s="1783"/>
      <c r="U1225" s="1783"/>
      <c r="V1225" s="1783"/>
      <c r="W1225" s="1783"/>
      <c r="X1225" s="1783"/>
      <c r="Y1225" s="1783"/>
      <c r="Z1225" s="1783"/>
      <c r="AA1225" s="1783"/>
      <c r="AB1225" s="1783"/>
      <c r="AC1225" s="1783"/>
      <c r="AD1225" s="1783"/>
      <c r="AE1225" s="1783"/>
      <c r="AF1225" s="1783"/>
      <c r="AG1225" s="1783"/>
      <c r="AH1225" s="1783"/>
      <c r="AI1225" s="1783"/>
      <c r="AJ1225" s="1783"/>
      <c r="AK1225" s="1783"/>
      <c r="AL1225" s="1783"/>
      <c r="AM1225" s="1783"/>
      <c r="AN1225" s="1783"/>
      <c r="AO1225" s="1783"/>
      <c r="AP1225" s="1783"/>
      <c r="AQ1225" s="1783"/>
      <c r="AR1225" s="1783"/>
      <c r="AS1225" s="1783"/>
      <c r="AT1225" s="1783"/>
      <c r="AU1225" s="1783"/>
      <c r="AV1225" s="1783"/>
      <c r="AW1225" s="1783"/>
      <c r="AX1225" s="1783"/>
      <c r="AY1225" s="1783"/>
      <c r="AZ1225" s="1783"/>
      <c r="BA1225" s="1783"/>
      <c r="BB1225" s="1783"/>
      <c r="BC1225" s="1783"/>
      <c r="BD1225" s="1783"/>
      <c r="BE1225" s="1783"/>
      <c r="BF1225" s="1783"/>
      <c r="BG1225" s="1783"/>
      <c r="BH1225" s="1783"/>
      <c r="BI1225" s="1783"/>
    </row>
    <row r="1226" spans="1:61">
      <c r="A1226" s="1819"/>
      <c r="B1226" s="1818"/>
      <c r="C1226" s="1818"/>
      <c r="D1226" s="1818"/>
      <c r="E1226" s="1818"/>
      <c r="F1226" s="1818"/>
      <c r="G1226" s="1818"/>
      <c r="H1226" s="1783"/>
      <c r="I1226" s="1783"/>
      <c r="J1226" s="1783"/>
      <c r="K1226" s="1783"/>
      <c r="L1226" s="1783"/>
      <c r="M1226" s="1783"/>
      <c r="N1226" s="1783"/>
      <c r="O1226" s="1783"/>
      <c r="P1226" s="1783"/>
      <c r="Q1226" s="1783"/>
      <c r="R1226" s="1783"/>
      <c r="S1226" s="1783"/>
      <c r="T1226" s="1783"/>
      <c r="U1226" s="1783"/>
      <c r="V1226" s="1783"/>
      <c r="W1226" s="1783"/>
      <c r="X1226" s="1783"/>
      <c r="Y1226" s="1783"/>
      <c r="Z1226" s="1783"/>
      <c r="AA1226" s="1783"/>
      <c r="AB1226" s="1783"/>
      <c r="AC1226" s="1783"/>
      <c r="AD1226" s="1783"/>
      <c r="AE1226" s="1783"/>
      <c r="AF1226" s="1783"/>
      <c r="AG1226" s="1783"/>
      <c r="AH1226" s="1783"/>
      <c r="AI1226" s="1783"/>
      <c r="AJ1226" s="1783"/>
      <c r="AK1226" s="1783"/>
      <c r="AL1226" s="1783"/>
      <c r="AM1226" s="1783"/>
      <c r="AN1226" s="1783"/>
      <c r="AO1226" s="1783"/>
      <c r="AP1226" s="1783"/>
      <c r="AQ1226" s="1783"/>
      <c r="AR1226" s="1783"/>
      <c r="AS1226" s="1783"/>
      <c r="AT1226" s="1783"/>
      <c r="AU1226" s="1783"/>
      <c r="AV1226" s="1783"/>
      <c r="AW1226" s="1783"/>
      <c r="AX1226" s="1783"/>
      <c r="AY1226" s="1783"/>
      <c r="AZ1226" s="1783"/>
      <c r="BA1226" s="1783"/>
      <c r="BB1226" s="1783"/>
      <c r="BC1226" s="1783"/>
      <c r="BD1226" s="1783"/>
      <c r="BE1226" s="1783"/>
      <c r="BF1226" s="1783"/>
      <c r="BG1226" s="1783"/>
      <c r="BH1226" s="1783"/>
      <c r="BI1226" s="1783"/>
    </row>
    <row r="1227" spans="1:61">
      <c r="A1227" s="1819"/>
      <c r="B1227" s="1818"/>
      <c r="C1227" s="1818"/>
      <c r="D1227" s="1818"/>
      <c r="E1227" s="1818"/>
      <c r="F1227" s="1818"/>
      <c r="G1227" s="1818"/>
      <c r="H1227" s="1783"/>
      <c r="I1227" s="1783"/>
      <c r="J1227" s="1783"/>
      <c r="K1227" s="1783"/>
      <c r="L1227" s="1783"/>
      <c r="M1227" s="1783"/>
      <c r="N1227" s="1783"/>
      <c r="O1227" s="1783"/>
      <c r="P1227" s="1783"/>
      <c r="Q1227" s="1783"/>
      <c r="R1227" s="1783"/>
      <c r="S1227" s="1783"/>
      <c r="T1227" s="1783"/>
      <c r="U1227" s="1783"/>
      <c r="V1227" s="1783"/>
      <c r="W1227" s="1783"/>
      <c r="X1227" s="1783"/>
      <c r="Y1227" s="1783"/>
      <c r="Z1227" s="1783"/>
      <c r="AA1227" s="1783"/>
      <c r="AB1227" s="1783"/>
      <c r="AC1227" s="1783"/>
      <c r="AD1227" s="1783"/>
      <c r="AE1227" s="1783"/>
      <c r="AF1227" s="1783"/>
      <c r="AG1227" s="1783"/>
      <c r="AH1227" s="1783"/>
      <c r="AI1227" s="1783"/>
      <c r="AJ1227" s="1783"/>
      <c r="AK1227" s="1783"/>
      <c r="AL1227" s="1783"/>
      <c r="AM1227" s="1783"/>
      <c r="AN1227" s="1783"/>
      <c r="AO1227" s="1783"/>
      <c r="AP1227" s="1783"/>
      <c r="AQ1227" s="1783"/>
      <c r="AR1227" s="1783"/>
      <c r="AS1227" s="1783"/>
      <c r="AT1227" s="1783"/>
      <c r="AU1227" s="1783"/>
      <c r="AV1227" s="1783"/>
      <c r="AW1227" s="1783"/>
      <c r="AX1227" s="1783"/>
      <c r="AY1227" s="1783"/>
      <c r="AZ1227" s="1783"/>
      <c r="BA1227" s="1783"/>
      <c r="BB1227" s="1783"/>
      <c r="BC1227" s="1783"/>
      <c r="BD1227" s="1783"/>
      <c r="BE1227" s="1783"/>
      <c r="BF1227" s="1783"/>
      <c r="BG1227" s="1783"/>
      <c r="BH1227" s="1783"/>
      <c r="BI1227" s="1783"/>
    </row>
    <row r="1228" spans="1:61">
      <c r="A1228" s="1819"/>
      <c r="B1228" s="1818"/>
      <c r="C1228" s="1818"/>
      <c r="D1228" s="1818"/>
      <c r="E1228" s="1818"/>
      <c r="F1228" s="1818"/>
      <c r="G1228" s="1818"/>
      <c r="H1228" s="1783"/>
      <c r="I1228" s="1783"/>
      <c r="J1228" s="1783"/>
      <c r="K1228" s="1783"/>
      <c r="L1228" s="1783"/>
      <c r="M1228" s="1783"/>
      <c r="N1228" s="1783"/>
      <c r="O1228" s="1783"/>
      <c r="P1228" s="1783"/>
      <c r="Q1228" s="1783"/>
      <c r="R1228" s="1783"/>
      <c r="S1228" s="1783"/>
      <c r="T1228" s="1783"/>
      <c r="U1228" s="1783"/>
      <c r="V1228" s="1783"/>
      <c r="W1228" s="1783"/>
      <c r="X1228" s="1783"/>
      <c r="Y1228" s="1783"/>
      <c r="Z1228" s="1783"/>
      <c r="AA1228" s="1783"/>
      <c r="AB1228" s="1783"/>
      <c r="AC1228" s="1783"/>
      <c r="AD1228" s="1783"/>
      <c r="AE1228" s="1783"/>
      <c r="AF1228" s="1783"/>
      <c r="AG1228" s="1783"/>
      <c r="AH1228" s="1783"/>
      <c r="AI1228" s="1783"/>
      <c r="AJ1228" s="1783"/>
      <c r="AK1228" s="1783"/>
      <c r="AL1228" s="1783"/>
      <c r="AM1228" s="1783"/>
      <c r="AN1228" s="1783"/>
      <c r="AO1228" s="1783"/>
      <c r="AP1228" s="1783"/>
      <c r="AQ1228" s="1783"/>
      <c r="AR1228" s="1783"/>
      <c r="AS1228" s="1783"/>
      <c r="AT1228" s="1783"/>
      <c r="AU1228" s="1783"/>
      <c r="AV1228" s="1783"/>
      <c r="AW1228" s="1783"/>
      <c r="AX1228" s="1783"/>
      <c r="AY1228" s="1783"/>
      <c r="AZ1228" s="1783"/>
      <c r="BA1228" s="1783"/>
      <c r="BB1228" s="1783"/>
      <c r="BC1228" s="1783"/>
      <c r="BD1228" s="1783"/>
      <c r="BE1228" s="1783"/>
      <c r="BF1228" s="1783"/>
      <c r="BG1228" s="1783"/>
      <c r="BH1228" s="1783"/>
      <c r="BI1228" s="1783"/>
    </row>
    <row r="1229" spans="1:61">
      <c r="A1229" s="1819"/>
      <c r="B1229" s="1818"/>
      <c r="C1229" s="1818"/>
      <c r="D1229" s="1818"/>
      <c r="E1229" s="1818"/>
      <c r="F1229" s="1818"/>
      <c r="G1229" s="1818"/>
      <c r="H1229" s="1783"/>
      <c r="I1229" s="1783"/>
      <c r="J1229" s="1783"/>
      <c r="K1229" s="1783"/>
      <c r="L1229" s="1783"/>
      <c r="M1229" s="1783"/>
      <c r="N1229" s="1783"/>
      <c r="O1229" s="1783"/>
      <c r="P1229" s="1783"/>
      <c r="Q1229" s="1783"/>
      <c r="R1229" s="1783"/>
      <c r="S1229" s="1783"/>
      <c r="T1229" s="1783"/>
      <c r="U1229" s="1783"/>
      <c r="V1229" s="1783"/>
      <c r="W1229" s="1783"/>
      <c r="X1229" s="1783"/>
      <c r="Y1229" s="1783"/>
      <c r="Z1229" s="1783"/>
      <c r="AA1229" s="1783"/>
      <c r="AB1229" s="1783"/>
      <c r="AC1229" s="1783"/>
      <c r="AD1229" s="1783"/>
      <c r="AE1229" s="1783"/>
      <c r="AF1229" s="1783"/>
      <c r="AG1229" s="1783"/>
      <c r="AH1229" s="1783"/>
      <c r="AI1229" s="1783"/>
      <c r="AJ1229" s="1783"/>
      <c r="AK1229" s="1783"/>
      <c r="AL1229" s="1783"/>
      <c r="AM1229" s="1783"/>
      <c r="AN1229" s="1783"/>
      <c r="AO1229" s="1783"/>
      <c r="AP1229" s="1783"/>
      <c r="AQ1229" s="1783"/>
      <c r="AR1229" s="1783"/>
      <c r="AS1229" s="1783"/>
      <c r="AT1229" s="1783"/>
      <c r="AU1229" s="1783"/>
      <c r="AV1229" s="1783"/>
      <c r="AW1229" s="1783"/>
      <c r="AX1229" s="1783"/>
      <c r="AY1229" s="1783"/>
      <c r="AZ1229" s="1783"/>
      <c r="BA1229" s="1783"/>
      <c r="BB1229" s="1783"/>
      <c r="BC1229" s="1783"/>
      <c r="BD1229" s="1783"/>
      <c r="BE1229" s="1783"/>
      <c r="BF1229" s="1783"/>
      <c r="BG1229" s="1783"/>
      <c r="BH1229" s="1783"/>
      <c r="BI1229" s="1783"/>
    </row>
    <row r="1230" spans="1:61">
      <c r="A1230" s="1819"/>
      <c r="B1230" s="1818"/>
      <c r="C1230" s="1818"/>
      <c r="D1230" s="1818"/>
      <c r="E1230" s="1818"/>
      <c r="F1230" s="1818"/>
      <c r="G1230" s="1818"/>
      <c r="H1230" s="1783"/>
      <c r="I1230" s="1783"/>
      <c r="J1230" s="1783"/>
      <c r="K1230" s="1783"/>
      <c r="L1230" s="1783"/>
      <c r="M1230" s="1783"/>
      <c r="N1230" s="1783"/>
      <c r="O1230" s="1783"/>
      <c r="P1230" s="1783"/>
      <c r="Q1230" s="1783"/>
      <c r="R1230" s="1783"/>
      <c r="S1230" s="1783"/>
      <c r="T1230" s="1783"/>
      <c r="U1230" s="1783"/>
      <c r="V1230" s="1783"/>
      <c r="W1230" s="1783"/>
      <c r="X1230" s="1783"/>
      <c r="Y1230" s="1783"/>
      <c r="Z1230" s="1783"/>
      <c r="AA1230" s="1783"/>
      <c r="AB1230" s="1783"/>
      <c r="AC1230" s="1783"/>
      <c r="AD1230" s="1783"/>
      <c r="AE1230" s="1783"/>
      <c r="AF1230" s="1783"/>
      <c r="AG1230" s="1783"/>
      <c r="AH1230" s="1783"/>
      <c r="AI1230" s="1783"/>
      <c r="AJ1230" s="1783"/>
      <c r="AK1230" s="1783"/>
      <c r="AL1230" s="1783"/>
      <c r="AM1230" s="1783"/>
      <c r="AN1230" s="1783"/>
      <c r="AO1230" s="1783"/>
      <c r="AP1230" s="1783"/>
      <c r="AQ1230" s="1783"/>
      <c r="AR1230" s="1783"/>
      <c r="AS1230" s="1783"/>
      <c r="AT1230" s="1783"/>
      <c r="AU1230" s="1783"/>
      <c r="AV1230" s="1783"/>
      <c r="AW1230" s="1783"/>
      <c r="AX1230" s="1783"/>
      <c r="AY1230" s="1783"/>
      <c r="AZ1230" s="1783"/>
      <c r="BA1230" s="1783"/>
      <c r="BB1230" s="1783"/>
      <c r="BC1230" s="1783"/>
      <c r="BD1230" s="1783"/>
      <c r="BE1230" s="1783"/>
      <c r="BF1230" s="1783"/>
      <c r="BG1230" s="1783"/>
      <c r="BH1230" s="1783"/>
      <c r="BI1230" s="1783"/>
    </row>
    <row r="1231" spans="1:61">
      <c r="A1231" s="1819"/>
      <c r="B1231" s="1818"/>
      <c r="C1231" s="1818"/>
      <c r="D1231" s="1818"/>
      <c r="E1231" s="1818"/>
      <c r="F1231" s="1818"/>
      <c r="G1231" s="1818"/>
      <c r="H1231" s="1783"/>
      <c r="I1231" s="1783"/>
      <c r="J1231" s="1783"/>
      <c r="K1231" s="1783"/>
      <c r="L1231" s="1783"/>
      <c r="M1231" s="1783"/>
      <c r="N1231" s="1783"/>
      <c r="O1231" s="1783"/>
      <c r="P1231" s="1783"/>
      <c r="Q1231" s="1783"/>
      <c r="R1231" s="1783"/>
      <c r="S1231" s="1783"/>
      <c r="T1231" s="1783"/>
      <c r="U1231" s="1783"/>
      <c r="V1231" s="1783"/>
      <c r="W1231" s="1783"/>
      <c r="X1231" s="1783"/>
      <c r="Y1231" s="1783"/>
      <c r="Z1231" s="1783"/>
      <c r="AA1231" s="1783"/>
      <c r="AB1231" s="1783"/>
      <c r="AC1231" s="1783"/>
      <c r="AD1231" s="1783"/>
      <c r="AE1231" s="1783"/>
      <c r="AF1231" s="1783"/>
      <c r="AG1231" s="1783"/>
      <c r="AH1231" s="1783"/>
      <c r="AI1231" s="1783"/>
      <c r="AJ1231" s="1783"/>
      <c r="AK1231" s="1783"/>
      <c r="AL1231" s="1783"/>
      <c r="AM1231" s="1783"/>
      <c r="AN1231" s="1783"/>
      <c r="AO1231" s="1783"/>
      <c r="AP1231" s="1783"/>
      <c r="AQ1231" s="1783"/>
      <c r="AR1231" s="1783"/>
      <c r="AS1231" s="1783"/>
      <c r="AT1231" s="1783"/>
      <c r="AU1231" s="1783"/>
      <c r="AV1231" s="1783"/>
      <c r="AW1231" s="1783"/>
      <c r="AX1231" s="1783"/>
      <c r="AY1231" s="1783"/>
      <c r="AZ1231" s="1783"/>
      <c r="BA1231" s="1783"/>
      <c r="BB1231" s="1783"/>
      <c r="BC1231" s="1783"/>
      <c r="BD1231" s="1783"/>
      <c r="BE1231" s="1783"/>
      <c r="BF1231" s="1783"/>
      <c r="BG1231" s="1783"/>
      <c r="BH1231" s="1783"/>
      <c r="BI1231" s="1783"/>
    </row>
    <row r="1232" spans="1:61">
      <c r="A1232" s="1819"/>
      <c r="B1232" s="1818"/>
      <c r="C1232" s="1818"/>
      <c r="D1232" s="1818"/>
      <c r="E1232" s="1818"/>
      <c r="F1232" s="1818"/>
      <c r="G1232" s="1818"/>
      <c r="H1232" s="1783"/>
      <c r="I1232" s="1783"/>
      <c r="J1232" s="1783"/>
      <c r="K1232" s="1783"/>
      <c r="L1232" s="1783"/>
      <c r="M1232" s="1783"/>
      <c r="N1232" s="1783"/>
      <c r="O1232" s="1783"/>
      <c r="P1232" s="1783"/>
      <c r="Q1232" s="1783"/>
      <c r="R1232" s="1783"/>
      <c r="S1232" s="1783"/>
      <c r="T1232" s="1783"/>
      <c r="U1232" s="1783"/>
      <c r="V1232" s="1783"/>
      <c r="W1232" s="1783"/>
      <c r="X1232" s="1783"/>
      <c r="Y1232" s="1783"/>
      <c r="Z1232" s="1783"/>
      <c r="AA1232" s="1783"/>
      <c r="AB1232" s="1783"/>
      <c r="AC1232" s="1783"/>
      <c r="AD1232" s="1783"/>
      <c r="AE1232" s="1783"/>
      <c r="AF1232" s="1783"/>
      <c r="AG1232" s="1783"/>
      <c r="AH1232" s="1783"/>
      <c r="AI1232" s="1783"/>
      <c r="AJ1232" s="1783"/>
      <c r="AK1232" s="1783"/>
      <c r="AL1232" s="1783"/>
      <c r="AM1232" s="1783"/>
      <c r="AN1232" s="1783"/>
      <c r="AO1232" s="1783"/>
      <c r="AP1232" s="1783"/>
      <c r="AQ1232" s="1783"/>
      <c r="AR1232" s="1783"/>
      <c r="AS1232" s="1783"/>
      <c r="AT1232" s="1783"/>
      <c r="AU1232" s="1783"/>
      <c r="AV1232" s="1783"/>
      <c r="AW1232" s="1783"/>
      <c r="AX1232" s="1783"/>
      <c r="AY1232" s="1783"/>
      <c r="AZ1232" s="1783"/>
      <c r="BA1232" s="1783"/>
      <c r="BB1232" s="1783"/>
      <c r="BC1232" s="1783"/>
      <c r="BD1232" s="1783"/>
      <c r="BE1232" s="1783"/>
      <c r="BF1232" s="1783"/>
      <c r="BG1232" s="1783"/>
      <c r="BH1232" s="1783"/>
      <c r="BI1232" s="1783"/>
    </row>
    <row r="1233" spans="1:61">
      <c r="A1233" s="1819"/>
      <c r="B1233" s="1818"/>
      <c r="C1233" s="1818"/>
      <c r="D1233" s="1818"/>
      <c r="E1233" s="1818"/>
      <c r="F1233" s="1818"/>
      <c r="G1233" s="1818"/>
      <c r="H1233" s="1783"/>
      <c r="I1233" s="1783"/>
      <c r="J1233" s="1783"/>
      <c r="K1233" s="1783"/>
      <c r="L1233" s="1783"/>
      <c r="M1233" s="1783"/>
      <c r="N1233" s="1783"/>
      <c r="O1233" s="1783"/>
      <c r="P1233" s="1783"/>
      <c r="Q1233" s="1783"/>
      <c r="R1233" s="1783"/>
      <c r="S1233" s="1783"/>
      <c r="T1233" s="1783"/>
      <c r="U1233" s="1783"/>
      <c r="V1233" s="1783"/>
      <c r="W1233" s="1783"/>
      <c r="X1233" s="1783"/>
      <c r="Y1233" s="1783"/>
      <c r="Z1233" s="1783"/>
      <c r="AA1233" s="1783"/>
      <c r="AB1233" s="1783"/>
      <c r="AC1233" s="1783"/>
      <c r="AD1233" s="1783"/>
      <c r="AE1233" s="1783"/>
      <c r="AF1233" s="1783"/>
      <c r="AG1233" s="1783"/>
      <c r="AH1233" s="1783"/>
      <c r="AI1233" s="1783"/>
      <c r="AJ1233" s="1783"/>
      <c r="AK1233" s="1783"/>
      <c r="AL1233" s="1783"/>
      <c r="AM1233" s="1783"/>
      <c r="AN1233" s="1783"/>
      <c r="AO1233" s="1783"/>
      <c r="AP1233" s="1783"/>
      <c r="AQ1233" s="1783"/>
      <c r="AR1233" s="1783"/>
      <c r="AS1233" s="1783"/>
      <c r="AT1233" s="1783"/>
      <c r="AU1233" s="1783"/>
      <c r="AV1233" s="1783"/>
      <c r="AW1233" s="1783"/>
      <c r="AX1233" s="1783"/>
      <c r="AY1233" s="1783"/>
      <c r="AZ1233" s="1783"/>
      <c r="BA1233" s="1783"/>
      <c r="BB1233" s="1783"/>
      <c r="BC1233" s="1783"/>
      <c r="BD1233" s="1783"/>
      <c r="BE1233" s="1783"/>
      <c r="BF1233" s="1783"/>
      <c r="BG1233" s="1783"/>
      <c r="BH1233" s="1783"/>
      <c r="BI1233" s="1783"/>
    </row>
    <row r="1234" spans="1:61">
      <c r="A1234" s="1819"/>
      <c r="B1234" s="1818"/>
      <c r="C1234" s="1818"/>
      <c r="D1234" s="1818"/>
      <c r="E1234" s="1818"/>
      <c r="F1234" s="1818"/>
      <c r="G1234" s="1818"/>
      <c r="H1234" s="1783"/>
      <c r="I1234" s="1783"/>
      <c r="J1234" s="1783"/>
      <c r="K1234" s="1783"/>
      <c r="L1234" s="1783"/>
      <c r="M1234" s="1783"/>
      <c r="N1234" s="1783"/>
      <c r="O1234" s="1783"/>
      <c r="P1234" s="1783"/>
      <c r="Q1234" s="1783"/>
      <c r="R1234" s="1783"/>
      <c r="S1234" s="1783"/>
      <c r="T1234" s="1783"/>
      <c r="U1234" s="1783"/>
      <c r="V1234" s="1783"/>
      <c r="W1234" s="1783"/>
      <c r="X1234" s="1783"/>
      <c r="Y1234" s="1783"/>
      <c r="Z1234" s="1783"/>
      <c r="AA1234" s="1783"/>
      <c r="AB1234" s="1783"/>
      <c r="AC1234" s="1783"/>
      <c r="AD1234" s="1783"/>
      <c r="AE1234" s="1783"/>
      <c r="AF1234" s="1783"/>
      <c r="AG1234" s="1783"/>
      <c r="AH1234" s="1783"/>
      <c r="AI1234" s="1783"/>
      <c r="AJ1234" s="1783"/>
      <c r="AK1234" s="1783"/>
      <c r="AL1234" s="1783"/>
      <c r="AM1234" s="1783"/>
      <c r="AN1234" s="1783"/>
      <c r="AO1234" s="1783"/>
      <c r="AP1234" s="1783"/>
      <c r="AQ1234" s="1783"/>
      <c r="AR1234" s="1783"/>
      <c r="AS1234" s="1783"/>
      <c r="AT1234" s="1783"/>
      <c r="AU1234" s="1783"/>
      <c r="AV1234" s="1783"/>
      <c r="AW1234" s="1783"/>
      <c r="AX1234" s="1783"/>
      <c r="AY1234" s="1783"/>
      <c r="AZ1234" s="1783"/>
      <c r="BA1234" s="1783"/>
      <c r="BB1234" s="1783"/>
      <c r="BC1234" s="1783"/>
      <c r="BD1234" s="1783"/>
      <c r="BE1234" s="1783"/>
      <c r="BF1234" s="1783"/>
      <c r="BG1234" s="1783"/>
      <c r="BH1234" s="1783"/>
      <c r="BI1234" s="1783"/>
    </row>
    <row r="1235" spans="1:61">
      <c r="A1235" s="1819"/>
      <c r="B1235" s="1818"/>
      <c r="C1235" s="1818"/>
      <c r="D1235" s="1818"/>
      <c r="E1235" s="1818"/>
      <c r="F1235" s="1818"/>
      <c r="G1235" s="1818"/>
      <c r="H1235" s="1783"/>
      <c r="I1235" s="1783"/>
      <c r="J1235" s="1783"/>
      <c r="K1235" s="1783"/>
      <c r="L1235" s="1783"/>
      <c r="M1235" s="1783"/>
      <c r="N1235" s="1783"/>
      <c r="O1235" s="1783"/>
      <c r="P1235" s="1783"/>
      <c r="Q1235" s="1783"/>
      <c r="R1235" s="1783"/>
      <c r="S1235" s="1783"/>
      <c r="T1235" s="1783"/>
      <c r="U1235" s="1783"/>
      <c r="V1235" s="1783"/>
      <c r="W1235" s="1783"/>
      <c r="X1235" s="1783"/>
      <c r="Y1235" s="1783"/>
      <c r="Z1235" s="1783"/>
      <c r="AA1235" s="1783"/>
      <c r="AB1235" s="1783"/>
      <c r="AC1235" s="1783"/>
      <c r="AD1235" s="1783"/>
      <c r="AE1235" s="1783"/>
      <c r="AF1235" s="1783"/>
      <c r="AG1235" s="1783"/>
      <c r="AH1235" s="1783"/>
      <c r="AI1235" s="1783"/>
      <c r="AJ1235" s="1783"/>
      <c r="AK1235" s="1783"/>
      <c r="AL1235" s="1783"/>
      <c r="AM1235" s="1783"/>
      <c r="AN1235" s="1783"/>
      <c r="AO1235" s="1783"/>
      <c r="AP1235" s="1783"/>
      <c r="AQ1235" s="1783"/>
      <c r="AR1235" s="1783"/>
      <c r="AS1235" s="1783"/>
      <c r="AT1235" s="1783"/>
      <c r="AU1235" s="1783"/>
      <c r="AV1235" s="1783"/>
      <c r="AW1235" s="1783"/>
      <c r="AX1235" s="1783"/>
      <c r="AY1235" s="1783"/>
      <c r="AZ1235" s="1783"/>
      <c r="BA1235" s="1783"/>
      <c r="BB1235" s="1783"/>
      <c r="BC1235" s="1783"/>
      <c r="BD1235" s="1783"/>
      <c r="BE1235" s="1783"/>
      <c r="BF1235" s="1783"/>
      <c r="BG1235" s="1783"/>
      <c r="BH1235" s="1783"/>
      <c r="BI1235" s="1783"/>
    </row>
    <row r="1236" spans="1:61">
      <c r="A1236" s="1819"/>
      <c r="B1236" s="1818"/>
      <c r="C1236" s="1818"/>
      <c r="D1236" s="1818"/>
      <c r="E1236" s="1818"/>
      <c r="F1236" s="1818"/>
      <c r="G1236" s="1818"/>
      <c r="H1236" s="1783"/>
      <c r="I1236" s="1783"/>
      <c r="J1236" s="1783"/>
      <c r="K1236" s="1783"/>
      <c r="L1236" s="1783"/>
      <c r="M1236" s="1783"/>
      <c r="N1236" s="1783"/>
      <c r="O1236" s="1783"/>
      <c r="P1236" s="1783"/>
      <c r="Q1236" s="1783"/>
      <c r="R1236" s="1783"/>
      <c r="S1236" s="1783"/>
      <c r="T1236" s="1783"/>
      <c r="U1236" s="1783"/>
      <c r="V1236" s="1783"/>
      <c r="W1236" s="1783"/>
      <c r="X1236" s="1783"/>
      <c r="Y1236" s="1783"/>
      <c r="Z1236" s="1783"/>
      <c r="AA1236" s="1783"/>
      <c r="AB1236" s="1783"/>
      <c r="AC1236" s="1783"/>
      <c r="AD1236" s="1783"/>
      <c r="AE1236" s="1783"/>
      <c r="AF1236" s="1783"/>
      <c r="AG1236" s="1783"/>
      <c r="AH1236" s="1783"/>
      <c r="AI1236" s="1783"/>
      <c r="AJ1236" s="1783"/>
      <c r="AK1236" s="1783"/>
      <c r="AL1236" s="1783"/>
      <c r="AM1236" s="1783"/>
      <c r="AN1236" s="1783"/>
      <c r="AO1236" s="1783"/>
      <c r="AP1236" s="1783"/>
      <c r="AQ1236" s="1783"/>
      <c r="AR1236" s="1783"/>
      <c r="AS1236" s="1783"/>
      <c r="AT1236" s="1783"/>
      <c r="AU1236" s="1783"/>
      <c r="AV1236" s="1783"/>
      <c r="AW1236" s="1783"/>
      <c r="AX1236" s="1783"/>
      <c r="AY1236" s="1783"/>
      <c r="AZ1236" s="1783"/>
      <c r="BA1236" s="1783"/>
      <c r="BB1236" s="1783"/>
      <c r="BC1236" s="1783"/>
      <c r="BD1236" s="1783"/>
      <c r="BE1236" s="1783"/>
      <c r="BF1236" s="1783"/>
      <c r="BG1236" s="1783"/>
      <c r="BH1236" s="1783"/>
      <c r="BI1236" s="1783"/>
    </row>
    <row r="1237" spans="1:61">
      <c r="A1237" s="1819"/>
      <c r="B1237" s="1818"/>
      <c r="C1237" s="1818"/>
      <c r="D1237" s="1818"/>
      <c r="E1237" s="1818"/>
      <c r="F1237" s="1818"/>
      <c r="G1237" s="1818"/>
      <c r="H1237" s="1783"/>
      <c r="I1237" s="1783"/>
      <c r="J1237" s="1783"/>
      <c r="K1237" s="1783"/>
      <c r="L1237" s="1783"/>
      <c r="M1237" s="1783"/>
      <c r="N1237" s="1783"/>
      <c r="O1237" s="1783"/>
      <c r="P1237" s="1783"/>
      <c r="Q1237" s="1783"/>
      <c r="R1237" s="1783"/>
      <c r="S1237" s="1783"/>
      <c r="T1237" s="1783"/>
      <c r="U1237" s="1783"/>
      <c r="V1237" s="1783"/>
      <c r="W1237" s="1783"/>
      <c r="X1237" s="1783"/>
      <c r="Y1237" s="1783"/>
      <c r="Z1237" s="1783"/>
      <c r="AA1237" s="1783"/>
      <c r="AB1237" s="1783"/>
      <c r="AC1237" s="1783"/>
      <c r="AD1237" s="1783"/>
      <c r="AE1237" s="1783"/>
      <c r="AF1237" s="1783"/>
      <c r="AG1237" s="1783"/>
      <c r="AH1237" s="1783"/>
      <c r="AI1237" s="1783"/>
      <c r="AJ1237" s="1783"/>
      <c r="AK1237" s="1783"/>
      <c r="AL1237" s="1783"/>
      <c r="AM1237" s="1783"/>
      <c r="AN1237" s="1783"/>
      <c r="AO1237" s="1783"/>
      <c r="AP1237" s="1783"/>
      <c r="AQ1237" s="1783"/>
      <c r="AR1237" s="1783"/>
      <c r="AS1237" s="1783"/>
      <c r="AT1237" s="1783"/>
      <c r="AU1237" s="1783"/>
      <c r="AV1237" s="1783"/>
      <c r="AW1237" s="1783"/>
      <c r="AX1237" s="1783"/>
      <c r="AY1237" s="1783"/>
      <c r="AZ1237" s="1783"/>
      <c r="BA1237" s="1783"/>
      <c r="BB1237" s="1783"/>
      <c r="BC1237" s="1783"/>
      <c r="BD1237" s="1783"/>
      <c r="BE1237" s="1783"/>
      <c r="BF1237" s="1783"/>
      <c r="BG1237" s="1783"/>
      <c r="BH1237" s="1783"/>
      <c r="BI1237" s="1783"/>
    </row>
    <row r="1238" spans="1:61">
      <c r="A1238" s="1819"/>
      <c r="B1238" s="1818"/>
      <c r="C1238" s="1818"/>
      <c r="D1238" s="1818"/>
      <c r="E1238" s="1818"/>
      <c r="F1238" s="1818"/>
      <c r="G1238" s="1818"/>
      <c r="H1238" s="1783"/>
      <c r="I1238" s="1783"/>
      <c r="J1238" s="1783"/>
      <c r="K1238" s="1783"/>
      <c r="L1238" s="1783"/>
      <c r="M1238" s="1783"/>
      <c r="N1238" s="1783"/>
      <c r="O1238" s="1783"/>
      <c r="P1238" s="1783"/>
      <c r="Q1238" s="1783"/>
      <c r="R1238" s="1783"/>
      <c r="S1238" s="1783"/>
      <c r="T1238" s="1783"/>
      <c r="U1238" s="1783"/>
      <c r="V1238" s="1783"/>
      <c r="W1238" s="1783"/>
      <c r="X1238" s="1783"/>
      <c r="Y1238" s="1783"/>
      <c r="Z1238" s="1783"/>
      <c r="AA1238" s="1783"/>
      <c r="AB1238" s="1783"/>
      <c r="AC1238" s="1783"/>
      <c r="AD1238" s="1783"/>
      <c r="AE1238" s="1783"/>
      <c r="AF1238" s="1783"/>
      <c r="AG1238" s="1783"/>
      <c r="AH1238" s="1783"/>
      <c r="AI1238" s="1783"/>
      <c r="AJ1238" s="1783"/>
      <c r="AK1238" s="1783"/>
      <c r="AL1238" s="1783"/>
      <c r="AM1238" s="1783"/>
      <c r="AN1238" s="1783"/>
      <c r="AO1238" s="1783"/>
      <c r="AP1238" s="1783"/>
      <c r="AQ1238" s="1783"/>
      <c r="AR1238" s="1783"/>
      <c r="AS1238" s="1783"/>
      <c r="AT1238" s="1783"/>
      <c r="AU1238" s="1783"/>
      <c r="AV1238" s="1783"/>
      <c r="AW1238" s="1783"/>
      <c r="AX1238" s="1783"/>
      <c r="AY1238" s="1783"/>
      <c r="AZ1238" s="1783"/>
      <c r="BA1238" s="1783"/>
      <c r="BB1238" s="1783"/>
      <c r="BC1238" s="1783"/>
      <c r="BD1238" s="1783"/>
      <c r="BE1238" s="1783"/>
      <c r="BF1238" s="1783"/>
      <c r="BG1238" s="1783"/>
      <c r="BH1238" s="1783"/>
      <c r="BI1238" s="1783"/>
    </row>
    <row r="1239" spans="1:61">
      <c r="A1239" s="1819"/>
      <c r="B1239" s="1818"/>
      <c r="C1239" s="1818"/>
      <c r="D1239" s="1818"/>
      <c r="E1239" s="1818"/>
      <c r="F1239" s="1818"/>
      <c r="G1239" s="1818"/>
      <c r="H1239" s="1783"/>
      <c r="I1239" s="1783"/>
      <c r="J1239" s="1783"/>
      <c r="K1239" s="1783"/>
      <c r="L1239" s="1783"/>
      <c r="M1239" s="1783"/>
      <c r="N1239" s="1783"/>
      <c r="O1239" s="1783"/>
      <c r="P1239" s="1783"/>
      <c r="Q1239" s="1783"/>
      <c r="R1239" s="1783"/>
      <c r="S1239" s="1783"/>
      <c r="T1239" s="1783"/>
      <c r="U1239" s="1783"/>
      <c r="V1239" s="1783"/>
      <c r="W1239" s="1783"/>
      <c r="X1239" s="1783"/>
      <c r="Y1239" s="1783"/>
      <c r="Z1239" s="1783"/>
      <c r="AA1239" s="1783"/>
      <c r="AB1239" s="1783"/>
      <c r="AC1239" s="1783"/>
      <c r="AD1239" s="1783"/>
      <c r="AE1239" s="1783"/>
      <c r="AF1239" s="1783"/>
      <c r="AG1239" s="1783"/>
      <c r="AH1239" s="1783"/>
      <c r="AI1239" s="1783"/>
      <c r="AJ1239" s="1783"/>
      <c r="AK1239" s="1783"/>
      <c r="AL1239" s="1783"/>
      <c r="AM1239" s="1783"/>
      <c r="AN1239" s="1783"/>
      <c r="AO1239" s="1783"/>
      <c r="AP1239" s="1783"/>
      <c r="AQ1239" s="1783"/>
      <c r="AR1239" s="1783"/>
      <c r="AS1239" s="1783"/>
      <c r="AT1239" s="1783"/>
      <c r="AU1239" s="1783"/>
      <c r="AV1239" s="1783"/>
      <c r="AW1239" s="1783"/>
      <c r="AX1239" s="1783"/>
      <c r="AY1239" s="1783"/>
      <c r="AZ1239" s="1783"/>
      <c r="BA1239" s="1783"/>
      <c r="BB1239" s="1783"/>
      <c r="BC1239" s="1783"/>
      <c r="BD1239" s="1783"/>
      <c r="BE1239" s="1783"/>
      <c r="BF1239" s="1783"/>
      <c r="BG1239" s="1783"/>
      <c r="BH1239" s="1783"/>
      <c r="BI1239" s="1783"/>
    </row>
    <row r="1240" spans="1:61">
      <c r="A1240" s="1819"/>
      <c r="B1240" s="1818"/>
      <c r="C1240" s="1818"/>
      <c r="D1240" s="1818"/>
      <c r="E1240" s="1818"/>
      <c r="F1240" s="1818"/>
      <c r="G1240" s="1818"/>
      <c r="H1240" s="1783"/>
      <c r="I1240" s="1783"/>
      <c r="J1240" s="1783"/>
      <c r="K1240" s="1783"/>
      <c r="L1240" s="1783"/>
      <c r="M1240" s="1783"/>
      <c r="N1240" s="1783"/>
      <c r="O1240" s="1783"/>
      <c r="P1240" s="1783"/>
      <c r="Q1240" s="1783"/>
      <c r="R1240" s="1783"/>
      <c r="S1240" s="1783"/>
      <c r="T1240" s="1783"/>
      <c r="U1240" s="1783"/>
      <c r="V1240" s="1783"/>
      <c r="W1240" s="1783"/>
      <c r="X1240" s="1783"/>
      <c r="Y1240" s="1783"/>
      <c r="Z1240" s="1783"/>
      <c r="AA1240" s="1783"/>
      <c r="AB1240" s="1783"/>
      <c r="AC1240" s="1783"/>
      <c r="AD1240" s="1783"/>
      <c r="AE1240" s="1783"/>
      <c r="AF1240" s="1783"/>
      <c r="AG1240" s="1783"/>
      <c r="AH1240" s="1783"/>
      <c r="AI1240" s="1783"/>
      <c r="AJ1240" s="1783"/>
      <c r="AK1240" s="1783"/>
      <c r="AL1240" s="1783"/>
      <c r="AM1240" s="1783"/>
      <c r="AN1240" s="1783"/>
      <c r="AO1240" s="1783"/>
      <c r="AP1240" s="1783"/>
      <c r="AQ1240" s="1783"/>
      <c r="AR1240" s="1783"/>
      <c r="AS1240" s="1783"/>
      <c r="AT1240" s="1783"/>
      <c r="AU1240" s="1783"/>
      <c r="AV1240" s="1783"/>
      <c r="AW1240" s="1783"/>
      <c r="AX1240" s="1783"/>
      <c r="AY1240" s="1783"/>
      <c r="AZ1240" s="1783"/>
      <c r="BA1240" s="1783"/>
      <c r="BB1240" s="1783"/>
      <c r="BC1240" s="1783"/>
      <c r="BD1240" s="1783"/>
      <c r="BE1240" s="1783"/>
      <c r="BF1240" s="1783"/>
      <c r="BG1240" s="1783"/>
      <c r="BH1240" s="1783"/>
      <c r="BI1240" s="1783"/>
    </row>
    <row r="1241" spans="1:61">
      <c r="A1241" s="1819"/>
      <c r="B1241" s="1818"/>
      <c r="C1241" s="1818"/>
      <c r="D1241" s="1818"/>
      <c r="E1241" s="1818"/>
      <c r="F1241" s="1818"/>
      <c r="G1241" s="1818"/>
      <c r="H1241" s="1783"/>
      <c r="I1241" s="1783"/>
      <c r="J1241" s="1783"/>
      <c r="K1241" s="1783"/>
      <c r="L1241" s="1783"/>
      <c r="M1241" s="1783"/>
      <c r="N1241" s="1783"/>
      <c r="O1241" s="1783"/>
      <c r="P1241" s="1783"/>
      <c r="Q1241" s="1783"/>
      <c r="R1241" s="1783"/>
      <c r="S1241" s="1783"/>
      <c r="T1241" s="1783"/>
      <c r="U1241" s="1783"/>
      <c r="V1241" s="1783"/>
      <c r="W1241" s="1783"/>
      <c r="X1241" s="1783"/>
      <c r="Y1241" s="1783"/>
      <c r="Z1241" s="1783"/>
      <c r="AA1241" s="1783"/>
      <c r="AB1241" s="1783"/>
      <c r="AC1241" s="1783"/>
      <c r="AD1241" s="1783"/>
      <c r="AE1241" s="1783"/>
      <c r="AF1241" s="1783"/>
      <c r="AG1241" s="1783"/>
      <c r="AH1241" s="1783"/>
      <c r="AI1241" s="1783"/>
      <c r="AJ1241" s="1783"/>
      <c r="AK1241" s="1783"/>
      <c r="AL1241" s="1783"/>
      <c r="AM1241" s="1783"/>
      <c r="AN1241" s="1783"/>
      <c r="AO1241" s="1783"/>
      <c r="AP1241" s="1783"/>
      <c r="AQ1241" s="1783"/>
      <c r="AR1241" s="1783"/>
      <c r="AS1241" s="1783"/>
      <c r="AT1241" s="1783"/>
      <c r="AU1241" s="1783"/>
      <c r="AV1241" s="1783"/>
      <c r="AW1241" s="1783"/>
      <c r="AX1241" s="1783"/>
      <c r="AY1241" s="1783"/>
      <c r="AZ1241" s="1783"/>
      <c r="BA1241" s="1783"/>
      <c r="BB1241" s="1783"/>
      <c r="BC1241" s="1783"/>
      <c r="BD1241" s="1783"/>
      <c r="BE1241" s="1783"/>
      <c r="BF1241" s="1783"/>
      <c r="BG1241" s="1783"/>
      <c r="BH1241" s="1783"/>
      <c r="BI1241" s="1783"/>
    </row>
    <row r="1242" spans="1:61">
      <c r="A1242" s="1819"/>
      <c r="B1242" s="1818"/>
      <c r="C1242" s="1818"/>
      <c r="D1242" s="1818"/>
      <c r="E1242" s="1818"/>
      <c r="F1242" s="1818"/>
      <c r="G1242" s="1818"/>
      <c r="H1242" s="1783"/>
      <c r="I1242" s="1783"/>
      <c r="J1242" s="1783"/>
      <c r="K1242" s="1783"/>
      <c r="L1242" s="1783"/>
      <c r="M1242" s="1783"/>
      <c r="N1242" s="1783"/>
      <c r="O1242" s="1783"/>
      <c r="P1242" s="1783"/>
      <c r="Q1242" s="1783"/>
      <c r="R1242" s="1783"/>
      <c r="S1242" s="1783"/>
      <c r="T1242" s="1783"/>
      <c r="U1242" s="1783"/>
      <c r="V1242" s="1783"/>
      <c r="W1242" s="1783"/>
      <c r="X1242" s="1783"/>
      <c r="Y1242" s="1783"/>
      <c r="Z1242" s="1783"/>
      <c r="AA1242" s="1783"/>
      <c r="AB1242" s="1783"/>
      <c r="AC1242" s="1783"/>
      <c r="AD1242" s="1783"/>
      <c r="AE1242" s="1783"/>
      <c r="AF1242" s="1783"/>
      <c r="AG1242" s="1783"/>
      <c r="AH1242" s="1783"/>
      <c r="AI1242" s="1783"/>
      <c r="AJ1242" s="1783"/>
      <c r="AK1242" s="1783"/>
      <c r="AL1242" s="1783"/>
      <c r="AM1242" s="1783"/>
      <c r="AN1242" s="1783"/>
      <c r="AO1242" s="1783"/>
      <c r="AP1242" s="1783"/>
      <c r="AQ1242" s="1783"/>
      <c r="AR1242" s="1783"/>
      <c r="AS1242" s="1783"/>
      <c r="AT1242" s="1783"/>
      <c r="AU1242" s="1783"/>
      <c r="AV1242" s="1783"/>
      <c r="AW1242" s="1783"/>
      <c r="AX1242" s="1783"/>
      <c r="AY1242" s="1783"/>
      <c r="AZ1242" s="1783"/>
      <c r="BA1242" s="1783"/>
      <c r="BB1242" s="1783"/>
      <c r="BC1242" s="1783"/>
      <c r="BD1242" s="1783"/>
      <c r="BE1242" s="1783"/>
      <c r="BF1242" s="1783"/>
      <c r="BG1242" s="1783"/>
      <c r="BH1242" s="1783"/>
      <c r="BI1242" s="1783"/>
    </row>
    <row r="1243" spans="1:61">
      <c r="A1243" s="1819"/>
      <c r="B1243" s="1818"/>
      <c r="C1243" s="1818"/>
      <c r="D1243" s="1818"/>
      <c r="E1243" s="1818"/>
      <c r="F1243" s="1818"/>
      <c r="G1243" s="1818"/>
      <c r="H1243" s="1783"/>
      <c r="I1243" s="1783"/>
      <c r="J1243" s="1783"/>
      <c r="K1243" s="1783"/>
      <c r="L1243" s="1783"/>
      <c r="M1243" s="1783"/>
      <c r="N1243" s="1783"/>
      <c r="O1243" s="1783"/>
      <c r="P1243" s="1783"/>
      <c r="Q1243" s="1783"/>
      <c r="R1243" s="1783"/>
      <c r="S1243" s="1783"/>
      <c r="T1243" s="1783"/>
      <c r="U1243" s="1783"/>
      <c r="V1243" s="1783"/>
      <c r="W1243" s="1783"/>
      <c r="X1243" s="1783"/>
      <c r="Y1243" s="1783"/>
      <c r="Z1243" s="1783"/>
      <c r="AA1243" s="1783"/>
      <c r="AB1243" s="1783"/>
      <c r="AC1243" s="1783"/>
      <c r="AD1243" s="1783"/>
      <c r="AE1243" s="1783"/>
      <c r="AF1243" s="1783"/>
      <c r="AG1243" s="1783"/>
      <c r="AH1243" s="1783"/>
      <c r="AI1243" s="1783"/>
      <c r="AJ1243" s="1783"/>
      <c r="AK1243" s="1783"/>
      <c r="AL1243" s="1783"/>
      <c r="AM1243" s="1783"/>
      <c r="AN1243" s="1783"/>
      <c r="AO1243" s="1783"/>
      <c r="AP1243" s="1783"/>
      <c r="AQ1243" s="1783"/>
      <c r="AR1243" s="1783"/>
      <c r="AS1243" s="1783"/>
      <c r="AT1243" s="1783"/>
      <c r="AU1243" s="1783"/>
      <c r="AV1243" s="1783"/>
      <c r="AW1243" s="1783"/>
      <c r="AX1243" s="1783"/>
      <c r="AY1243" s="1783"/>
      <c r="AZ1243" s="1783"/>
      <c r="BA1243" s="1783"/>
      <c r="BB1243" s="1783"/>
      <c r="BC1243" s="1783"/>
      <c r="BD1243" s="1783"/>
      <c r="BE1243" s="1783"/>
      <c r="BF1243" s="1783"/>
      <c r="BG1243" s="1783"/>
      <c r="BH1243" s="1783"/>
      <c r="BI1243" s="1783"/>
    </row>
    <row r="1244" spans="1:61">
      <c r="A1244" s="1819"/>
      <c r="B1244" s="1818"/>
      <c r="C1244" s="1818"/>
      <c r="D1244" s="1818"/>
      <c r="E1244" s="1818"/>
      <c r="F1244" s="1818"/>
      <c r="G1244" s="1818"/>
      <c r="H1244" s="1783"/>
      <c r="I1244" s="1783"/>
      <c r="J1244" s="1783"/>
      <c r="K1244" s="1783"/>
      <c r="L1244" s="1783"/>
      <c r="M1244" s="1783"/>
      <c r="N1244" s="1783"/>
      <c r="O1244" s="1783"/>
      <c r="P1244" s="1783"/>
      <c r="Q1244" s="1783"/>
      <c r="R1244" s="1783"/>
      <c r="S1244" s="1783"/>
      <c r="T1244" s="1783"/>
      <c r="U1244" s="1783"/>
      <c r="V1244" s="1783"/>
      <c r="W1244" s="1783"/>
      <c r="X1244" s="1783"/>
      <c r="Y1244" s="1783"/>
      <c r="Z1244" s="1783"/>
      <c r="AA1244" s="1783"/>
      <c r="AB1244" s="1783"/>
      <c r="AC1244" s="1783"/>
      <c r="AD1244" s="1783"/>
      <c r="AE1244" s="1783"/>
      <c r="AF1244" s="1783"/>
      <c r="AG1244" s="1783"/>
      <c r="AH1244" s="1783"/>
      <c r="AI1244" s="1783"/>
      <c r="AJ1244" s="1783"/>
      <c r="AK1244" s="1783"/>
      <c r="AL1244" s="1783"/>
      <c r="AM1244" s="1783"/>
      <c r="AN1244" s="1783"/>
      <c r="AO1244" s="1783"/>
      <c r="AP1244" s="1783"/>
      <c r="AQ1244" s="1783"/>
      <c r="AR1244" s="1783"/>
      <c r="AS1244" s="1783"/>
      <c r="AT1244" s="1783"/>
      <c r="AU1244" s="1783"/>
      <c r="AV1244" s="1783"/>
      <c r="AW1244" s="1783"/>
      <c r="AX1244" s="1783"/>
      <c r="AY1244" s="1783"/>
      <c r="AZ1244" s="1783"/>
      <c r="BA1244" s="1783"/>
      <c r="BB1244" s="1783"/>
      <c r="BC1244" s="1783"/>
      <c r="BD1244" s="1783"/>
      <c r="BE1244" s="1783"/>
      <c r="BF1244" s="1783"/>
      <c r="BG1244" s="1783"/>
      <c r="BH1244" s="1783"/>
      <c r="BI1244" s="1783"/>
    </row>
    <row r="1245" spans="1:61">
      <c r="A1245" s="1819"/>
      <c r="B1245" s="1818"/>
      <c r="C1245" s="1818"/>
      <c r="D1245" s="1818"/>
      <c r="E1245" s="1818"/>
      <c r="F1245" s="1818"/>
      <c r="G1245" s="1818"/>
      <c r="H1245" s="1783"/>
      <c r="I1245" s="1783"/>
      <c r="J1245" s="1783"/>
      <c r="K1245" s="1783"/>
      <c r="L1245" s="1783"/>
      <c r="M1245" s="1783"/>
      <c r="N1245" s="1783"/>
      <c r="O1245" s="1783"/>
      <c r="P1245" s="1783"/>
      <c r="Q1245" s="1783"/>
      <c r="R1245" s="1783"/>
      <c r="S1245" s="1783"/>
      <c r="T1245" s="1783"/>
      <c r="U1245" s="1783"/>
      <c r="V1245" s="1783"/>
      <c r="W1245" s="1783"/>
      <c r="X1245" s="1783"/>
      <c r="Y1245" s="1783"/>
      <c r="Z1245" s="1783"/>
      <c r="AA1245" s="1783"/>
      <c r="AB1245" s="1783"/>
      <c r="AC1245" s="1783"/>
      <c r="AD1245" s="1783"/>
      <c r="AE1245" s="1783"/>
      <c r="AF1245" s="1783"/>
      <c r="AG1245" s="1783"/>
      <c r="AH1245" s="1783"/>
      <c r="AI1245" s="1783"/>
      <c r="AJ1245" s="1783"/>
      <c r="AK1245" s="1783"/>
      <c r="AL1245" s="1783"/>
      <c r="AM1245" s="1783"/>
      <c r="AN1245" s="1783"/>
      <c r="AO1245" s="1783"/>
      <c r="AP1245" s="1783"/>
      <c r="AQ1245" s="1783"/>
      <c r="AR1245" s="1783"/>
      <c r="AS1245" s="1783"/>
      <c r="AT1245" s="1783"/>
      <c r="AU1245" s="1783"/>
      <c r="AV1245" s="1783"/>
      <c r="AW1245" s="1783"/>
      <c r="AX1245" s="1783"/>
      <c r="AY1245" s="1783"/>
      <c r="AZ1245" s="1783"/>
      <c r="BA1245" s="1783"/>
      <c r="BB1245" s="1783"/>
      <c r="BC1245" s="1783"/>
      <c r="BD1245" s="1783"/>
      <c r="BE1245" s="1783"/>
      <c r="BF1245" s="1783"/>
      <c r="BG1245" s="1783"/>
      <c r="BH1245" s="1783"/>
      <c r="BI1245" s="1783"/>
    </row>
    <row r="1246" spans="1:61">
      <c r="A1246" s="1819"/>
      <c r="B1246" s="1818"/>
      <c r="C1246" s="1818"/>
      <c r="D1246" s="1818"/>
      <c r="E1246" s="1818"/>
      <c r="F1246" s="1818"/>
      <c r="G1246" s="1818"/>
      <c r="H1246" s="1783"/>
      <c r="I1246" s="1783"/>
      <c r="J1246" s="1783"/>
      <c r="K1246" s="1783"/>
      <c r="L1246" s="1783"/>
      <c r="M1246" s="1783"/>
      <c r="N1246" s="1783"/>
      <c r="O1246" s="1783"/>
      <c r="P1246" s="1783"/>
      <c r="Q1246" s="1783"/>
      <c r="R1246" s="1783"/>
      <c r="S1246" s="1783"/>
      <c r="T1246" s="1783"/>
      <c r="U1246" s="1783"/>
      <c r="V1246" s="1783"/>
      <c r="W1246" s="1783"/>
      <c r="X1246" s="1783"/>
      <c r="Y1246" s="1783"/>
      <c r="Z1246" s="1783"/>
      <c r="AA1246" s="1783"/>
      <c r="AB1246" s="1783"/>
      <c r="AC1246" s="1783"/>
      <c r="AD1246" s="1783"/>
      <c r="AE1246" s="1783"/>
      <c r="AF1246" s="1783"/>
      <c r="AG1246" s="1783"/>
      <c r="AH1246" s="1783"/>
      <c r="AI1246" s="1783"/>
      <c r="AJ1246" s="1783"/>
      <c r="AK1246" s="1783"/>
      <c r="AL1246" s="1783"/>
      <c r="AM1246" s="1783"/>
      <c r="AN1246" s="1783"/>
      <c r="AO1246" s="1783"/>
      <c r="AP1246" s="1783"/>
      <c r="AQ1246" s="1783"/>
      <c r="AR1246" s="1783"/>
      <c r="AS1246" s="1783"/>
      <c r="AT1246" s="1783"/>
      <c r="AU1246" s="1783"/>
      <c r="AV1246" s="1783"/>
      <c r="AW1246" s="1783"/>
      <c r="AX1246" s="1783"/>
      <c r="AY1246" s="1783"/>
      <c r="AZ1246" s="1783"/>
      <c r="BA1246" s="1783"/>
      <c r="BB1246" s="1783"/>
      <c r="BC1246" s="1783"/>
      <c r="BD1246" s="1783"/>
      <c r="BE1246" s="1783"/>
      <c r="BF1246" s="1783"/>
      <c r="BG1246" s="1783"/>
      <c r="BH1246" s="1783"/>
      <c r="BI1246" s="1783"/>
    </row>
    <row r="1247" spans="1:61">
      <c r="A1247" s="1819"/>
      <c r="B1247" s="1818"/>
      <c r="C1247" s="1818"/>
      <c r="D1247" s="1818"/>
      <c r="E1247" s="1818"/>
      <c r="F1247" s="1818"/>
      <c r="G1247" s="1818"/>
      <c r="H1247" s="1783"/>
      <c r="I1247" s="1783"/>
      <c r="J1247" s="1783"/>
      <c r="K1247" s="1783"/>
      <c r="L1247" s="1783"/>
      <c r="M1247" s="1783"/>
      <c r="N1247" s="1783"/>
      <c r="O1247" s="1783"/>
      <c r="P1247" s="1783"/>
      <c r="Q1247" s="1783"/>
      <c r="R1247" s="1783"/>
      <c r="S1247" s="1783"/>
      <c r="T1247" s="1783"/>
      <c r="U1247" s="1783"/>
      <c r="V1247" s="1783"/>
      <c r="W1247" s="1783"/>
      <c r="X1247" s="1783"/>
      <c r="Y1247" s="1783"/>
      <c r="Z1247" s="1783"/>
      <c r="AA1247" s="1783"/>
      <c r="AB1247" s="1783"/>
      <c r="AC1247" s="1783"/>
      <c r="AD1247" s="1783"/>
      <c r="AE1247" s="1783"/>
      <c r="AF1247" s="1783"/>
      <c r="AG1247" s="1783"/>
      <c r="AH1247" s="1783"/>
      <c r="AI1247" s="1783"/>
      <c r="AJ1247" s="1783"/>
      <c r="AK1247" s="1783"/>
      <c r="AL1247" s="1783"/>
      <c r="AM1247" s="1783"/>
      <c r="AN1247" s="1783"/>
      <c r="AO1247" s="1783"/>
      <c r="AP1247" s="1783"/>
      <c r="AQ1247" s="1783"/>
      <c r="AR1247" s="1783"/>
      <c r="AS1247" s="1783"/>
      <c r="AT1247" s="1783"/>
      <c r="AU1247" s="1783"/>
      <c r="AV1247" s="1783"/>
      <c r="AW1247" s="1783"/>
      <c r="AX1247" s="1783"/>
      <c r="AY1247" s="1783"/>
      <c r="AZ1247" s="1783"/>
      <c r="BA1247" s="1783"/>
      <c r="BB1247" s="1783"/>
      <c r="BC1247" s="1783"/>
      <c r="BD1247" s="1783"/>
      <c r="BE1247" s="1783"/>
      <c r="BF1247" s="1783"/>
      <c r="BG1247" s="1783"/>
      <c r="BH1247" s="1783"/>
      <c r="BI1247" s="1783"/>
    </row>
    <row r="1248" spans="1:61">
      <c r="A1248" s="1819"/>
      <c r="B1248" s="1818"/>
      <c r="C1248" s="1818"/>
      <c r="D1248" s="1818"/>
      <c r="E1248" s="1818"/>
      <c r="F1248" s="1818"/>
      <c r="G1248" s="1818"/>
      <c r="H1248" s="1783"/>
      <c r="I1248" s="1783"/>
      <c r="J1248" s="1783"/>
      <c r="K1248" s="1783"/>
      <c r="L1248" s="1783"/>
      <c r="M1248" s="1783"/>
      <c r="N1248" s="1783"/>
      <c r="O1248" s="1783"/>
      <c r="P1248" s="1783"/>
      <c r="Q1248" s="1783"/>
      <c r="R1248" s="1783"/>
      <c r="S1248" s="1783"/>
      <c r="T1248" s="1783"/>
      <c r="U1248" s="1783"/>
      <c r="V1248" s="1783"/>
      <c r="W1248" s="1783"/>
      <c r="X1248" s="1783"/>
      <c r="Y1248" s="1783"/>
      <c r="Z1248" s="1783"/>
      <c r="AA1248" s="1783"/>
      <c r="AB1248" s="1783"/>
      <c r="AC1248" s="1783"/>
      <c r="AD1248" s="1783"/>
      <c r="AE1248" s="1783"/>
      <c r="AF1248" s="1783"/>
      <c r="AG1248" s="1783"/>
      <c r="AH1248" s="1783"/>
      <c r="AI1248" s="1783"/>
      <c r="AJ1248" s="1783"/>
      <c r="AK1248" s="1783"/>
      <c r="AL1248" s="1783"/>
      <c r="AM1248" s="1783"/>
      <c r="AN1248" s="1783"/>
      <c r="AO1248" s="1783"/>
      <c r="AP1248" s="1783"/>
      <c r="AQ1248" s="1783"/>
      <c r="AR1248" s="1783"/>
      <c r="AS1248" s="1783"/>
      <c r="AT1248" s="1783"/>
      <c r="AU1248" s="1783"/>
      <c r="AV1248" s="1783"/>
      <c r="AW1248" s="1783"/>
      <c r="AX1248" s="1783"/>
      <c r="AY1248" s="1783"/>
      <c r="AZ1248" s="1783"/>
      <c r="BA1248" s="1783"/>
      <c r="BB1248" s="1783"/>
      <c r="BC1248" s="1783"/>
      <c r="BD1248" s="1783"/>
      <c r="BE1248" s="1783"/>
      <c r="BF1248" s="1783"/>
      <c r="BG1248" s="1783"/>
      <c r="BH1248" s="1783"/>
      <c r="BI1248" s="1783"/>
    </row>
    <row r="1249" spans="1:61">
      <c r="A1249" s="1819"/>
      <c r="B1249" s="1818"/>
      <c r="C1249" s="1818"/>
      <c r="D1249" s="1818"/>
      <c r="E1249" s="1818"/>
      <c r="F1249" s="1818"/>
      <c r="G1249" s="1818"/>
      <c r="H1249" s="1783"/>
      <c r="I1249" s="1783"/>
      <c r="J1249" s="1783"/>
      <c r="K1249" s="1783"/>
      <c r="L1249" s="1783"/>
      <c r="M1249" s="1783"/>
      <c r="N1249" s="1783"/>
      <c r="O1249" s="1783"/>
      <c r="P1249" s="1783"/>
      <c r="Q1249" s="1783"/>
      <c r="R1249" s="1783"/>
      <c r="S1249" s="1783"/>
      <c r="T1249" s="1783"/>
      <c r="U1249" s="1783"/>
      <c r="V1249" s="1783"/>
      <c r="W1249" s="1783"/>
      <c r="X1249" s="1783"/>
      <c r="Y1249" s="1783"/>
      <c r="Z1249" s="1783"/>
      <c r="AA1249" s="1783"/>
      <c r="AB1249" s="1783"/>
      <c r="AC1249" s="1783"/>
      <c r="AD1249" s="1783"/>
      <c r="AE1249" s="1783"/>
      <c r="AF1249" s="1783"/>
      <c r="AG1249" s="1783"/>
      <c r="AH1249" s="1783"/>
      <c r="AI1249" s="1783"/>
      <c r="AJ1249" s="1783"/>
      <c r="AK1249" s="1783"/>
      <c r="AL1249" s="1783"/>
      <c r="AM1249" s="1783"/>
      <c r="AN1249" s="1783"/>
      <c r="AO1249" s="1783"/>
      <c r="AP1249" s="1783"/>
      <c r="AQ1249" s="1783"/>
      <c r="AR1249" s="1783"/>
      <c r="AS1249" s="1783"/>
      <c r="AT1249" s="1783"/>
      <c r="AU1249" s="1783"/>
      <c r="AV1249" s="1783"/>
      <c r="AW1249" s="1783"/>
      <c r="AX1249" s="1783"/>
      <c r="AY1249" s="1783"/>
      <c r="AZ1249" s="1783"/>
      <c r="BA1249" s="1783"/>
      <c r="BB1249" s="1783"/>
      <c r="BC1249" s="1783"/>
      <c r="BD1249" s="1783"/>
      <c r="BE1249" s="1783"/>
      <c r="BF1249" s="1783"/>
      <c r="BG1249" s="1783"/>
      <c r="BH1249" s="1783"/>
      <c r="BI1249" s="1783"/>
    </row>
    <row r="1250" spans="1:61">
      <c r="A1250" s="1819"/>
      <c r="B1250" s="1818"/>
      <c r="C1250" s="1818"/>
      <c r="D1250" s="1818"/>
      <c r="E1250" s="1818"/>
      <c r="F1250" s="1818"/>
      <c r="G1250" s="1818"/>
      <c r="H1250" s="1783"/>
      <c r="I1250" s="1783"/>
      <c r="J1250" s="1783"/>
      <c r="K1250" s="1783"/>
      <c r="L1250" s="1783"/>
      <c r="M1250" s="1783"/>
      <c r="N1250" s="1783"/>
      <c r="O1250" s="1783"/>
      <c r="P1250" s="1783"/>
      <c r="Q1250" s="1783"/>
      <c r="R1250" s="1783"/>
      <c r="S1250" s="1783"/>
      <c r="T1250" s="1783"/>
      <c r="U1250" s="1783"/>
      <c r="V1250" s="1783"/>
      <c r="W1250" s="1783"/>
      <c r="X1250" s="1783"/>
      <c r="Y1250" s="1783"/>
      <c r="Z1250" s="1783"/>
      <c r="AA1250" s="1783"/>
      <c r="AB1250" s="1783"/>
      <c r="AC1250" s="1783"/>
      <c r="AD1250" s="1783"/>
      <c r="AE1250" s="1783"/>
      <c r="AF1250" s="1783"/>
      <c r="AG1250" s="1783"/>
      <c r="AH1250" s="1783"/>
      <c r="AI1250" s="1783"/>
      <c r="AJ1250" s="1783"/>
      <c r="AK1250" s="1783"/>
      <c r="AL1250" s="1783"/>
      <c r="AM1250" s="1783"/>
      <c r="AN1250" s="1783"/>
      <c r="AO1250" s="1783"/>
      <c r="AP1250" s="1783"/>
      <c r="AQ1250" s="1783"/>
      <c r="AR1250" s="1783"/>
      <c r="AS1250" s="1783"/>
      <c r="AT1250" s="1783"/>
      <c r="AU1250" s="1783"/>
      <c r="AV1250" s="1783"/>
      <c r="AW1250" s="1783"/>
      <c r="AX1250" s="1783"/>
      <c r="AY1250" s="1783"/>
      <c r="AZ1250" s="1783"/>
      <c r="BA1250" s="1783"/>
      <c r="BB1250" s="1783"/>
      <c r="BC1250" s="1783"/>
      <c r="BD1250" s="1783"/>
      <c r="BE1250" s="1783"/>
      <c r="BF1250" s="1783"/>
      <c r="BG1250" s="1783"/>
      <c r="BH1250" s="1783"/>
      <c r="BI1250" s="1783"/>
    </row>
    <row r="1251" spans="1:61">
      <c r="A1251" s="1819"/>
      <c r="B1251" s="1818"/>
      <c r="C1251" s="1818"/>
      <c r="D1251" s="1818"/>
      <c r="E1251" s="1818"/>
      <c r="F1251" s="1818"/>
      <c r="G1251" s="1818"/>
      <c r="H1251" s="1783"/>
      <c r="I1251" s="1783"/>
      <c r="J1251" s="1783"/>
      <c r="K1251" s="1783"/>
      <c r="L1251" s="1783"/>
      <c r="M1251" s="1783"/>
      <c r="N1251" s="1783"/>
      <c r="O1251" s="1783"/>
      <c r="P1251" s="1783"/>
      <c r="Q1251" s="1783"/>
      <c r="R1251" s="1783"/>
      <c r="S1251" s="1783"/>
      <c r="T1251" s="1783"/>
      <c r="U1251" s="1783"/>
      <c r="V1251" s="1783"/>
      <c r="W1251" s="1783"/>
      <c r="X1251" s="1783"/>
      <c r="Y1251" s="1783"/>
      <c r="Z1251" s="1783"/>
      <c r="AA1251" s="1783"/>
      <c r="AB1251" s="1783"/>
      <c r="AC1251" s="1783"/>
      <c r="AD1251" s="1783"/>
      <c r="AE1251" s="1783"/>
      <c r="AF1251" s="1783"/>
      <c r="AG1251" s="1783"/>
      <c r="AH1251" s="1783"/>
      <c r="AI1251" s="1783"/>
      <c r="AJ1251" s="1783"/>
      <c r="AK1251" s="1783"/>
      <c r="AL1251" s="1783"/>
      <c r="AM1251" s="1783"/>
      <c r="AN1251" s="1783"/>
      <c r="AO1251" s="1783"/>
      <c r="AP1251" s="1783"/>
      <c r="AQ1251" s="1783"/>
      <c r="AR1251" s="1783"/>
      <c r="AS1251" s="1783"/>
      <c r="AT1251" s="1783"/>
      <c r="AU1251" s="1783"/>
      <c r="AV1251" s="1783"/>
      <c r="AW1251" s="1783"/>
      <c r="AX1251" s="1783"/>
      <c r="AY1251" s="1783"/>
      <c r="AZ1251" s="1783"/>
      <c r="BA1251" s="1783"/>
      <c r="BB1251" s="1783"/>
      <c r="BC1251" s="1783"/>
      <c r="BD1251" s="1783"/>
      <c r="BE1251" s="1783"/>
      <c r="BF1251" s="1783"/>
      <c r="BG1251" s="1783"/>
      <c r="BH1251" s="1783"/>
      <c r="BI1251" s="1783"/>
    </row>
    <row r="1252" spans="1:61">
      <c r="A1252" s="1819"/>
      <c r="B1252" s="1818"/>
      <c r="C1252" s="1818"/>
      <c r="D1252" s="1818"/>
      <c r="E1252" s="1818"/>
      <c r="F1252" s="1818"/>
      <c r="G1252" s="1818"/>
      <c r="H1252" s="1783"/>
      <c r="I1252" s="1783"/>
      <c r="J1252" s="1783"/>
      <c r="K1252" s="1783"/>
      <c r="L1252" s="1783"/>
      <c r="M1252" s="1783"/>
      <c r="N1252" s="1783"/>
      <c r="O1252" s="1783"/>
      <c r="P1252" s="1783"/>
      <c r="Q1252" s="1783"/>
      <c r="R1252" s="1783"/>
      <c r="S1252" s="1783"/>
      <c r="T1252" s="1783"/>
      <c r="U1252" s="1783"/>
      <c r="V1252" s="1783"/>
      <c r="W1252" s="1783"/>
      <c r="X1252" s="1783"/>
      <c r="Y1252" s="1783"/>
      <c r="Z1252" s="1783"/>
      <c r="AA1252" s="1783"/>
      <c r="AB1252" s="1783"/>
      <c r="AC1252" s="1783"/>
      <c r="AD1252" s="1783"/>
      <c r="AE1252" s="1783"/>
      <c r="AF1252" s="1783"/>
      <c r="AG1252" s="1783"/>
      <c r="AH1252" s="1783"/>
      <c r="AI1252" s="1783"/>
      <c r="AJ1252" s="1783"/>
      <c r="AK1252" s="1783"/>
      <c r="AL1252" s="1783"/>
      <c r="AM1252" s="1783"/>
      <c r="AN1252" s="1783"/>
      <c r="AO1252" s="1783"/>
      <c r="AP1252" s="1783"/>
      <c r="AQ1252" s="1783"/>
      <c r="AR1252" s="1783"/>
      <c r="AS1252" s="1783"/>
      <c r="AT1252" s="1783"/>
      <c r="AU1252" s="1783"/>
      <c r="AV1252" s="1783"/>
      <c r="AW1252" s="1783"/>
      <c r="AX1252" s="1783"/>
      <c r="AY1252" s="1783"/>
      <c r="AZ1252" s="1783"/>
      <c r="BA1252" s="1783"/>
      <c r="BB1252" s="1783"/>
      <c r="BC1252" s="1783"/>
      <c r="BD1252" s="1783"/>
      <c r="BE1252" s="1783"/>
      <c r="BF1252" s="1783"/>
      <c r="BG1252" s="1783"/>
      <c r="BH1252" s="1783"/>
      <c r="BI1252" s="1783"/>
    </row>
    <row r="1253" spans="1:61">
      <c r="A1253" s="1819"/>
      <c r="B1253" s="1818"/>
      <c r="C1253" s="1818"/>
      <c r="D1253" s="1818"/>
      <c r="E1253" s="1818"/>
      <c r="F1253" s="1818"/>
      <c r="G1253" s="1818"/>
      <c r="H1253" s="1783"/>
      <c r="I1253" s="1783"/>
      <c r="J1253" s="1783"/>
      <c r="K1253" s="1783"/>
      <c r="L1253" s="1783"/>
      <c r="M1253" s="1783"/>
      <c r="N1253" s="1783"/>
      <c r="O1253" s="1783"/>
      <c r="P1253" s="1783"/>
      <c r="Q1253" s="1783"/>
      <c r="R1253" s="1783"/>
      <c r="S1253" s="1783"/>
      <c r="T1253" s="1783"/>
      <c r="U1253" s="1783"/>
      <c r="V1253" s="1783"/>
      <c r="W1253" s="1783"/>
      <c r="X1253" s="1783"/>
      <c r="Y1253" s="1783"/>
      <c r="Z1253" s="1783"/>
      <c r="AA1253" s="1783"/>
      <c r="AB1253" s="1783"/>
      <c r="AC1253" s="1783"/>
      <c r="AD1253" s="1783"/>
      <c r="AE1253" s="1783"/>
      <c r="AF1253" s="1783"/>
      <c r="AG1253" s="1783"/>
      <c r="AH1253" s="1783"/>
      <c r="AI1253" s="1783"/>
      <c r="AJ1253" s="1783"/>
      <c r="AK1253" s="1783"/>
      <c r="AL1253" s="1783"/>
      <c r="AM1253" s="1783"/>
      <c r="AN1253" s="1783"/>
      <c r="AO1253" s="1783"/>
      <c r="AP1253" s="1783"/>
      <c r="AQ1253" s="1783"/>
      <c r="AR1253" s="1783"/>
      <c r="AS1253" s="1783"/>
      <c r="AT1253" s="1783"/>
      <c r="AU1253" s="1783"/>
      <c r="AV1253" s="1783"/>
      <c r="AW1253" s="1783"/>
      <c r="AX1253" s="1783"/>
      <c r="AY1253" s="1783"/>
      <c r="AZ1253" s="1783"/>
      <c r="BA1253" s="1783"/>
      <c r="BB1253" s="1783"/>
      <c r="BC1253" s="1783"/>
      <c r="BD1253" s="1783"/>
      <c r="BE1253" s="1783"/>
      <c r="BF1253" s="1783"/>
      <c r="BG1253" s="1783"/>
      <c r="BH1253" s="1783"/>
      <c r="BI1253" s="1783"/>
    </row>
    <row r="1254" spans="1:61">
      <c r="A1254" s="1819"/>
      <c r="B1254" s="1818"/>
      <c r="C1254" s="1818"/>
      <c r="D1254" s="1818"/>
      <c r="E1254" s="1818"/>
      <c r="F1254" s="1818"/>
      <c r="G1254" s="1818"/>
      <c r="H1254" s="1783"/>
      <c r="I1254" s="1783"/>
      <c r="J1254" s="1783"/>
      <c r="K1254" s="1783"/>
      <c r="L1254" s="1783"/>
      <c r="M1254" s="1783"/>
      <c r="N1254" s="1783"/>
      <c r="O1254" s="1783"/>
      <c r="P1254" s="1783"/>
      <c r="Q1254" s="1783"/>
      <c r="R1254" s="1783"/>
      <c r="S1254" s="1783"/>
      <c r="T1254" s="1783"/>
      <c r="U1254" s="1783"/>
      <c r="V1254" s="1783"/>
      <c r="W1254" s="1783"/>
      <c r="X1254" s="1783"/>
      <c r="Y1254" s="1783"/>
      <c r="Z1254" s="1783"/>
      <c r="AA1254" s="1783"/>
      <c r="AB1254" s="1783"/>
      <c r="AC1254" s="1783"/>
      <c r="AD1254" s="1783"/>
      <c r="AE1254" s="1783"/>
      <c r="AF1254" s="1783"/>
      <c r="AG1254" s="1783"/>
      <c r="AH1254" s="1783"/>
      <c r="AI1254" s="1783"/>
      <c r="AJ1254" s="1783"/>
      <c r="AK1254" s="1783"/>
      <c r="AL1254" s="1783"/>
      <c r="AM1254" s="1783"/>
      <c r="AN1254" s="1783"/>
      <c r="AO1254" s="1783"/>
      <c r="AP1254" s="1783"/>
      <c r="AQ1254" s="1783"/>
      <c r="AR1254" s="1783"/>
      <c r="AS1254" s="1783"/>
      <c r="AT1254" s="1783"/>
      <c r="AU1254" s="1783"/>
      <c r="AV1254" s="1783"/>
      <c r="AW1254" s="1783"/>
      <c r="AX1254" s="1783"/>
      <c r="AY1254" s="1783"/>
      <c r="AZ1254" s="1783"/>
      <c r="BA1254" s="1783"/>
      <c r="BB1254" s="1783"/>
      <c r="BC1254" s="1783"/>
      <c r="BD1254" s="1783"/>
      <c r="BE1254" s="1783"/>
      <c r="BF1254" s="1783"/>
      <c r="BG1254" s="1783"/>
      <c r="BH1254" s="1783"/>
      <c r="BI1254" s="1783"/>
    </row>
    <row r="1255" spans="1:61">
      <c r="A1255" s="1819"/>
      <c r="B1255" s="1818"/>
      <c r="C1255" s="1818"/>
      <c r="D1255" s="1818"/>
      <c r="E1255" s="1818"/>
      <c r="F1255" s="1818"/>
      <c r="G1255" s="1818"/>
      <c r="H1255" s="1783"/>
      <c r="I1255" s="1783"/>
      <c r="J1255" s="1783"/>
      <c r="K1255" s="1783"/>
      <c r="L1255" s="1783"/>
      <c r="M1255" s="1783"/>
      <c r="N1255" s="1783"/>
      <c r="O1255" s="1783"/>
      <c r="P1255" s="1783"/>
      <c r="Q1255" s="1783"/>
      <c r="R1255" s="1783"/>
      <c r="S1255" s="1783"/>
      <c r="T1255" s="1783"/>
      <c r="U1255" s="1783"/>
      <c r="V1255" s="1783"/>
      <c r="W1255" s="1783"/>
      <c r="X1255" s="1783"/>
      <c r="Y1255" s="1783"/>
      <c r="Z1255" s="1783"/>
      <c r="AA1255" s="1783"/>
      <c r="AB1255" s="1783"/>
      <c r="AC1255" s="1783"/>
      <c r="AD1255" s="1783"/>
      <c r="AE1255" s="1783"/>
      <c r="AF1255" s="1783"/>
      <c r="AG1255" s="1783"/>
      <c r="AH1255" s="1783"/>
      <c r="AI1255" s="1783"/>
      <c r="AJ1255" s="1783"/>
      <c r="AK1255" s="1783"/>
      <c r="AL1255" s="1783"/>
      <c r="AM1255" s="1783"/>
      <c r="AN1255" s="1783"/>
      <c r="AO1255" s="1783"/>
      <c r="AP1255" s="1783"/>
      <c r="AQ1255" s="1783"/>
      <c r="AR1255" s="1783"/>
      <c r="AS1255" s="1783"/>
      <c r="AT1255" s="1783"/>
      <c r="AU1255" s="1783"/>
      <c r="AV1255" s="1783"/>
      <c r="AW1255" s="1783"/>
      <c r="AX1255" s="1783"/>
      <c r="AY1255" s="1783"/>
      <c r="AZ1255" s="1783"/>
      <c r="BA1255" s="1783"/>
      <c r="BB1255" s="1783"/>
      <c r="BC1255" s="1783"/>
      <c r="BD1255" s="1783"/>
      <c r="BE1255" s="1783"/>
      <c r="BF1255" s="1783"/>
      <c r="BG1255" s="1783"/>
      <c r="BH1255" s="1783"/>
      <c r="BI1255" s="1783"/>
    </row>
    <row r="1256" spans="1:61">
      <c r="A1256" s="1819"/>
      <c r="B1256" s="1818"/>
      <c r="C1256" s="1818"/>
      <c r="D1256" s="1818"/>
      <c r="E1256" s="1818"/>
      <c r="F1256" s="1818"/>
      <c r="G1256" s="1818"/>
      <c r="H1256" s="1783"/>
      <c r="I1256" s="1783"/>
      <c r="J1256" s="1783"/>
      <c r="K1256" s="1783"/>
      <c r="L1256" s="1783"/>
      <c r="M1256" s="1783"/>
      <c r="N1256" s="1783"/>
      <c r="O1256" s="1783"/>
      <c r="P1256" s="1783"/>
      <c r="Q1256" s="1783"/>
      <c r="R1256" s="1783"/>
      <c r="S1256" s="1783"/>
      <c r="T1256" s="1783"/>
      <c r="U1256" s="1783"/>
      <c r="V1256" s="1783"/>
      <c r="W1256" s="1783"/>
      <c r="X1256" s="1783"/>
      <c r="Y1256" s="1783"/>
      <c r="Z1256" s="1783"/>
      <c r="AA1256" s="1783"/>
      <c r="AB1256" s="1783"/>
      <c r="AC1256" s="1783"/>
      <c r="AD1256" s="1783"/>
      <c r="AE1256" s="1783"/>
      <c r="AF1256" s="1783"/>
      <c r="AG1256" s="1783"/>
      <c r="AH1256" s="1783"/>
      <c r="AI1256" s="1783"/>
      <c r="AJ1256" s="1783"/>
      <c r="AK1256" s="1783"/>
      <c r="AL1256" s="1783"/>
      <c r="AM1256" s="1783"/>
      <c r="AN1256" s="1783"/>
      <c r="AO1256" s="1783"/>
      <c r="AP1256" s="1783"/>
      <c r="AQ1256" s="1783"/>
      <c r="AR1256" s="1783"/>
      <c r="AS1256" s="1783"/>
      <c r="AT1256" s="1783"/>
      <c r="AU1256" s="1783"/>
      <c r="AV1256" s="1783"/>
      <c r="AW1256" s="1783"/>
      <c r="AX1256" s="1783"/>
      <c r="AY1256" s="1783"/>
      <c r="AZ1256" s="1783"/>
      <c r="BA1256" s="1783"/>
      <c r="BB1256" s="1783"/>
      <c r="BC1256" s="1783"/>
      <c r="BD1256" s="1783"/>
      <c r="BE1256" s="1783"/>
      <c r="BF1256" s="1783"/>
      <c r="BG1256" s="1783"/>
      <c r="BH1256" s="1783"/>
      <c r="BI1256" s="1783"/>
    </row>
    <row r="1257" spans="1:61">
      <c r="A1257" s="1819"/>
      <c r="B1257" s="1818"/>
      <c r="C1257" s="1818"/>
      <c r="D1257" s="1818"/>
      <c r="E1257" s="1818"/>
      <c r="F1257" s="1818"/>
      <c r="G1257" s="1818"/>
      <c r="H1257" s="1783"/>
      <c r="I1257" s="1783"/>
      <c r="J1257" s="1783"/>
      <c r="K1257" s="1783"/>
      <c r="L1257" s="1783"/>
      <c r="M1257" s="1783"/>
      <c r="N1257" s="1783"/>
      <c r="O1257" s="1783"/>
      <c r="P1257" s="1783"/>
      <c r="Q1257" s="1783"/>
      <c r="R1257" s="1783"/>
      <c r="S1257" s="1783"/>
      <c r="T1257" s="1783"/>
      <c r="U1257" s="1783"/>
      <c r="V1257" s="1783"/>
      <c r="W1257" s="1783"/>
      <c r="X1257" s="1783"/>
      <c r="Y1257" s="1783"/>
      <c r="Z1257" s="1783"/>
      <c r="AA1257" s="1783"/>
      <c r="AB1257" s="1783"/>
      <c r="AC1257" s="1783"/>
      <c r="AD1257" s="1783"/>
      <c r="AE1257" s="1783"/>
      <c r="AF1257" s="1783"/>
      <c r="AG1257" s="1783"/>
      <c r="AH1257" s="1783"/>
      <c r="AI1257" s="1783"/>
      <c r="AJ1257" s="1783"/>
      <c r="AK1257" s="1783"/>
      <c r="AL1257" s="1783"/>
      <c r="AM1257" s="1783"/>
      <c r="AN1257" s="1783"/>
      <c r="AO1257" s="1783"/>
      <c r="AP1257" s="1783"/>
      <c r="AQ1257" s="1783"/>
      <c r="AR1257" s="1783"/>
      <c r="AS1257" s="1783"/>
      <c r="AT1257" s="1783"/>
      <c r="AU1257" s="1783"/>
      <c r="AV1257" s="1783"/>
      <c r="AW1257" s="1783"/>
      <c r="AX1257" s="1783"/>
      <c r="AY1257" s="1783"/>
      <c r="AZ1257" s="1783"/>
      <c r="BA1257" s="1783"/>
      <c r="BB1257" s="1783"/>
      <c r="BC1257" s="1783"/>
      <c r="BD1257" s="1783"/>
      <c r="BE1257" s="1783"/>
      <c r="BF1257" s="1783"/>
      <c r="BG1257" s="1783"/>
      <c r="BH1257" s="1783"/>
      <c r="BI1257" s="1783"/>
    </row>
    <row r="1258" spans="1:61">
      <c r="A1258" s="1819"/>
      <c r="B1258" s="1818"/>
      <c r="C1258" s="1818"/>
      <c r="D1258" s="1818"/>
      <c r="E1258" s="1818"/>
      <c r="F1258" s="1818"/>
      <c r="G1258" s="1818"/>
      <c r="H1258" s="1783"/>
      <c r="I1258" s="1783"/>
      <c r="J1258" s="1783"/>
      <c r="K1258" s="1783"/>
      <c r="L1258" s="1783"/>
      <c r="M1258" s="1783"/>
      <c r="N1258" s="1783"/>
      <c r="O1258" s="1783"/>
      <c r="P1258" s="1783"/>
      <c r="Q1258" s="1783"/>
      <c r="R1258" s="1783"/>
      <c r="S1258" s="1783"/>
      <c r="T1258" s="1783"/>
      <c r="U1258" s="1783"/>
      <c r="V1258" s="1783"/>
      <c r="W1258" s="1783"/>
      <c r="X1258" s="1783"/>
      <c r="Y1258" s="1783"/>
      <c r="Z1258" s="1783"/>
      <c r="AA1258" s="1783"/>
      <c r="AB1258" s="1783"/>
      <c r="AC1258" s="1783"/>
      <c r="AD1258" s="1783"/>
      <c r="AE1258" s="1783"/>
      <c r="AF1258" s="1783"/>
      <c r="AG1258" s="1783"/>
      <c r="AH1258" s="1783"/>
      <c r="AI1258" s="1783"/>
      <c r="AJ1258" s="1783"/>
      <c r="AK1258" s="1783"/>
      <c r="AL1258" s="1783"/>
      <c r="AM1258" s="1783"/>
      <c r="AN1258" s="1783"/>
      <c r="AO1258" s="1783"/>
      <c r="AP1258" s="1783"/>
      <c r="AQ1258" s="1783"/>
      <c r="AR1258" s="1783"/>
      <c r="AS1258" s="1783"/>
      <c r="AT1258" s="1783"/>
      <c r="AU1258" s="1783"/>
      <c r="AV1258" s="1783"/>
      <c r="AW1258" s="1783"/>
      <c r="AX1258" s="1783"/>
      <c r="AY1258" s="1783"/>
      <c r="AZ1258" s="1783"/>
      <c r="BA1258" s="1783"/>
      <c r="BB1258" s="1783"/>
      <c r="BC1258" s="1783"/>
      <c r="BD1258" s="1783"/>
      <c r="BE1258" s="1783"/>
      <c r="BF1258" s="1783"/>
      <c r="BG1258" s="1783"/>
      <c r="BH1258" s="1783"/>
      <c r="BI1258" s="1783"/>
    </row>
    <row r="1259" spans="1:61">
      <c r="A1259" s="1819"/>
      <c r="B1259" s="1818"/>
      <c r="C1259" s="1818"/>
      <c r="D1259" s="1818"/>
      <c r="E1259" s="1818"/>
      <c r="F1259" s="1818"/>
      <c r="G1259" s="1818"/>
      <c r="H1259" s="1783"/>
      <c r="I1259" s="1783"/>
      <c r="J1259" s="1783"/>
      <c r="K1259" s="1783"/>
      <c r="L1259" s="1783"/>
      <c r="M1259" s="1783"/>
      <c r="N1259" s="1783"/>
      <c r="O1259" s="1783"/>
      <c r="P1259" s="1783"/>
      <c r="Q1259" s="1783"/>
      <c r="R1259" s="1783"/>
      <c r="S1259" s="1783"/>
      <c r="T1259" s="1783"/>
      <c r="U1259" s="1783"/>
      <c r="V1259" s="1783"/>
      <c r="W1259" s="1783"/>
      <c r="X1259" s="1783"/>
      <c r="Y1259" s="1783"/>
      <c r="Z1259" s="1783"/>
      <c r="AA1259" s="1783"/>
      <c r="AB1259" s="1783"/>
      <c r="AC1259" s="1783"/>
      <c r="AD1259" s="1783"/>
      <c r="AE1259" s="1783"/>
      <c r="AF1259" s="1783"/>
      <c r="AG1259" s="1783"/>
      <c r="AH1259" s="1783"/>
      <c r="AI1259" s="1783"/>
      <c r="AJ1259" s="1783"/>
      <c r="AK1259" s="1783"/>
      <c r="AL1259" s="1783"/>
      <c r="AM1259" s="1783"/>
      <c r="AN1259" s="1783"/>
      <c r="AO1259" s="1783"/>
      <c r="AP1259" s="1783"/>
      <c r="AQ1259" s="1783"/>
      <c r="AR1259" s="1783"/>
      <c r="AS1259" s="1783"/>
      <c r="AT1259" s="1783"/>
      <c r="AU1259" s="1783"/>
      <c r="AV1259" s="1783"/>
      <c r="AW1259" s="1783"/>
      <c r="AX1259" s="1783"/>
      <c r="AY1259" s="1783"/>
      <c r="AZ1259" s="1783"/>
      <c r="BA1259" s="1783"/>
      <c r="BB1259" s="1783"/>
      <c r="BC1259" s="1783"/>
      <c r="BD1259" s="1783"/>
      <c r="BE1259" s="1783"/>
      <c r="BF1259" s="1783"/>
      <c r="BG1259" s="1783"/>
      <c r="BH1259" s="1783"/>
      <c r="BI1259" s="1783"/>
    </row>
    <row r="1260" spans="1:61">
      <c r="A1260" s="1819"/>
      <c r="B1260" s="1818"/>
      <c r="C1260" s="1818"/>
      <c r="D1260" s="1818"/>
      <c r="E1260" s="1818"/>
      <c r="F1260" s="1818"/>
      <c r="G1260" s="1818"/>
      <c r="H1260" s="1783"/>
      <c r="I1260" s="1783"/>
      <c r="J1260" s="1783"/>
      <c r="K1260" s="1783"/>
      <c r="L1260" s="1783"/>
      <c r="M1260" s="1783"/>
      <c r="N1260" s="1783"/>
      <c r="O1260" s="1783"/>
      <c r="P1260" s="1783"/>
      <c r="Q1260" s="1783"/>
      <c r="R1260" s="1783"/>
      <c r="S1260" s="1783"/>
      <c r="T1260" s="1783"/>
      <c r="U1260" s="1783"/>
      <c r="V1260" s="1783"/>
      <c r="W1260" s="1783"/>
      <c r="X1260" s="1783"/>
      <c r="Y1260" s="1783"/>
      <c r="Z1260" s="1783"/>
      <c r="AA1260" s="1783"/>
      <c r="AB1260" s="1783"/>
      <c r="AC1260" s="1783"/>
      <c r="AD1260" s="1783"/>
      <c r="AE1260" s="1783"/>
      <c r="AF1260" s="1783"/>
      <c r="AG1260" s="1783"/>
      <c r="AH1260" s="1783"/>
      <c r="AI1260" s="1783"/>
      <c r="AJ1260" s="1783"/>
      <c r="AK1260" s="1783"/>
      <c r="AL1260" s="1783"/>
      <c r="AM1260" s="1783"/>
      <c r="AN1260" s="1783"/>
      <c r="AO1260" s="1783"/>
      <c r="AP1260" s="1783"/>
      <c r="AQ1260" s="1783"/>
      <c r="AR1260" s="1783"/>
      <c r="AS1260" s="1783"/>
      <c r="AT1260" s="1783"/>
      <c r="AU1260" s="1783"/>
      <c r="AV1260" s="1783"/>
      <c r="AW1260" s="1783"/>
      <c r="AX1260" s="1783"/>
      <c r="AY1260" s="1783"/>
      <c r="AZ1260" s="1783"/>
      <c r="BA1260" s="1783"/>
      <c r="BB1260" s="1783"/>
      <c r="BC1260" s="1783"/>
      <c r="BD1260" s="1783"/>
      <c r="BE1260" s="1783"/>
      <c r="BF1260" s="1783"/>
      <c r="BG1260" s="1783"/>
      <c r="BH1260" s="1783"/>
      <c r="BI1260" s="1783"/>
    </row>
    <row r="1261" spans="1:61">
      <c r="A1261" s="1819"/>
      <c r="B1261" s="1818"/>
      <c r="C1261" s="1818"/>
      <c r="D1261" s="1818"/>
      <c r="E1261" s="1818"/>
      <c r="F1261" s="1818"/>
      <c r="G1261" s="1818"/>
      <c r="H1261" s="1783"/>
      <c r="I1261" s="1783"/>
      <c r="J1261" s="1783"/>
      <c r="K1261" s="1783"/>
      <c r="L1261" s="1783"/>
      <c r="M1261" s="1783"/>
      <c r="N1261" s="1783"/>
      <c r="O1261" s="1783"/>
      <c r="P1261" s="1783"/>
      <c r="Q1261" s="1783"/>
      <c r="R1261" s="1783"/>
      <c r="S1261" s="1783"/>
      <c r="T1261" s="1783"/>
      <c r="U1261" s="1783"/>
      <c r="V1261" s="1783"/>
      <c r="W1261" s="1783"/>
      <c r="X1261" s="1783"/>
      <c r="Y1261" s="1783"/>
      <c r="Z1261" s="1783"/>
      <c r="AA1261" s="1783"/>
      <c r="AB1261" s="1783"/>
      <c r="AC1261" s="1783"/>
      <c r="AD1261" s="1783"/>
      <c r="AE1261" s="1783"/>
      <c r="AF1261" s="1783"/>
      <c r="AG1261" s="1783"/>
      <c r="AH1261" s="1783"/>
      <c r="AI1261" s="1783"/>
      <c r="AJ1261" s="1783"/>
      <c r="AK1261" s="1783"/>
      <c r="AL1261" s="1783"/>
      <c r="AM1261" s="1783"/>
      <c r="AN1261" s="1783"/>
      <c r="AO1261" s="1783"/>
      <c r="AP1261" s="1783"/>
      <c r="AQ1261" s="1783"/>
      <c r="AR1261" s="1783"/>
      <c r="AS1261" s="1783"/>
      <c r="AT1261" s="1783"/>
      <c r="AU1261" s="1783"/>
      <c r="AV1261" s="1783"/>
      <c r="AW1261" s="1783"/>
      <c r="AX1261" s="1783"/>
      <c r="AY1261" s="1783"/>
      <c r="AZ1261" s="1783"/>
      <c r="BA1261" s="1783"/>
      <c r="BB1261" s="1783"/>
      <c r="BC1261" s="1783"/>
      <c r="BD1261" s="1783"/>
      <c r="BE1261" s="1783"/>
      <c r="BF1261" s="1783"/>
      <c r="BG1261" s="1783"/>
      <c r="BH1261" s="1783"/>
      <c r="BI1261" s="1783"/>
    </row>
    <row r="1262" spans="1:61">
      <c r="A1262" s="1819"/>
      <c r="B1262" s="1818"/>
      <c r="C1262" s="1818"/>
      <c r="D1262" s="1818"/>
      <c r="E1262" s="1818"/>
      <c r="F1262" s="1818"/>
      <c r="G1262" s="1818"/>
      <c r="H1262" s="1783"/>
      <c r="I1262" s="1783"/>
      <c r="J1262" s="1783"/>
      <c r="K1262" s="1783"/>
      <c r="L1262" s="1783"/>
      <c r="M1262" s="1783"/>
      <c r="N1262" s="1783"/>
      <c r="O1262" s="1783"/>
      <c r="P1262" s="1783"/>
      <c r="Q1262" s="1783"/>
      <c r="R1262" s="1783"/>
      <c r="S1262" s="1783"/>
      <c r="T1262" s="1783"/>
      <c r="U1262" s="1783"/>
      <c r="V1262" s="1783"/>
      <c r="W1262" s="1783"/>
      <c r="X1262" s="1783"/>
      <c r="Y1262" s="1783"/>
      <c r="Z1262" s="1783"/>
      <c r="AA1262" s="1783"/>
      <c r="AB1262" s="1783"/>
      <c r="AC1262" s="1783"/>
      <c r="AD1262" s="1783"/>
      <c r="AE1262" s="1783"/>
      <c r="AF1262" s="1783"/>
      <c r="AG1262" s="1783"/>
      <c r="AH1262" s="1783"/>
      <c r="AI1262" s="1783"/>
      <c r="AJ1262" s="1783"/>
      <c r="AK1262" s="1783"/>
      <c r="AL1262" s="1783"/>
      <c r="AM1262" s="1783"/>
      <c r="AN1262" s="1783"/>
      <c r="AO1262" s="1783"/>
      <c r="AP1262" s="1783"/>
      <c r="AQ1262" s="1783"/>
      <c r="AR1262" s="1783"/>
      <c r="AS1262" s="1783"/>
      <c r="AT1262" s="1783"/>
      <c r="AU1262" s="1783"/>
      <c r="AV1262" s="1783"/>
      <c r="AW1262" s="1783"/>
      <c r="AX1262" s="1783"/>
      <c r="AY1262" s="1783"/>
      <c r="AZ1262" s="1783"/>
      <c r="BA1262" s="1783"/>
      <c r="BB1262" s="1783"/>
      <c r="BC1262" s="1783"/>
      <c r="BD1262" s="1783"/>
      <c r="BE1262" s="1783"/>
      <c r="BF1262" s="1783"/>
      <c r="BG1262" s="1783"/>
      <c r="BH1262" s="1783"/>
      <c r="BI1262" s="1783"/>
    </row>
    <row r="1263" spans="1:61">
      <c r="A1263" s="1819"/>
      <c r="B1263" s="1818"/>
      <c r="C1263" s="1818"/>
      <c r="D1263" s="1818"/>
      <c r="E1263" s="1818"/>
      <c r="F1263" s="1818"/>
      <c r="G1263" s="1818"/>
      <c r="H1263" s="1783"/>
      <c r="I1263" s="1783"/>
      <c r="J1263" s="1783"/>
      <c r="K1263" s="1783"/>
      <c r="L1263" s="1783"/>
      <c r="M1263" s="1783"/>
      <c r="N1263" s="1783"/>
      <c r="O1263" s="1783"/>
      <c r="P1263" s="1783"/>
      <c r="Q1263" s="1783"/>
      <c r="R1263" s="1783"/>
      <c r="S1263" s="1783"/>
      <c r="T1263" s="1783"/>
      <c r="U1263" s="1783"/>
      <c r="V1263" s="1783"/>
      <c r="W1263" s="1783"/>
      <c r="X1263" s="1783"/>
      <c r="Y1263" s="1783"/>
      <c r="Z1263" s="1783"/>
      <c r="AA1263" s="1783"/>
      <c r="AB1263" s="1783"/>
      <c r="AC1263" s="1783"/>
      <c r="AD1263" s="1783"/>
      <c r="AE1263" s="1783"/>
      <c r="AF1263" s="1783"/>
      <c r="AG1263" s="1783"/>
      <c r="AH1263" s="1783"/>
      <c r="AI1263" s="1783"/>
      <c r="AJ1263" s="1783"/>
      <c r="AK1263" s="1783"/>
      <c r="AL1263" s="1783"/>
      <c r="AM1263" s="1783"/>
      <c r="AN1263" s="1783"/>
      <c r="AO1263" s="1783"/>
      <c r="AP1263" s="1783"/>
      <c r="AQ1263" s="1783"/>
      <c r="AR1263" s="1783"/>
      <c r="AS1263" s="1783"/>
      <c r="AT1263" s="1783"/>
      <c r="AU1263" s="1783"/>
      <c r="AV1263" s="1783"/>
      <c r="AW1263" s="1783"/>
      <c r="AX1263" s="1783"/>
      <c r="AY1263" s="1783"/>
      <c r="AZ1263" s="1783"/>
      <c r="BA1263" s="1783"/>
      <c r="BB1263" s="1783"/>
      <c r="BC1263" s="1783"/>
      <c r="BD1263" s="1783"/>
      <c r="BE1263" s="1783"/>
      <c r="BF1263" s="1783"/>
      <c r="BG1263" s="1783"/>
      <c r="BH1263" s="1783"/>
      <c r="BI1263" s="1783"/>
    </row>
    <row r="1264" spans="1:61">
      <c r="A1264" s="1819"/>
      <c r="B1264" s="1818"/>
      <c r="C1264" s="1818"/>
      <c r="D1264" s="1818"/>
      <c r="E1264" s="1818"/>
      <c r="F1264" s="1818"/>
      <c r="G1264" s="1818"/>
      <c r="H1264" s="1783"/>
      <c r="I1264" s="1783"/>
      <c r="J1264" s="1783"/>
      <c r="K1264" s="1783"/>
      <c r="L1264" s="1783"/>
      <c r="M1264" s="1783"/>
      <c r="N1264" s="1783"/>
      <c r="O1264" s="1783"/>
      <c r="P1264" s="1783"/>
      <c r="Q1264" s="1783"/>
      <c r="R1264" s="1783"/>
      <c r="S1264" s="1783"/>
      <c r="T1264" s="1783"/>
      <c r="U1264" s="1783"/>
      <c r="V1264" s="1783"/>
      <c r="W1264" s="1783"/>
      <c r="X1264" s="1783"/>
      <c r="Y1264" s="1783"/>
      <c r="Z1264" s="1783"/>
      <c r="AA1264" s="1783"/>
      <c r="AB1264" s="1783"/>
      <c r="AC1264" s="1783"/>
      <c r="AD1264" s="1783"/>
      <c r="AE1264" s="1783"/>
      <c r="AF1264" s="1783"/>
      <c r="AG1264" s="1783"/>
      <c r="AH1264" s="1783"/>
      <c r="AI1264" s="1783"/>
      <c r="AJ1264" s="1783"/>
      <c r="AK1264" s="1783"/>
      <c r="AL1264" s="1783"/>
      <c r="AM1264" s="1783"/>
      <c r="AN1264" s="1783"/>
      <c r="AO1264" s="1783"/>
      <c r="AP1264" s="1783"/>
      <c r="AQ1264" s="1783"/>
      <c r="AR1264" s="1783"/>
      <c r="AS1264" s="1783"/>
      <c r="AT1264" s="1783"/>
      <c r="AU1264" s="1783"/>
      <c r="AV1264" s="1783"/>
      <c r="AW1264" s="1783"/>
      <c r="AX1264" s="1783"/>
      <c r="AY1264" s="1783"/>
      <c r="AZ1264" s="1783"/>
      <c r="BA1264" s="1783"/>
      <c r="BB1264" s="1783"/>
      <c r="BC1264" s="1783"/>
      <c r="BD1264" s="1783"/>
      <c r="BE1264" s="1783"/>
      <c r="BF1264" s="1783"/>
      <c r="BG1264" s="1783"/>
      <c r="BH1264" s="1783"/>
      <c r="BI1264" s="1783"/>
    </row>
    <row r="1265" spans="1:61">
      <c r="A1265" s="1819"/>
      <c r="B1265" s="1818"/>
      <c r="C1265" s="1818"/>
      <c r="D1265" s="1818"/>
      <c r="E1265" s="1818"/>
      <c r="F1265" s="1818"/>
      <c r="G1265" s="1818"/>
      <c r="H1265" s="1783"/>
      <c r="I1265" s="1783"/>
      <c r="J1265" s="1783"/>
      <c r="K1265" s="1783"/>
      <c r="L1265" s="1783"/>
      <c r="M1265" s="1783"/>
      <c r="N1265" s="1783"/>
      <c r="O1265" s="1783"/>
      <c r="P1265" s="1783"/>
      <c r="Q1265" s="1783"/>
      <c r="R1265" s="1783"/>
      <c r="S1265" s="1783"/>
      <c r="T1265" s="1783"/>
      <c r="U1265" s="1783"/>
      <c r="V1265" s="1783"/>
      <c r="W1265" s="1783"/>
      <c r="X1265" s="1783"/>
      <c r="Y1265" s="1783"/>
      <c r="Z1265" s="1783"/>
      <c r="AA1265" s="1783"/>
      <c r="AB1265" s="1783"/>
      <c r="AC1265" s="1783"/>
      <c r="AD1265" s="1783"/>
      <c r="AE1265" s="1783"/>
      <c r="AF1265" s="1783"/>
      <c r="AG1265" s="1783"/>
      <c r="AH1265" s="1783"/>
      <c r="AI1265" s="1783"/>
      <c r="AJ1265" s="1783"/>
      <c r="AK1265" s="1783"/>
      <c r="AL1265" s="1783"/>
      <c r="AM1265" s="1783"/>
      <c r="AN1265" s="1783"/>
      <c r="AO1265" s="1783"/>
      <c r="AP1265" s="1783"/>
      <c r="AQ1265" s="1783"/>
      <c r="AR1265" s="1783"/>
      <c r="AS1265" s="1783"/>
      <c r="AT1265" s="1783"/>
      <c r="AU1265" s="1783"/>
      <c r="AV1265" s="1783"/>
      <c r="AW1265" s="1783"/>
      <c r="AX1265" s="1783"/>
      <c r="AY1265" s="1783"/>
      <c r="AZ1265" s="1783"/>
      <c r="BA1265" s="1783"/>
      <c r="BB1265" s="1783"/>
      <c r="BC1265" s="1783"/>
      <c r="BD1265" s="1783"/>
      <c r="BE1265" s="1783"/>
      <c r="BF1265" s="1783"/>
      <c r="BG1265" s="1783"/>
      <c r="BH1265" s="1783"/>
      <c r="BI1265" s="1783"/>
    </row>
    <row r="1266" spans="1:61">
      <c r="A1266" s="1819"/>
      <c r="B1266" s="1818"/>
      <c r="C1266" s="1818"/>
      <c r="D1266" s="1818"/>
      <c r="E1266" s="1818"/>
      <c r="F1266" s="1818"/>
      <c r="G1266" s="1818"/>
      <c r="H1266" s="1783"/>
      <c r="I1266" s="1783"/>
      <c r="J1266" s="1783"/>
      <c r="K1266" s="1783"/>
      <c r="L1266" s="1783"/>
      <c r="M1266" s="1783"/>
      <c r="N1266" s="1783"/>
      <c r="O1266" s="1783"/>
      <c r="P1266" s="1783"/>
      <c r="Q1266" s="1783"/>
      <c r="R1266" s="1783"/>
      <c r="S1266" s="1783"/>
      <c r="T1266" s="1783"/>
      <c r="U1266" s="1783"/>
      <c r="V1266" s="1783"/>
      <c r="W1266" s="1783"/>
      <c r="X1266" s="1783"/>
      <c r="Y1266" s="1783"/>
      <c r="Z1266" s="1783"/>
      <c r="AA1266" s="1783"/>
      <c r="AB1266" s="1783"/>
      <c r="AC1266" s="1783"/>
      <c r="AD1266" s="1783"/>
      <c r="AE1266" s="1783"/>
      <c r="AF1266" s="1783"/>
      <c r="AG1266" s="1783"/>
      <c r="AH1266" s="1783"/>
      <c r="AI1266" s="1783"/>
      <c r="AJ1266" s="1783"/>
      <c r="AK1266" s="1783"/>
      <c r="AL1266" s="1783"/>
      <c r="AM1266" s="1783"/>
      <c r="AN1266" s="1783"/>
      <c r="AO1266" s="1783"/>
      <c r="AP1266" s="1783"/>
      <c r="AQ1266" s="1783"/>
      <c r="AR1266" s="1783"/>
      <c r="AS1266" s="1783"/>
      <c r="AT1266" s="1783"/>
      <c r="AU1266" s="1783"/>
      <c r="AV1266" s="1783"/>
      <c r="AW1266" s="1783"/>
      <c r="AX1266" s="1783"/>
      <c r="AY1266" s="1783"/>
      <c r="AZ1266" s="1783"/>
      <c r="BA1266" s="1783"/>
      <c r="BB1266" s="1783"/>
      <c r="BC1266" s="1783"/>
      <c r="BD1266" s="1783"/>
      <c r="BE1266" s="1783"/>
      <c r="BF1266" s="1783"/>
      <c r="BG1266" s="1783"/>
      <c r="BH1266" s="1783"/>
      <c r="BI1266" s="1783"/>
    </row>
    <row r="1267" spans="1:61">
      <c r="A1267" s="1819"/>
      <c r="B1267" s="1818"/>
      <c r="C1267" s="1818"/>
      <c r="D1267" s="1818"/>
      <c r="E1267" s="1818"/>
      <c r="F1267" s="1818"/>
      <c r="G1267" s="1818"/>
      <c r="H1267" s="1783"/>
      <c r="I1267" s="1783"/>
      <c r="J1267" s="1783"/>
      <c r="K1267" s="1783"/>
      <c r="L1267" s="1783"/>
      <c r="M1267" s="1783"/>
      <c r="N1267" s="1783"/>
      <c r="O1267" s="1783"/>
      <c r="P1267" s="1783"/>
      <c r="Q1267" s="1783"/>
      <c r="R1267" s="1783"/>
      <c r="S1267" s="1783"/>
      <c r="T1267" s="1783"/>
      <c r="U1267" s="1783"/>
      <c r="V1267" s="1783"/>
      <c r="W1267" s="1783"/>
      <c r="X1267" s="1783"/>
      <c r="Y1267" s="1783"/>
      <c r="Z1267" s="1783"/>
      <c r="AA1267" s="1783"/>
      <c r="AB1267" s="1783"/>
      <c r="AC1267" s="1783"/>
      <c r="AD1267" s="1783"/>
      <c r="AE1267" s="1783"/>
      <c r="AF1267" s="1783"/>
      <c r="AG1267" s="1783"/>
      <c r="AH1267" s="1783"/>
      <c r="AI1267" s="1783"/>
      <c r="AJ1267" s="1783"/>
      <c r="AK1267" s="1783"/>
      <c r="AL1267" s="1783"/>
      <c r="AM1267" s="1783"/>
      <c r="AN1267" s="1783"/>
      <c r="AO1267" s="1783"/>
      <c r="AP1267" s="1783"/>
      <c r="AQ1267" s="1783"/>
      <c r="AR1267" s="1783"/>
      <c r="AS1267" s="1783"/>
      <c r="AT1267" s="1783"/>
      <c r="AU1267" s="1783"/>
      <c r="AV1267" s="1783"/>
      <c r="AW1267" s="1783"/>
      <c r="AX1267" s="1783"/>
      <c r="AY1267" s="1783"/>
      <c r="AZ1267" s="1783"/>
      <c r="BA1267" s="1783"/>
      <c r="BB1267" s="1783"/>
      <c r="BC1267" s="1783"/>
      <c r="BD1267" s="1783"/>
      <c r="BE1267" s="1783"/>
      <c r="BF1267" s="1783"/>
      <c r="BG1267" s="1783"/>
      <c r="BH1267" s="1783"/>
      <c r="BI1267" s="1783"/>
    </row>
    <row r="1268" spans="1:61">
      <c r="A1268" s="1819"/>
      <c r="B1268" s="1818"/>
      <c r="C1268" s="1818"/>
      <c r="D1268" s="1818"/>
      <c r="E1268" s="1818"/>
      <c r="F1268" s="1818"/>
      <c r="G1268" s="1818"/>
      <c r="H1268" s="1783"/>
      <c r="I1268" s="1783"/>
      <c r="J1268" s="1783"/>
      <c r="K1268" s="1783"/>
      <c r="L1268" s="1783"/>
      <c r="M1268" s="1783"/>
      <c r="N1268" s="1783"/>
      <c r="O1268" s="1783"/>
      <c r="P1268" s="1783"/>
      <c r="Q1268" s="1783"/>
      <c r="R1268" s="1783"/>
      <c r="S1268" s="1783"/>
      <c r="T1268" s="1783"/>
      <c r="U1268" s="1783"/>
      <c r="V1268" s="1783"/>
      <c r="W1268" s="1783"/>
      <c r="X1268" s="1783"/>
      <c r="Y1268" s="1783"/>
      <c r="Z1268" s="1783"/>
      <c r="AA1268" s="1783"/>
      <c r="AB1268" s="1783"/>
      <c r="AC1268" s="1783"/>
      <c r="AD1268" s="1783"/>
      <c r="AE1268" s="1783"/>
      <c r="AF1268" s="1783"/>
      <c r="AG1268" s="1783"/>
      <c r="AH1268" s="1783"/>
      <c r="AI1268" s="1783"/>
      <c r="AJ1268" s="1783"/>
      <c r="AK1268" s="1783"/>
      <c r="AL1268" s="1783"/>
      <c r="AM1268" s="1783"/>
      <c r="AN1268" s="1783"/>
      <c r="AO1268" s="1783"/>
      <c r="AP1268" s="1783"/>
      <c r="AQ1268" s="1783"/>
      <c r="AR1268" s="1783"/>
      <c r="AS1268" s="1783"/>
      <c r="AT1268" s="1783"/>
      <c r="AU1268" s="1783"/>
      <c r="AV1268" s="1783"/>
      <c r="AW1268" s="1783"/>
      <c r="AX1268" s="1783"/>
      <c r="AY1268" s="1783"/>
      <c r="AZ1268" s="1783"/>
      <c r="BA1268" s="1783"/>
      <c r="BB1268" s="1783"/>
      <c r="BC1268" s="1783"/>
      <c r="BD1268" s="1783"/>
      <c r="BE1268" s="1783"/>
      <c r="BF1268" s="1783"/>
      <c r="BG1268" s="1783"/>
      <c r="BH1268" s="1783"/>
      <c r="BI1268" s="1783"/>
    </row>
    <row r="1269" spans="1:61">
      <c r="A1269" s="1819"/>
      <c r="B1269" s="1818"/>
      <c r="C1269" s="1818"/>
      <c r="D1269" s="1818"/>
      <c r="E1269" s="1818"/>
      <c r="F1269" s="1818"/>
      <c r="G1269" s="1818"/>
      <c r="H1269" s="1783"/>
      <c r="I1269" s="1783"/>
      <c r="J1269" s="1783"/>
      <c r="K1269" s="1783"/>
      <c r="L1269" s="1783"/>
      <c r="M1269" s="1783"/>
      <c r="N1269" s="1783"/>
      <c r="O1269" s="1783"/>
      <c r="P1269" s="1783"/>
      <c r="Q1269" s="1783"/>
      <c r="R1269" s="1783"/>
      <c r="S1269" s="1783"/>
      <c r="T1269" s="1783"/>
      <c r="U1269" s="1783"/>
      <c r="V1269" s="1783"/>
      <c r="W1269" s="1783"/>
      <c r="X1269" s="1783"/>
      <c r="Y1269" s="1783"/>
      <c r="Z1269" s="1783"/>
      <c r="AA1269" s="1783"/>
      <c r="AB1269" s="1783"/>
      <c r="AC1269" s="1783"/>
      <c r="AD1269" s="1783"/>
      <c r="AE1269" s="1783"/>
      <c r="AF1269" s="1783"/>
      <c r="AG1269" s="1783"/>
      <c r="AH1269" s="1783"/>
      <c r="AI1269" s="1783"/>
      <c r="AJ1269" s="1783"/>
      <c r="AK1269" s="1783"/>
      <c r="AL1269" s="1783"/>
      <c r="AM1269" s="1783"/>
      <c r="AN1269" s="1783"/>
      <c r="AO1269" s="1783"/>
      <c r="AP1269" s="1783"/>
      <c r="AQ1269" s="1783"/>
      <c r="AR1269" s="1783"/>
      <c r="AS1269" s="1783"/>
      <c r="AT1269" s="1783"/>
      <c r="AU1269" s="1783"/>
      <c r="AV1269" s="1783"/>
      <c r="AW1269" s="1783"/>
      <c r="AX1269" s="1783"/>
      <c r="AY1269" s="1783"/>
      <c r="AZ1269" s="1783"/>
      <c r="BA1269" s="1783"/>
      <c r="BB1269" s="1783"/>
      <c r="BC1269" s="1783"/>
      <c r="BD1269" s="1783"/>
      <c r="BE1269" s="1783"/>
      <c r="BF1269" s="1783"/>
      <c r="BG1269" s="1783"/>
      <c r="BH1269" s="1783"/>
      <c r="BI1269" s="1783"/>
    </row>
    <row r="1270" spans="1:61">
      <c r="A1270" s="1819"/>
      <c r="B1270" s="1818"/>
      <c r="C1270" s="1818"/>
      <c r="D1270" s="1818"/>
      <c r="E1270" s="1818"/>
      <c r="F1270" s="1818"/>
      <c r="G1270" s="1818"/>
      <c r="H1270" s="1783"/>
      <c r="I1270" s="1783"/>
      <c r="J1270" s="1783"/>
      <c r="K1270" s="1783"/>
      <c r="L1270" s="1783"/>
      <c r="M1270" s="1783"/>
      <c r="N1270" s="1783"/>
      <c r="O1270" s="1783"/>
      <c r="P1270" s="1783"/>
      <c r="Q1270" s="1783"/>
      <c r="R1270" s="1783"/>
      <c r="S1270" s="1783"/>
      <c r="T1270" s="1783"/>
      <c r="U1270" s="1783"/>
      <c r="V1270" s="1783"/>
      <c r="W1270" s="1783"/>
      <c r="X1270" s="1783"/>
      <c r="Y1270" s="1783"/>
      <c r="Z1270" s="1783"/>
      <c r="AA1270" s="1783"/>
      <c r="AB1270" s="1783"/>
      <c r="AC1270" s="1783"/>
      <c r="AD1270" s="1783"/>
      <c r="AE1270" s="1783"/>
      <c r="AF1270" s="1783"/>
      <c r="AG1270" s="1783"/>
      <c r="AH1270" s="1783"/>
      <c r="AI1270" s="1783"/>
      <c r="AJ1270" s="1783"/>
      <c r="AK1270" s="1783"/>
      <c r="AL1270" s="1783"/>
      <c r="AM1270" s="1783"/>
      <c r="AN1270" s="1783"/>
      <c r="AO1270" s="1783"/>
      <c r="AP1270" s="1783"/>
      <c r="AQ1270" s="1783"/>
      <c r="AR1270" s="1783"/>
      <c r="AS1270" s="1783"/>
      <c r="AT1270" s="1783"/>
      <c r="AU1270" s="1783"/>
      <c r="AV1270" s="1783"/>
      <c r="AW1270" s="1783"/>
      <c r="AX1270" s="1783"/>
      <c r="AY1270" s="1783"/>
      <c r="AZ1270" s="1783"/>
      <c r="BA1270" s="1783"/>
      <c r="BB1270" s="1783"/>
      <c r="BC1270" s="1783"/>
      <c r="BD1270" s="1783"/>
      <c r="BE1270" s="1783"/>
      <c r="BF1270" s="1783"/>
      <c r="BG1270" s="1783"/>
      <c r="BH1270" s="1783"/>
      <c r="BI1270" s="1783"/>
    </row>
    <row r="1271" spans="1:61">
      <c r="A1271" s="1819"/>
      <c r="B1271" s="1818"/>
      <c r="C1271" s="1818"/>
      <c r="D1271" s="1818"/>
      <c r="E1271" s="1818"/>
      <c r="F1271" s="1818"/>
      <c r="G1271" s="1818"/>
      <c r="H1271" s="1783"/>
      <c r="I1271" s="1783"/>
      <c r="J1271" s="1783"/>
      <c r="K1271" s="1783"/>
      <c r="L1271" s="1783"/>
      <c r="M1271" s="1783"/>
      <c r="N1271" s="1783"/>
      <c r="O1271" s="1783"/>
      <c r="P1271" s="1783"/>
      <c r="Q1271" s="1783"/>
      <c r="R1271" s="1783"/>
      <c r="S1271" s="1783"/>
      <c r="T1271" s="1783"/>
      <c r="U1271" s="1783"/>
      <c r="V1271" s="1783"/>
      <c r="W1271" s="1783"/>
      <c r="X1271" s="1783"/>
      <c r="Y1271" s="1783"/>
      <c r="Z1271" s="1783"/>
      <c r="AA1271" s="1783"/>
      <c r="AB1271" s="1783"/>
      <c r="AC1271" s="1783"/>
      <c r="AD1271" s="1783"/>
      <c r="AE1271" s="1783"/>
      <c r="AF1271" s="1783"/>
      <c r="AG1271" s="1783"/>
      <c r="AH1271" s="1783"/>
      <c r="AI1271" s="1783"/>
      <c r="AJ1271" s="1783"/>
      <c r="AK1271" s="1783"/>
      <c r="AL1271" s="1783"/>
      <c r="AM1271" s="1783"/>
      <c r="AN1271" s="1783"/>
      <c r="AO1271" s="1783"/>
      <c r="AP1271" s="1783"/>
      <c r="AQ1271" s="1783"/>
      <c r="AR1271" s="1783"/>
      <c r="AS1271" s="1783"/>
      <c r="AT1271" s="1783"/>
      <c r="AU1271" s="1783"/>
      <c r="AV1271" s="1783"/>
      <c r="AW1271" s="1783"/>
      <c r="AX1271" s="1783"/>
      <c r="AY1271" s="1783"/>
      <c r="AZ1271" s="1783"/>
      <c r="BA1271" s="1783"/>
      <c r="BB1271" s="1783"/>
      <c r="BC1271" s="1783"/>
      <c r="BD1271" s="1783"/>
      <c r="BE1271" s="1783"/>
      <c r="BF1271" s="1783"/>
      <c r="BG1271" s="1783"/>
      <c r="BH1271" s="1783"/>
      <c r="BI1271" s="1783"/>
    </row>
    <row r="1272" spans="1:61">
      <c r="A1272" s="1819"/>
      <c r="B1272" s="1818"/>
      <c r="C1272" s="1818"/>
      <c r="D1272" s="1818"/>
      <c r="E1272" s="1818"/>
      <c r="F1272" s="1818"/>
      <c r="G1272" s="1818"/>
      <c r="H1272" s="1783"/>
      <c r="I1272" s="1783"/>
      <c r="J1272" s="1783"/>
      <c r="K1272" s="1783"/>
      <c r="L1272" s="1783"/>
      <c r="M1272" s="1783"/>
      <c r="N1272" s="1783"/>
      <c r="O1272" s="1783"/>
      <c r="P1272" s="1783"/>
      <c r="Q1272" s="1783"/>
      <c r="R1272" s="1783"/>
      <c r="S1272" s="1783"/>
      <c r="T1272" s="1783"/>
      <c r="U1272" s="1783"/>
      <c r="V1272" s="1783"/>
      <c r="W1272" s="1783"/>
      <c r="X1272" s="1783"/>
      <c r="Y1272" s="1783"/>
      <c r="Z1272" s="1783"/>
      <c r="AA1272" s="1783"/>
      <c r="AB1272" s="1783"/>
      <c r="AC1272" s="1783"/>
      <c r="AD1272" s="1783"/>
      <c r="AE1272" s="1783"/>
      <c r="AF1272" s="1783"/>
      <c r="AG1272" s="1783"/>
      <c r="AH1272" s="1783"/>
      <c r="AI1272" s="1783"/>
      <c r="AJ1272" s="1783"/>
      <c r="AK1272" s="1783"/>
      <c r="AL1272" s="1783"/>
      <c r="AM1272" s="1783"/>
      <c r="AN1272" s="1783"/>
      <c r="AO1272" s="1783"/>
      <c r="AP1272" s="1783"/>
      <c r="AQ1272" s="1783"/>
      <c r="AR1272" s="1783"/>
      <c r="AS1272" s="1783"/>
      <c r="AT1272" s="1783"/>
      <c r="AU1272" s="1783"/>
      <c r="AV1272" s="1783"/>
      <c r="AW1272" s="1783"/>
      <c r="AX1272" s="1783"/>
      <c r="AY1272" s="1783"/>
      <c r="AZ1272" s="1783"/>
      <c r="BA1272" s="1783"/>
      <c r="BB1272" s="1783"/>
      <c r="BC1272" s="1783"/>
      <c r="BD1272" s="1783"/>
      <c r="BE1272" s="1783"/>
      <c r="BF1272" s="1783"/>
      <c r="BG1272" s="1783"/>
      <c r="BH1272" s="1783"/>
      <c r="BI1272" s="1783"/>
    </row>
    <row r="1273" spans="1:61">
      <c r="A1273" s="1819"/>
      <c r="B1273" s="1818"/>
      <c r="C1273" s="1818"/>
      <c r="D1273" s="1818"/>
      <c r="E1273" s="1818"/>
      <c r="F1273" s="1818"/>
      <c r="G1273" s="1818"/>
      <c r="H1273" s="1783"/>
      <c r="I1273" s="1783"/>
      <c r="J1273" s="1783"/>
      <c r="K1273" s="1783"/>
      <c r="L1273" s="1783"/>
      <c r="M1273" s="1783"/>
      <c r="N1273" s="1783"/>
      <c r="O1273" s="1783"/>
      <c r="P1273" s="1783"/>
      <c r="Q1273" s="1783"/>
      <c r="R1273" s="1783"/>
      <c r="S1273" s="1783"/>
      <c r="T1273" s="1783"/>
      <c r="U1273" s="1783"/>
      <c r="V1273" s="1783"/>
      <c r="W1273" s="1783"/>
      <c r="X1273" s="1783"/>
      <c r="Y1273" s="1783"/>
      <c r="Z1273" s="1783"/>
      <c r="AA1273" s="1783"/>
      <c r="AB1273" s="1783"/>
      <c r="AC1273" s="1783"/>
      <c r="AD1273" s="1783"/>
      <c r="AE1273" s="1783"/>
      <c r="AF1273" s="1783"/>
      <c r="AG1273" s="1783"/>
      <c r="AH1273" s="1783"/>
      <c r="AI1273" s="1783"/>
      <c r="AJ1273" s="1783"/>
      <c r="AK1273" s="1783"/>
      <c r="AL1273" s="1783"/>
      <c r="AM1273" s="1783"/>
      <c r="AN1273" s="1783"/>
      <c r="AO1273" s="1783"/>
      <c r="AP1273" s="1783"/>
      <c r="AQ1273" s="1783"/>
      <c r="AR1273" s="1783"/>
      <c r="AS1273" s="1783"/>
      <c r="AT1273" s="1783"/>
      <c r="AU1273" s="1783"/>
      <c r="AV1273" s="1783"/>
      <c r="AW1273" s="1783"/>
      <c r="AX1273" s="1783"/>
      <c r="AY1273" s="1783"/>
      <c r="AZ1273" s="1783"/>
      <c r="BA1273" s="1783"/>
      <c r="BB1273" s="1783"/>
      <c r="BC1273" s="1783"/>
      <c r="BD1273" s="1783"/>
      <c r="BE1273" s="1783"/>
      <c r="BF1273" s="1783"/>
      <c r="BG1273" s="1783"/>
      <c r="BH1273" s="1783"/>
      <c r="BI1273" s="1783"/>
    </row>
    <row r="1274" spans="1:61">
      <c r="A1274" s="1819"/>
      <c r="B1274" s="1818"/>
      <c r="C1274" s="1818"/>
      <c r="D1274" s="1818"/>
      <c r="E1274" s="1818"/>
      <c r="F1274" s="1818"/>
      <c r="G1274" s="1818"/>
      <c r="H1274" s="1783"/>
      <c r="I1274" s="1783"/>
      <c r="J1274" s="1783"/>
      <c r="K1274" s="1783"/>
      <c r="L1274" s="1783"/>
      <c r="M1274" s="1783"/>
      <c r="N1274" s="1783"/>
      <c r="O1274" s="1783"/>
      <c r="P1274" s="1783"/>
      <c r="Q1274" s="1783"/>
      <c r="R1274" s="1783"/>
      <c r="S1274" s="1783"/>
      <c r="T1274" s="1783"/>
      <c r="U1274" s="1783"/>
      <c r="V1274" s="1783"/>
      <c r="W1274" s="1783"/>
      <c r="X1274" s="1783"/>
      <c r="Y1274" s="1783"/>
      <c r="Z1274" s="1783"/>
      <c r="AA1274" s="1783"/>
      <c r="AB1274" s="1783"/>
      <c r="AC1274" s="1783"/>
      <c r="AD1274" s="1783"/>
      <c r="AE1274" s="1783"/>
      <c r="AF1274" s="1783"/>
      <c r="AG1274" s="1783"/>
      <c r="AH1274" s="1783"/>
      <c r="AI1274" s="1783"/>
      <c r="AJ1274" s="1783"/>
      <c r="AK1274" s="1783"/>
      <c r="AL1274" s="1783"/>
      <c r="AM1274" s="1783"/>
      <c r="AN1274" s="1783"/>
      <c r="AO1274" s="1783"/>
      <c r="AP1274" s="1783"/>
      <c r="AQ1274" s="1783"/>
      <c r="AR1274" s="1783"/>
      <c r="AS1274" s="1783"/>
      <c r="AT1274" s="1783"/>
      <c r="AU1274" s="1783"/>
      <c r="AV1274" s="1783"/>
      <c r="AW1274" s="1783"/>
      <c r="AX1274" s="1783"/>
      <c r="AY1274" s="1783"/>
      <c r="AZ1274" s="1783"/>
      <c r="BA1274" s="1783"/>
      <c r="BB1274" s="1783"/>
      <c r="BC1274" s="1783"/>
      <c r="BD1274" s="1783"/>
      <c r="BE1274" s="1783"/>
      <c r="BF1274" s="1783"/>
      <c r="BG1274" s="1783"/>
      <c r="BH1274" s="1783"/>
      <c r="BI1274" s="1783"/>
    </row>
    <row r="1275" spans="1:61">
      <c r="A1275" s="1819"/>
      <c r="B1275" s="1818"/>
      <c r="C1275" s="1818"/>
      <c r="D1275" s="1818"/>
      <c r="E1275" s="1818"/>
      <c r="F1275" s="1818"/>
      <c r="G1275" s="1818"/>
      <c r="H1275" s="1783"/>
      <c r="I1275" s="1783"/>
      <c r="J1275" s="1783"/>
      <c r="K1275" s="1783"/>
      <c r="L1275" s="1783"/>
      <c r="M1275" s="1783"/>
      <c r="N1275" s="1783"/>
      <c r="O1275" s="1783"/>
      <c r="P1275" s="1783"/>
      <c r="Q1275" s="1783"/>
      <c r="R1275" s="1783"/>
      <c r="S1275" s="1783"/>
      <c r="T1275" s="1783"/>
      <c r="U1275" s="1783"/>
      <c r="V1275" s="1783"/>
      <c r="W1275" s="1783"/>
      <c r="X1275" s="1783"/>
      <c r="Y1275" s="1783"/>
      <c r="Z1275" s="1783"/>
      <c r="AA1275" s="1783"/>
      <c r="AB1275" s="1783"/>
      <c r="AC1275" s="1783"/>
      <c r="AD1275" s="1783"/>
      <c r="AE1275" s="1783"/>
      <c r="AF1275" s="1783"/>
      <c r="AG1275" s="1783"/>
      <c r="AH1275" s="1783"/>
      <c r="AI1275" s="1783"/>
      <c r="AJ1275" s="1783"/>
      <c r="AK1275" s="1783"/>
      <c r="AL1275" s="1783"/>
      <c r="AM1275" s="1783"/>
      <c r="AN1275" s="1783"/>
      <c r="AO1275" s="1783"/>
      <c r="AP1275" s="1783"/>
      <c r="AQ1275" s="1783"/>
      <c r="AR1275" s="1783"/>
      <c r="AS1275" s="1783"/>
      <c r="AT1275" s="1783"/>
      <c r="AU1275" s="1783"/>
      <c r="AV1275" s="1783"/>
      <c r="AW1275" s="1783"/>
      <c r="AX1275" s="1783"/>
      <c r="AY1275" s="1783"/>
      <c r="AZ1275" s="1783"/>
      <c r="BA1275" s="1783"/>
      <c r="BB1275" s="1783"/>
      <c r="BC1275" s="1783"/>
      <c r="BD1275" s="1783"/>
      <c r="BE1275" s="1783"/>
      <c r="BF1275" s="1783"/>
      <c r="BG1275" s="1783"/>
      <c r="BH1275" s="1783"/>
      <c r="BI1275" s="1783"/>
    </row>
    <row r="1276" spans="1:61">
      <c r="A1276" s="1819"/>
      <c r="B1276" s="1818"/>
      <c r="C1276" s="1818"/>
      <c r="D1276" s="1818"/>
      <c r="E1276" s="1818"/>
      <c r="F1276" s="1818"/>
      <c r="G1276" s="1818"/>
      <c r="H1276" s="1783"/>
      <c r="I1276" s="1783"/>
      <c r="J1276" s="1783"/>
      <c r="K1276" s="1783"/>
      <c r="L1276" s="1783"/>
      <c r="M1276" s="1783"/>
      <c r="N1276" s="1783"/>
      <c r="O1276" s="1783"/>
      <c r="P1276" s="1783"/>
      <c r="Q1276" s="1783"/>
      <c r="R1276" s="1783"/>
      <c r="S1276" s="1783"/>
      <c r="T1276" s="1783"/>
      <c r="U1276" s="1783"/>
      <c r="V1276" s="1783"/>
      <c r="W1276" s="1783"/>
      <c r="X1276" s="1783"/>
      <c r="Y1276" s="1783"/>
      <c r="Z1276" s="1783"/>
      <c r="AA1276" s="1783"/>
      <c r="AB1276" s="1783"/>
      <c r="AC1276" s="1783"/>
      <c r="AD1276" s="1783"/>
      <c r="AE1276" s="1783"/>
      <c r="AF1276" s="1783"/>
      <c r="AG1276" s="1783"/>
      <c r="AH1276" s="1783"/>
      <c r="AI1276" s="1783"/>
      <c r="AJ1276" s="1783"/>
      <c r="AK1276" s="1783"/>
      <c r="AL1276" s="1783"/>
      <c r="AM1276" s="1783"/>
      <c r="AN1276" s="1783"/>
      <c r="AO1276" s="1783"/>
      <c r="AP1276" s="1783"/>
      <c r="AQ1276" s="1783"/>
      <c r="AR1276" s="1783"/>
      <c r="AS1276" s="1783"/>
      <c r="AT1276" s="1783"/>
      <c r="AU1276" s="1783"/>
      <c r="AV1276" s="1783"/>
      <c r="AW1276" s="1783"/>
      <c r="AX1276" s="1783"/>
      <c r="AY1276" s="1783"/>
      <c r="AZ1276" s="1783"/>
      <c r="BA1276" s="1783"/>
      <c r="BB1276" s="1783"/>
      <c r="BC1276" s="1783"/>
      <c r="BD1276" s="1783"/>
      <c r="BE1276" s="1783"/>
      <c r="BF1276" s="1783"/>
      <c r="BG1276" s="1783"/>
      <c r="BH1276" s="1783"/>
      <c r="BI1276" s="1783"/>
    </row>
    <row r="1277" spans="1:61">
      <c r="A1277" s="1819"/>
      <c r="B1277" s="1818"/>
      <c r="C1277" s="1818"/>
      <c r="D1277" s="1818"/>
      <c r="E1277" s="1818"/>
      <c r="F1277" s="1818"/>
      <c r="G1277" s="1818"/>
      <c r="H1277" s="1783"/>
      <c r="I1277" s="1783"/>
      <c r="J1277" s="1783"/>
      <c r="K1277" s="1783"/>
      <c r="L1277" s="1783"/>
      <c r="M1277" s="1783"/>
      <c r="N1277" s="1783"/>
      <c r="O1277" s="1783"/>
      <c r="P1277" s="1783"/>
      <c r="Q1277" s="1783"/>
      <c r="R1277" s="1783"/>
      <c r="S1277" s="1783"/>
      <c r="T1277" s="1783"/>
      <c r="U1277" s="1783"/>
      <c r="V1277" s="1783"/>
      <c r="W1277" s="1783"/>
      <c r="X1277" s="1783"/>
      <c r="Y1277" s="1783"/>
      <c r="Z1277" s="1783"/>
      <c r="AA1277" s="1783"/>
      <c r="AB1277" s="1783"/>
      <c r="AC1277" s="1783"/>
      <c r="AD1277" s="1783"/>
      <c r="AE1277" s="1783"/>
      <c r="AF1277" s="1783"/>
      <c r="AG1277" s="1783"/>
      <c r="AH1277" s="1783"/>
      <c r="AI1277" s="1783"/>
      <c r="AJ1277" s="1783"/>
      <c r="AK1277" s="1783"/>
      <c r="AL1277" s="1783"/>
      <c r="AM1277" s="1783"/>
      <c r="AN1277" s="1783"/>
      <c r="AO1277" s="1783"/>
      <c r="AP1277" s="1783"/>
      <c r="AQ1277" s="1783"/>
      <c r="AR1277" s="1783"/>
      <c r="AS1277" s="1783"/>
      <c r="AT1277" s="1783"/>
      <c r="AU1277" s="1783"/>
      <c r="AV1277" s="1783"/>
      <c r="AW1277" s="1783"/>
      <c r="AX1277" s="1783"/>
      <c r="AY1277" s="1783"/>
      <c r="AZ1277" s="1783"/>
      <c r="BA1277" s="1783"/>
      <c r="BB1277" s="1783"/>
      <c r="BC1277" s="1783"/>
      <c r="BD1277" s="1783"/>
      <c r="BE1277" s="1783"/>
      <c r="BF1277" s="1783"/>
      <c r="BG1277" s="1783"/>
      <c r="BH1277" s="1783"/>
      <c r="BI1277" s="1783"/>
    </row>
    <row r="1278" spans="1:61">
      <c r="A1278" s="1819"/>
      <c r="B1278" s="1818"/>
      <c r="C1278" s="1818"/>
      <c r="D1278" s="1818"/>
      <c r="E1278" s="1818"/>
      <c r="F1278" s="1818"/>
      <c r="G1278" s="1818"/>
      <c r="H1278" s="1783"/>
      <c r="I1278" s="1783"/>
      <c r="J1278" s="1783"/>
      <c r="K1278" s="1783"/>
      <c r="L1278" s="1783"/>
      <c r="M1278" s="1783"/>
      <c r="N1278" s="1783"/>
      <c r="O1278" s="1783"/>
      <c r="P1278" s="1783"/>
      <c r="Q1278" s="1783"/>
      <c r="R1278" s="1783"/>
      <c r="S1278" s="1783"/>
      <c r="T1278" s="1783"/>
      <c r="U1278" s="1783"/>
      <c r="V1278" s="1783"/>
      <c r="W1278" s="1783"/>
      <c r="X1278" s="1783"/>
      <c r="Y1278" s="1783"/>
      <c r="Z1278" s="1783"/>
      <c r="AA1278" s="1783"/>
      <c r="AB1278" s="1783"/>
      <c r="AC1278" s="1783"/>
      <c r="AD1278" s="1783"/>
      <c r="AE1278" s="1783"/>
      <c r="AF1278" s="1783"/>
      <c r="AG1278" s="1783"/>
      <c r="AH1278" s="1783"/>
      <c r="AI1278" s="1783"/>
      <c r="AJ1278" s="1783"/>
      <c r="AK1278" s="1783"/>
      <c r="AL1278" s="1783"/>
      <c r="AM1278" s="1783"/>
      <c r="AN1278" s="1783"/>
      <c r="AO1278" s="1783"/>
      <c r="AP1278" s="1783"/>
      <c r="AQ1278" s="1783"/>
      <c r="AR1278" s="1783"/>
      <c r="AS1278" s="1783"/>
      <c r="AT1278" s="1783"/>
      <c r="AU1278" s="1783"/>
      <c r="AV1278" s="1783"/>
      <c r="AW1278" s="1783"/>
      <c r="AX1278" s="1783"/>
      <c r="AY1278" s="1783"/>
      <c r="AZ1278" s="1783"/>
      <c r="BA1278" s="1783"/>
      <c r="BB1278" s="1783"/>
      <c r="BC1278" s="1783"/>
      <c r="BD1278" s="1783"/>
      <c r="BE1278" s="1783"/>
      <c r="BF1278" s="1783"/>
      <c r="BG1278" s="1783"/>
      <c r="BH1278" s="1783"/>
      <c r="BI1278" s="1783"/>
    </row>
    <row r="1279" spans="1:61">
      <c r="A1279" s="1819"/>
      <c r="B1279" s="1818"/>
      <c r="C1279" s="1818"/>
      <c r="D1279" s="1818"/>
      <c r="E1279" s="1818"/>
      <c r="F1279" s="1818"/>
      <c r="G1279" s="1818"/>
      <c r="H1279" s="1783"/>
      <c r="I1279" s="1783"/>
      <c r="J1279" s="1783"/>
      <c r="K1279" s="1783"/>
      <c r="L1279" s="1783"/>
      <c r="M1279" s="1783"/>
      <c r="N1279" s="1783"/>
      <c r="O1279" s="1783"/>
      <c r="P1279" s="1783"/>
      <c r="Q1279" s="1783"/>
      <c r="R1279" s="1783"/>
      <c r="S1279" s="1783"/>
      <c r="T1279" s="1783"/>
      <c r="U1279" s="1783"/>
      <c r="V1279" s="1783"/>
      <c r="W1279" s="1783"/>
      <c r="X1279" s="1783"/>
      <c r="Y1279" s="1783"/>
      <c r="Z1279" s="1783"/>
      <c r="AA1279" s="1783"/>
      <c r="AB1279" s="1783"/>
      <c r="AC1279" s="1783"/>
      <c r="AD1279" s="1783"/>
      <c r="AE1279" s="1783"/>
      <c r="AF1279" s="1783"/>
      <c r="AG1279" s="1783"/>
      <c r="AH1279" s="1783"/>
      <c r="AI1279" s="1783"/>
      <c r="AJ1279" s="1783"/>
      <c r="AK1279" s="1783"/>
      <c r="AL1279" s="1783"/>
      <c r="AM1279" s="1783"/>
      <c r="AN1279" s="1783"/>
      <c r="AO1279" s="1783"/>
      <c r="AP1279" s="1783"/>
      <c r="AQ1279" s="1783"/>
      <c r="AR1279" s="1783"/>
      <c r="AS1279" s="1783"/>
      <c r="AT1279" s="1783"/>
      <c r="AU1279" s="1783"/>
      <c r="AV1279" s="1783"/>
      <c r="AW1279" s="1783"/>
      <c r="AX1279" s="1783"/>
      <c r="AY1279" s="1783"/>
      <c r="AZ1279" s="1783"/>
      <c r="BA1279" s="1783"/>
      <c r="BB1279" s="1783"/>
      <c r="BC1279" s="1783"/>
      <c r="BD1279" s="1783"/>
      <c r="BE1279" s="1783"/>
      <c r="BF1279" s="1783"/>
      <c r="BG1279" s="1783"/>
      <c r="BH1279" s="1783"/>
      <c r="BI1279" s="1783"/>
    </row>
    <row r="1280" spans="1:61">
      <c r="A1280" s="1819"/>
      <c r="B1280" s="1818"/>
      <c r="C1280" s="1818"/>
      <c r="D1280" s="1818"/>
      <c r="E1280" s="1818"/>
      <c r="F1280" s="1818"/>
      <c r="G1280" s="1818"/>
      <c r="H1280" s="1783"/>
      <c r="I1280" s="1783"/>
      <c r="J1280" s="1783"/>
      <c r="K1280" s="1783"/>
      <c r="L1280" s="1783"/>
      <c r="M1280" s="1783"/>
      <c r="N1280" s="1783"/>
      <c r="O1280" s="1783"/>
      <c r="P1280" s="1783"/>
      <c r="Q1280" s="1783"/>
      <c r="R1280" s="1783"/>
      <c r="S1280" s="1783"/>
      <c r="T1280" s="1783"/>
      <c r="U1280" s="1783"/>
      <c r="V1280" s="1783"/>
      <c r="W1280" s="1783"/>
      <c r="X1280" s="1783"/>
      <c r="Y1280" s="1783"/>
      <c r="Z1280" s="1783"/>
      <c r="AA1280" s="1783"/>
      <c r="AB1280" s="1783"/>
      <c r="AC1280" s="1783"/>
      <c r="AD1280" s="1783"/>
      <c r="AE1280" s="1783"/>
      <c r="AF1280" s="1783"/>
      <c r="AG1280" s="1783"/>
      <c r="AH1280" s="1783"/>
      <c r="AI1280" s="1783"/>
      <c r="AJ1280" s="1783"/>
      <c r="AK1280" s="1783"/>
      <c r="AL1280" s="1783"/>
      <c r="AM1280" s="1783"/>
      <c r="AN1280" s="1783"/>
      <c r="AO1280" s="1783"/>
      <c r="AP1280" s="1783"/>
      <c r="AQ1280" s="1783"/>
      <c r="AR1280" s="1783"/>
      <c r="AS1280" s="1783"/>
      <c r="AT1280" s="1783"/>
      <c r="AU1280" s="1783"/>
      <c r="AV1280" s="1783"/>
      <c r="AW1280" s="1783"/>
      <c r="AX1280" s="1783"/>
      <c r="AY1280" s="1783"/>
      <c r="AZ1280" s="1783"/>
      <c r="BA1280" s="1783"/>
      <c r="BB1280" s="1783"/>
      <c r="BC1280" s="1783"/>
      <c r="BD1280" s="1783"/>
      <c r="BE1280" s="1783"/>
      <c r="BF1280" s="1783"/>
      <c r="BG1280" s="1783"/>
      <c r="BH1280" s="1783"/>
      <c r="BI1280" s="1783"/>
    </row>
    <row r="1281" spans="1:61">
      <c r="A1281" s="1819"/>
      <c r="B1281" s="1818"/>
      <c r="C1281" s="1818"/>
      <c r="D1281" s="1818"/>
      <c r="E1281" s="1818"/>
      <c r="F1281" s="1818"/>
      <c r="G1281" s="1818"/>
      <c r="H1281" s="1783"/>
      <c r="I1281" s="1783"/>
      <c r="J1281" s="1783"/>
      <c r="K1281" s="1783"/>
      <c r="L1281" s="1783"/>
      <c r="M1281" s="1783"/>
      <c r="N1281" s="1783"/>
      <c r="O1281" s="1783"/>
      <c r="P1281" s="1783"/>
      <c r="Q1281" s="1783"/>
      <c r="R1281" s="1783"/>
      <c r="S1281" s="1783"/>
      <c r="T1281" s="1783"/>
      <c r="U1281" s="1783"/>
      <c r="V1281" s="1783"/>
      <c r="W1281" s="1783"/>
      <c r="X1281" s="1783"/>
      <c r="Y1281" s="1783"/>
      <c r="Z1281" s="1783"/>
      <c r="AA1281" s="1783"/>
      <c r="AB1281" s="1783"/>
      <c r="AC1281" s="1783"/>
      <c r="AD1281" s="1783"/>
      <c r="AE1281" s="1783"/>
      <c r="AF1281" s="1783"/>
      <c r="AG1281" s="1783"/>
      <c r="AH1281" s="1783"/>
      <c r="AI1281" s="1783"/>
      <c r="AJ1281" s="1783"/>
      <c r="AK1281" s="1783"/>
      <c r="AL1281" s="1783"/>
      <c r="AM1281" s="1783"/>
      <c r="AN1281" s="1783"/>
      <c r="AO1281" s="1783"/>
      <c r="AP1281" s="1783"/>
      <c r="AQ1281" s="1783"/>
      <c r="AR1281" s="1783"/>
      <c r="AS1281" s="1783"/>
      <c r="AT1281" s="1783"/>
      <c r="AU1281" s="1783"/>
      <c r="AV1281" s="1783"/>
      <c r="AW1281" s="1783"/>
      <c r="AX1281" s="1783"/>
      <c r="AY1281" s="1783"/>
      <c r="AZ1281" s="1783"/>
      <c r="BA1281" s="1783"/>
      <c r="BB1281" s="1783"/>
      <c r="BC1281" s="1783"/>
      <c r="BD1281" s="1783"/>
      <c r="BE1281" s="1783"/>
      <c r="BF1281" s="1783"/>
      <c r="BG1281" s="1783"/>
      <c r="BH1281" s="1783"/>
      <c r="BI1281" s="1783"/>
    </row>
    <row r="1282" spans="1:61">
      <c r="A1282" s="1819"/>
      <c r="B1282" s="1818"/>
      <c r="C1282" s="1818"/>
      <c r="D1282" s="1818"/>
      <c r="E1282" s="1818"/>
      <c r="F1282" s="1818"/>
      <c r="G1282" s="1818"/>
      <c r="H1282" s="1783"/>
      <c r="I1282" s="1783"/>
      <c r="J1282" s="1783"/>
      <c r="K1282" s="1783"/>
      <c r="L1282" s="1783"/>
      <c r="M1282" s="1783"/>
      <c r="N1282" s="1783"/>
      <c r="O1282" s="1783"/>
      <c r="P1282" s="1783"/>
      <c r="Q1282" s="1783"/>
      <c r="R1282" s="1783"/>
      <c r="S1282" s="1783"/>
      <c r="T1282" s="1783"/>
      <c r="U1282" s="1783"/>
      <c r="V1282" s="1783"/>
      <c r="W1282" s="1783"/>
      <c r="X1282" s="1783"/>
      <c r="Y1282" s="1783"/>
      <c r="Z1282" s="1783"/>
      <c r="AA1282" s="1783"/>
      <c r="AB1282" s="1783"/>
      <c r="AC1282" s="1783"/>
      <c r="AD1282" s="1783"/>
      <c r="AE1282" s="1783"/>
      <c r="AF1282" s="1783"/>
      <c r="AG1282" s="1783"/>
      <c r="AH1282" s="1783"/>
      <c r="AI1282" s="1783"/>
      <c r="AJ1282" s="1783"/>
      <c r="AK1282" s="1783"/>
      <c r="AL1282" s="1783"/>
      <c r="AM1282" s="1783"/>
      <c r="AN1282" s="1783"/>
      <c r="AO1282" s="1783"/>
      <c r="AP1282" s="1783"/>
      <c r="AQ1282" s="1783"/>
      <c r="AR1282" s="1783"/>
      <c r="AS1282" s="1783"/>
      <c r="AT1282" s="1783"/>
      <c r="AU1282" s="1783"/>
      <c r="AV1282" s="1783"/>
      <c r="AW1282" s="1783"/>
      <c r="AX1282" s="1783"/>
      <c r="AY1282" s="1783"/>
      <c r="AZ1282" s="1783"/>
      <c r="BA1282" s="1783"/>
      <c r="BB1282" s="1783"/>
      <c r="BC1282" s="1783"/>
      <c r="BD1282" s="1783"/>
      <c r="BE1282" s="1783"/>
      <c r="BF1282" s="1783"/>
      <c r="BG1282" s="1783"/>
      <c r="BH1282" s="1783"/>
      <c r="BI1282" s="1783"/>
    </row>
    <row r="1283" spans="1:61">
      <c r="A1283" s="1819"/>
      <c r="B1283" s="1818"/>
      <c r="C1283" s="1818"/>
      <c r="D1283" s="1818"/>
      <c r="E1283" s="1818"/>
      <c r="F1283" s="1818"/>
      <c r="G1283" s="1818"/>
      <c r="H1283" s="1783"/>
      <c r="I1283" s="1783"/>
      <c r="J1283" s="1783"/>
      <c r="K1283" s="1783"/>
      <c r="L1283" s="1783"/>
      <c r="M1283" s="1783"/>
      <c r="N1283" s="1783"/>
      <c r="O1283" s="1783"/>
      <c r="P1283" s="1783"/>
      <c r="Q1283" s="1783"/>
      <c r="R1283" s="1783"/>
      <c r="S1283" s="1783"/>
      <c r="T1283" s="1783"/>
      <c r="U1283" s="1783"/>
      <c r="V1283" s="1783"/>
      <c r="W1283" s="1783"/>
      <c r="X1283" s="1783"/>
      <c r="Y1283" s="1783"/>
      <c r="Z1283" s="1783"/>
      <c r="AA1283" s="1783"/>
      <c r="AB1283" s="1783"/>
      <c r="AC1283" s="1783"/>
      <c r="AD1283" s="1783"/>
      <c r="AE1283" s="1783"/>
      <c r="AF1283" s="1783"/>
      <c r="AG1283" s="1783"/>
      <c r="AH1283" s="1783"/>
      <c r="AI1283" s="1783"/>
      <c r="AJ1283" s="1783"/>
      <c r="AK1283" s="1783"/>
      <c r="AL1283" s="1783"/>
      <c r="AM1283" s="1783"/>
      <c r="AN1283" s="1783"/>
      <c r="AO1283" s="1783"/>
      <c r="AP1283" s="1783"/>
      <c r="AQ1283" s="1783"/>
      <c r="AR1283" s="1783"/>
      <c r="AS1283" s="1783"/>
      <c r="AT1283" s="1783"/>
      <c r="AU1283" s="1783"/>
      <c r="AV1283" s="1783"/>
      <c r="AW1283" s="1783"/>
      <c r="AX1283" s="1783"/>
      <c r="AY1283" s="1783"/>
      <c r="AZ1283" s="1783"/>
      <c r="BA1283" s="1783"/>
      <c r="BB1283" s="1783"/>
      <c r="BC1283" s="1783"/>
      <c r="BD1283" s="1783"/>
      <c r="BE1283" s="1783"/>
      <c r="BF1283" s="1783"/>
      <c r="BG1283" s="1783"/>
      <c r="BH1283" s="1783"/>
      <c r="BI1283" s="1783"/>
    </row>
    <row r="1284" spans="1:61">
      <c r="A1284" s="1819"/>
      <c r="B1284" s="1818"/>
      <c r="C1284" s="1818"/>
      <c r="D1284" s="1818"/>
      <c r="E1284" s="1818"/>
      <c r="F1284" s="1818"/>
      <c r="G1284" s="1818"/>
      <c r="H1284" s="1783"/>
      <c r="I1284" s="1783"/>
      <c r="J1284" s="1783"/>
      <c r="K1284" s="1783"/>
      <c r="L1284" s="1783"/>
      <c r="M1284" s="1783"/>
      <c r="N1284" s="1783"/>
      <c r="O1284" s="1783"/>
      <c r="P1284" s="1783"/>
      <c r="Q1284" s="1783"/>
      <c r="R1284" s="1783"/>
      <c r="S1284" s="1783"/>
      <c r="T1284" s="1783"/>
      <c r="U1284" s="1783"/>
      <c r="V1284" s="1783"/>
      <c r="W1284" s="1783"/>
      <c r="X1284" s="1783"/>
      <c r="Y1284" s="1783"/>
      <c r="Z1284" s="1783"/>
      <c r="AA1284" s="1783"/>
      <c r="AB1284" s="1783"/>
      <c r="AC1284" s="1783"/>
      <c r="AD1284" s="1783"/>
      <c r="AE1284" s="1783"/>
      <c r="AF1284" s="1783"/>
      <c r="AG1284" s="1783"/>
      <c r="AH1284" s="1783"/>
      <c r="AI1284" s="1783"/>
      <c r="AJ1284" s="1783"/>
      <c r="AK1284" s="1783"/>
      <c r="AL1284" s="1783"/>
      <c r="AM1284" s="1783"/>
      <c r="AN1284" s="1783"/>
      <c r="AO1284" s="1783"/>
      <c r="AP1284" s="1783"/>
      <c r="AQ1284" s="1783"/>
      <c r="AR1284" s="1783"/>
      <c r="AS1284" s="1783"/>
      <c r="AT1284" s="1783"/>
      <c r="AU1284" s="1783"/>
      <c r="AV1284" s="1783"/>
      <c r="AW1284" s="1783"/>
      <c r="AX1284" s="1783"/>
      <c r="AY1284" s="1783"/>
      <c r="AZ1284" s="1783"/>
      <c r="BA1284" s="1783"/>
      <c r="BB1284" s="1783"/>
      <c r="BC1284" s="1783"/>
      <c r="BD1284" s="1783"/>
      <c r="BE1284" s="1783"/>
      <c r="BF1284" s="1783"/>
      <c r="BG1284" s="1783"/>
      <c r="BH1284" s="1783"/>
      <c r="BI1284" s="1783"/>
    </row>
    <row r="1285" spans="1:61">
      <c r="A1285" s="1819"/>
      <c r="B1285" s="1818"/>
      <c r="C1285" s="1818"/>
      <c r="D1285" s="1818"/>
      <c r="E1285" s="1818"/>
      <c r="F1285" s="1818"/>
      <c r="G1285" s="1818"/>
      <c r="H1285" s="1783"/>
      <c r="I1285" s="1783"/>
      <c r="J1285" s="1783"/>
      <c r="K1285" s="1783"/>
      <c r="L1285" s="1783"/>
      <c r="M1285" s="1783"/>
      <c r="N1285" s="1783"/>
      <c r="O1285" s="1783"/>
      <c r="P1285" s="1783"/>
      <c r="Q1285" s="1783"/>
      <c r="R1285" s="1783"/>
      <c r="S1285" s="1783"/>
      <c r="T1285" s="1783"/>
      <c r="U1285" s="1783"/>
      <c r="V1285" s="1783"/>
      <c r="W1285" s="1783"/>
      <c r="X1285" s="1783"/>
      <c r="Y1285" s="1783"/>
      <c r="Z1285" s="1783"/>
      <c r="AA1285" s="1783"/>
      <c r="AB1285" s="1783"/>
      <c r="AC1285" s="1783"/>
      <c r="AD1285" s="1783"/>
      <c r="AE1285" s="1783"/>
      <c r="AF1285" s="1783"/>
      <c r="AG1285" s="1783"/>
      <c r="AH1285" s="1783"/>
      <c r="AI1285" s="1783"/>
      <c r="AJ1285" s="1783"/>
      <c r="AK1285" s="1783"/>
      <c r="AL1285" s="1783"/>
      <c r="AM1285" s="1783"/>
      <c r="AN1285" s="1783"/>
      <c r="AO1285" s="1783"/>
      <c r="AP1285" s="1783"/>
      <c r="AQ1285" s="1783"/>
      <c r="AR1285" s="1783"/>
      <c r="AS1285" s="1783"/>
      <c r="AT1285" s="1783"/>
      <c r="AU1285" s="1783"/>
      <c r="AV1285" s="1783"/>
      <c r="AW1285" s="1783"/>
      <c r="AX1285" s="1783"/>
      <c r="AY1285" s="1783"/>
      <c r="AZ1285" s="1783"/>
      <c r="BA1285" s="1783"/>
      <c r="BB1285" s="1783"/>
      <c r="BC1285" s="1783"/>
      <c r="BD1285" s="1783"/>
      <c r="BE1285" s="1783"/>
      <c r="BF1285" s="1783"/>
      <c r="BG1285" s="1783"/>
      <c r="BH1285" s="1783"/>
      <c r="BI1285" s="1783"/>
    </row>
    <row r="1286" spans="1:61">
      <c r="A1286" s="1819"/>
      <c r="B1286" s="1818"/>
      <c r="C1286" s="1818"/>
      <c r="D1286" s="1818"/>
      <c r="E1286" s="1818"/>
      <c r="F1286" s="1818"/>
      <c r="G1286" s="1818"/>
      <c r="H1286" s="1783"/>
      <c r="I1286" s="1783"/>
      <c r="J1286" s="1783"/>
      <c r="K1286" s="1783"/>
      <c r="L1286" s="1783"/>
      <c r="M1286" s="1783"/>
      <c r="N1286" s="1783"/>
      <c r="O1286" s="1783"/>
      <c r="P1286" s="1783"/>
      <c r="Q1286" s="1783"/>
      <c r="R1286" s="1783"/>
      <c r="S1286" s="1783"/>
      <c r="T1286" s="1783"/>
      <c r="U1286" s="1783"/>
      <c r="V1286" s="1783"/>
      <c r="W1286" s="1783"/>
      <c r="X1286" s="1783"/>
      <c r="Y1286" s="1783"/>
      <c r="Z1286" s="1783"/>
      <c r="AA1286" s="1783"/>
      <c r="AB1286" s="1783"/>
      <c r="AC1286" s="1783"/>
      <c r="AD1286" s="1783"/>
      <c r="AE1286" s="1783"/>
      <c r="AF1286" s="1783"/>
      <c r="AG1286" s="1783"/>
      <c r="AH1286" s="1783"/>
      <c r="AI1286" s="1783"/>
      <c r="AJ1286" s="1783"/>
      <c r="AK1286" s="1783"/>
      <c r="AL1286" s="1783"/>
      <c r="AM1286" s="1783"/>
      <c r="AN1286" s="1783"/>
      <c r="AO1286" s="1783"/>
      <c r="AP1286" s="1783"/>
      <c r="AQ1286" s="1783"/>
      <c r="AR1286" s="1783"/>
      <c r="AS1286" s="1783"/>
      <c r="AT1286" s="1783"/>
      <c r="AU1286" s="1783"/>
      <c r="AV1286" s="1783"/>
      <c r="AW1286" s="1783"/>
      <c r="AX1286" s="1783"/>
      <c r="AY1286" s="1783"/>
      <c r="AZ1286" s="1783"/>
      <c r="BA1286" s="1783"/>
      <c r="BB1286" s="1783"/>
      <c r="BC1286" s="1783"/>
      <c r="BD1286" s="1783"/>
      <c r="BE1286" s="1783"/>
      <c r="BF1286" s="1783"/>
      <c r="BG1286" s="1783"/>
      <c r="BH1286" s="1783"/>
      <c r="BI1286" s="1783"/>
    </row>
    <row r="1287" spans="1:61">
      <c r="A1287" s="1819"/>
      <c r="B1287" s="1818"/>
      <c r="C1287" s="1818"/>
      <c r="D1287" s="1818"/>
      <c r="E1287" s="1818"/>
      <c r="F1287" s="1818"/>
      <c r="G1287" s="1818"/>
      <c r="H1287" s="1783"/>
      <c r="I1287" s="1783"/>
      <c r="J1287" s="1783"/>
      <c r="K1287" s="1783"/>
      <c r="L1287" s="1783"/>
      <c r="M1287" s="1783"/>
      <c r="N1287" s="1783"/>
      <c r="O1287" s="1783"/>
      <c r="P1287" s="1783"/>
      <c r="Q1287" s="1783"/>
      <c r="R1287" s="1783"/>
      <c r="S1287" s="1783"/>
      <c r="T1287" s="1783"/>
      <c r="U1287" s="1783"/>
      <c r="V1287" s="1783"/>
      <c r="W1287" s="1783"/>
      <c r="X1287" s="1783"/>
      <c r="Y1287" s="1783"/>
      <c r="Z1287" s="1783"/>
      <c r="AA1287" s="1783"/>
      <c r="AB1287" s="1783"/>
      <c r="AC1287" s="1783"/>
      <c r="AD1287" s="1783"/>
      <c r="AE1287" s="1783"/>
      <c r="AF1287" s="1783"/>
      <c r="AG1287" s="1783"/>
      <c r="AH1287" s="1783"/>
      <c r="AI1287" s="1783"/>
      <c r="AJ1287" s="1783"/>
      <c r="AK1287" s="1783"/>
      <c r="AL1287" s="1783"/>
      <c r="AM1287" s="1783"/>
      <c r="AN1287" s="1783"/>
      <c r="AO1287" s="1783"/>
      <c r="AP1287" s="1783"/>
      <c r="AQ1287" s="1783"/>
      <c r="AR1287" s="1783"/>
      <c r="AS1287" s="1783"/>
      <c r="AT1287" s="1783"/>
      <c r="AU1287" s="1783"/>
      <c r="AV1287" s="1783"/>
      <c r="AW1287" s="1783"/>
      <c r="AX1287" s="1783"/>
      <c r="AY1287" s="1783"/>
      <c r="AZ1287" s="1783"/>
      <c r="BA1287" s="1783"/>
      <c r="BB1287" s="1783"/>
      <c r="BC1287" s="1783"/>
      <c r="BD1287" s="1783"/>
      <c r="BE1287" s="1783"/>
      <c r="BF1287" s="1783"/>
      <c r="BG1287" s="1783"/>
      <c r="BH1287" s="1783"/>
      <c r="BI1287" s="1783"/>
    </row>
    <row r="1288" spans="1:61">
      <c r="A1288" s="1819"/>
      <c r="B1288" s="1818"/>
      <c r="C1288" s="1818"/>
      <c r="D1288" s="1818"/>
      <c r="E1288" s="1818"/>
      <c r="F1288" s="1818"/>
      <c r="G1288" s="1818"/>
      <c r="H1288" s="1783"/>
      <c r="I1288" s="1783"/>
      <c r="J1288" s="1783"/>
      <c r="K1288" s="1783"/>
      <c r="L1288" s="1783"/>
      <c r="M1288" s="1783"/>
      <c r="N1288" s="1783"/>
      <c r="O1288" s="1783"/>
      <c r="P1288" s="1783"/>
      <c r="Q1288" s="1783"/>
      <c r="R1288" s="1783"/>
      <c r="S1288" s="1783"/>
      <c r="T1288" s="1783"/>
      <c r="U1288" s="1783"/>
      <c r="V1288" s="1783"/>
      <c r="W1288" s="1783"/>
      <c r="X1288" s="1783"/>
      <c r="Y1288" s="1783"/>
      <c r="Z1288" s="1783"/>
      <c r="AA1288" s="1783"/>
      <c r="AB1288" s="1783"/>
      <c r="AC1288" s="1783"/>
      <c r="AD1288" s="1783"/>
      <c r="AE1288" s="1783"/>
      <c r="AF1288" s="1783"/>
      <c r="AG1288" s="1783"/>
      <c r="AH1288" s="1783"/>
      <c r="AI1288" s="1783"/>
      <c r="AJ1288" s="1783"/>
      <c r="AK1288" s="1783"/>
      <c r="AL1288" s="1783"/>
      <c r="AM1288" s="1783"/>
      <c r="AN1288" s="1783"/>
      <c r="AO1288" s="1783"/>
      <c r="AP1288" s="1783"/>
      <c r="AQ1288" s="1783"/>
      <c r="AR1288" s="1783"/>
      <c r="AS1288" s="1783"/>
      <c r="AT1288" s="1783"/>
      <c r="AU1288" s="1783"/>
      <c r="AV1288" s="1783"/>
      <c r="AW1288" s="1783"/>
      <c r="AX1288" s="1783"/>
      <c r="AY1288" s="1783"/>
      <c r="AZ1288" s="1783"/>
      <c r="BA1288" s="1783"/>
      <c r="BB1288" s="1783"/>
      <c r="BC1288" s="1783"/>
      <c r="BD1288" s="1783"/>
      <c r="BE1288" s="1783"/>
      <c r="BF1288" s="1783"/>
      <c r="BG1288" s="1783"/>
      <c r="BH1288" s="1783"/>
      <c r="BI1288" s="1783"/>
    </row>
    <row r="1289" spans="1:61">
      <c r="A1289" s="1819"/>
      <c r="B1289" s="1818"/>
      <c r="C1289" s="1818"/>
      <c r="D1289" s="1818"/>
      <c r="E1289" s="1818"/>
      <c r="F1289" s="1818"/>
      <c r="G1289" s="1818"/>
      <c r="H1289" s="1783"/>
      <c r="I1289" s="1783"/>
      <c r="J1289" s="1783"/>
      <c r="K1289" s="1783"/>
      <c r="L1289" s="1783"/>
      <c r="M1289" s="1783"/>
      <c r="N1289" s="1783"/>
      <c r="O1289" s="1783"/>
      <c r="P1289" s="1783"/>
      <c r="Q1289" s="1783"/>
      <c r="R1289" s="1783"/>
      <c r="S1289" s="1783"/>
      <c r="T1289" s="1783"/>
      <c r="U1289" s="1783"/>
      <c r="V1289" s="1783"/>
      <c r="W1289" s="1783"/>
      <c r="X1289" s="1783"/>
      <c r="Y1289" s="1783"/>
      <c r="Z1289" s="1783"/>
      <c r="AA1289" s="1783"/>
      <c r="AB1289" s="1783"/>
      <c r="AC1289" s="1783"/>
      <c r="AD1289" s="1783"/>
      <c r="AE1289" s="1783"/>
      <c r="AF1289" s="1783"/>
      <c r="AG1289" s="1783"/>
      <c r="AH1289" s="1783"/>
      <c r="AI1289" s="1783"/>
      <c r="AJ1289" s="1783"/>
      <c r="AK1289" s="1783"/>
      <c r="AL1289" s="1783"/>
      <c r="AM1289" s="1783"/>
      <c r="AN1289" s="1783"/>
      <c r="AO1289" s="1783"/>
      <c r="AP1289" s="1783"/>
      <c r="AQ1289" s="1783"/>
      <c r="AR1289" s="1783"/>
      <c r="AS1289" s="1783"/>
      <c r="AT1289" s="1783"/>
      <c r="AU1289" s="1783"/>
      <c r="AV1289" s="1783"/>
      <c r="AW1289" s="1783"/>
      <c r="AX1289" s="1783"/>
      <c r="AY1289" s="1783"/>
      <c r="AZ1289" s="1783"/>
      <c r="BA1289" s="1783"/>
      <c r="BB1289" s="1783"/>
      <c r="BC1289" s="1783"/>
      <c r="BD1289" s="1783"/>
      <c r="BE1289" s="1783"/>
      <c r="BF1289" s="1783"/>
      <c r="BG1289" s="1783"/>
      <c r="BH1289" s="1783"/>
      <c r="BI1289" s="1783"/>
    </row>
    <row r="1290" spans="1:61">
      <c r="A1290" s="1819"/>
      <c r="B1290" s="1818"/>
      <c r="C1290" s="1818"/>
      <c r="D1290" s="1818"/>
      <c r="E1290" s="1818"/>
      <c r="F1290" s="1818"/>
      <c r="G1290" s="1818"/>
      <c r="H1290" s="1783"/>
      <c r="I1290" s="1783"/>
      <c r="J1290" s="1783"/>
      <c r="K1290" s="1783"/>
      <c r="L1290" s="1783"/>
      <c r="M1290" s="1783"/>
      <c r="N1290" s="1783"/>
      <c r="O1290" s="1783"/>
      <c r="P1290" s="1783"/>
      <c r="Q1290" s="1783"/>
      <c r="R1290" s="1783"/>
      <c r="S1290" s="1783"/>
      <c r="T1290" s="1783"/>
      <c r="U1290" s="1783"/>
      <c r="V1290" s="1783"/>
      <c r="W1290" s="1783"/>
      <c r="X1290" s="1783"/>
      <c r="Y1290" s="1783"/>
      <c r="Z1290" s="1783"/>
      <c r="AA1290" s="1783"/>
      <c r="AB1290" s="1783"/>
      <c r="AC1290" s="1783"/>
      <c r="AD1290" s="1783"/>
      <c r="AE1290" s="1783"/>
      <c r="AF1290" s="1783"/>
      <c r="AG1290" s="1783"/>
      <c r="AH1290" s="1783"/>
      <c r="AI1290" s="1783"/>
      <c r="AJ1290" s="1783"/>
      <c r="AK1290" s="1783"/>
      <c r="AL1290" s="1783"/>
      <c r="AM1290" s="1783"/>
      <c r="AN1290" s="1783"/>
      <c r="AO1290" s="1783"/>
      <c r="AP1290" s="1783"/>
      <c r="AQ1290" s="1783"/>
      <c r="AR1290" s="1783"/>
      <c r="AS1290" s="1783"/>
      <c r="AT1290" s="1783"/>
      <c r="AU1290" s="1783"/>
      <c r="AV1290" s="1783"/>
      <c r="AW1290" s="1783"/>
      <c r="AX1290" s="1783"/>
      <c r="AY1290" s="1783"/>
      <c r="AZ1290" s="1783"/>
      <c r="BA1290" s="1783"/>
      <c r="BB1290" s="1783"/>
      <c r="BC1290" s="1783"/>
      <c r="BD1290" s="1783"/>
      <c r="BE1290" s="1783"/>
      <c r="BF1290" s="1783"/>
      <c r="BG1290" s="1783"/>
      <c r="BH1290" s="1783"/>
      <c r="BI1290" s="1783"/>
    </row>
    <row r="1291" spans="1:61">
      <c r="A1291" s="1819"/>
      <c r="B1291" s="1818"/>
      <c r="C1291" s="1818"/>
      <c r="D1291" s="1818"/>
      <c r="E1291" s="1818"/>
      <c r="F1291" s="1818"/>
      <c r="G1291" s="1818"/>
      <c r="H1291" s="1783"/>
      <c r="I1291" s="1783"/>
      <c r="J1291" s="1783"/>
      <c r="K1291" s="1783"/>
      <c r="L1291" s="1783"/>
      <c r="M1291" s="1783"/>
      <c r="N1291" s="1783"/>
      <c r="O1291" s="1783"/>
      <c r="P1291" s="1783"/>
      <c r="Q1291" s="1783"/>
      <c r="R1291" s="1783"/>
      <c r="S1291" s="1783"/>
      <c r="T1291" s="1783"/>
      <c r="U1291" s="1783"/>
      <c r="V1291" s="1783"/>
      <c r="W1291" s="1783"/>
      <c r="X1291" s="1783"/>
      <c r="Y1291" s="1783"/>
      <c r="Z1291" s="1783"/>
      <c r="AA1291" s="1783"/>
      <c r="AB1291" s="1783"/>
      <c r="AC1291" s="1783"/>
      <c r="AD1291" s="1783"/>
      <c r="AE1291" s="1783"/>
      <c r="AF1291" s="1783"/>
      <c r="AG1291" s="1783"/>
      <c r="AH1291" s="1783"/>
      <c r="AI1291" s="1783"/>
      <c r="AJ1291" s="1783"/>
      <c r="AK1291" s="1783"/>
      <c r="AL1291" s="1783"/>
      <c r="AM1291" s="1783"/>
      <c r="AN1291" s="1783"/>
      <c r="AO1291" s="1783"/>
      <c r="AP1291" s="1783"/>
      <c r="AQ1291" s="1783"/>
      <c r="AR1291" s="1783"/>
      <c r="AS1291" s="1783"/>
      <c r="AT1291" s="1783"/>
      <c r="AU1291" s="1783"/>
      <c r="AV1291" s="1783"/>
      <c r="AW1291" s="1783"/>
      <c r="AX1291" s="1783"/>
      <c r="AY1291" s="1783"/>
      <c r="AZ1291" s="1783"/>
      <c r="BA1291" s="1783"/>
      <c r="BB1291" s="1783"/>
      <c r="BC1291" s="1783"/>
      <c r="BD1291" s="1783"/>
      <c r="BE1291" s="1783"/>
      <c r="BF1291" s="1783"/>
      <c r="BG1291" s="1783"/>
      <c r="BH1291" s="1783"/>
      <c r="BI1291" s="1783"/>
    </row>
    <row r="1292" spans="1:61">
      <c r="A1292" s="1819"/>
      <c r="B1292" s="1818"/>
      <c r="C1292" s="1818"/>
      <c r="D1292" s="1818"/>
      <c r="E1292" s="1818"/>
      <c r="F1292" s="1818"/>
      <c r="G1292" s="1818"/>
      <c r="H1292" s="1783"/>
      <c r="I1292" s="1783"/>
      <c r="J1292" s="1783"/>
      <c r="K1292" s="1783"/>
      <c r="L1292" s="1783"/>
      <c r="M1292" s="1783"/>
      <c r="N1292" s="1783"/>
      <c r="O1292" s="1783"/>
      <c r="P1292" s="1783"/>
      <c r="Q1292" s="1783"/>
      <c r="R1292" s="1783"/>
      <c r="S1292" s="1783"/>
      <c r="T1292" s="1783"/>
      <c r="U1292" s="1783"/>
      <c r="V1292" s="1783"/>
      <c r="W1292" s="1783"/>
      <c r="X1292" s="1783"/>
      <c r="Y1292" s="1783"/>
      <c r="Z1292" s="1783"/>
      <c r="AA1292" s="1783"/>
      <c r="AB1292" s="1783"/>
      <c r="AC1292" s="1783"/>
      <c r="AD1292" s="1783"/>
      <c r="AE1292" s="1783"/>
      <c r="AF1292" s="1783"/>
      <c r="AG1292" s="1783"/>
      <c r="AH1292" s="1783"/>
      <c r="AI1292" s="1783"/>
      <c r="AJ1292" s="1783"/>
      <c r="AK1292" s="1783"/>
      <c r="AL1292" s="1783"/>
      <c r="AM1292" s="1783"/>
      <c r="AN1292" s="1783"/>
      <c r="AO1292" s="1783"/>
      <c r="AP1292" s="1783"/>
      <c r="AQ1292" s="1783"/>
      <c r="AR1292" s="1783"/>
      <c r="AS1292" s="1783"/>
      <c r="AT1292" s="1783"/>
      <c r="AU1292" s="1783"/>
      <c r="AV1292" s="1783"/>
      <c r="AW1292" s="1783"/>
      <c r="AX1292" s="1783"/>
      <c r="AY1292" s="1783"/>
      <c r="AZ1292" s="1783"/>
      <c r="BA1292" s="1783"/>
      <c r="BB1292" s="1783"/>
      <c r="BC1292" s="1783"/>
      <c r="BD1292" s="1783"/>
      <c r="BE1292" s="1783"/>
      <c r="BF1292" s="1783"/>
      <c r="BG1292" s="1783"/>
      <c r="BH1292" s="1783"/>
      <c r="BI1292" s="1783"/>
    </row>
    <row r="1293" spans="1:61">
      <c r="A1293" s="1819"/>
      <c r="B1293" s="1818"/>
      <c r="C1293" s="1818"/>
      <c r="D1293" s="1818"/>
      <c r="E1293" s="1818"/>
      <c r="F1293" s="1818"/>
      <c r="G1293" s="1818"/>
      <c r="H1293" s="1783"/>
      <c r="I1293" s="1783"/>
      <c r="J1293" s="1783"/>
      <c r="K1293" s="1783"/>
      <c r="L1293" s="1783"/>
      <c r="M1293" s="1783"/>
      <c r="N1293" s="1783"/>
      <c r="O1293" s="1783"/>
      <c r="P1293" s="1783"/>
      <c r="Q1293" s="1783"/>
      <c r="R1293" s="1783"/>
      <c r="S1293" s="1783"/>
      <c r="T1293" s="1783"/>
      <c r="U1293" s="1783"/>
      <c r="V1293" s="1783"/>
      <c r="W1293" s="1783"/>
      <c r="X1293" s="1783"/>
      <c r="Y1293" s="1783"/>
      <c r="Z1293" s="1783"/>
      <c r="AA1293" s="1783"/>
      <c r="AB1293" s="1783"/>
      <c r="AC1293" s="1783"/>
      <c r="AD1293" s="1783"/>
      <c r="AE1293" s="1783"/>
      <c r="AF1293" s="1783"/>
      <c r="AG1293" s="1783"/>
      <c r="AH1293" s="1783"/>
      <c r="AI1293" s="1783"/>
      <c r="AJ1293" s="1783"/>
      <c r="AK1293" s="1783"/>
      <c r="AL1293" s="1783"/>
      <c r="AM1293" s="1783"/>
      <c r="AN1293" s="1783"/>
      <c r="AO1293" s="1783"/>
      <c r="AP1293" s="1783"/>
      <c r="AQ1293" s="1783"/>
      <c r="AR1293" s="1783"/>
      <c r="AS1293" s="1783"/>
      <c r="AT1293" s="1783"/>
      <c r="AU1293" s="1783"/>
      <c r="AV1293" s="1783"/>
      <c r="AW1293" s="1783"/>
      <c r="AX1293" s="1783"/>
      <c r="AY1293" s="1783"/>
      <c r="AZ1293" s="1783"/>
      <c r="BA1293" s="1783"/>
      <c r="BB1293" s="1783"/>
      <c r="BC1293" s="1783"/>
      <c r="BD1293" s="1783"/>
      <c r="BE1293" s="1783"/>
      <c r="BF1293" s="1783"/>
      <c r="BG1293" s="1783"/>
      <c r="BH1293" s="1783"/>
      <c r="BI1293" s="1783"/>
    </row>
    <row r="1294" spans="1:61">
      <c r="A1294" s="1819"/>
      <c r="B1294" s="1818"/>
      <c r="C1294" s="1818"/>
      <c r="D1294" s="1818"/>
      <c r="E1294" s="1818"/>
      <c r="F1294" s="1818"/>
      <c r="G1294" s="1818"/>
      <c r="H1294" s="1783"/>
      <c r="I1294" s="1783"/>
      <c r="J1294" s="1783"/>
      <c r="K1294" s="1783"/>
      <c r="L1294" s="1783"/>
      <c r="M1294" s="1783"/>
      <c r="N1294" s="1783"/>
      <c r="O1294" s="1783"/>
      <c r="P1294" s="1783"/>
      <c r="Q1294" s="1783"/>
      <c r="R1294" s="1783"/>
      <c r="S1294" s="1783"/>
      <c r="T1294" s="1783"/>
      <c r="U1294" s="1783"/>
      <c r="V1294" s="1783"/>
      <c r="W1294" s="1783"/>
      <c r="X1294" s="1783"/>
      <c r="Y1294" s="1783"/>
      <c r="Z1294" s="1783"/>
      <c r="AA1294" s="1783"/>
      <c r="AB1294" s="1783"/>
      <c r="AC1294" s="1783"/>
      <c r="AD1294" s="1783"/>
      <c r="AE1294" s="1783"/>
      <c r="AF1294" s="1783"/>
      <c r="AG1294" s="1783"/>
      <c r="AH1294" s="1783"/>
      <c r="AI1294" s="1783"/>
      <c r="AJ1294" s="1783"/>
      <c r="AK1294" s="1783"/>
      <c r="AL1294" s="1783"/>
      <c r="AM1294" s="1783"/>
      <c r="AN1294" s="1783"/>
      <c r="AO1294" s="1783"/>
      <c r="AP1294" s="1783"/>
      <c r="AQ1294" s="1783"/>
      <c r="AR1294" s="1783"/>
      <c r="AS1294" s="1783"/>
      <c r="AT1294" s="1783"/>
      <c r="AU1294" s="1783"/>
      <c r="AV1294" s="1783"/>
      <c r="AW1294" s="1783"/>
      <c r="AX1294" s="1783"/>
      <c r="AY1294" s="1783"/>
      <c r="AZ1294" s="1783"/>
      <c r="BA1294" s="1783"/>
      <c r="BB1294" s="1783"/>
      <c r="BC1294" s="1783"/>
      <c r="BD1294" s="1783"/>
      <c r="BE1294" s="1783"/>
      <c r="BF1294" s="1783"/>
      <c r="BG1294" s="1783"/>
      <c r="BH1294" s="1783"/>
      <c r="BI1294" s="1783"/>
    </row>
    <row r="1295" spans="1:61">
      <c r="A1295" s="1819"/>
      <c r="B1295" s="1818"/>
      <c r="C1295" s="1818"/>
      <c r="D1295" s="1818"/>
      <c r="E1295" s="1818"/>
      <c r="F1295" s="1818"/>
      <c r="G1295" s="1818"/>
      <c r="H1295" s="1783"/>
      <c r="I1295" s="1783"/>
      <c r="J1295" s="1783"/>
      <c r="K1295" s="1783"/>
      <c r="L1295" s="1783"/>
      <c r="M1295" s="1783"/>
      <c r="N1295" s="1783"/>
      <c r="O1295" s="1783"/>
      <c r="P1295" s="1783"/>
      <c r="Q1295" s="1783"/>
      <c r="R1295" s="1783"/>
      <c r="S1295" s="1783"/>
      <c r="T1295" s="1783"/>
      <c r="U1295" s="1783"/>
      <c r="V1295" s="1783"/>
      <c r="W1295" s="1783"/>
      <c r="X1295" s="1783"/>
      <c r="Y1295" s="1783"/>
      <c r="Z1295" s="1783"/>
      <c r="AA1295" s="1783"/>
      <c r="AB1295" s="1783"/>
      <c r="AC1295" s="1783"/>
      <c r="AD1295" s="1783"/>
      <c r="AE1295" s="1783"/>
      <c r="AF1295" s="1783"/>
      <c r="AG1295" s="1783"/>
      <c r="AH1295" s="1783"/>
      <c r="AI1295" s="1783"/>
      <c r="AJ1295" s="1783"/>
      <c r="AK1295" s="1783"/>
      <c r="AL1295" s="1783"/>
      <c r="AM1295" s="1783"/>
      <c r="AN1295" s="1783"/>
      <c r="AO1295" s="1783"/>
      <c r="AP1295" s="1783"/>
      <c r="AQ1295" s="1783"/>
      <c r="AR1295" s="1783"/>
      <c r="AS1295" s="1783"/>
      <c r="AT1295" s="1783"/>
      <c r="AU1295" s="1783"/>
      <c r="AV1295" s="1783"/>
      <c r="AW1295" s="1783"/>
      <c r="AX1295" s="1783"/>
      <c r="AY1295" s="1783"/>
      <c r="AZ1295" s="1783"/>
      <c r="BA1295" s="1783"/>
      <c r="BB1295" s="1783"/>
      <c r="BC1295" s="1783"/>
      <c r="BD1295" s="1783"/>
      <c r="BE1295" s="1783"/>
      <c r="BF1295" s="1783"/>
      <c r="BG1295" s="1783"/>
      <c r="BH1295" s="1783"/>
      <c r="BI1295" s="1783"/>
    </row>
    <row r="1296" spans="1:61">
      <c r="A1296" s="1819"/>
      <c r="B1296" s="1818"/>
      <c r="C1296" s="1818"/>
      <c r="D1296" s="1818"/>
      <c r="E1296" s="1818"/>
      <c r="F1296" s="1818"/>
      <c r="G1296" s="1818"/>
      <c r="H1296" s="1783"/>
      <c r="I1296" s="1783"/>
      <c r="J1296" s="1783"/>
      <c r="K1296" s="1783"/>
      <c r="L1296" s="1783"/>
      <c r="M1296" s="1783"/>
      <c r="N1296" s="1783"/>
      <c r="O1296" s="1783"/>
      <c r="P1296" s="1783"/>
      <c r="Q1296" s="1783"/>
      <c r="R1296" s="1783"/>
      <c r="S1296" s="1783"/>
      <c r="T1296" s="1783"/>
      <c r="U1296" s="1783"/>
      <c r="V1296" s="1783"/>
      <c r="W1296" s="1783"/>
      <c r="X1296" s="1783"/>
      <c r="Y1296" s="1783"/>
      <c r="Z1296" s="1783"/>
      <c r="AA1296" s="1783"/>
      <c r="AB1296" s="1783"/>
      <c r="AC1296" s="1783"/>
      <c r="AD1296" s="1783"/>
      <c r="AE1296" s="1783"/>
      <c r="AF1296" s="1783"/>
      <c r="AG1296" s="1783"/>
      <c r="AH1296" s="1783"/>
      <c r="AI1296" s="1783"/>
      <c r="AJ1296" s="1783"/>
      <c r="AK1296" s="1783"/>
      <c r="AL1296" s="1783"/>
      <c r="AM1296" s="1783"/>
      <c r="AN1296" s="1783"/>
      <c r="AO1296" s="1783"/>
      <c r="AP1296" s="1783"/>
      <c r="AQ1296" s="1783"/>
      <c r="AR1296" s="1783"/>
      <c r="AS1296" s="1783"/>
      <c r="AT1296" s="1783"/>
      <c r="AU1296" s="1783"/>
      <c r="AV1296" s="1783"/>
      <c r="AW1296" s="1783"/>
      <c r="AX1296" s="1783"/>
      <c r="AY1296" s="1783"/>
      <c r="AZ1296" s="1783"/>
      <c r="BA1296" s="1783"/>
      <c r="BB1296" s="1783"/>
      <c r="BC1296" s="1783"/>
      <c r="BD1296" s="1783"/>
      <c r="BE1296" s="1783"/>
      <c r="BF1296" s="1783"/>
      <c r="BG1296" s="1783"/>
      <c r="BH1296" s="1783"/>
      <c r="BI1296" s="1783"/>
    </row>
    <row r="1297" spans="1:61">
      <c r="A1297" s="1819"/>
      <c r="B1297" s="1818"/>
      <c r="C1297" s="1818"/>
      <c r="D1297" s="1818"/>
      <c r="E1297" s="1818"/>
      <c r="F1297" s="1818"/>
      <c r="G1297" s="1818"/>
      <c r="H1297" s="1783"/>
      <c r="I1297" s="1783"/>
      <c r="J1297" s="1783"/>
      <c r="K1297" s="1783"/>
      <c r="L1297" s="1783"/>
      <c r="M1297" s="1783"/>
      <c r="N1297" s="1783"/>
      <c r="O1297" s="1783"/>
      <c r="P1297" s="1783"/>
      <c r="Q1297" s="1783"/>
      <c r="R1297" s="1783"/>
      <c r="S1297" s="1783"/>
      <c r="T1297" s="1783"/>
      <c r="U1297" s="1783"/>
      <c r="V1297" s="1783"/>
      <c r="W1297" s="1783"/>
      <c r="X1297" s="1783"/>
      <c r="Y1297" s="1783"/>
      <c r="Z1297" s="1783"/>
      <c r="AA1297" s="1783"/>
      <c r="AB1297" s="1783"/>
      <c r="AC1297" s="1783"/>
      <c r="AD1297" s="1783"/>
      <c r="AE1297" s="1783"/>
      <c r="AF1297" s="1783"/>
      <c r="AG1297" s="1783"/>
      <c r="AH1297" s="1783"/>
      <c r="AI1297" s="1783"/>
      <c r="AJ1297" s="1783"/>
      <c r="AK1297" s="1783"/>
      <c r="AL1297" s="1783"/>
      <c r="AM1297" s="1783"/>
      <c r="AN1297" s="1783"/>
      <c r="AO1297" s="1783"/>
      <c r="AP1297" s="1783"/>
      <c r="AQ1297" s="1783"/>
      <c r="AR1297" s="1783"/>
      <c r="AS1297" s="1783"/>
      <c r="AT1297" s="1783"/>
      <c r="AU1297" s="1783"/>
      <c r="AV1297" s="1783"/>
      <c r="AW1297" s="1783"/>
      <c r="AX1297" s="1783"/>
      <c r="AY1297" s="1783"/>
      <c r="AZ1297" s="1783"/>
      <c r="BA1297" s="1783"/>
      <c r="BB1297" s="1783"/>
      <c r="BC1297" s="1783"/>
      <c r="BD1297" s="1783"/>
      <c r="BE1297" s="1783"/>
      <c r="BF1297" s="1783"/>
      <c r="BG1297" s="1783"/>
      <c r="BH1297" s="1783"/>
      <c r="BI1297" s="1783"/>
    </row>
    <row r="1298" spans="1:61">
      <c r="A1298" s="1819"/>
      <c r="B1298" s="1818"/>
      <c r="C1298" s="1818"/>
      <c r="D1298" s="1818"/>
      <c r="E1298" s="1818"/>
      <c r="F1298" s="1818"/>
      <c r="G1298" s="1818"/>
      <c r="H1298" s="1783"/>
      <c r="I1298" s="1783"/>
      <c r="J1298" s="1783"/>
      <c r="K1298" s="1783"/>
      <c r="L1298" s="1783"/>
      <c r="M1298" s="1783"/>
      <c r="N1298" s="1783"/>
      <c r="O1298" s="1783"/>
      <c r="P1298" s="1783"/>
      <c r="Q1298" s="1783"/>
      <c r="R1298" s="1783"/>
      <c r="S1298" s="1783"/>
      <c r="T1298" s="1783"/>
      <c r="U1298" s="1783"/>
      <c r="V1298" s="1783"/>
      <c r="W1298" s="1783"/>
      <c r="X1298" s="1783"/>
      <c r="Y1298" s="1783"/>
      <c r="Z1298" s="1783"/>
      <c r="AA1298" s="1783"/>
      <c r="AB1298" s="1783"/>
      <c r="AC1298" s="1783"/>
      <c r="AD1298" s="1783"/>
      <c r="AE1298" s="1783"/>
      <c r="AF1298" s="1783"/>
      <c r="AG1298" s="1783"/>
      <c r="AH1298" s="1783"/>
      <c r="AI1298" s="1783"/>
      <c r="AJ1298" s="1783"/>
      <c r="AK1298" s="1783"/>
      <c r="AL1298" s="1783"/>
      <c r="AM1298" s="1783"/>
      <c r="AN1298" s="1783"/>
      <c r="AO1298" s="1783"/>
      <c r="AP1298" s="1783"/>
      <c r="AQ1298" s="1783"/>
      <c r="AR1298" s="1783"/>
      <c r="AS1298" s="1783"/>
      <c r="AT1298" s="1783"/>
      <c r="AU1298" s="1783"/>
      <c r="AV1298" s="1783"/>
      <c r="AW1298" s="1783"/>
      <c r="AX1298" s="1783"/>
      <c r="AY1298" s="1783"/>
      <c r="AZ1298" s="1783"/>
      <c r="BA1298" s="1783"/>
      <c r="BB1298" s="1783"/>
      <c r="BC1298" s="1783"/>
      <c r="BD1298" s="1783"/>
      <c r="BE1298" s="1783"/>
      <c r="BF1298" s="1783"/>
      <c r="BG1298" s="1783"/>
      <c r="BH1298" s="1783"/>
      <c r="BI1298" s="1783"/>
    </row>
    <row r="1299" spans="1:61">
      <c r="A1299" s="1819"/>
      <c r="B1299" s="1818"/>
      <c r="C1299" s="1818"/>
      <c r="D1299" s="1818"/>
      <c r="E1299" s="1818"/>
      <c r="F1299" s="1818"/>
      <c r="G1299" s="1818"/>
      <c r="H1299" s="1783"/>
      <c r="I1299" s="1783"/>
      <c r="J1299" s="1783"/>
      <c r="K1299" s="1783"/>
      <c r="L1299" s="1783"/>
      <c r="M1299" s="1783"/>
      <c r="N1299" s="1783"/>
      <c r="O1299" s="1783"/>
      <c r="P1299" s="1783"/>
      <c r="Q1299" s="1783"/>
      <c r="R1299" s="1783"/>
      <c r="S1299" s="1783"/>
      <c r="T1299" s="1783"/>
      <c r="U1299" s="1783"/>
      <c r="V1299" s="1783"/>
      <c r="W1299" s="1783"/>
      <c r="X1299" s="1783"/>
      <c r="Y1299" s="1783"/>
      <c r="Z1299" s="1783"/>
      <c r="AA1299" s="1783"/>
      <c r="AB1299" s="1783"/>
      <c r="AC1299" s="1783"/>
      <c r="AD1299" s="1783"/>
      <c r="AE1299" s="1783"/>
      <c r="AF1299" s="1783"/>
      <c r="AG1299" s="1783"/>
      <c r="AH1299" s="1783"/>
      <c r="AI1299" s="1783"/>
      <c r="AJ1299" s="1783"/>
      <c r="AK1299" s="1783"/>
      <c r="AL1299" s="1783"/>
      <c r="AM1299" s="1783"/>
      <c r="AN1299" s="1783"/>
      <c r="AO1299" s="1783"/>
      <c r="AP1299" s="1783"/>
      <c r="AQ1299" s="1783"/>
      <c r="AR1299" s="1783"/>
      <c r="AS1299" s="1783"/>
      <c r="AT1299" s="1783"/>
      <c r="AU1299" s="1783"/>
      <c r="AV1299" s="1783"/>
      <c r="AW1299" s="1783"/>
      <c r="AX1299" s="1783"/>
      <c r="AY1299" s="1783"/>
      <c r="AZ1299" s="1783"/>
      <c r="BA1299" s="1783"/>
      <c r="BB1299" s="1783"/>
      <c r="BC1299" s="1783"/>
      <c r="BD1299" s="1783"/>
      <c r="BE1299" s="1783"/>
      <c r="BF1299" s="1783"/>
      <c r="BG1299" s="1783"/>
      <c r="BH1299" s="1783"/>
      <c r="BI1299" s="1783"/>
    </row>
    <row r="1300" spans="1:61">
      <c r="A1300" s="1819"/>
      <c r="B1300" s="1818"/>
      <c r="C1300" s="1818"/>
      <c r="D1300" s="1818"/>
      <c r="E1300" s="1818"/>
      <c r="F1300" s="1818"/>
      <c r="G1300" s="1818"/>
      <c r="H1300" s="1783"/>
      <c r="I1300" s="1783"/>
      <c r="J1300" s="1783"/>
      <c r="K1300" s="1783"/>
      <c r="L1300" s="1783"/>
      <c r="M1300" s="1783"/>
      <c r="N1300" s="1783"/>
      <c r="O1300" s="1783"/>
      <c r="P1300" s="1783"/>
      <c r="Q1300" s="1783"/>
      <c r="R1300" s="1783"/>
      <c r="S1300" s="1783"/>
      <c r="T1300" s="1783"/>
      <c r="U1300" s="1783"/>
      <c r="V1300" s="1783"/>
      <c r="W1300" s="1783"/>
      <c r="X1300" s="1783"/>
      <c r="Y1300" s="1783"/>
      <c r="Z1300" s="1783"/>
      <c r="AA1300" s="1783"/>
      <c r="AB1300" s="1783"/>
      <c r="AC1300" s="1783"/>
      <c r="AD1300" s="1783"/>
      <c r="AE1300" s="1783"/>
      <c r="AF1300" s="1783"/>
      <c r="AG1300" s="1783"/>
      <c r="AH1300" s="1783"/>
      <c r="AI1300" s="1783"/>
      <c r="AJ1300" s="1783"/>
      <c r="AK1300" s="1783"/>
      <c r="AL1300" s="1783"/>
      <c r="AM1300" s="1783"/>
      <c r="AN1300" s="1783"/>
      <c r="AO1300" s="1783"/>
      <c r="AP1300" s="1783"/>
      <c r="AQ1300" s="1783"/>
      <c r="AR1300" s="1783"/>
      <c r="AS1300" s="1783"/>
      <c r="AT1300" s="1783"/>
      <c r="AU1300" s="1783"/>
      <c r="AV1300" s="1783"/>
      <c r="AW1300" s="1783"/>
      <c r="AX1300" s="1783"/>
      <c r="AY1300" s="1783"/>
      <c r="AZ1300" s="1783"/>
      <c r="BA1300" s="1783"/>
      <c r="BB1300" s="1783"/>
      <c r="BC1300" s="1783"/>
      <c r="BD1300" s="1783"/>
      <c r="BE1300" s="1783"/>
      <c r="BF1300" s="1783"/>
      <c r="BG1300" s="1783"/>
      <c r="BH1300" s="1783"/>
      <c r="BI1300" s="1783"/>
    </row>
    <row r="1301" spans="1:61">
      <c r="A1301" s="1819"/>
      <c r="B1301" s="1818"/>
      <c r="C1301" s="1818"/>
      <c r="D1301" s="1818"/>
      <c r="E1301" s="1818"/>
      <c r="F1301" s="1818"/>
      <c r="G1301" s="1818"/>
      <c r="H1301" s="1783"/>
      <c r="I1301" s="1783"/>
      <c r="J1301" s="1783"/>
      <c r="K1301" s="1783"/>
      <c r="L1301" s="1783"/>
      <c r="M1301" s="1783"/>
      <c r="N1301" s="1783"/>
      <c r="O1301" s="1783"/>
      <c r="P1301" s="1783"/>
      <c r="Q1301" s="1783"/>
      <c r="R1301" s="1783"/>
      <c r="S1301" s="1783"/>
      <c r="T1301" s="1783"/>
      <c r="U1301" s="1783"/>
      <c r="V1301" s="1783"/>
      <c r="W1301" s="1783"/>
      <c r="X1301" s="1783"/>
      <c r="Y1301" s="1783"/>
      <c r="Z1301" s="1783"/>
      <c r="AA1301" s="1783"/>
      <c r="AB1301" s="1783"/>
      <c r="AC1301" s="1783"/>
      <c r="AD1301" s="1783"/>
      <c r="AE1301" s="1783"/>
      <c r="AF1301" s="1783"/>
      <c r="AG1301" s="1783"/>
      <c r="AH1301" s="1783"/>
      <c r="AI1301" s="1783"/>
      <c r="AJ1301" s="1783"/>
      <c r="AK1301" s="1783"/>
      <c r="AL1301" s="1783"/>
      <c r="AM1301" s="1783"/>
      <c r="AN1301" s="1783"/>
      <c r="AO1301" s="1783"/>
      <c r="AP1301" s="1783"/>
      <c r="AQ1301" s="1783"/>
      <c r="AR1301" s="1783"/>
      <c r="AS1301" s="1783"/>
      <c r="AT1301" s="1783"/>
      <c r="AU1301" s="1783"/>
      <c r="AV1301" s="1783"/>
      <c r="AW1301" s="1783"/>
      <c r="AX1301" s="1783"/>
      <c r="AY1301" s="1783"/>
      <c r="AZ1301" s="1783"/>
      <c r="BA1301" s="1783"/>
      <c r="BB1301" s="1783"/>
      <c r="BC1301" s="1783"/>
      <c r="BD1301" s="1783"/>
      <c r="BE1301" s="1783"/>
      <c r="BF1301" s="1783"/>
      <c r="BG1301" s="1783"/>
      <c r="BH1301" s="1783"/>
      <c r="BI1301" s="1783"/>
    </row>
    <row r="1302" spans="1:61">
      <c r="A1302" s="1819"/>
      <c r="B1302" s="1818"/>
      <c r="C1302" s="1818"/>
      <c r="D1302" s="1818"/>
      <c r="E1302" s="1818"/>
      <c r="F1302" s="1818"/>
      <c r="G1302" s="1818"/>
      <c r="H1302" s="1783"/>
      <c r="I1302" s="1783"/>
      <c r="J1302" s="1783"/>
      <c r="K1302" s="1783"/>
      <c r="L1302" s="1783"/>
      <c r="M1302" s="1783"/>
      <c r="N1302" s="1783"/>
      <c r="O1302" s="1783"/>
      <c r="P1302" s="1783"/>
      <c r="Q1302" s="1783"/>
      <c r="R1302" s="1783"/>
      <c r="S1302" s="1783"/>
      <c r="T1302" s="1783"/>
      <c r="U1302" s="1783"/>
      <c r="V1302" s="1783"/>
      <c r="W1302" s="1783"/>
      <c r="X1302" s="1783"/>
      <c r="Y1302" s="1783"/>
      <c r="Z1302" s="1783"/>
      <c r="AA1302" s="1783"/>
      <c r="AB1302" s="1783"/>
      <c r="AC1302" s="1783"/>
      <c r="AD1302" s="1783"/>
      <c r="AE1302" s="1783"/>
      <c r="AF1302" s="1783"/>
      <c r="AG1302" s="1783"/>
      <c r="AH1302" s="1783"/>
      <c r="AI1302" s="1783"/>
      <c r="AJ1302" s="1783"/>
      <c r="AK1302" s="1783"/>
      <c r="AL1302" s="1783"/>
      <c r="AM1302" s="1783"/>
      <c r="AN1302" s="1783"/>
      <c r="AO1302" s="1783"/>
      <c r="AP1302" s="1783"/>
      <c r="AQ1302" s="1783"/>
      <c r="AR1302" s="1783"/>
      <c r="AS1302" s="1783"/>
      <c r="AT1302" s="1783"/>
      <c r="AU1302" s="1783"/>
      <c r="AV1302" s="1783"/>
      <c r="AW1302" s="1783"/>
      <c r="AX1302" s="1783"/>
      <c r="AY1302" s="1783"/>
      <c r="AZ1302" s="1783"/>
      <c r="BA1302" s="1783"/>
      <c r="BB1302" s="1783"/>
      <c r="BC1302" s="1783"/>
      <c r="BD1302" s="1783"/>
      <c r="BE1302" s="1783"/>
      <c r="BF1302" s="1783"/>
      <c r="BG1302" s="1783"/>
      <c r="BH1302" s="1783"/>
      <c r="BI1302" s="1783"/>
    </row>
    <row r="1303" spans="1:61">
      <c r="A1303" s="1819"/>
      <c r="B1303" s="1818"/>
      <c r="C1303" s="1818"/>
      <c r="D1303" s="1818"/>
      <c r="E1303" s="1818"/>
      <c r="F1303" s="1818"/>
      <c r="G1303" s="1818"/>
      <c r="H1303" s="1783"/>
      <c r="I1303" s="1783"/>
      <c r="J1303" s="1783"/>
      <c r="K1303" s="1783"/>
      <c r="L1303" s="1783"/>
      <c r="M1303" s="1783"/>
      <c r="N1303" s="1783"/>
      <c r="O1303" s="1783"/>
      <c r="P1303" s="1783"/>
      <c r="Q1303" s="1783"/>
      <c r="R1303" s="1783"/>
      <c r="S1303" s="1783"/>
      <c r="T1303" s="1783"/>
      <c r="U1303" s="1783"/>
      <c r="V1303" s="1783"/>
      <c r="W1303" s="1783"/>
      <c r="X1303" s="1783"/>
      <c r="Y1303" s="1783"/>
      <c r="Z1303" s="1783"/>
      <c r="AA1303" s="1783"/>
      <c r="AB1303" s="1783"/>
      <c r="AC1303" s="1783"/>
      <c r="AD1303" s="1783"/>
      <c r="AE1303" s="1783"/>
      <c r="AF1303" s="1783"/>
      <c r="AG1303" s="1783"/>
      <c r="AH1303" s="1783"/>
      <c r="AI1303" s="1783"/>
      <c r="AJ1303" s="1783"/>
      <c r="AK1303" s="1783"/>
      <c r="AL1303" s="1783"/>
      <c r="AM1303" s="1783"/>
      <c r="AN1303" s="1783"/>
      <c r="AO1303" s="1783"/>
      <c r="AP1303" s="1783"/>
      <c r="AQ1303" s="1783"/>
      <c r="AR1303" s="1783"/>
      <c r="AS1303" s="1783"/>
      <c r="AT1303" s="1783"/>
      <c r="AU1303" s="1783"/>
      <c r="AV1303" s="1783"/>
      <c r="AW1303" s="1783"/>
      <c r="AX1303" s="1783"/>
      <c r="AY1303" s="1783"/>
      <c r="AZ1303" s="1783"/>
      <c r="BA1303" s="1783"/>
      <c r="BB1303" s="1783"/>
      <c r="BC1303" s="1783"/>
      <c r="BD1303" s="1783"/>
      <c r="BE1303" s="1783"/>
      <c r="BF1303" s="1783"/>
      <c r="BG1303" s="1783"/>
      <c r="BH1303" s="1783"/>
      <c r="BI1303" s="1783"/>
    </row>
    <row r="1304" spans="1:61">
      <c r="A1304" s="1819"/>
      <c r="B1304" s="1818"/>
      <c r="C1304" s="1818"/>
      <c r="D1304" s="1818"/>
      <c r="E1304" s="1818"/>
      <c r="F1304" s="1818"/>
      <c r="G1304" s="1818"/>
      <c r="H1304" s="1783"/>
      <c r="I1304" s="1783"/>
      <c r="J1304" s="1783"/>
      <c r="K1304" s="1783"/>
      <c r="L1304" s="1783"/>
      <c r="M1304" s="1783"/>
      <c r="N1304" s="1783"/>
      <c r="O1304" s="1783"/>
      <c r="P1304" s="1783"/>
      <c r="Q1304" s="1783"/>
      <c r="R1304" s="1783"/>
      <c r="S1304" s="1783"/>
      <c r="T1304" s="1783"/>
      <c r="U1304" s="1783"/>
      <c r="V1304" s="1783"/>
      <c r="W1304" s="1783"/>
      <c r="X1304" s="1783"/>
      <c r="Y1304" s="1783"/>
      <c r="Z1304" s="1783"/>
      <c r="AA1304" s="1783"/>
      <c r="AB1304" s="1783"/>
      <c r="AC1304" s="1783"/>
      <c r="AD1304" s="1783"/>
      <c r="AE1304" s="1783"/>
      <c r="AF1304" s="1783"/>
      <c r="AG1304" s="1783"/>
      <c r="AH1304" s="1783"/>
      <c r="AI1304" s="1783"/>
      <c r="AJ1304" s="1783"/>
      <c r="AK1304" s="1783"/>
      <c r="AL1304" s="1783"/>
      <c r="AM1304" s="1783"/>
      <c r="AN1304" s="1783"/>
      <c r="AO1304" s="1783"/>
      <c r="AP1304" s="1783"/>
      <c r="AQ1304" s="1783"/>
      <c r="AR1304" s="1783"/>
      <c r="AS1304" s="1783"/>
      <c r="AT1304" s="1783"/>
      <c r="AU1304" s="1783"/>
      <c r="AV1304" s="1783"/>
      <c r="AW1304" s="1783"/>
      <c r="AX1304" s="1783"/>
      <c r="AY1304" s="1783"/>
      <c r="AZ1304" s="1783"/>
      <c r="BA1304" s="1783"/>
      <c r="BB1304" s="1783"/>
      <c r="BC1304" s="1783"/>
      <c r="BD1304" s="1783"/>
      <c r="BE1304" s="1783"/>
      <c r="BF1304" s="1783"/>
      <c r="BG1304" s="1783"/>
      <c r="BH1304" s="1783"/>
      <c r="BI1304" s="1783"/>
    </row>
    <row r="1305" spans="1:61">
      <c r="A1305" s="1819"/>
      <c r="B1305" s="1818"/>
      <c r="C1305" s="1818"/>
      <c r="D1305" s="1818"/>
      <c r="E1305" s="1818"/>
      <c r="F1305" s="1818"/>
      <c r="G1305" s="1818"/>
      <c r="H1305" s="1783"/>
      <c r="I1305" s="1783"/>
      <c r="J1305" s="1783"/>
      <c r="K1305" s="1783"/>
      <c r="L1305" s="1783"/>
      <c r="M1305" s="1783"/>
      <c r="N1305" s="1783"/>
      <c r="O1305" s="1783"/>
      <c r="P1305" s="1783"/>
      <c r="Q1305" s="1783"/>
      <c r="R1305" s="1783"/>
      <c r="S1305" s="1783"/>
      <c r="T1305" s="1783"/>
      <c r="U1305" s="1783"/>
      <c r="V1305" s="1783"/>
      <c r="W1305" s="1783"/>
      <c r="X1305" s="1783"/>
      <c r="Y1305" s="1783"/>
      <c r="Z1305" s="1783"/>
      <c r="AA1305" s="1783"/>
      <c r="AB1305" s="1783"/>
      <c r="AC1305" s="1783"/>
      <c r="AD1305" s="1783"/>
      <c r="AE1305" s="1783"/>
      <c r="AF1305" s="1783"/>
      <c r="AG1305" s="1783"/>
      <c r="AH1305" s="1783"/>
      <c r="AI1305" s="1783"/>
      <c r="AJ1305" s="1783"/>
      <c r="AK1305" s="1783"/>
      <c r="AL1305" s="1783"/>
      <c r="AM1305" s="1783"/>
      <c r="AN1305" s="1783"/>
      <c r="AO1305" s="1783"/>
      <c r="AP1305" s="1783"/>
      <c r="AQ1305" s="1783"/>
      <c r="AR1305" s="1783"/>
      <c r="AS1305" s="1783"/>
      <c r="AT1305" s="1783"/>
      <c r="AU1305" s="1783"/>
      <c r="AV1305" s="1783"/>
      <c r="AW1305" s="1783"/>
      <c r="AX1305" s="1783"/>
      <c r="AY1305" s="1783"/>
      <c r="AZ1305" s="1783"/>
      <c r="BA1305" s="1783"/>
      <c r="BB1305" s="1783"/>
      <c r="BC1305" s="1783"/>
      <c r="BD1305" s="1783"/>
      <c r="BE1305" s="1783"/>
      <c r="BF1305" s="1783"/>
      <c r="BG1305" s="1783"/>
      <c r="BH1305" s="1783"/>
      <c r="BI1305" s="1783"/>
    </row>
    <row r="1306" spans="1:61">
      <c r="A1306" s="1819"/>
      <c r="B1306" s="1818"/>
      <c r="C1306" s="1818"/>
      <c r="D1306" s="1818"/>
      <c r="E1306" s="1818"/>
      <c r="F1306" s="1818"/>
      <c r="G1306" s="1818"/>
      <c r="H1306" s="1783"/>
      <c r="I1306" s="1783"/>
      <c r="J1306" s="1783"/>
      <c r="K1306" s="1783"/>
      <c r="L1306" s="1783"/>
      <c r="M1306" s="1783"/>
      <c r="N1306" s="1783"/>
      <c r="O1306" s="1783"/>
      <c r="P1306" s="1783"/>
      <c r="Q1306" s="1783"/>
      <c r="R1306" s="1783"/>
      <c r="S1306" s="1783"/>
      <c r="T1306" s="1783"/>
      <c r="U1306" s="1783"/>
      <c r="V1306" s="1783"/>
      <c r="W1306" s="1783"/>
      <c r="X1306" s="1783"/>
      <c r="Y1306" s="1783"/>
      <c r="Z1306" s="1783"/>
      <c r="AA1306" s="1783"/>
      <c r="AB1306" s="1783"/>
      <c r="AC1306" s="1783"/>
      <c r="AD1306" s="1783"/>
      <c r="AE1306" s="1783"/>
      <c r="AF1306" s="1783"/>
      <c r="AG1306" s="1783"/>
      <c r="AH1306" s="1783"/>
      <c r="AI1306" s="1783"/>
      <c r="AJ1306" s="1783"/>
      <c r="AK1306" s="1783"/>
      <c r="AL1306" s="1783"/>
      <c r="AM1306" s="1783"/>
      <c r="AN1306" s="1783"/>
      <c r="AO1306" s="1783"/>
      <c r="AP1306" s="1783"/>
      <c r="AQ1306" s="1783"/>
      <c r="AR1306" s="1783"/>
      <c r="AS1306" s="1783"/>
      <c r="AT1306" s="1783"/>
      <c r="AU1306" s="1783"/>
      <c r="AV1306" s="1783"/>
      <c r="AW1306" s="1783"/>
      <c r="AX1306" s="1783"/>
      <c r="AY1306" s="1783"/>
      <c r="AZ1306" s="1783"/>
      <c r="BA1306" s="1783"/>
      <c r="BB1306" s="1783"/>
      <c r="BC1306" s="1783"/>
      <c r="BD1306" s="1783"/>
      <c r="BE1306" s="1783"/>
      <c r="BF1306" s="1783"/>
      <c r="BG1306" s="1783"/>
      <c r="BH1306" s="1783"/>
      <c r="BI1306" s="1783"/>
    </row>
    <row r="1307" spans="1:61">
      <c r="A1307" s="1819"/>
      <c r="B1307" s="1818"/>
      <c r="C1307" s="1818"/>
      <c r="D1307" s="1818"/>
      <c r="E1307" s="1818"/>
      <c r="F1307" s="1818"/>
      <c r="G1307" s="1818"/>
      <c r="H1307" s="1783"/>
      <c r="I1307" s="1783"/>
      <c r="J1307" s="1783"/>
      <c r="K1307" s="1783"/>
      <c r="L1307" s="1783"/>
      <c r="M1307" s="1783"/>
      <c r="N1307" s="1783"/>
      <c r="O1307" s="1783"/>
      <c r="P1307" s="1783"/>
      <c r="Q1307" s="1783"/>
      <c r="R1307" s="1783"/>
      <c r="S1307" s="1783"/>
      <c r="T1307" s="1783"/>
      <c r="U1307" s="1783"/>
      <c r="V1307" s="1783"/>
      <c r="W1307" s="1783"/>
      <c r="X1307" s="1783"/>
      <c r="Y1307" s="1783"/>
      <c r="Z1307" s="1783"/>
      <c r="AA1307" s="1783"/>
      <c r="AB1307" s="1783"/>
      <c r="AC1307" s="1783"/>
      <c r="AD1307" s="1783"/>
      <c r="AE1307" s="1783"/>
      <c r="AF1307" s="1783"/>
      <c r="AG1307" s="1783"/>
      <c r="AH1307" s="1783"/>
      <c r="AI1307" s="1783"/>
      <c r="AJ1307" s="1783"/>
      <c r="AK1307" s="1783"/>
      <c r="AL1307" s="1783"/>
      <c r="AM1307" s="1783"/>
      <c r="AN1307" s="1783"/>
      <c r="AO1307" s="1783"/>
      <c r="AP1307" s="1783"/>
      <c r="AQ1307" s="1783"/>
      <c r="AR1307" s="1783"/>
      <c r="AS1307" s="1783"/>
      <c r="AT1307" s="1783"/>
      <c r="AU1307" s="1783"/>
      <c r="AV1307" s="1783"/>
      <c r="AW1307" s="1783"/>
      <c r="AX1307" s="1783"/>
      <c r="AY1307" s="1783"/>
      <c r="AZ1307" s="1783"/>
      <c r="BA1307" s="1783"/>
      <c r="BB1307" s="1783"/>
      <c r="BC1307" s="1783"/>
      <c r="BD1307" s="1783"/>
      <c r="BE1307" s="1783"/>
      <c r="BF1307" s="1783"/>
      <c r="BG1307" s="1783"/>
      <c r="BH1307" s="1783"/>
      <c r="BI1307" s="1783"/>
    </row>
    <row r="1308" spans="1:61">
      <c r="A1308" s="1819"/>
      <c r="B1308" s="1818"/>
      <c r="C1308" s="1818"/>
      <c r="D1308" s="1818"/>
      <c r="E1308" s="1818"/>
      <c r="F1308" s="1818"/>
      <c r="G1308" s="1818"/>
      <c r="H1308" s="1783"/>
      <c r="I1308" s="1783"/>
      <c r="J1308" s="1783"/>
      <c r="K1308" s="1783"/>
      <c r="L1308" s="1783"/>
      <c r="M1308" s="1783"/>
      <c r="N1308" s="1783"/>
      <c r="O1308" s="1783"/>
      <c r="P1308" s="1783"/>
      <c r="Q1308" s="1783"/>
      <c r="R1308" s="1783"/>
      <c r="S1308" s="1783"/>
      <c r="T1308" s="1783"/>
      <c r="U1308" s="1783"/>
      <c r="V1308" s="1783"/>
      <c r="W1308" s="1783"/>
      <c r="X1308" s="1783"/>
      <c r="Y1308" s="1783"/>
      <c r="Z1308" s="1783"/>
      <c r="AA1308" s="1783"/>
      <c r="AB1308" s="1783"/>
      <c r="AC1308" s="1783"/>
      <c r="AD1308" s="1783"/>
      <c r="AE1308" s="1783"/>
      <c r="AF1308" s="1783"/>
      <c r="AG1308" s="1783"/>
      <c r="AH1308" s="1783"/>
      <c r="AI1308" s="1783"/>
      <c r="AJ1308" s="1783"/>
      <c r="AK1308" s="1783"/>
      <c r="AL1308" s="1783"/>
      <c r="AM1308" s="1783"/>
      <c r="AN1308" s="1783"/>
      <c r="AO1308" s="1783"/>
      <c r="AP1308" s="1783"/>
      <c r="AQ1308" s="1783"/>
      <c r="AR1308" s="1783"/>
      <c r="AS1308" s="1783"/>
      <c r="AT1308" s="1783"/>
      <c r="AU1308" s="1783"/>
      <c r="AV1308" s="1783"/>
      <c r="AW1308" s="1783"/>
      <c r="AX1308" s="1783"/>
      <c r="AY1308" s="1783"/>
      <c r="AZ1308" s="1783"/>
      <c r="BA1308" s="1783"/>
      <c r="BB1308" s="1783"/>
      <c r="BC1308" s="1783"/>
      <c r="BD1308" s="1783"/>
      <c r="BE1308" s="1783"/>
      <c r="BF1308" s="1783"/>
      <c r="BG1308" s="1783"/>
      <c r="BH1308" s="1783"/>
      <c r="BI1308" s="1783"/>
    </row>
    <row r="1309" spans="1:61">
      <c r="A1309" s="1819"/>
      <c r="B1309" s="1818"/>
      <c r="C1309" s="1818"/>
      <c r="D1309" s="1818"/>
      <c r="E1309" s="1818"/>
      <c r="F1309" s="1818"/>
      <c r="G1309" s="1818"/>
      <c r="H1309" s="1783"/>
      <c r="I1309" s="1783"/>
      <c r="J1309" s="1783"/>
      <c r="K1309" s="1783"/>
      <c r="L1309" s="1783"/>
      <c r="M1309" s="1783"/>
      <c r="N1309" s="1783"/>
      <c r="O1309" s="1783"/>
      <c r="P1309" s="1783"/>
      <c r="Q1309" s="1783"/>
      <c r="R1309" s="1783"/>
      <c r="S1309" s="1783"/>
      <c r="T1309" s="1783"/>
      <c r="U1309" s="1783"/>
      <c r="V1309" s="1783"/>
      <c r="W1309" s="1783"/>
      <c r="X1309" s="1783"/>
      <c r="Y1309" s="1783"/>
      <c r="Z1309" s="1783"/>
      <c r="AA1309" s="1783"/>
      <c r="AB1309" s="1783"/>
      <c r="AC1309" s="1783"/>
      <c r="AD1309" s="1783"/>
      <c r="AE1309" s="1783"/>
      <c r="AF1309" s="1783"/>
      <c r="AG1309" s="1783"/>
      <c r="AH1309" s="1783"/>
      <c r="AI1309" s="1783"/>
      <c r="AJ1309" s="1783"/>
      <c r="AK1309" s="1783"/>
      <c r="AL1309" s="1783"/>
      <c r="AM1309" s="1783"/>
      <c r="AN1309" s="1783"/>
      <c r="AO1309" s="1783"/>
      <c r="AP1309" s="1783"/>
      <c r="AQ1309" s="1783"/>
      <c r="AR1309" s="1783"/>
      <c r="AS1309" s="1783"/>
      <c r="AT1309" s="1783"/>
      <c r="AU1309" s="1783"/>
      <c r="AV1309" s="1783"/>
      <c r="AW1309" s="1783"/>
      <c r="AX1309" s="1783"/>
      <c r="AY1309" s="1783"/>
      <c r="AZ1309" s="1783"/>
      <c r="BA1309" s="1783"/>
      <c r="BB1309" s="1783"/>
      <c r="BC1309" s="1783"/>
      <c r="BD1309" s="1783"/>
      <c r="BE1309" s="1783"/>
      <c r="BF1309" s="1783"/>
      <c r="BG1309" s="1783"/>
      <c r="BH1309" s="1783"/>
      <c r="BI1309" s="1783"/>
    </row>
    <row r="1310" spans="1:61">
      <c r="A1310" s="1819"/>
      <c r="B1310" s="1818"/>
      <c r="C1310" s="1818"/>
      <c r="D1310" s="1818"/>
      <c r="E1310" s="1818"/>
      <c r="F1310" s="1818"/>
      <c r="G1310" s="1818"/>
      <c r="H1310" s="1783"/>
      <c r="I1310" s="1783"/>
      <c r="J1310" s="1783"/>
      <c r="K1310" s="1783"/>
      <c r="L1310" s="1783"/>
      <c r="M1310" s="1783"/>
      <c r="N1310" s="1783"/>
      <c r="O1310" s="1783"/>
      <c r="P1310" s="1783"/>
      <c r="Q1310" s="1783"/>
      <c r="R1310" s="1783"/>
      <c r="S1310" s="1783"/>
      <c r="T1310" s="1783"/>
      <c r="U1310" s="1783"/>
      <c r="V1310" s="1783"/>
      <c r="W1310" s="1783"/>
      <c r="X1310" s="1783"/>
      <c r="Y1310" s="1783"/>
      <c r="Z1310" s="1783"/>
      <c r="AA1310" s="1783"/>
      <c r="AB1310" s="1783"/>
      <c r="AC1310" s="1783"/>
      <c r="AD1310" s="1783"/>
      <c r="AE1310" s="1783"/>
      <c r="AF1310" s="1783"/>
      <c r="AG1310" s="1783"/>
      <c r="AH1310" s="1783"/>
      <c r="AI1310" s="1783"/>
      <c r="AJ1310" s="1783"/>
      <c r="AK1310" s="1783"/>
      <c r="AL1310" s="1783"/>
      <c r="AM1310" s="1783"/>
      <c r="AN1310" s="1783"/>
      <c r="AO1310" s="1783"/>
      <c r="AP1310" s="1783"/>
      <c r="AQ1310" s="1783"/>
      <c r="AR1310" s="1783"/>
      <c r="AS1310" s="1783"/>
      <c r="AT1310" s="1783"/>
      <c r="AU1310" s="1783"/>
      <c r="AV1310" s="1783"/>
      <c r="AW1310" s="1783"/>
      <c r="AX1310" s="1783"/>
      <c r="AY1310" s="1783"/>
      <c r="AZ1310" s="1783"/>
      <c r="BA1310" s="1783"/>
      <c r="BB1310" s="1783"/>
      <c r="BC1310" s="1783"/>
      <c r="BD1310" s="1783"/>
      <c r="BE1310" s="1783"/>
      <c r="BF1310" s="1783"/>
      <c r="BG1310" s="1783"/>
      <c r="BH1310" s="1783"/>
      <c r="BI1310" s="1783"/>
    </row>
    <row r="1311" spans="1:61">
      <c r="A1311" s="1819"/>
      <c r="B1311" s="1818"/>
      <c r="C1311" s="1818"/>
      <c r="D1311" s="1818"/>
      <c r="E1311" s="1818"/>
      <c r="F1311" s="1818"/>
      <c r="G1311" s="1818"/>
      <c r="H1311" s="1783"/>
      <c r="I1311" s="1783"/>
      <c r="J1311" s="1783"/>
      <c r="K1311" s="1783"/>
      <c r="L1311" s="1783"/>
      <c r="M1311" s="1783"/>
      <c r="N1311" s="1783"/>
      <c r="O1311" s="1783"/>
      <c r="P1311" s="1783"/>
      <c r="Q1311" s="1783"/>
      <c r="R1311" s="1783"/>
      <c r="S1311" s="1783"/>
      <c r="T1311" s="1783"/>
      <c r="U1311" s="1783"/>
      <c r="V1311" s="1783"/>
      <c r="W1311" s="1783"/>
      <c r="X1311" s="1783"/>
      <c r="Y1311" s="1783"/>
      <c r="Z1311" s="1783"/>
      <c r="AA1311" s="1783"/>
      <c r="AB1311" s="1783"/>
      <c r="AC1311" s="1783"/>
      <c r="AD1311" s="1783"/>
      <c r="AE1311" s="1783"/>
      <c r="AF1311" s="1783"/>
      <c r="AG1311" s="1783"/>
      <c r="AH1311" s="1783"/>
      <c r="AI1311" s="1783"/>
      <c r="AJ1311" s="1783"/>
      <c r="AK1311" s="1783"/>
      <c r="AL1311" s="1783"/>
      <c r="AM1311" s="1783"/>
      <c r="AN1311" s="1783"/>
      <c r="AO1311" s="1783"/>
      <c r="AP1311" s="1783"/>
      <c r="AQ1311" s="1783"/>
      <c r="AR1311" s="1783"/>
      <c r="AS1311" s="1783"/>
      <c r="AT1311" s="1783"/>
      <c r="AU1311" s="1783"/>
      <c r="AV1311" s="1783"/>
      <c r="AW1311" s="1783"/>
      <c r="AX1311" s="1783"/>
      <c r="AY1311" s="1783"/>
      <c r="AZ1311" s="1783"/>
      <c r="BA1311" s="1783"/>
      <c r="BB1311" s="1783"/>
      <c r="BC1311" s="1783"/>
      <c r="BD1311" s="1783"/>
      <c r="BE1311" s="1783"/>
      <c r="BF1311" s="1783"/>
      <c r="BG1311" s="1783"/>
      <c r="BH1311" s="1783"/>
      <c r="BI1311" s="1783"/>
    </row>
    <row r="1312" spans="1:61">
      <c r="A1312" s="1819"/>
      <c r="B1312" s="1818"/>
      <c r="C1312" s="1818"/>
      <c r="D1312" s="1818"/>
      <c r="E1312" s="1818"/>
      <c r="F1312" s="1818"/>
      <c r="G1312" s="1818"/>
      <c r="H1312" s="1783"/>
      <c r="I1312" s="1783"/>
      <c r="J1312" s="1783"/>
      <c r="K1312" s="1783"/>
      <c r="L1312" s="1783"/>
      <c r="M1312" s="1783"/>
      <c r="N1312" s="1783"/>
      <c r="O1312" s="1783"/>
      <c r="P1312" s="1783"/>
      <c r="Q1312" s="1783"/>
      <c r="R1312" s="1783"/>
      <c r="S1312" s="1783"/>
      <c r="T1312" s="1783"/>
      <c r="U1312" s="1783"/>
      <c r="V1312" s="1783"/>
      <c r="W1312" s="1783"/>
      <c r="X1312" s="1783"/>
      <c r="Y1312" s="1783"/>
      <c r="Z1312" s="1783"/>
      <c r="AA1312" s="1783"/>
      <c r="AB1312" s="1783"/>
      <c r="AC1312" s="1783"/>
      <c r="AD1312" s="1783"/>
      <c r="AE1312" s="1783"/>
      <c r="AF1312" s="1783"/>
      <c r="AG1312" s="1783"/>
      <c r="AH1312" s="1783"/>
      <c r="AI1312" s="1783"/>
      <c r="AJ1312" s="1783"/>
      <c r="AK1312" s="1783"/>
      <c r="AL1312" s="1783"/>
      <c r="AM1312" s="1783"/>
      <c r="AN1312" s="1783"/>
      <c r="AO1312" s="1783"/>
      <c r="AP1312" s="1783"/>
      <c r="AQ1312" s="1783"/>
      <c r="AR1312" s="1783"/>
      <c r="AS1312" s="1783"/>
      <c r="AT1312" s="1783"/>
      <c r="AU1312" s="1783"/>
      <c r="AV1312" s="1783"/>
      <c r="AW1312" s="1783"/>
      <c r="AX1312" s="1783"/>
      <c r="AY1312" s="1783"/>
      <c r="AZ1312" s="1783"/>
      <c r="BA1312" s="1783"/>
      <c r="BB1312" s="1783"/>
      <c r="BC1312" s="1783"/>
      <c r="BD1312" s="1783"/>
      <c r="BE1312" s="1783"/>
      <c r="BF1312" s="1783"/>
      <c r="BG1312" s="1783"/>
      <c r="BH1312" s="1783"/>
      <c r="BI1312" s="1783"/>
    </row>
    <row r="1313" spans="1:61">
      <c r="A1313" s="1819"/>
      <c r="B1313" s="1818"/>
      <c r="C1313" s="1818"/>
      <c r="D1313" s="1818"/>
      <c r="E1313" s="1818"/>
      <c r="F1313" s="1818"/>
      <c r="G1313" s="1818"/>
      <c r="H1313" s="1783"/>
      <c r="I1313" s="1783"/>
      <c r="J1313" s="1783"/>
      <c r="K1313" s="1783"/>
      <c r="L1313" s="1783"/>
      <c r="M1313" s="1783"/>
      <c r="N1313" s="1783"/>
      <c r="O1313" s="1783"/>
      <c r="P1313" s="1783"/>
      <c r="Q1313" s="1783"/>
      <c r="R1313" s="1783"/>
      <c r="S1313" s="1783"/>
      <c r="T1313" s="1783"/>
      <c r="U1313" s="1783"/>
      <c r="V1313" s="1783"/>
      <c r="W1313" s="1783"/>
      <c r="X1313" s="1783"/>
      <c r="Y1313" s="1783"/>
      <c r="Z1313" s="1783"/>
      <c r="AA1313" s="1783"/>
      <c r="AB1313" s="1783"/>
      <c r="AC1313" s="1783"/>
      <c r="AD1313" s="1783"/>
      <c r="AE1313" s="1783"/>
      <c r="AF1313" s="1783"/>
      <c r="AG1313" s="1783"/>
      <c r="AH1313" s="1783"/>
      <c r="AI1313" s="1783"/>
      <c r="AJ1313" s="1783"/>
      <c r="AK1313" s="1783"/>
      <c r="AL1313" s="1783"/>
      <c r="AM1313" s="1783"/>
      <c r="AN1313" s="1783"/>
      <c r="AO1313" s="1783"/>
      <c r="AP1313" s="1783"/>
      <c r="AQ1313" s="1783"/>
      <c r="AR1313" s="1783"/>
      <c r="AS1313" s="1783"/>
      <c r="AT1313" s="1783"/>
      <c r="AU1313" s="1783"/>
      <c r="AV1313" s="1783"/>
      <c r="AW1313" s="1783"/>
      <c r="AX1313" s="1783"/>
      <c r="AY1313" s="1783"/>
      <c r="AZ1313" s="1783"/>
      <c r="BA1313" s="1783"/>
      <c r="BB1313" s="1783"/>
      <c r="BC1313" s="1783"/>
      <c r="BD1313" s="1783"/>
      <c r="BE1313" s="1783"/>
      <c r="BF1313" s="1783"/>
      <c r="BG1313" s="1783"/>
      <c r="BH1313" s="1783"/>
      <c r="BI1313" s="1783"/>
    </row>
    <row r="1314" spans="1:61">
      <c r="A1314" s="1819"/>
      <c r="B1314" s="1818"/>
      <c r="C1314" s="1818"/>
      <c r="D1314" s="1818"/>
      <c r="E1314" s="1818"/>
      <c r="F1314" s="1818"/>
      <c r="G1314" s="1818"/>
      <c r="H1314" s="1783"/>
      <c r="I1314" s="1783"/>
      <c r="J1314" s="1783"/>
      <c r="K1314" s="1783"/>
      <c r="L1314" s="1783"/>
      <c r="M1314" s="1783"/>
      <c r="N1314" s="1783"/>
      <c r="O1314" s="1783"/>
      <c r="P1314" s="1783"/>
      <c r="Q1314" s="1783"/>
      <c r="R1314" s="1783"/>
      <c r="S1314" s="1783"/>
      <c r="T1314" s="1783"/>
      <c r="U1314" s="1783"/>
      <c r="V1314" s="1783"/>
      <c r="W1314" s="1783"/>
      <c r="X1314" s="1783"/>
      <c r="Y1314" s="1783"/>
      <c r="Z1314" s="1783"/>
      <c r="AA1314" s="1783"/>
      <c r="AB1314" s="1783"/>
      <c r="AC1314" s="1783"/>
      <c r="AD1314" s="1783"/>
      <c r="AE1314" s="1783"/>
      <c r="AF1314" s="1783"/>
      <c r="AG1314" s="1783"/>
      <c r="AH1314" s="1783"/>
      <c r="AI1314" s="1783"/>
      <c r="AJ1314" s="1783"/>
      <c r="AK1314" s="1783"/>
      <c r="AL1314" s="1783"/>
      <c r="AM1314" s="1783"/>
      <c r="AN1314" s="1783"/>
      <c r="AO1314" s="1783"/>
      <c r="AP1314" s="1783"/>
      <c r="AQ1314" s="1783"/>
      <c r="AR1314" s="1783"/>
      <c r="AS1314" s="1783"/>
      <c r="AT1314" s="1783"/>
      <c r="AU1314" s="1783"/>
      <c r="AV1314" s="1783"/>
      <c r="AW1314" s="1783"/>
      <c r="AX1314" s="1783"/>
      <c r="AY1314" s="1783"/>
      <c r="AZ1314" s="1783"/>
      <c r="BA1314" s="1783"/>
      <c r="BB1314" s="1783"/>
      <c r="BC1314" s="1783"/>
      <c r="BD1314" s="1783"/>
      <c r="BE1314" s="1783"/>
      <c r="BF1314" s="1783"/>
      <c r="BG1314" s="1783"/>
      <c r="BH1314" s="1783"/>
      <c r="BI1314" s="1783"/>
    </row>
    <row r="1315" spans="1:61">
      <c r="A1315" s="1819"/>
      <c r="B1315" s="1818"/>
      <c r="C1315" s="1818"/>
      <c r="D1315" s="1818"/>
      <c r="E1315" s="1818"/>
      <c r="F1315" s="1818"/>
      <c r="G1315" s="1818"/>
      <c r="H1315" s="1783"/>
      <c r="I1315" s="1783"/>
      <c r="J1315" s="1783"/>
      <c r="K1315" s="1783"/>
      <c r="L1315" s="1783"/>
      <c r="M1315" s="1783"/>
      <c r="N1315" s="1783"/>
      <c r="O1315" s="1783"/>
      <c r="P1315" s="1783"/>
      <c r="Q1315" s="1783"/>
      <c r="R1315" s="1783"/>
      <c r="S1315" s="1783"/>
      <c r="T1315" s="1783"/>
      <c r="U1315" s="1783"/>
      <c r="V1315" s="1783"/>
      <c r="W1315" s="1783"/>
      <c r="X1315" s="1783"/>
      <c r="Y1315" s="1783"/>
      <c r="Z1315" s="1783"/>
      <c r="AA1315" s="1783"/>
      <c r="AB1315" s="1783"/>
      <c r="AC1315" s="1783"/>
      <c r="AD1315" s="1783"/>
      <c r="AE1315" s="1783"/>
      <c r="AF1315" s="1783"/>
      <c r="AG1315" s="1783"/>
      <c r="AH1315" s="1783"/>
      <c r="AI1315" s="1783"/>
      <c r="AJ1315" s="1783"/>
      <c r="AK1315" s="1783"/>
      <c r="AL1315" s="1783"/>
      <c r="AM1315" s="1783"/>
      <c r="AN1315" s="1783"/>
      <c r="AO1315" s="1783"/>
      <c r="AP1315" s="1783"/>
      <c r="AQ1315" s="1783"/>
      <c r="AR1315" s="1783"/>
      <c r="AS1315" s="1783"/>
      <c r="AT1315" s="1783"/>
      <c r="AU1315" s="1783"/>
      <c r="AV1315" s="1783"/>
      <c r="AW1315" s="1783"/>
      <c r="AX1315" s="1783"/>
      <c r="AY1315" s="1783"/>
      <c r="AZ1315" s="1783"/>
      <c r="BA1315" s="1783"/>
      <c r="BB1315" s="1783"/>
      <c r="BC1315" s="1783"/>
      <c r="BD1315" s="1783"/>
      <c r="BE1315" s="1783"/>
      <c r="BF1315" s="1783"/>
      <c r="BG1315" s="1783"/>
      <c r="BH1315" s="1783"/>
      <c r="BI1315" s="1783"/>
    </row>
    <row r="1316" spans="1:61">
      <c r="A1316" s="1819"/>
      <c r="B1316" s="1818"/>
      <c r="C1316" s="1818"/>
      <c r="D1316" s="1818"/>
      <c r="E1316" s="1818"/>
      <c r="F1316" s="1818"/>
      <c r="G1316" s="1818"/>
      <c r="H1316" s="1783"/>
      <c r="I1316" s="1783"/>
      <c r="J1316" s="1783"/>
      <c r="K1316" s="1783"/>
      <c r="L1316" s="1783"/>
      <c r="M1316" s="1783"/>
      <c r="N1316" s="1783"/>
      <c r="O1316" s="1783"/>
      <c r="P1316" s="1783"/>
      <c r="Q1316" s="1783"/>
      <c r="R1316" s="1783"/>
      <c r="S1316" s="1783"/>
      <c r="T1316" s="1783"/>
      <c r="U1316" s="1783"/>
      <c r="V1316" s="1783"/>
      <c r="W1316" s="1783"/>
      <c r="X1316" s="1783"/>
      <c r="Y1316" s="1783"/>
      <c r="Z1316" s="1783"/>
      <c r="AA1316" s="1783"/>
      <c r="AB1316" s="1783"/>
      <c r="AC1316" s="1783"/>
      <c r="AD1316" s="1783"/>
      <c r="AE1316" s="1783"/>
      <c r="AF1316" s="1783"/>
      <c r="AG1316" s="1783"/>
      <c r="AH1316" s="1783"/>
      <c r="AI1316" s="1783"/>
      <c r="AJ1316" s="1783"/>
      <c r="AK1316" s="1783"/>
      <c r="AL1316" s="1783"/>
      <c r="AM1316" s="1783"/>
      <c r="AN1316" s="1783"/>
      <c r="AO1316" s="1783"/>
      <c r="AP1316" s="1783"/>
      <c r="AQ1316" s="1783"/>
      <c r="AR1316" s="1783"/>
      <c r="AS1316" s="1783"/>
      <c r="AT1316" s="1783"/>
      <c r="AU1316" s="1783"/>
      <c r="AV1316" s="1783"/>
      <c r="AW1316" s="1783"/>
      <c r="AX1316" s="1783"/>
      <c r="AY1316" s="1783"/>
      <c r="AZ1316" s="1783"/>
      <c r="BA1316" s="1783"/>
      <c r="BB1316" s="1783"/>
      <c r="BC1316" s="1783"/>
      <c r="BD1316" s="1783"/>
      <c r="BE1316" s="1783"/>
      <c r="BF1316" s="1783"/>
      <c r="BG1316" s="1783"/>
      <c r="BH1316" s="1783"/>
      <c r="BI1316" s="1783"/>
    </row>
    <row r="1317" spans="1:61">
      <c r="A1317" s="1819"/>
      <c r="B1317" s="1818"/>
      <c r="C1317" s="1818"/>
      <c r="D1317" s="1818"/>
      <c r="E1317" s="1818"/>
      <c r="F1317" s="1818"/>
      <c r="G1317" s="1818"/>
      <c r="H1317" s="1783"/>
      <c r="I1317" s="1783"/>
      <c r="J1317" s="1783"/>
      <c r="K1317" s="1783"/>
      <c r="L1317" s="1783"/>
      <c r="M1317" s="1783"/>
      <c r="N1317" s="1783"/>
      <c r="O1317" s="1783"/>
      <c r="P1317" s="1783"/>
      <c r="Q1317" s="1783"/>
      <c r="R1317" s="1783"/>
      <c r="S1317" s="1783"/>
      <c r="T1317" s="1783"/>
      <c r="U1317" s="1783"/>
      <c r="V1317" s="1783"/>
      <c r="W1317" s="1783"/>
      <c r="X1317" s="1783"/>
      <c r="Y1317" s="1783"/>
      <c r="Z1317" s="1783"/>
      <c r="AA1317" s="1783"/>
      <c r="AB1317" s="1783"/>
      <c r="AC1317" s="1783"/>
      <c r="AD1317" s="1783"/>
      <c r="AE1317" s="1783"/>
      <c r="AF1317" s="1783"/>
      <c r="AG1317" s="1783"/>
      <c r="AH1317" s="1783"/>
      <c r="AI1317" s="1783"/>
      <c r="AJ1317" s="1783"/>
      <c r="AK1317" s="1783"/>
      <c r="AL1317" s="1783"/>
      <c r="AM1317" s="1783"/>
      <c r="AN1317" s="1783"/>
      <c r="AO1317" s="1783"/>
      <c r="AP1317" s="1783"/>
      <c r="AQ1317" s="1783"/>
      <c r="AR1317" s="1783"/>
      <c r="AS1317" s="1783"/>
      <c r="AT1317" s="1783"/>
      <c r="AU1317" s="1783"/>
      <c r="AV1317" s="1783"/>
      <c r="AW1317" s="1783"/>
      <c r="AX1317" s="1783"/>
      <c r="AY1317" s="1783"/>
      <c r="AZ1317" s="1783"/>
      <c r="BA1317" s="1783"/>
      <c r="BB1317" s="1783"/>
      <c r="BC1317" s="1783"/>
      <c r="BD1317" s="1783"/>
      <c r="BE1317" s="1783"/>
      <c r="BF1317" s="1783"/>
      <c r="BG1317" s="1783"/>
      <c r="BH1317" s="1783"/>
      <c r="BI1317" s="1783"/>
    </row>
    <row r="1318" spans="1:61">
      <c r="A1318" s="1819"/>
      <c r="B1318" s="1818"/>
      <c r="C1318" s="1818"/>
      <c r="D1318" s="1818"/>
      <c r="E1318" s="1818"/>
      <c r="F1318" s="1818"/>
      <c r="G1318" s="1818"/>
      <c r="H1318" s="1783"/>
      <c r="I1318" s="1783"/>
      <c r="J1318" s="1783"/>
      <c r="K1318" s="1783"/>
      <c r="L1318" s="1783"/>
      <c r="M1318" s="1783"/>
      <c r="N1318" s="1783"/>
      <c r="O1318" s="1783"/>
      <c r="P1318" s="1783"/>
      <c r="Q1318" s="1783"/>
      <c r="R1318" s="1783"/>
      <c r="S1318" s="1783"/>
      <c r="T1318" s="1783"/>
      <c r="U1318" s="1783"/>
      <c r="V1318" s="1783"/>
      <c r="W1318" s="1783"/>
      <c r="X1318" s="1783"/>
      <c r="Y1318" s="1783"/>
      <c r="Z1318" s="1783"/>
      <c r="AA1318" s="1783"/>
      <c r="AB1318" s="1783"/>
      <c r="AC1318" s="1783"/>
      <c r="AD1318" s="1783"/>
      <c r="AE1318" s="1783"/>
      <c r="AF1318" s="1783"/>
      <c r="AG1318" s="1783"/>
      <c r="AH1318" s="1783"/>
      <c r="AI1318" s="1783"/>
      <c r="AJ1318" s="1783"/>
      <c r="AK1318" s="1783"/>
      <c r="AL1318" s="1783"/>
      <c r="AM1318" s="1783"/>
      <c r="AN1318" s="1783"/>
      <c r="AO1318" s="1783"/>
      <c r="AP1318" s="1783"/>
      <c r="AQ1318" s="1783"/>
      <c r="AR1318" s="1783"/>
      <c r="AS1318" s="1783"/>
      <c r="AT1318" s="1783"/>
      <c r="AU1318" s="1783"/>
      <c r="AV1318" s="1783"/>
      <c r="AW1318" s="1783"/>
      <c r="AX1318" s="1783"/>
      <c r="AY1318" s="1783"/>
      <c r="AZ1318" s="1783"/>
      <c r="BA1318" s="1783"/>
      <c r="BB1318" s="1783"/>
      <c r="BC1318" s="1783"/>
      <c r="BD1318" s="1783"/>
      <c r="BE1318" s="1783"/>
      <c r="BF1318" s="1783"/>
      <c r="BG1318" s="1783"/>
      <c r="BH1318" s="1783"/>
      <c r="BI1318" s="1783"/>
    </row>
    <row r="1319" spans="1:61">
      <c r="A1319" s="1819"/>
      <c r="B1319" s="1818"/>
      <c r="C1319" s="1818"/>
      <c r="D1319" s="1818"/>
      <c r="E1319" s="1818"/>
      <c r="F1319" s="1818"/>
      <c r="G1319" s="1818"/>
      <c r="H1319" s="1783"/>
      <c r="I1319" s="1783"/>
      <c r="J1319" s="1783"/>
      <c r="K1319" s="1783"/>
      <c r="L1319" s="1783"/>
      <c r="M1319" s="1783"/>
      <c r="N1319" s="1783"/>
      <c r="O1319" s="1783"/>
      <c r="P1319" s="1783"/>
      <c r="Q1319" s="1783"/>
      <c r="R1319" s="1783"/>
      <c r="S1319" s="1783"/>
      <c r="T1319" s="1783"/>
      <c r="U1319" s="1783"/>
      <c r="V1319" s="1783"/>
      <c r="W1319" s="1783"/>
      <c r="X1319" s="1783"/>
      <c r="Y1319" s="1783"/>
      <c r="Z1319" s="1783"/>
      <c r="AA1319" s="1783"/>
      <c r="AB1319" s="1783"/>
      <c r="AC1319" s="1783"/>
      <c r="AD1319" s="1783"/>
      <c r="AE1319" s="1783"/>
      <c r="AF1319" s="1783"/>
      <c r="AG1319" s="1783"/>
      <c r="AH1319" s="1783"/>
      <c r="AI1319" s="1783"/>
      <c r="AJ1319" s="1783"/>
      <c r="AK1319" s="1783"/>
      <c r="AL1319" s="1783"/>
      <c r="AM1319" s="1783"/>
      <c r="AN1319" s="1783"/>
      <c r="AO1319" s="1783"/>
      <c r="AP1319" s="1783"/>
      <c r="AQ1319" s="1783"/>
      <c r="AR1319" s="1783"/>
      <c r="AS1319" s="1783"/>
      <c r="AT1319" s="1783"/>
      <c r="AU1319" s="1783"/>
      <c r="AV1319" s="1783"/>
      <c r="AW1319" s="1783"/>
      <c r="AX1319" s="1783"/>
      <c r="AY1319" s="1783"/>
      <c r="AZ1319" s="1783"/>
      <c r="BA1319" s="1783"/>
      <c r="BB1319" s="1783"/>
      <c r="BC1319" s="1783"/>
      <c r="BD1319" s="1783"/>
      <c r="BE1319" s="1783"/>
      <c r="BF1319" s="1783"/>
      <c r="BG1319" s="1783"/>
      <c r="BH1319" s="1783"/>
      <c r="BI1319" s="1783"/>
    </row>
    <row r="1320" spans="1:61">
      <c r="A1320" s="1819"/>
      <c r="B1320" s="1818"/>
      <c r="C1320" s="1818"/>
      <c r="D1320" s="1818"/>
      <c r="E1320" s="1818"/>
      <c r="F1320" s="1818"/>
      <c r="G1320" s="1818"/>
      <c r="H1320" s="1783"/>
      <c r="I1320" s="1783"/>
      <c r="J1320" s="1783"/>
      <c r="K1320" s="1783"/>
      <c r="L1320" s="1783"/>
      <c r="M1320" s="1783"/>
      <c r="N1320" s="1783"/>
      <c r="O1320" s="1783"/>
      <c r="P1320" s="1783"/>
      <c r="Q1320" s="1783"/>
      <c r="R1320" s="1783"/>
      <c r="S1320" s="1783"/>
      <c r="T1320" s="1783"/>
      <c r="U1320" s="1783"/>
      <c r="V1320" s="1783"/>
      <c r="W1320" s="1783"/>
      <c r="X1320" s="1783"/>
      <c r="Y1320" s="1783"/>
      <c r="Z1320" s="1783"/>
      <c r="AA1320" s="1783"/>
      <c r="AB1320" s="1783"/>
      <c r="AC1320" s="1783"/>
      <c r="AD1320" s="1783"/>
      <c r="AE1320" s="1783"/>
      <c r="AF1320" s="1783"/>
      <c r="AG1320" s="1783"/>
      <c r="AH1320" s="1783"/>
      <c r="AI1320" s="1783"/>
      <c r="AJ1320" s="1783"/>
      <c r="AK1320" s="1783"/>
      <c r="AL1320" s="1783"/>
      <c r="AM1320" s="1783"/>
      <c r="AN1320" s="1783"/>
      <c r="AO1320" s="1783"/>
      <c r="AP1320" s="1783"/>
      <c r="AQ1320" s="1783"/>
      <c r="AR1320" s="1783"/>
      <c r="AS1320" s="1783"/>
      <c r="AT1320" s="1783"/>
      <c r="AU1320" s="1783"/>
      <c r="AV1320" s="1783"/>
      <c r="AW1320" s="1783"/>
      <c r="AX1320" s="1783"/>
      <c r="AY1320" s="1783"/>
      <c r="AZ1320" s="1783"/>
      <c r="BA1320" s="1783"/>
      <c r="BB1320" s="1783"/>
      <c r="BC1320" s="1783"/>
      <c r="BD1320" s="1783"/>
      <c r="BE1320" s="1783"/>
      <c r="BF1320" s="1783"/>
      <c r="BG1320" s="1783"/>
      <c r="BH1320" s="1783"/>
      <c r="BI1320" s="1783"/>
    </row>
    <row r="1321" spans="1:61">
      <c r="A1321" s="1819"/>
      <c r="B1321" s="1818"/>
      <c r="C1321" s="1818"/>
      <c r="D1321" s="1818"/>
      <c r="E1321" s="1818"/>
      <c r="F1321" s="1818"/>
      <c r="G1321" s="1818"/>
      <c r="H1321" s="1783"/>
      <c r="I1321" s="1783"/>
      <c r="J1321" s="1783"/>
      <c r="K1321" s="1783"/>
      <c r="L1321" s="1783"/>
      <c r="M1321" s="1783"/>
      <c r="N1321" s="1783"/>
      <c r="O1321" s="1783"/>
      <c r="P1321" s="1783"/>
      <c r="Q1321" s="1783"/>
      <c r="R1321" s="1783"/>
      <c r="S1321" s="1783"/>
      <c r="T1321" s="1783"/>
      <c r="U1321" s="1783"/>
      <c r="V1321" s="1783"/>
      <c r="W1321" s="1783"/>
      <c r="X1321" s="1783"/>
      <c r="Y1321" s="1783"/>
      <c r="Z1321" s="1783"/>
      <c r="AA1321" s="1783"/>
      <c r="AB1321" s="1783"/>
      <c r="AC1321" s="1783"/>
      <c r="AD1321" s="1783"/>
      <c r="AE1321" s="1783"/>
      <c r="AF1321" s="1783"/>
      <c r="AG1321" s="1783"/>
      <c r="AH1321" s="1783"/>
      <c r="AI1321" s="1783"/>
      <c r="AJ1321" s="1783"/>
      <c r="AK1321" s="1783"/>
      <c r="AL1321" s="1783"/>
      <c r="AM1321" s="1783"/>
      <c r="AN1321" s="1783"/>
      <c r="AO1321" s="1783"/>
      <c r="AP1321" s="1783"/>
      <c r="AQ1321" s="1783"/>
      <c r="AR1321" s="1783"/>
      <c r="AS1321" s="1783"/>
      <c r="AT1321" s="1783"/>
      <c r="AU1321" s="1783"/>
      <c r="AV1321" s="1783"/>
      <c r="AW1321" s="1783"/>
      <c r="AX1321" s="1783"/>
      <c r="AY1321" s="1783"/>
      <c r="AZ1321" s="1783"/>
      <c r="BA1321" s="1783"/>
      <c r="BB1321" s="1783"/>
      <c r="BC1321" s="1783"/>
      <c r="BD1321" s="1783"/>
      <c r="BE1321" s="1783"/>
      <c r="BF1321" s="1783"/>
      <c r="BG1321" s="1783"/>
      <c r="BH1321" s="1783"/>
      <c r="BI1321" s="1783"/>
    </row>
    <row r="1322" spans="1:61">
      <c r="A1322" s="1819"/>
      <c r="B1322" s="1818"/>
      <c r="C1322" s="1818"/>
      <c r="D1322" s="1818"/>
      <c r="E1322" s="1818"/>
      <c r="F1322" s="1818"/>
      <c r="G1322" s="1818"/>
      <c r="H1322" s="1783"/>
      <c r="I1322" s="1783"/>
      <c r="J1322" s="1783"/>
      <c r="K1322" s="1783"/>
      <c r="L1322" s="1783"/>
      <c r="M1322" s="1783"/>
      <c r="N1322" s="1783"/>
      <c r="O1322" s="1783"/>
      <c r="P1322" s="1783"/>
      <c r="Q1322" s="1783"/>
      <c r="R1322" s="1783"/>
      <c r="S1322" s="1783"/>
      <c r="T1322" s="1783"/>
      <c r="U1322" s="1783"/>
      <c r="V1322" s="1783"/>
      <c r="W1322" s="1783"/>
      <c r="X1322" s="1783"/>
      <c r="Y1322" s="1783"/>
      <c r="Z1322" s="1783"/>
      <c r="AA1322" s="1783"/>
      <c r="AB1322" s="1783"/>
      <c r="AC1322" s="1783"/>
      <c r="AD1322" s="1783"/>
      <c r="AE1322" s="1783"/>
      <c r="AF1322" s="1783"/>
      <c r="AG1322" s="1783"/>
      <c r="AH1322" s="1783"/>
      <c r="AI1322" s="1783"/>
      <c r="AJ1322" s="1783"/>
      <c r="AK1322" s="1783"/>
      <c r="AL1322" s="1783"/>
      <c r="AM1322" s="1783"/>
      <c r="AN1322" s="1783"/>
      <c r="AO1322" s="1783"/>
      <c r="AP1322" s="1783"/>
      <c r="AQ1322" s="1783"/>
      <c r="AR1322" s="1783"/>
      <c r="AS1322" s="1783"/>
      <c r="AT1322" s="1783"/>
      <c r="AU1322" s="1783"/>
      <c r="AV1322" s="1783"/>
      <c r="AW1322" s="1783"/>
      <c r="AX1322" s="1783"/>
      <c r="AY1322" s="1783"/>
      <c r="AZ1322" s="1783"/>
      <c r="BA1322" s="1783"/>
      <c r="BB1322" s="1783"/>
      <c r="BC1322" s="1783"/>
      <c r="BD1322" s="1783"/>
      <c r="BE1322" s="1783"/>
      <c r="BF1322" s="1783"/>
      <c r="BG1322" s="1783"/>
      <c r="BH1322" s="1783"/>
      <c r="BI1322" s="1783"/>
    </row>
    <row r="1323" spans="1:61">
      <c r="A1323" s="1819"/>
      <c r="B1323" s="1818"/>
      <c r="C1323" s="1818"/>
      <c r="D1323" s="1818"/>
      <c r="E1323" s="1818"/>
      <c r="F1323" s="1818"/>
      <c r="G1323" s="1818"/>
      <c r="H1323" s="1783"/>
      <c r="I1323" s="1783"/>
      <c r="J1323" s="1783"/>
      <c r="K1323" s="1783"/>
      <c r="L1323" s="1783"/>
      <c r="M1323" s="1783"/>
      <c r="N1323" s="1783"/>
      <c r="O1323" s="1783"/>
      <c r="P1323" s="1783"/>
      <c r="Q1323" s="1783"/>
      <c r="R1323" s="1783"/>
      <c r="S1323" s="1783"/>
      <c r="T1323" s="1783"/>
      <c r="U1323" s="1783"/>
      <c r="V1323" s="1783"/>
      <c r="W1323" s="1783"/>
      <c r="X1323" s="1783"/>
      <c r="Y1323" s="1783"/>
      <c r="Z1323" s="1783"/>
      <c r="AA1323" s="1783"/>
      <c r="AB1323" s="1783"/>
      <c r="AC1323" s="1783"/>
      <c r="AD1323" s="1783"/>
      <c r="AE1323" s="1783"/>
      <c r="AF1323" s="1783"/>
      <c r="AG1323" s="1783"/>
      <c r="AH1323" s="1783"/>
      <c r="AI1323" s="1783"/>
      <c r="AJ1323" s="1783"/>
      <c r="AK1323" s="1783"/>
      <c r="AL1323" s="1783"/>
      <c r="AM1323" s="1783"/>
      <c r="AN1323" s="1783"/>
      <c r="AO1323" s="1783"/>
      <c r="AP1323" s="1783"/>
      <c r="AQ1323" s="1783"/>
      <c r="AR1323" s="1783"/>
      <c r="AS1323" s="1783"/>
      <c r="AT1323" s="1783"/>
      <c r="AU1323" s="1783"/>
      <c r="AV1323" s="1783"/>
      <c r="AW1323" s="1783"/>
      <c r="AX1323" s="1783"/>
      <c r="AY1323" s="1783"/>
      <c r="AZ1323" s="1783"/>
      <c r="BA1323" s="1783"/>
      <c r="BB1323" s="1783"/>
      <c r="BC1323" s="1783"/>
      <c r="BD1323" s="1783"/>
      <c r="BE1323" s="1783"/>
      <c r="BF1323" s="1783"/>
      <c r="BG1323" s="1783"/>
      <c r="BH1323" s="1783"/>
      <c r="BI1323" s="1783"/>
    </row>
    <row r="1324" spans="1:61">
      <c r="A1324" s="1819"/>
      <c r="B1324" s="1818"/>
      <c r="C1324" s="1818"/>
      <c r="D1324" s="1818"/>
      <c r="E1324" s="1818"/>
      <c r="F1324" s="1818"/>
      <c r="G1324" s="1818"/>
      <c r="H1324" s="1783"/>
      <c r="I1324" s="1783"/>
      <c r="J1324" s="1783"/>
      <c r="K1324" s="1783"/>
      <c r="L1324" s="1783"/>
      <c r="M1324" s="1783"/>
      <c r="N1324" s="1783"/>
      <c r="O1324" s="1783"/>
      <c r="P1324" s="1783"/>
      <c r="Q1324" s="1783"/>
      <c r="R1324" s="1783"/>
      <c r="S1324" s="1783"/>
      <c r="T1324" s="1783"/>
      <c r="U1324" s="1783"/>
      <c r="V1324" s="1783"/>
      <c r="W1324" s="1783"/>
      <c r="X1324" s="1783"/>
      <c r="Y1324" s="1783"/>
      <c r="Z1324" s="1783"/>
      <c r="AA1324" s="1783"/>
      <c r="AB1324" s="1783"/>
      <c r="AC1324" s="1783"/>
      <c r="AD1324" s="1783"/>
      <c r="AE1324" s="1783"/>
      <c r="AF1324" s="1783"/>
      <c r="AG1324" s="1783"/>
      <c r="AH1324" s="1783"/>
      <c r="AI1324" s="1783"/>
      <c r="AJ1324" s="1783"/>
      <c r="AK1324" s="1783"/>
      <c r="AL1324" s="1783"/>
      <c r="AM1324" s="1783"/>
      <c r="AN1324" s="1783"/>
      <c r="AO1324" s="1783"/>
      <c r="AP1324" s="1783"/>
      <c r="AQ1324" s="1783"/>
      <c r="AR1324" s="1783"/>
      <c r="AS1324" s="1783"/>
      <c r="AT1324" s="1783"/>
      <c r="AU1324" s="1783"/>
      <c r="AV1324" s="1783"/>
      <c r="AW1324" s="1783"/>
      <c r="AX1324" s="1783"/>
      <c r="AY1324" s="1783"/>
      <c r="AZ1324" s="1783"/>
      <c r="BA1324" s="1783"/>
      <c r="BB1324" s="1783"/>
      <c r="BC1324" s="1783"/>
      <c r="BD1324" s="1783"/>
      <c r="BE1324" s="1783"/>
      <c r="BF1324" s="1783"/>
      <c r="BG1324" s="1783"/>
      <c r="BH1324" s="1783"/>
      <c r="BI1324" s="1783"/>
    </row>
    <row r="1325" spans="1:61">
      <c r="A1325" s="1819"/>
      <c r="B1325" s="1818"/>
      <c r="C1325" s="1818"/>
      <c r="D1325" s="1818"/>
      <c r="E1325" s="1818"/>
      <c r="F1325" s="1818"/>
      <c r="G1325" s="1818"/>
      <c r="H1325" s="1783"/>
      <c r="I1325" s="1783"/>
      <c r="J1325" s="1783"/>
      <c r="K1325" s="1783"/>
      <c r="L1325" s="1783"/>
      <c r="M1325" s="1783"/>
      <c r="N1325" s="1783"/>
      <c r="O1325" s="1783"/>
      <c r="P1325" s="1783"/>
      <c r="Q1325" s="1783"/>
      <c r="R1325" s="1783"/>
      <c r="S1325" s="1783"/>
      <c r="T1325" s="1783"/>
      <c r="U1325" s="1783"/>
      <c r="V1325" s="1783"/>
      <c r="W1325" s="1783"/>
      <c r="X1325" s="1783"/>
      <c r="Y1325" s="1783"/>
      <c r="Z1325" s="1783"/>
      <c r="AA1325" s="1783"/>
      <c r="AB1325" s="1783"/>
      <c r="AC1325" s="1783"/>
      <c r="AD1325" s="1783"/>
      <c r="AE1325" s="1783"/>
      <c r="AF1325" s="1783"/>
      <c r="AG1325" s="1783"/>
      <c r="AH1325" s="1783"/>
      <c r="AI1325" s="1783"/>
      <c r="AJ1325" s="1783"/>
      <c r="AK1325" s="1783"/>
      <c r="AL1325" s="1783"/>
      <c r="AM1325" s="1783"/>
      <c r="AN1325" s="1783"/>
      <c r="AO1325" s="1783"/>
      <c r="AP1325" s="1783"/>
      <c r="AQ1325" s="1783"/>
      <c r="AR1325" s="1783"/>
      <c r="AS1325" s="1783"/>
      <c r="AT1325" s="1783"/>
      <c r="AU1325" s="1783"/>
      <c r="AV1325" s="1783"/>
      <c r="AW1325" s="1783"/>
      <c r="AX1325" s="1783"/>
      <c r="AY1325" s="1783"/>
      <c r="AZ1325" s="1783"/>
      <c r="BA1325" s="1783"/>
      <c r="BB1325" s="1783"/>
      <c r="BC1325" s="1783"/>
      <c r="BD1325" s="1783"/>
      <c r="BE1325" s="1783"/>
      <c r="BF1325" s="1783"/>
      <c r="BG1325" s="1783"/>
      <c r="BH1325" s="1783"/>
      <c r="BI1325" s="1783"/>
    </row>
    <row r="1326" spans="1:61">
      <c r="A1326" s="1819"/>
      <c r="B1326" s="1818"/>
      <c r="C1326" s="1818"/>
      <c r="D1326" s="1818"/>
      <c r="E1326" s="1818"/>
      <c r="F1326" s="1818"/>
      <c r="G1326" s="1818"/>
      <c r="H1326" s="1783"/>
      <c r="I1326" s="1783"/>
      <c r="J1326" s="1783"/>
      <c r="K1326" s="1783"/>
      <c r="L1326" s="1783"/>
      <c r="M1326" s="1783"/>
      <c r="N1326" s="1783"/>
      <c r="O1326" s="1783"/>
      <c r="P1326" s="1783"/>
      <c r="Q1326" s="1783"/>
      <c r="R1326" s="1783"/>
      <c r="S1326" s="1783"/>
      <c r="T1326" s="1783"/>
      <c r="U1326" s="1783"/>
      <c r="V1326" s="1783"/>
      <c r="W1326" s="1783"/>
      <c r="X1326" s="1783"/>
      <c r="Y1326" s="1783"/>
      <c r="Z1326" s="1783"/>
      <c r="AA1326" s="1783"/>
      <c r="AB1326" s="1783"/>
      <c r="AC1326" s="1783"/>
      <c r="AD1326" s="1783"/>
      <c r="AE1326" s="1783"/>
      <c r="AF1326" s="1783"/>
      <c r="AG1326" s="1783"/>
      <c r="AH1326" s="1783"/>
      <c r="AI1326" s="1783"/>
      <c r="AJ1326" s="1783"/>
      <c r="AK1326" s="1783"/>
      <c r="AL1326" s="1783"/>
      <c r="AM1326" s="1783"/>
      <c r="AN1326" s="1783"/>
      <c r="AO1326" s="1783"/>
      <c r="AP1326" s="1783"/>
      <c r="AQ1326" s="1783"/>
      <c r="AR1326" s="1783"/>
      <c r="AS1326" s="1783"/>
      <c r="AT1326" s="1783"/>
      <c r="AU1326" s="1783"/>
      <c r="AV1326" s="1783"/>
      <c r="AW1326" s="1783"/>
      <c r="AX1326" s="1783"/>
      <c r="AY1326" s="1783"/>
      <c r="AZ1326" s="1783"/>
      <c r="BA1326" s="1783"/>
      <c r="BB1326" s="1783"/>
      <c r="BC1326" s="1783"/>
      <c r="BD1326" s="1783"/>
      <c r="BE1326" s="1783"/>
      <c r="BF1326" s="1783"/>
      <c r="BG1326" s="1783"/>
      <c r="BH1326" s="1783"/>
      <c r="BI1326" s="1783"/>
    </row>
    <row r="1327" spans="1:61">
      <c r="A1327" s="1819"/>
      <c r="B1327" s="1818"/>
      <c r="C1327" s="1818"/>
      <c r="D1327" s="1818"/>
      <c r="E1327" s="1818"/>
      <c r="F1327" s="1818"/>
      <c r="G1327" s="1818"/>
      <c r="H1327" s="1783"/>
      <c r="I1327" s="1783"/>
      <c r="J1327" s="1783"/>
      <c r="K1327" s="1783"/>
      <c r="L1327" s="1783"/>
      <c r="M1327" s="1783"/>
      <c r="N1327" s="1783"/>
      <c r="O1327" s="1783"/>
      <c r="P1327" s="1783"/>
      <c r="Q1327" s="1783"/>
      <c r="R1327" s="1783"/>
      <c r="S1327" s="1783"/>
      <c r="T1327" s="1783"/>
      <c r="U1327" s="1783"/>
      <c r="V1327" s="1783"/>
      <c r="W1327" s="1783"/>
      <c r="X1327" s="1783"/>
      <c r="Y1327" s="1783"/>
      <c r="Z1327" s="1783"/>
      <c r="AA1327" s="1783"/>
      <c r="AB1327" s="1783"/>
      <c r="AC1327" s="1783"/>
      <c r="AD1327" s="1783"/>
      <c r="AE1327" s="1783"/>
      <c r="AF1327" s="1783"/>
      <c r="AG1327" s="1783"/>
      <c r="AH1327" s="1783"/>
      <c r="AI1327" s="1783"/>
      <c r="AJ1327" s="1783"/>
      <c r="AK1327" s="1783"/>
      <c r="AL1327" s="1783"/>
      <c r="AM1327" s="1783"/>
      <c r="AN1327" s="1783"/>
      <c r="AO1327" s="1783"/>
      <c r="AP1327" s="1783"/>
      <c r="AQ1327" s="1783"/>
      <c r="AR1327" s="1783"/>
      <c r="AS1327" s="1783"/>
      <c r="AT1327" s="1783"/>
      <c r="AU1327" s="1783"/>
      <c r="AV1327" s="1783"/>
      <c r="AW1327" s="1783"/>
      <c r="AX1327" s="1783"/>
      <c r="AY1327" s="1783"/>
      <c r="AZ1327" s="1783"/>
      <c r="BA1327" s="1783"/>
      <c r="BB1327" s="1783"/>
      <c r="BC1327" s="1783"/>
      <c r="BD1327" s="1783"/>
      <c r="BE1327" s="1783"/>
      <c r="BF1327" s="1783"/>
      <c r="BG1327" s="1783"/>
      <c r="BH1327" s="1783"/>
      <c r="BI1327" s="1783"/>
    </row>
    <row r="1328" spans="1:61">
      <c r="A1328" s="1819"/>
      <c r="B1328" s="1818"/>
      <c r="C1328" s="1818"/>
      <c r="D1328" s="1818"/>
      <c r="E1328" s="1818"/>
      <c r="F1328" s="1818"/>
      <c r="G1328" s="1818"/>
      <c r="H1328" s="1783"/>
      <c r="I1328" s="1783"/>
      <c r="J1328" s="1783"/>
      <c r="K1328" s="1783"/>
      <c r="L1328" s="1783"/>
      <c r="M1328" s="1783"/>
      <c r="N1328" s="1783"/>
      <c r="O1328" s="1783"/>
      <c r="P1328" s="1783"/>
      <c r="Q1328" s="1783"/>
      <c r="R1328" s="1783"/>
      <c r="S1328" s="1783"/>
      <c r="T1328" s="1783"/>
      <c r="U1328" s="1783"/>
      <c r="V1328" s="1783"/>
      <c r="W1328" s="1783"/>
      <c r="X1328" s="1783"/>
      <c r="Y1328" s="1783"/>
      <c r="Z1328" s="1783"/>
      <c r="AA1328" s="1783"/>
      <c r="AB1328" s="1783"/>
      <c r="AC1328" s="1783"/>
      <c r="AD1328" s="1783"/>
      <c r="AE1328" s="1783"/>
      <c r="AF1328" s="1783"/>
      <c r="AG1328" s="1783"/>
      <c r="AH1328" s="1783"/>
      <c r="AI1328" s="1783"/>
      <c r="AJ1328" s="1783"/>
      <c r="AK1328" s="1783"/>
      <c r="AL1328" s="1783"/>
      <c r="AM1328" s="1783"/>
      <c r="AN1328" s="1783"/>
      <c r="AO1328" s="1783"/>
      <c r="AP1328" s="1783"/>
      <c r="AQ1328" s="1783"/>
      <c r="AR1328" s="1783"/>
      <c r="AS1328" s="1783"/>
      <c r="AT1328" s="1783"/>
      <c r="AU1328" s="1783"/>
      <c r="AV1328" s="1783"/>
      <c r="AW1328" s="1783"/>
      <c r="AX1328" s="1783"/>
      <c r="AY1328" s="1783"/>
      <c r="AZ1328" s="1783"/>
      <c r="BA1328" s="1783"/>
      <c r="BB1328" s="1783"/>
      <c r="BC1328" s="1783"/>
      <c r="BD1328" s="1783"/>
      <c r="BE1328" s="1783"/>
      <c r="BF1328" s="1783"/>
      <c r="BG1328" s="1783"/>
      <c r="BH1328" s="1783"/>
      <c r="BI1328" s="1783"/>
    </row>
    <row r="1329" spans="1:61">
      <c r="A1329" s="1819"/>
      <c r="B1329" s="1818"/>
      <c r="C1329" s="1818"/>
      <c r="D1329" s="1818"/>
      <c r="E1329" s="1818"/>
      <c r="F1329" s="1818"/>
      <c r="G1329" s="1818"/>
      <c r="H1329" s="1783"/>
      <c r="I1329" s="1783"/>
      <c r="J1329" s="1783"/>
      <c r="K1329" s="1783"/>
      <c r="L1329" s="1783"/>
      <c r="M1329" s="1783"/>
      <c r="N1329" s="1783"/>
      <c r="O1329" s="1783"/>
      <c r="P1329" s="1783"/>
      <c r="Q1329" s="1783"/>
      <c r="R1329" s="1783"/>
      <c r="S1329" s="1783"/>
      <c r="T1329" s="1783"/>
      <c r="U1329" s="1783"/>
      <c r="V1329" s="1783"/>
      <c r="W1329" s="1783"/>
      <c r="X1329" s="1783"/>
      <c r="Y1329" s="1783"/>
      <c r="Z1329" s="1783"/>
      <c r="AA1329" s="1783"/>
      <c r="AB1329" s="1783"/>
      <c r="AC1329" s="1783"/>
      <c r="AD1329" s="1783"/>
      <c r="AE1329" s="1783"/>
      <c r="AF1329" s="1783"/>
      <c r="AG1329" s="1783"/>
      <c r="AH1329" s="1783"/>
      <c r="AI1329" s="1783"/>
      <c r="AJ1329" s="1783"/>
      <c r="AK1329" s="1783"/>
      <c r="AL1329" s="1783"/>
      <c r="AM1329" s="1783"/>
      <c r="AN1329" s="1783"/>
      <c r="AO1329" s="1783"/>
      <c r="AP1329" s="1783"/>
      <c r="AQ1329" s="1783"/>
      <c r="AR1329" s="1783"/>
      <c r="AS1329" s="1783"/>
      <c r="AT1329" s="1783"/>
      <c r="AU1329" s="1783"/>
      <c r="AV1329" s="1783"/>
      <c r="AW1329" s="1783"/>
      <c r="AX1329" s="1783"/>
      <c r="AY1329" s="1783"/>
      <c r="AZ1329" s="1783"/>
      <c r="BA1329" s="1783"/>
      <c r="BB1329" s="1783"/>
      <c r="BC1329" s="1783"/>
      <c r="BD1329" s="1783"/>
      <c r="BE1329" s="1783"/>
      <c r="BF1329" s="1783"/>
      <c r="BG1329" s="1783"/>
      <c r="BH1329" s="1783"/>
      <c r="BI1329" s="1783"/>
    </row>
    <row r="1330" spans="1:61">
      <c r="A1330" s="1819"/>
      <c r="B1330" s="1818"/>
      <c r="C1330" s="1818"/>
      <c r="D1330" s="1818"/>
      <c r="E1330" s="1818"/>
      <c r="F1330" s="1818"/>
      <c r="G1330" s="1818"/>
      <c r="H1330" s="1783"/>
      <c r="I1330" s="1783"/>
      <c r="J1330" s="1783"/>
      <c r="K1330" s="1783"/>
      <c r="L1330" s="1783"/>
      <c r="M1330" s="1783"/>
      <c r="N1330" s="1783"/>
      <c r="O1330" s="1783"/>
      <c r="P1330" s="1783"/>
      <c r="Q1330" s="1783"/>
      <c r="R1330" s="1783"/>
      <c r="S1330" s="1783"/>
      <c r="T1330" s="1783"/>
      <c r="U1330" s="1783"/>
      <c r="V1330" s="1783"/>
      <c r="W1330" s="1783"/>
      <c r="X1330" s="1783"/>
      <c r="Y1330" s="1783"/>
      <c r="Z1330" s="1783"/>
      <c r="AA1330" s="1783"/>
      <c r="AB1330" s="1783"/>
      <c r="AC1330" s="1783"/>
      <c r="AD1330" s="1783"/>
      <c r="AE1330" s="1783"/>
      <c r="AF1330" s="1783"/>
      <c r="AG1330" s="1783"/>
      <c r="AH1330" s="1783"/>
      <c r="AI1330" s="1783"/>
      <c r="AJ1330" s="1783"/>
      <c r="AK1330" s="1783"/>
      <c r="AL1330" s="1783"/>
      <c r="AM1330" s="1783"/>
      <c r="AN1330" s="1783"/>
      <c r="AO1330" s="1783"/>
      <c r="AP1330" s="1783"/>
      <c r="AQ1330" s="1783"/>
      <c r="AR1330" s="1783"/>
      <c r="AS1330" s="1783"/>
      <c r="AT1330" s="1783"/>
      <c r="AU1330" s="1783"/>
      <c r="AV1330" s="1783"/>
      <c r="AW1330" s="1783"/>
      <c r="AX1330" s="1783"/>
      <c r="AY1330" s="1783"/>
      <c r="AZ1330" s="1783"/>
      <c r="BA1330" s="1783"/>
      <c r="BB1330" s="1783"/>
      <c r="BC1330" s="1783"/>
      <c r="BD1330" s="1783"/>
      <c r="BE1330" s="1783"/>
      <c r="BF1330" s="1783"/>
      <c r="BG1330" s="1783"/>
      <c r="BH1330" s="1783"/>
      <c r="BI1330" s="1783"/>
    </row>
    <row r="1331" spans="1:61">
      <c r="A1331" s="1819"/>
      <c r="B1331" s="1818"/>
      <c r="C1331" s="1818"/>
      <c r="D1331" s="1818"/>
      <c r="E1331" s="1818"/>
      <c r="F1331" s="1818"/>
      <c r="G1331" s="1818"/>
      <c r="H1331" s="1783"/>
      <c r="I1331" s="1783"/>
      <c r="J1331" s="1783"/>
      <c r="K1331" s="1783"/>
      <c r="L1331" s="1783"/>
      <c r="M1331" s="1783"/>
      <c r="N1331" s="1783"/>
      <c r="O1331" s="1783"/>
      <c r="P1331" s="1783"/>
      <c r="Q1331" s="1783"/>
      <c r="R1331" s="1783"/>
      <c r="S1331" s="1783"/>
      <c r="T1331" s="1783"/>
      <c r="U1331" s="1783"/>
      <c r="V1331" s="1783"/>
      <c r="W1331" s="1783"/>
      <c r="X1331" s="1783"/>
      <c r="Y1331" s="1783"/>
      <c r="Z1331" s="1783"/>
      <c r="AA1331" s="1783"/>
      <c r="AB1331" s="1783"/>
      <c r="AC1331" s="1783"/>
      <c r="AD1331" s="1783"/>
      <c r="AE1331" s="1783"/>
      <c r="AF1331" s="1783"/>
      <c r="AG1331" s="1783"/>
      <c r="AH1331" s="1783"/>
      <c r="AI1331" s="1783"/>
      <c r="AJ1331" s="1783"/>
      <c r="AK1331" s="1783"/>
      <c r="AL1331" s="1783"/>
      <c r="AM1331" s="1783"/>
      <c r="AN1331" s="1783"/>
      <c r="AO1331" s="1783"/>
      <c r="AP1331" s="1783"/>
      <c r="AQ1331" s="1783"/>
      <c r="AR1331" s="1783"/>
      <c r="AS1331" s="1783"/>
      <c r="AT1331" s="1783"/>
      <c r="AU1331" s="1783"/>
      <c r="AV1331" s="1783"/>
      <c r="AW1331" s="1783"/>
      <c r="AX1331" s="1783"/>
      <c r="AY1331" s="1783"/>
      <c r="AZ1331" s="1783"/>
      <c r="BA1331" s="1783"/>
      <c r="BB1331" s="1783"/>
      <c r="BC1331" s="1783"/>
      <c r="BD1331" s="1783"/>
      <c r="BE1331" s="1783"/>
      <c r="BF1331" s="1783"/>
      <c r="BG1331" s="1783"/>
      <c r="BH1331" s="1783"/>
      <c r="BI1331" s="1783"/>
    </row>
    <row r="1332" spans="1:61">
      <c r="A1332" s="1819"/>
      <c r="B1332" s="1818"/>
      <c r="C1332" s="1818"/>
      <c r="D1332" s="1818"/>
      <c r="E1332" s="1818"/>
      <c r="F1332" s="1818"/>
      <c r="G1332" s="1818"/>
      <c r="H1332" s="1783"/>
      <c r="I1332" s="1783"/>
      <c r="J1332" s="1783"/>
      <c r="K1332" s="1783"/>
      <c r="L1332" s="1783"/>
      <c r="M1332" s="1783"/>
      <c r="N1332" s="1783"/>
      <c r="O1332" s="1783"/>
      <c r="P1332" s="1783"/>
      <c r="Q1332" s="1783"/>
      <c r="R1332" s="1783"/>
      <c r="S1332" s="1783"/>
      <c r="T1332" s="1783"/>
      <c r="U1332" s="1783"/>
      <c r="V1332" s="1783"/>
      <c r="W1332" s="1783"/>
      <c r="X1332" s="1783"/>
      <c r="Y1332" s="1783"/>
      <c r="Z1332" s="1783"/>
      <c r="AA1332" s="1783"/>
      <c r="AB1332" s="1783"/>
      <c r="AC1332" s="1783"/>
      <c r="AD1332" s="1783"/>
      <c r="AE1332" s="1783"/>
      <c r="AF1332" s="1783"/>
      <c r="AG1332" s="1783"/>
      <c r="AH1332" s="1783"/>
      <c r="AI1332" s="1783"/>
      <c r="AJ1332" s="1783"/>
      <c r="AK1332" s="1783"/>
      <c r="AL1332" s="1783"/>
      <c r="AM1332" s="1783"/>
      <c r="AN1332" s="1783"/>
      <c r="AO1332" s="1783"/>
      <c r="AP1332" s="1783"/>
      <c r="AQ1332" s="1783"/>
      <c r="AR1332" s="1783"/>
      <c r="AS1332" s="1783"/>
      <c r="AT1332" s="1783"/>
      <c r="AU1332" s="1783"/>
      <c r="AV1332" s="1783"/>
      <c r="AW1332" s="1783"/>
      <c r="AX1332" s="1783"/>
      <c r="AY1332" s="1783"/>
      <c r="AZ1332" s="1783"/>
      <c r="BA1332" s="1783"/>
      <c r="BB1332" s="1783"/>
      <c r="BC1332" s="1783"/>
      <c r="BD1332" s="1783"/>
      <c r="BE1332" s="1783"/>
      <c r="BF1332" s="1783"/>
      <c r="BG1332" s="1783"/>
      <c r="BH1332" s="1783"/>
      <c r="BI1332" s="1783"/>
    </row>
    <row r="1333" spans="1:61">
      <c r="A1333" s="1819"/>
      <c r="B1333" s="1818"/>
      <c r="C1333" s="1818"/>
      <c r="D1333" s="1818"/>
      <c r="E1333" s="1818"/>
      <c r="F1333" s="1818"/>
      <c r="G1333" s="1818"/>
      <c r="H1333" s="1783"/>
      <c r="I1333" s="1783"/>
      <c r="J1333" s="1783"/>
      <c r="K1333" s="1783"/>
      <c r="L1333" s="1783"/>
      <c r="M1333" s="1783"/>
      <c r="N1333" s="1783"/>
      <c r="O1333" s="1783"/>
      <c r="P1333" s="1783"/>
      <c r="Q1333" s="1783"/>
      <c r="R1333" s="1783"/>
      <c r="S1333" s="1783"/>
      <c r="T1333" s="1783"/>
      <c r="U1333" s="1783"/>
      <c r="V1333" s="1783"/>
      <c r="W1333" s="1783"/>
      <c r="X1333" s="1783"/>
      <c r="Y1333" s="1783"/>
      <c r="Z1333" s="1783"/>
      <c r="AA1333" s="1783"/>
      <c r="AB1333" s="1783"/>
      <c r="AC1333" s="1783"/>
      <c r="AD1333" s="1783"/>
      <c r="AE1333" s="1783"/>
      <c r="AF1333" s="1783"/>
      <c r="AG1333" s="1783"/>
      <c r="AH1333" s="1783"/>
      <c r="AI1333" s="1783"/>
      <c r="AJ1333" s="1783"/>
      <c r="AK1333" s="1783"/>
      <c r="AL1333" s="1783"/>
      <c r="AM1333" s="1783"/>
      <c r="AN1333" s="1783"/>
      <c r="AO1333" s="1783"/>
      <c r="AP1333" s="1783"/>
      <c r="AQ1333" s="1783"/>
      <c r="AR1333" s="1783"/>
      <c r="AS1333" s="1783"/>
      <c r="AT1333" s="1783"/>
      <c r="AU1333" s="1783"/>
      <c r="AV1333" s="1783"/>
      <c r="AW1333" s="1783"/>
      <c r="AX1333" s="1783"/>
      <c r="AY1333" s="1783"/>
      <c r="AZ1333" s="1783"/>
      <c r="BA1333" s="1783"/>
      <c r="BB1333" s="1783"/>
      <c r="BC1333" s="1783"/>
      <c r="BD1333" s="1783"/>
      <c r="BE1333" s="1783"/>
      <c r="BF1333" s="1783"/>
      <c r="BG1333" s="1783"/>
      <c r="BH1333" s="1783"/>
      <c r="BI1333" s="1783"/>
    </row>
    <row r="1334" spans="1:61">
      <c r="A1334" s="1819"/>
      <c r="B1334" s="1818"/>
      <c r="C1334" s="1818"/>
      <c r="D1334" s="1818"/>
      <c r="E1334" s="1818"/>
      <c r="F1334" s="1818"/>
      <c r="G1334" s="1818"/>
      <c r="H1334" s="1783"/>
      <c r="I1334" s="1783"/>
      <c r="J1334" s="1783"/>
      <c r="K1334" s="1783"/>
      <c r="L1334" s="1783"/>
      <c r="M1334" s="1783"/>
      <c r="N1334" s="1783"/>
      <c r="O1334" s="1783"/>
      <c r="P1334" s="1783"/>
      <c r="Q1334" s="1783"/>
      <c r="R1334" s="1783"/>
      <c r="S1334" s="1783"/>
      <c r="T1334" s="1783"/>
      <c r="U1334" s="1783"/>
      <c r="V1334" s="1783"/>
      <c r="W1334" s="1783"/>
      <c r="X1334" s="1783"/>
      <c r="Y1334" s="1783"/>
      <c r="Z1334" s="1783"/>
      <c r="AA1334" s="1783"/>
      <c r="AB1334" s="1783"/>
      <c r="AC1334" s="1783"/>
      <c r="AD1334" s="1783"/>
      <c r="AE1334" s="1783"/>
      <c r="AF1334" s="1783"/>
      <c r="AG1334" s="1783"/>
      <c r="AH1334" s="1783"/>
      <c r="AI1334" s="1783"/>
      <c r="AJ1334" s="1783"/>
      <c r="AK1334" s="1783"/>
      <c r="AL1334" s="1783"/>
      <c r="AM1334" s="1783"/>
      <c r="AN1334" s="1783"/>
      <c r="AO1334" s="1783"/>
      <c r="AP1334" s="1783"/>
      <c r="AQ1334" s="1783"/>
      <c r="AR1334" s="1783"/>
      <c r="AS1334" s="1783"/>
      <c r="AT1334" s="1783"/>
      <c r="AU1334" s="1783"/>
      <c r="AV1334" s="1783"/>
      <c r="AW1334" s="1783"/>
      <c r="AX1334" s="1783"/>
      <c r="AY1334" s="1783"/>
      <c r="AZ1334" s="1783"/>
      <c r="BA1334" s="1783"/>
      <c r="BB1334" s="1783"/>
      <c r="BC1334" s="1783"/>
      <c r="BD1334" s="1783"/>
      <c r="BE1334" s="1783"/>
      <c r="BF1334" s="1783"/>
      <c r="BG1334" s="1783"/>
      <c r="BH1334" s="1783"/>
      <c r="BI1334" s="1783"/>
    </row>
    <row r="1335" spans="1:61">
      <c r="A1335" s="1819"/>
      <c r="B1335" s="1818"/>
      <c r="C1335" s="1818"/>
      <c r="D1335" s="1818"/>
      <c r="E1335" s="1818"/>
      <c r="F1335" s="1818"/>
      <c r="G1335" s="1818"/>
      <c r="H1335" s="1783"/>
      <c r="I1335" s="1783"/>
      <c r="J1335" s="1783"/>
      <c r="K1335" s="1783"/>
      <c r="L1335" s="1783"/>
      <c r="M1335" s="1783"/>
      <c r="N1335" s="1783"/>
      <c r="O1335" s="1783"/>
      <c r="P1335" s="1783"/>
      <c r="Q1335" s="1783"/>
      <c r="R1335" s="1783"/>
      <c r="S1335" s="1783"/>
      <c r="T1335" s="1783"/>
      <c r="U1335" s="1783"/>
      <c r="V1335" s="1783"/>
      <c r="W1335" s="1783"/>
      <c r="X1335" s="1783"/>
      <c r="Y1335" s="1783"/>
      <c r="Z1335" s="1783"/>
      <c r="AA1335" s="1783"/>
      <c r="AB1335" s="1783"/>
      <c r="AC1335" s="1783"/>
      <c r="AD1335" s="1783"/>
      <c r="AE1335" s="1783"/>
      <c r="AF1335" s="1783"/>
      <c r="AG1335" s="1783"/>
      <c r="AH1335" s="1783"/>
      <c r="AI1335" s="1783"/>
      <c r="AJ1335" s="1783"/>
      <c r="AK1335" s="1783"/>
      <c r="AL1335" s="1783"/>
      <c r="AM1335" s="1783"/>
      <c r="AN1335" s="1783"/>
      <c r="AO1335" s="1783"/>
      <c r="AP1335" s="1783"/>
      <c r="AQ1335" s="1783"/>
      <c r="AR1335" s="1783"/>
      <c r="AS1335" s="1783"/>
      <c r="AT1335" s="1783"/>
      <c r="AU1335" s="1783"/>
      <c r="AV1335" s="1783"/>
      <c r="AW1335" s="1783"/>
      <c r="AX1335" s="1783"/>
      <c r="AY1335" s="1783"/>
      <c r="AZ1335" s="1783"/>
      <c r="BA1335" s="1783"/>
      <c r="BB1335" s="1783"/>
      <c r="BC1335" s="1783"/>
      <c r="BD1335" s="1783"/>
      <c r="BE1335" s="1783"/>
      <c r="BF1335" s="1783"/>
      <c r="BG1335" s="1783"/>
      <c r="BH1335" s="1783"/>
      <c r="BI1335" s="1783"/>
    </row>
    <row r="1336" spans="1:61">
      <c r="A1336" s="1819"/>
      <c r="B1336" s="1818"/>
      <c r="C1336" s="1818"/>
      <c r="D1336" s="1818"/>
      <c r="E1336" s="1818"/>
      <c r="F1336" s="1818"/>
      <c r="G1336" s="1818"/>
      <c r="H1336" s="1783"/>
      <c r="I1336" s="1783"/>
      <c r="J1336" s="1783"/>
      <c r="K1336" s="1783"/>
      <c r="L1336" s="1783"/>
      <c r="M1336" s="1783"/>
      <c r="N1336" s="1783"/>
      <c r="O1336" s="1783"/>
      <c r="P1336" s="1783"/>
      <c r="Q1336" s="1783"/>
      <c r="R1336" s="1783"/>
      <c r="S1336" s="1783"/>
      <c r="T1336" s="1783"/>
      <c r="U1336" s="1783"/>
      <c r="V1336" s="1783"/>
      <c r="W1336" s="1783"/>
      <c r="X1336" s="1783"/>
      <c r="Y1336" s="1783"/>
      <c r="Z1336" s="1783"/>
      <c r="AA1336" s="1783"/>
      <c r="AB1336" s="1783"/>
      <c r="AC1336" s="1783"/>
      <c r="AD1336" s="1783"/>
      <c r="AE1336" s="1783"/>
      <c r="AF1336" s="1783"/>
      <c r="AG1336" s="1783"/>
      <c r="AH1336" s="1783"/>
      <c r="AI1336" s="1783"/>
      <c r="AJ1336" s="1783"/>
      <c r="AK1336" s="1783"/>
      <c r="AL1336" s="1783"/>
      <c r="AM1336" s="1783"/>
      <c r="AN1336" s="1783"/>
      <c r="AO1336" s="1783"/>
      <c r="AP1336" s="1783"/>
      <c r="AQ1336" s="1783"/>
      <c r="AR1336" s="1783"/>
      <c r="AS1336" s="1783"/>
      <c r="AT1336" s="1783"/>
      <c r="AU1336" s="1783"/>
      <c r="AV1336" s="1783"/>
      <c r="AW1336" s="1783"/>
      <c r="AX1336" s="1783"/>
      <c r="AY1336" s="1783"/>
      <c r="AZ1336" s="1783"/>
      <c r="BA1336" s="1783"/>
      <c r="BB1336" s="1783"/>
      <c r="BC1336" s="1783"/>
      <c r="BD1336" s="1783"/>
      <c r="BE1336" s="1783"/>
      <c r="BF1336" s="1783"/>
      <c r="BG1336" s="1783"/>
      <c r="BH1336" s="1783"/>
      <c r="BI1336" s="1783"/>
    </row>
    <row r="1337" spans="1:61">
      <c r="A1337" s="1819"/>
      <c r="B1337" s="1818"/>
      <c r="C1337" s="1818"/>
      <c r="D1337" s="1818"/>
      <c r="E1337" s="1818"/>
      <c r="F1337" s="1818"/>
      <c r="G1337" s="1818"/>
      <c r="H1337" s="1783"/>
      <c r="I1337" s="1783"/>
      <c r="J1337" s="1783"/>
      <c r="K1337" s="1783"/>
      <c r="L1337" s="1783"/>
      <c r="M1337" s="1783"/>
      <c r="N1337" s="1783"/>
      <c r="O1337" s="1783"/>
      <c r="P1337" s="1783"/>
      <c r="Q1337" s="1783"/>
      <c r="R1337" s="1783"/>
      <c r="S1337" s="1783"/>
      <c r="T1337" s="1783"/>
      <c r="U1337" s="1783"/>
      <c r="V1337" s="1783"/>
      <c r="W1337" s="1783"/>
      <c r="X1337" s="1783"/>
      <c r="Y1337" s="1783"/>
      <c r="Z1337" s="1783"/>
      <c r="AA1337" s="1783"/>
      <c r="AB1337" s="1783"/>
      <c r="AC1337" s="1783"/>
      <c r="AD1337" s="1783"/>
      <c r="AE1337" s="1783"/>
      <c r="AF1337" s="1783"/>
      <c r="AG1337" s="1783"/>
      <c r="AH1337" s="1783"/>
      <c r="AI1337" s="1783"/>
      <c r="AJ1337" s="1783"/>
      <c r="AK1337" s="1783"/>
      <c r="AL1337" s="1783"/>
      <c r="AM1337" s="1783"/>
      <c r="AN1337" s="1783"/>
      <c r="AO1337" s="1783"/>
      <c r="AP1337" s="1783"/>
      <c r="AQ1337" s="1783"/>
      <c r="AR1337" s="1783"/>
      <c r="AS1337" s="1783"/>
      <c r="AT1337" s="1783"/>
      <c r="AU1337" s="1783"/>
      <c r="AV1337" s="1783"/>
      <c r="AW1337" s="1783"/>
      <c r="AX1337" s="1783"/>
      <c r="AY1337" s="1783"/>
      <c r="AZ1337" s="1783"/>
      <c r="BA1337" s="1783"/>
      <c r="BB1337" s="1783"/>
      <c r="BC1337" s="1783"/>
      <c r="BD1337" s="1783"/>
      <c r="BE1337" s="1783"/>
      <c r="BF1337" s="1783"/>
      <c r="BG1337" s="1783"/>
      <c r="BH1337" s="1783"/>
      <c r="BI1337" s="1783"/>
    </row>
    <row r="1338" spans="1:61">
      <c r="A1338" s="1819"/>
      <c r="B1338" s="1818"/>
      <c r="C1338" s="1818"/>
      <c r="D1338" s="1818"/>
      <c r="E1338" s="1818"/>
      <c r="F1338" s="1818"/>
      <c r="G1338" s="1818"/>
      <c r="H1338" s="1783"/>
      <c r="I1338" s="1783"/>
      <c r="J1338" s="1783"/>
      <c r="K1338" s="1783"/>
      <c r="L1338" s="1783"/>
      <c r="M1338" s="1783"/>
      <c r="N1338" s="1783"/>
      <c r="O1338" s="1783"/>
      <c r="P1338" s="1783"/>
      <c r="Q1338" s="1783"/>
      <c r="R1338" s="1783"/>
      <c r="S1338" s="1783"/>
      <c r="T1338" s="1783"/>
      <c r="U1338" s="1783"/>
      <c r="V1338" s="1783"/>
      <c r="W1338" s="1783"/>
      <c r="X1338" s="1783"/>
      <c r="Y1338" s="1783"/>
      <c r="Z1338" s="1783"/>
      <c r="AA1338" s="1783"/>
      <c r="AB1338" s="1783"/>
      <c r="AC1338" s="1783"/>
      <c r="AD1338" s="1783"/>
      <c r="AE1338" s="1783"/>
      <c r="AF1338" s="1783"/>
      <c r="AG1338" s="1783"/>
      <c r="AH1338" s="1783"/>
      <c r="AI1338" s="1783"/>
      <c r="AJ1338" s="1783"/>
      <c r="AK1338" s="1783"/>
      <c r="AL1338" s="1783"/>
      <c r="AM1338" s="1783"/>
      <c r="AN1338" s="1783"/>
      <c r="AO1338" s="1783"/>
      <c r="AP1338" s="1783"/>
      <c r="AQ1338" s="1783"/>
      <c r="AR1338" s="1783"/>
      <c r="AS1338" s="1783"/>
      <c r="AT1338" s="1783"/>
      <c r="AU1338" s="1783"/>
      <c r="AV1338" s="1783"/>
      <c r="AW1338" s="1783"/>
      <c r="AX1338" s="1783"/>
      <c r="AY1338" s="1783"/>
      <c r="AZ1338" s="1783"/>
      <c r="BA1338" s="1783"/>
      <c r="BB1338" s="1783"/>
      <c r="BC1338" s="1783"/>
      <c r="BD1338" s="1783"/>
      <c r="BE1338" s="1783"/>
      <c r="BF1338" s="1783"/>
      <c r="BG1338" s="1783"/>
      <c r="BH1338" s="1783"/>
      <c r="BI1338" s="1783"/>
    </row>
    <row r="1339" spans="1:61">
      <c r="A1339" s="1819"/>
      <c r="B1339" s="1818"/>
      <c r="C1339" s="1818"/>
      <c r="D1339" s="1818"/>
      <c r="E1339" s="1818"/>
      <c r="F1339" s="1818"/>
      <c r="G1339" s="1818"/>
      <c r="H1339" s="1783"/>
      <c r="I1339" s="1783"/>
      <c r="J1339" s="1783"/>
      <c r="K1339" s="1783"/>
      <c r="L1339" s="1783"/>
      <c r="M1339" s="1783"/>
      <c r="N1339" s="1783"/>
      <c r="O1339" s="1783"/>
      <c r="P1339" s="1783"/>
      <c r="Q1339" s="1783"/>
      <c r="R1339" s="1783"/>
      <c r="S1339" s="1783"/>
      <c r="T1339" s="1783"/>
      <c r="U1339" s="1783"/>
      <c r="V1339" s="1783"/>
      <c r="W1339" s="1783"/>
      <c r="X1339" s="1783"/>
      <c r="Y1339" s="1783"/>
      <c r="Z1339" s="1783"/>
      <c r="AA1339" s="1783"/>
      <c r="AB1339" s="1783"/>
      <c r="AC1339" s="1783"/>
      <c r="AD1339" s="1783"/>
      <c r="AE1339" s="1783"/>
      <c r="AF1339" s="1783"/>
      <c r="AG1339" s="1783"/>
      <c r="AH1339" s="1783"/>
      <c r="AI1339" s="1783"/>
      <c r="AJ1339" s="1783"/>
      <c r="AK1339" s="1783"/>
      <c r="AL1339" s="1783"/>
      <c r="AM1339" s="1783"/>
      <c r="AN1339" s="1783"/>
      <c r="AO1339" s="1783"/>
      <c r="AP1339" s="1783"/>
      <c r="AQ1339" s="1783"/>
      <c r="AR1339" s="1783"/>
      <c r="AS1339" s="1783"/>
      <c r="AT1339" s="1783"/>
      <c r="AU1339" s="1783"/>
      <c r="AV1339" s="1783"/>
      <c r="AW1339" s="1783"/>
      <c r="AX1339" s="1783"/>
      <c r="AY1339" s="1783"/>
      <c r="AZ1339" s="1783"/>
      <c r="BA1339" s="1783"/>
      <c r="BB1339" s="1783"/>
      <c r="BC1339" s="1783"/>
      <c r="BD1339" s="1783"/>
      <c r="BE1339" s="1783"/>
      <c r="BF1339" s="1783"/>
      <c r="BG1339" s="1783"/>
      <c r="BH1339" s="1783"/>
      <c r="BI1339" s="1783"/>
    </row>
    <row r="1340" spans="1:61">
      <c r="A1340" s="1819"/>
      <c r="B1340" s="1818"/>
      <c r="C1340" s="1818"/>
      <c r="D1340" s="1818"/>
      <c r="E1340" s="1818"/>
      <c r="F1340" s="1818"/>
      <c r="G1340" s="1818"/>
      <c r="H1340" s="1783"/>
      <c r="I1340" s="1783"/>
      <c r="J1340" s="1783"/>
      <c r="K1340" s="1783"/>
      <c r="L1340" s="1783"/>
      <c r="M1340" s="1783"/>
      <c r="N1340" s="1783"/>
      <c r="O1340" s="1783"/>
      <c r="P1340" s="1783"/>
      <c r="Q1340" s="1783"/>
      <c r="R1340" s="1783"/>
      <c r="S1340" s="1783"/>
      <c r="T1340" s="1783"/>
      <c r="U1340" s="1783"/>
      <c r="V1340" s="1783"/>
      <c r="W1340" s="1783"/>
      <c r="X1340" s="1783"/>
      <c r="Y1340" s="1783"/>
      <c r="Z1340" s="1783"/>
      <c r="AA1340" s="1783"/>
      <c r="AB1340" s="1783"/>
      <c r="AC1340" s="1783"/>
      <c r="AD1340" s="1783"/>
      <c r="AE1340" s="1783"/>
      <c r="AF1340" s="1783"/>
      <c r="AG1340" s="1783"/>
      <c r="AH1340" s="1783"/>
      <c r="AI1340" s="1783"/>
      <c r="AJ1340" s="1783"/>
      <c r="AK1340" s="1783"/>
      <c r="AL1340" s="1783"/>
      <c r="AM1340" s="1783"/>
      <c r="AN1340" s="1783"/>
      <c r="AO1340" s="1783"/>
      <c r="AP1340" s="1783"/>
      <c r="AQ1340" s="1783"/>
      <c r="AR1340" s="1783"/>
      <c r="AS1340" s="1783"/>
      <c r="AT1340" s="1783"/>
      <c r="AU1340" s="1783"/>
      <c r="AV1340" s="1783"/>
      <c r="AW1340" s="1783"/>
      <c r="AX1340" s="1783"/>
      <c r="AY1340" s="1783"/>
      <c r="AZ1340" s="1783"/>
      <c r="BA1340" s="1783"/>
      <c r="BB1340" s="1783"/>
      <c r="BC1340" s="1783"/>
      <c r="BD1340" s="1783"/>
      <c r="BE1340" s="1783"/>
      <c r="BF1340" s="1783"/>
      <c r="BG1340" s="1783"/>
      <c r="BH1340" s="1783"/>
      <c r="BI1340" s="1783"/>
    </row>
    <row r="1341" spans="1:61">
      <c r="A1341" s="1819"/>
      <c r="B1341" s="1818"/>
      <c r="C1341" s="1818"/>
      <c r="D1341" s="1818"/>
      <c r="E1341" s="1818"/>
      <c r="F1341" s="1818"/>
      <c r="G1341" s="1818"/>
      <c r="H1341" s="1783"/>
      <c r="I1341" s="1783"/>
      <c r="J1341" s="1783"/>
      <c r="K1341" s="1783"/>
      <c r="L1341" s="1783"/>
      <c r="M1341" s="1783"/>
      <c r="N1341" s="1783"/>
      <c r="O1341" s="1783"/>
      <c r="P1341" s="1783"/>
      <c r="Q1341" s="1783"/>
      <c r="R1341" s="1783"/>
      <c r="S1341" s="1783"/>
      <c r="T1341" s="1783"/>
      <c r="U1341" s="1783"/>
      <c r="V1341" s="1783"/>
      <c r="W1341" s="1783"/>
      <c r="X1341" s="1783"/>
      <c r="Y1341" s="1783"/>
      <c r="Z1341" s="1783"/>
      <c r="AA1341" s="1783"/>
      <c r="AB1341" s="1783"/>
      <c r="AC1341" s="1783"/>
      <c r="AD1341" s="1783"/>
      <c r="AE1341" s="1783"/>
      <c r="AF1341" s="1783"/>
      <c r="AG1341" s="1783"/>
      <c r="AH1341" s="1783"/>
      <c r="AI1341" s="1783"/>
      <c r="AJ1341" s="1783"/>
      <c r="AK1341" s="1783"/>
      <c r="AL1341" s="1783"/>
      <c r="AM1341" s="1783"/>
      <c r="AN1341" s="1783"/>
      <c r="AO1341" s="1783"/>
      <c r="AP1341" s="1783"/>
      <c r="AQ1341" s="1783"/>
      <c r="AR1341" s="1783"/>
      <c r="AS1341" s="1783"/>
      <c r="AT1341" s="1783"/>
      <c r="AU1341" s="1783"/>
      <c r="AV1341" s="1783"/>
      <c r="AW1341" s="1783"/>
      <c r="AX1341" s="1783"/>
      <c r="AY1341" s="1783"/>
      <c r="AZ1341" s="1783"/>
      <c r="BA1341" s="1783"/>
      <c r="BB1341" s="1783"/>
      <c r="BC1341" s="1783"/>
      <c r="BD1341" s="1783"/>
      <c r="BE1341" s="1783"/>
      <c r="BF1341" s="1783"/>
      <c r="BG1341" s="1783"/>
      <c r="BH1341" s="1783"/>
      <c r="BI1341" s="1783"/>
    </row>
    <row r="1342" spans="1:61">
      <c r="A1342" s="1819"/>
      <c r="B1342" s="1818"/>
      <c r="C1342" s="1818"/>
      <c r="D1342" s="1818"/>
      <c r="E1342" s="1818"/>
      <c r="F1342" s="1818"/>
      <c r="G1342" s="1818"/>
      <c r="H1342" s="1783"/>
      <c r="I1342" s="1783"/>
      <c r="J1342" s="1783"/>
      <c r="K1342" s="1783"/>
      <c r="L1342" s="1783"/>
      <c r="M1342" s="1783"/>
      <c r="N1342" s="1783"/>
      <c r="O1342" s="1783"/>
      <c r="P1342" s="1783"/>
      <c r="Q1342" s="1783"/>
      <c r="R1342" s="1783"/>
      <c r="S1342" s="1783"/>
      <c r="T1342" s="1783"/>
      <c r="U1342" s="1783"/>
      <c r="V1342" s="1783"/>
      <c r="W1342" s="1783"/>
      <c r="X1342" s="1783"/>
      <c r="Y1342" s="1783"/>
      <c r="Z1342" s="1783"/>
      <c r="AA1342" s="1783"/>
      <c r="AB1342" s="1783"/>
      <c r="AC1342" s="1783"/>
      <c r="AD1342" s="1783"/>
      <c r="AE1342" s="1783"/>
      <c r="AF1342" s="1783"/>
      <c r="AG1342" s="1783"/>
      <c r="AH1342" s="1783"/>
      <c r="AI1342" s="1783"/>
      <c r="AJ1342" s="1783"/>
      <c r="AK1342" s="1783"/>
      <c r="AL1342" s="1783"/>
      <c r="AM1342" s="1783"/>
      <c r="AN1342" s="1783"/>
      <c r="AO1342" s="1783"/>
      <c r="AP1342" s="1783"/>
      <c r="AQ1342" s="1783"/>
      <c r="AR1342" s="1783"/>
      <c r="AS1342" s="1783"/>
      <c r="AT1342" s="1783"/>
      <c r="AU1342" s="1783"/>
      <c r="AV1342" s="1783"/>
      <c r="AW1342" s="1783"/>
      <c r="AX1342" s="1783"/>
      <c r="AY1342" s="1783"/>
      <c r="AZ1342" s="1783"/>
      <c r="BA1342" s="1783"/>
      <c r="BB1342" s="1783"/>
      <c r="BC1342" s="1783"/>
      <c r="BD1342" s="1783"/>
      <c r="BE1342" s="1783"/>
      <c r="BF1342" s="1783"/>
      <c r="BG1342" s="1783"/>
      <c r="BH1342" s="1783"/>
      <c r="BI1342" s="1783"/>
    </row>
    <row r="1343" spans="1:61">
      <c r="A1343" s="1819"/>
      <c r="B1343" s="1818"/>
      <c r="C1343" s="1818"/>
      <c r="D1343" s="1818"/>
      <c r="E1343" s="1818"/>
      <c r="F1343" s="1818"/>
      <c r="G1343" s="1818"/>
      <c r="H1343" s="1783"/>
      <c r="I1343" s="1783"/>
      <c r="J1343" s="1783"/>
      <c r="K1343" s="1783"/>
      <c r="L1343" s="1783"/>
      <c r="M1343" s="1783"/>
      <c r="N1343" s="1783"/>
      <c r="O1343" s="1783"/>
      <c r="P1343" s="1783"/>
      <c r="Q1343" s="1783"/>
      <c r="R1343" s="1783"/>
      <c r="S1343" s="1783"/>
      <c r="T1343" s="1783"/>
      <c r="U1343" s="1783"/>
      <c r="V1343" s="1783"/>
      <c r="W1343" s="1783"/>
      <c r="X1343" s="1783"/>
      <c r="Y1343" s="1783"/>
      <c r="Z1343" s="1783"/>
      <c r="AA1343" s="1783"/>
      <c r="AB1343" s="1783"/>
      <c r="AC1343" s="1783"/>
      <c r="AD1343" s="1783"/>
      <c r="AE1343" s="1783"/>
      <c r="AF1343" s="1783"/>
      <c r="AG1343" s="1783"/>
      <c r="AH1343" s="1783"/>
      <c r="AI1343" s="1783"/>
      <c r="AJ1343" s="1783"/>
      <c r="AK1343" s="1783"/>
      <c r="AL1343" s="1783"/>
      <c r="AM1343" s="1783"/>
      <c r="AN1343" s="1783"/>
      <c r="AO1343" s="1783"/>
      <c r="AP1343" s="1783"/>
      <c r="AQ1343" s="1783"/>
      <c r="AR1343" s="1783"/>
      <c r="AS1343" s="1783"/>
      <c r="AT1343" s="1783"/>
      <c r="AU1343" s="1783"/>
      <c r="AV1343" s="1783"/>
      <c r="AW1343" s="1783"/>
      <c r="AX1343" s="1783"/>
      <c r="AY1343" s="1783"/>
      <c r="AZ1343" s="1783"/>
      <c r="BA1343" s="1783"/>
      <c r="BB1343" s="1783"/>
      <c r="BC1343" s="1783"/>
      <c r="BD1343" s="1783"/>
      <c r="BE1343" s="1783"/>
      <c r="BF1343" s="1783"/>
      <c r="BG1343" s="1783"/>
      <c r="BH1343" s="1783"/>
      <c r="BI1343" s="1783"/>
    </row>
    <row r="1344" spans="1:61">
      <c r="A1344" s="1819"/>
      <c r="B1344" s="1818"/>
      <c r="C1344" s="1818"/>
      <c r="D1344" s="1818"/>
      <c r="E1344" s="1818"/>
      <c r="F1344" s="1818"/>
      <c r="G1344" s="1818"/>
      <c r="H1344" s="1783"/>
      <c r="I1344" s="1783"/>
      <c r="J1344" s="1783"/>
      <c r="K1344" s="1783"/>
      <c r="L1344" s="1783"/>
      <c r="M1344" s="1783"/>
      <c r="N1344" s="1783"/>
      <c r="O1344" s="1783"/>
      <c r="P1344" s="1783"/>
      <c r="Q1344" s="1783"/>
      <c r="R1344" s="1783"/>
      <c r="S1344" s="1783"/>
      <c r="T1344" s="1783"/>
      <c r="U1344" s="1783"/>
      <c r="V1344" s="1783"/>
      <c r="W1344" s="1783"/>
      <c r="X1344" s="1783"/>
      <c r="Y1344" s="1783"/>
      <c r="Z1344" s="1783"/>
      <c r="AA1344" s="1783"/>
      <c r="AB1344" s="1783"/>
      <c r="AC1344" s="1783"/>
      <c r="AD1344" s="1783"/>
      <c r="AE1344" s="1783"/>
      <c r="AF1344" s="1783"/>
      <c r="AG1344" s="1783"/>
      <c r="AH1344" s="1783"/>
      <c r="AI1344" s="1783"/>
      <c r="AJ1344" s="1783"/>
      <c r="AK1344" s="1783"/>
      <c r="AL1344" s="1783"/>
      <c r="AM1344" s="1783"/>
      <c r="AN1344" s="1783"/>
      <c r="AO1344" s="1783"/>
      <c r="AP1344" s="1783"/>
      <c r="AQ1344" s="1783"/>
      <c r="AR1344" s="1783"/>
      <c r="AS1344" s="1783"/>
      <c r="AT1344" s="1783"/>
      <c r="AU1344" s="1783"/>
      <c r="AV1344" s="1783"/>
      <c r="AW1344" s="1783"/>
      <c r="AX1344" s="1783"/>
      <c r="AY1344" s="1783"/>
      <c r="AZ1344" s="1783"/>
      <c r="BA1344" s="1783"/>
      <c r="BB1344" s="1783"/>
      <c r="BC1344" s="1783"/>
      <c r="BD1344" s="1783"/>
      <c r="BE1344" s="1783"/>
      <c r="BF1344" s="1783"/>
      <c r="BG1344" s="1783"/>
      <c r="BH1344" s="1783"/>
      <c r="BI1344" s="1783"/>
    </row>
    <row r="1345" spans="1:61">
      <c r="A1345" s="1819"/>
      <c r="B1345" s="1818"/>
      <c r="C1345" s="1818"/>
      <c r="D1345" s="1818"/>
      <c r="E1345" s="1818"/>
      <c r="F1345" s="1818"/>
      <c r="G1345" s="1818"/>
      <c r="H1345" s="1783"/>
      <c r="I1345" s="1783"/>
      <c r="J1345" s="1783"/>
      <c r="K1345" s="1783"/>
      <c r="L1345" s="1783"/>
      <c r="M1345" s="1783"/>
      <c r="N1345" s="1783"/>
      <c r="O1345" s="1783"/>
      <c r="P1345" s="1783"/>
      <c r="Q1345" s="1783"/>
      <c r="R1345" s="1783"/>
      <c r="S1345" s="1783"/>
      <c r="T1345" s="1783"/>
      <c r="U1345" s="1783"/>
      <c r="V1345" s="1783"/>
      <c r="W1345" s="1783"/>
      <c r="X1345" s="1783"/>
      <c r="Y1345" s="1783"/>
      <c r="Z1345" s="1783"/>
      <c r="AA1345" s="1783"/>
      <c r="AB1345" s="1783"/>
      <c r="AC1345" s="1783"/>
      <c r="AD1345" s="1783"/>
      <c r="AE1345" s="1783"/>
      <c r="AF1345" s="1783"/>
      <c r="AG1345" s="1783"/>
      <c r="AH1345" s="1783"/>
      <c r="AI1345" s="1783"/>
      <c r="AJ1345" s="1783"/>
      <c r="AK1345" s="1783"/>
      <c r="AL1345" s="1783"/>
      <c r="AM1345" s="1783"/>
      <c r="AN1345" s="1783"/>
      <c r="AO1345" s="1783"/>
      <c r="AP1345" s="1783"/>
      <c r="AQ1345" s="1783"/>
      <c r="AR1345" s="1783"/>
      <c r="AS1345" s="1783"/>
      <c r="AT1345" s="1783"/>
      <c r="AU1345" s="1783"/>
      <c r="AV1345" s="1783"/>
      <c r="AW1345" s="1783"/>
      <c r="AX1345" s="1783"/>
      <c r="AY1345" s="1783"/>
      <c r="AZ1345" s="1783"/>
      <c r="BA1345" s="1783"/>
      <c r="BB1345" s="1783"/>
      <c r="BC1345" s="1783"/>
      <c r="BD1345" s="1783"/>
      <c r="BE1345" s="1783"/>
      <c r="BF1345" s="1783"/>
      <c r="BG1345" s="1783"/>
      <c r="BH1345" s="1783"/>
      <c r="BI1345" s="1783"/>
    </row>
    <row r="1346" spans="1:61">
      <c r="A1346" s="1819"/>
      <c r="B1346" s="1818"/>
      <c r="C1346" s="1818"/>
      <c r="D1346" s="1818"/>
      <c r="E1346" s="1818"/>
      <c r="F1346" s="1818"/>
      <c r="G1346" s="1818"/>
      <c r="H1346" s="1783"/>
      <c r="I1346" s="1783"/>
      <c r="J1346" s="1783"/>
      <c r="K1346" s="1783"/>
      <c r="L1346" s="1783"/>
      <c r="M1346" s="1783"/>
      <c r="N1346" s="1783"/>
      <c r="O1346" s="1783"/>
      <c r="P1346" s="1783"/>
      <c r="Q1346" s="1783"/>
      <c r="R1346" s="1783"/>
      <c r="S1346" s="1783"/>
      <c r="T1346" s="1783"/>
      <c r="U1346" s="1783"/>
      <c r="V1346" s="1783"/>
      <c r="W1346" s="1783"/>
      <c r="X1346" s="1783"/>
      <c r="Y1346" s="1783"/>
      <c r="Z1346" s="1783"/>
      <c r="AA1346" s="1783"/>
      <c r="AB1346" s="1783"/>
      <c r="AC1346" s="1783"/>
      <c r="AD1346" s="1783"/>
      <c r="AE1346" s="1783"/>
      <c r="AF1346" s="1783"/>
      <c r="AG1346" s="1783"/>
      <c r="AH1346" s="1783"/>
      <c r="AI1346" s="1783"/>
      <c r="AJ1346" s="1783"/>
      <c r="AK1346" s="1783"/>
      <c r="AL1346" s="1783"/>
      <c r="AM1346" s="1783"/>
      <c r="AN1346" s="1783"/>
      <c r="AO1346" s="1783"/>
      <c r="AP1346" s="1783"/>
      <c r="AQ1346" s="1783"/>
      <c r="AR1346" s="1783"/>
      <c r="AS1346" s="1783"/>
      <c r="AT1346" s="1783"/>
      <c r="AU1346" s="1783"/>
      <c r="AV1346" s="1783"/>
      <c r="AW1346" s="1783"/>
      <c r="AX1346" s="1783"/>
      <c r="AY1346" s="1783"/>
      <c r="AZ1346" s="1783"/>
      <c r="BA1346" s="1783"/>
      <c r="BB1346" s="1783"/>
      <c r="BC1346" s="1783"/>
      <c r="BD1346" s="1783"/>
      <c r="BE1346" s="1783"/>
      <c r="BF1346" s="1783"/>
      <c r="BG1346" s="1783"/>
      <c r="BH1346" s="1783"/>
      <c r="BI1346" s="1783"/>
    </row>
    <row r="1347" spans="1:61">
      <c r="A1347" s="1819"/>
      <c r="B1347" s="1818"/>
      <c r="C1347" s="1818"/>
      <c r="D1347" s="1818"/>
      <c r="E1347" s="1818"/>
      <c r="F1347" s="1818"/>
      <c r="G1347" s="1818"/>
      <c r="H1347" s="1783"/>
      <c r="I1347" s="1783"/>
      <c r="J1347" s="1783"/>
      <c r="K1347" s="1783"/>
      <c r="L1347" s="1783"/>
      <c r="M1347" s="1783"/>
      <c r="N1347" s="1783"/>
      <c r="O1347" s="1783"/>
      <c r="P1347" s="1783"/>
      <c r="Q1347" s="1783"/>
      <c r="R1347" s="1783"/>
      <c r="S1347" s="1783"/>
      <c r="T1347" s="1783"/>
      <c r="U1347" s="1783"/>
      <c r="V1347" s="1783"/>
      <c r="W1347" s="1783"/>
      <c r="X1347" s="1783"/>
      <c r="Y1347" s="1783"/>
      <c r="Z1347" s="1783"/>
      <c r="AA1347" s="1783"/>
      <c r="AB1347" s="1783"/>
      <c r="AC1347" s="1783"/>
      <c r="AD1347" s="1783"/>
      <c r="AE1347" s="1783"/>
      <c r="AF1347" s="1783"/>
      <c r="AG1347" s="1783"/>
      <c r="AH1347" s="1783"/>
      <c r="AI1347" s="1783"/>
      <c r="AJ1347" s="1783"/>
      <c r="AK1347" s="1783"/>
      <c r="AL1347" s="1783"/>
      <c r="AM1347" s="1783"/>
      <c r="AN1347" s="1783"/>
      <c r="AO1347" s="1783"/>
      <c r="AP1347" s="1783"/>
      <c r="AQ1347" s="1783"/>
      <c r="AR1347" s="1783"/>
      <c r="AS1347" s="1783"/>
      <c r="AT1347" s="1783"/>
      <c r="AU1347" s="1783"/>
      <c r="AV1347" s="1783"/>
      <c r="AW1347" s="1783"/>
      <c r="AX1347" s="1783"/>
      <c r="AY1347" s="1783"/>
      <c r="AZ1347" s="1783"/>
      <c r="BA1347" s="1783"/>
      <c r="BB1347" s="1783"/>
      <c r="BC1347" s="1783"/>
      <c r="BD1347" s="1783"/>
      <c r="BE1347" s="1783"/>
      <c r="BF1347" s="1783"/>
      <c r="BG1347" s="1783"/>
      <c r="BH1347" s="1783"/>
      <c r="BI1347" s="1783"/>
    </row>
    <row r="1348" spans="1:61">
      <c r="A1348" s="1819"/>
      <c r="B1348" s="1818"/>
      <c r="C1348" s="1818"/>
      <c r="D1348" s="1818"/>
      <c r="E1348" s="1818"/>
      <c r="F1348" s="1818"/>
      <c r="G1348" s="1818"/>
      <c r="H1348" s="1783"/>
      <c r="I1348" s="1783"/>
      <c r="J1348" s="1783"/>
      <c r="K1348" s="1783"/>
      <c r="L1348" s="1783"/>
      <c r="M1348" s="1783"/>
      <c r="N1348" s="1783"/>
      <c r="O1348" s="1783"/>
      <c r="P1348" s="1783"/>
      <c r="Q1348" s="1783"/>
      <c r="R1348" s="1783"/>
      <c r="S1348" s="1783"/>
      <c r="T1348" s="1783"/>
      <c r="U1348" s="1783"/>
      <c r="V1348" s="1783"/>
      <c r="W1348" s="1783"/>
      <c r="X1348" s="1783"/>
      <c r="Y1348" s="1783"/>
      <c r="Z1348" s="1783"/>
      <c r="AA1348" s="1783"/>
      <c r="AB1348" s="1783"/>
      <c r="AC1348" s="1783"/>
      <c r="AD1348" s="1783"/>
      <c r="AE1348" s="1783"/>
      <c r="AF1348" s="1783"/>
      <c r="AG1348" s="1783"/>
      <c r="AH1348" s="1783"/>
      <c r="AI1348" s="1783"/>
      <c r="AJ1348" s="1783"/>
      <c r="AK1348" s="1783"/>
      <c r="AL1348" s="1783"/>
      <c r="AM1348" s="1783"/>
      <c r="AN1348" s="1783"/>
      <c r="AO1348" s="1783"/>
      <c r="AP1348" s="1783"/>
      <c r="AQ1348" s="1783"/>
      <c r="AR1348" s="1783"/>
      <c r="AS1348" s="1783"/>
      <c r="AT1348" s="1783"/>
      <c r="AU1348" s="1783"/>
      <c r="AV1348" s="1783"/>
      <c r="AW1348" s="1783"/>
      <c r="AX1348" s="1783"/>
      <c r="AY1348" s="1783"/>
      <c r="AZ1348" s="1783"/>
      <c r="BA1348" s="1783"/>
      <c r="BB1348" s="1783"/>
      <c r="BC1348" s="1783"/>
      <c r="BD1348" s="1783"/>
      <c r="BE1348" s="1783"/>
      <c r="BF1348" s="1783"/>
      <c r="BG1348" s="1783"/>
      <c r="BH1348" s="1783"/>
      <c r="BI1348" s="1783"/>
    </row>
    <row r="1349" spans="1:61">
      <c r="A1349" s="1819"/>
      <c r="B1349" s="1818"/>
      <c r="C1349" s="1818"/>
      <c r="D1349" s="1818"/>
      <c r="E1349" s="1818"/>
      <c r="F1349" s="1818"/>
      <c r="G1349" s="1818"/>
      <c r="H1349" s="1783"/>
      <c r="I1349" s="1783"/>
      <c r="J1349" s="1783"/>
      <c r="K1349" s="1783"/>
      <c r="L1349" s="1783"/>
      <c r="M1349" s="1783"/>
      <c r="N1349" s="1783"/>
      <c r="O1349" s="1783"/>
      <c r="P1349" s="1783"/>
      <c r="Q1349" s="1783"/>
      <c r="R1349" s="1783"/>
      <c r="S1349" s="1783"/>
      <c r="T1349" s="1783"/>
      <c r="U1349" s="1783"/>
      <c r="V1349" s="1783"/>
      <c r="W1349" s="1783"/>
      <c r="X1349" s="1783"/>
      <c r="Y1349" s="1783"/>
      <c r="Z1349" s="1783"/>
      <c r="AA1349" s="1783"/>
      <c r="AB1349" s="1783"/>
      <c r="AC1349" s="1783"/>
      <c r="AD1349" s="1783"/>
      <c r="AE1349" s="1783"/>
      <c r="AF1349" s="1783"/>
      <c r="AG1349" s="1783"/>
      <c r="AH1349" s="1783"/>
      <c r="AI1349" s="1783"/>
      <c r="AJ1349" s="1783"/>
      <c r="AK1349" s="1783"/>
      <c r="AL1349" s="1783"/>
      <c r="AM1349" s="1783"/>
      <c r="AN1349" s="1783"/>
      <c r="AO1349" s="1783"/>
      <c r="AP1349" s="1783"/>
      <c r="AQ1349" s="1783"/>
      <c r="AR1349" s="1783"/>
      <c r="AS1349" s="1783"/>
      <c r="AT1349" s="1783"/>
      <c r="AU1349" s="1783"/>
      <c r="AV1349" s="1783"/>
      <c r="AW1349" s="1783"/>
      <c r="AX1349" s="1783"/>
      <c r="AY1349" s="1783"/>
      <c r="AZ1349" s="1783"/>
      <c r="BA1349" s="1783"/>
      <c r="BB1349" s="1783"/>
      <c r="BC1349" s="1783"/>
      <c r="BD1349" s="1783"/>
      <c r="BE1349" s="1783"/>
      <c r="BF1349" s="1783"/>
      <c r="BG1349" s="1783"/>
      <c r="BH1349" s="1783"/>
      <c r="BI1349" s="1783"/>
    </row>
    <row r="1350" spans="1:61">
      <c r="A1350" s="1819"/>
      <c r="B1350" s="1818"/>
      <c r="C1350" s="1818"/>
      <c r="D1350" s="1818"/>
      <c r="E1350" s="1818"/>
      <c r="F1350" s="1818"/>
      <c r="G1350" s="1818"/>
      <c r="H1350" s="1783"/>
      <c r="I1350" s="1783"/>
      <c r="J1350" s="1783"/>
      <c r="K1350" s="1783"/>
      <c r="L1350" s="1783"/>
      <c r="M1350" s="1783"/>
      <c r="N1350" s="1783"/>
      <c r="O1350" s="1783"/>
      <c r="P1350" s="1783"/>
      <c r="Q1350" s="1783"/>
      <c r="R1350" s="1783"/>
      <c r="S1350" s="1783"/>
      <c r="T1350" s="1783"/>
      <c r="U1350" s="1783"/>
      <c r="V1350" s="1783"/>
      <c r="W1350" s="1783"/>
      <c r="X1350" s="1783"/>
      <c r="Y1350" s="1783"/>
      <c r="Z1350" s="1783"/>
      <c r="AA1350" s="1783"/>
      <c r="AB1350" s="1783"/>
      <c r="AC1350" s="1783"/>
      <c r="AD1350" s="1783"/>
      <c r="AE1350" s="1783"/>
      <c r="AF1350" s="1783"/>
      <c r="AG1350" s="1783"/>
      <c r="AH1350" s="1783"/>
      <c r="AI1350" s="1783"/>
      <c r="AJ1350" s="1783"/>
      <c r="AK1350" s="1783"/>
      <c r="AL1350" s="1783"/>
      <c r="AM1350" s="1783"/>
      <c r="AN1350" s="1783"/>
      <c r="AO1350" s="1783"/>
      <c r="AP1350" s="1783"/>
      <c r="AQ1350" s="1783"/>
      <c r="AR1350" s="1783"/>
      <c r="AS1350" s="1783"/>
      <c r="AT1350" s="1783"/>
      <c r="AU1350" s="1783"/>
      <c r="AV1350" s="1783"/>
      <c r="AW1350" s="1783"/>
      <c r="AX1350" s="1783"/>
      <c r="AY1350" s="1783"/>
      <c r="AZ1350" s="1783"/>
      <c r="BA1350" s="1783"/>
      <c r="BB1350" s="1783"/>
      <c r="BC1350" s="1783"/>
      <c r="BD1350" s="1783"/>
      <c r="BE1350" s="1783"/>
      <c r="BF1350" s="1783"/>
      <c r="BG1350" s="1783"/>
      <c r="BH1350" s="1783"/>
      <c r="BI1350" s="1783"/>
    </row>
    <row r="1351" spans="1:61">
      <c r="A1351" s="1819"/>
      <c r="B1351" s="1818"/>
      <c r="C1351" s="1818"/>
      <c r="D1351" s="1818"/>
      <c r="E1351" s="1818"/>
      <c r="F1351" s="1818"/>
      <c r="G1351" s="1818"/>
      <c r="H1351" s="1783"/>
      <c r="I1351" s="1783"/>
      <c r="J1351" s="1783"/>
      <c r="K1351" s="1783"/>
      <c r="L1351" s="1783"/>
      <c r="M1351" s="1783"/>
      <c r="N1351" s="1783"/>
      <c r="O1351" s="1783"/>
      <c r="P1351" s="1783"/>
      <c r="Q1351" s="1783"/>
      <c r="R1351" s="1783"/>
      <c r="S1351" s="1783"/>
      <c r="T1351" s="1783"/>
      <c r="U1351" s="1783"/>
      <c r="V1351" s="1783"/>
      <c r="W1351" s="1783"/>
      <c r="X1351" s="1783"/>
      <c r="Y1351" s="1783"/>
      <c r="Z1351" s="1783"/>
      <c r="AA1351" s="1783"/>
      <c r="AB1351" s="1783"/>
      <c r="AC1351" s="1783"/>
      <c r="AD1351" s="1783"/>
      <c r="AE1351" s="1783"/>
      <c r="AF1351" s="1783"/>
      <c r="AG1351" s="1783"/>
      <c r="AH1351" s="1783"/>
      <c r="AI1351" s="1783"/>
      <c r="AJ1351" s="1783"/>
      <c r="AK1351" s="1783"/>
      <c r="AL1351" s="1783"/>
      <c r="AM1351" s="1783"/>
      <c r="AN1351" s="1783"/>
      <c r="AO1351" s="1783"/>
      <c r="AP1351" s="1783"/>
      <c r="AQ1351" s="1783"/>
      <c r="AR1351" s="1783"/>
      <c r="AS1351" s="1783"/>
      <c r="AT1351" s="1783"/>
      <c r="AU1351" s="1783"/>
      <c r="AV1351" s="1783"/>
      <c r="AW1351" s="1783"/>
      <c r="AX1351" s="1783"/>
      <c r="AY1351" s="1783"/>
      <c r="AZ1351" s="1783"/>
      <c r="BA1351" s="1783"/>
      <c r="BB1351" s="1783"/>
      <c r="BC1351" s="1783"/>
      <c r="BD1351" s="1783"/>
      <c r="BE1351" s="1783"/>
      <c r="BF1351" s="1783"/>
      <c r="BG1351" s="1783"/>
      <c r="BH1351" s="1783"/>
      <c r="BI1351" s="1783"/>
    </row>
    <row r="1352" spans="1:61">
      <c r="A1352" s="1819"/>
      <c r="B1352" s="1818"/>
      <c r="C1352" s="1818"/>
      <c r="D1352" s="1818"/>
      <c r="E1352" s="1818"/>
      <c r="F1352" s="1818"/>
      <c r="G1352" s="1818"/>
      <c r="H1352" s="1783"/>
      <c r="I1352" s="1783"/>
      <c r="J1352" s="1783"/>
      <c r="K1352" s="1783"/>
      <c r="L1352" s="1783"/>
      <c r="M1352" s="1783"/>
      <c r="N1352" s="1783"/>
      <c r="O1352" s="1783"/>
      <c r="P1352" s="1783"/>
      <c r="Q1352" s="1783"/>
      <c r="R1352" s="1783"/>
      <c r="S1352" s="1783"/>
      <c r="T1352" s="1783"/>
      <c r="U1352" s="1783"/>
      <c r="V1352" s="1783"/>
      <c r="W1352" s="1783"/>
      <c r="X1352" s="1783"/>
      <c r="Y1352" s="1783"/>
      <c r="Z1352" s="1783"/>
      <c r="AA1352" s="1783"/>
      <c r="AB1352" s="1783"/>
      <c r="AC1352" s="1783"/>
      <c r="AD1352" s="1783"/>
      <c r="AE1352" s="1783"/>
      <c r="AF1352" s="1783"/>
      <c r="AG1352" s="1783"/>
      <c r="AH1352" s="1783"/>
      <c r="AI1352" s="1783"/>
      <c r="AJ1352" s="1783"/>
      <c r="AK1352" s="1783"/>
      <c r="AL1352" s="1783"/>
      <c r="AM1352" s="1783"/>
      <c r="AN1352" s="1783"/>
      <c r="AO1352" s="1783"/>
      <c r="AP1352" s="1783"/>
      <c r="AQ1352" s="1783"/>
      <c r="AR1352" s="1783"/>
      <c r="AS1352" s="1783"/>
      <c r="AT1352" s="1783"/>
      <c r="AU1352" s="1783"/>
      <c r="AV1352" s="1783"/>
      <c r="AW1352" s="1783"/>
      <c r="AX1352" s="1783"/>
      <c r="AY1352" s="1783"/>
      <c r="AZ1352" s="1783"/>
      <c r="BA1352" s="1783"/>
      <c r="BB1352" s="1783"/>
      <c r="BC1352" s="1783"/>
      <c r="BD1352" s="1783"/>
      <c r="BE1352" s="1783"/>
      <c r="BF1352" s="1783"/>
      <c r="BG1352" s="1783"/>
      <c r="BH1352" s="1783"/>
      <c r="BI1352" s="1783"/>
    </row>
    <row r="1353" spans="1:61">
      <c r="A1353" s="1819"/>
      <c r="B1353" s="1818"/>
      <c r="C1353" s="1818"/>
      <c r="D1353" s="1818"/>
      <c r="E1353" s="1818"/>
      <c r="F1353" s="1818"/>
      <c r="G1353" s="1818"/>
      <c r="H1353" s="1783"/>
      <c r="I1353" s="1783"/>
      <c r="J1353" s="1783"/>
      <c r="K1353" s="1783"/>
      <c r="L1353" s="1783"/>
      <c r="M1353" s="1783"/>
      <c r="N1353" s="1783"/>
      <c r="O1353" s="1783"/>
      <c r="P1353" s="1783"/>
      <c r="Q1353" s="1783"/>
      <c r="R1353" s="1783"/>
      <c r="S1353" s="1783"/>
      <c r="T1353" s="1783"/>
      <c r="U1353" s="1783"/>
      <c r="V1353" s="1783"/>
      <c r="W1353" s="1783"/>
      <c r="X1353" s="1783"/>
      <c r="Y1353" s="1783"/>
      <c r="Z1353" s="1783"/>
      <c r="AA1353" s="1783"/>
      <c r="AB1353" s="1783"/>
      <c r="AC1353" s="1783"/>
      <c r="AD1353" s="1783"/>
      <c r="AE1353" s="1783"/>
      <c r="AF1353" s="1783"/>
      <c r="AG1353" s="1783"/>
      <c r="AH1353" s="1783"/>
      <c r="AI1353" s="1783"/>
      <c r="AJ1353" s="1783"/>
      <c r="AK1353" s="1783"/>
      <c r="AL1353" s="1783"/>
      <c r="AM1353" s="1783"/>
      <c r="AN1353" s="1783"/>
      <c r="AO1353" s="1783"/>
      <c r="AP1353" s="1783"/>
      <c r="AQ1353" s="1783"/>
      <c r="AR1353" s="1783"/>
      <c r="AS1353" s="1783"/>
      <c r="AT1353" s="1783"/>
      <c r="AU1353" s="1783"/>
      <c r="AV1353" s="1783"/>
      <c r="AW1353" s="1783"/>
      <c r="AX1353" s="1783"/>
      <c r="AY1353" s="1783"/>
      <c r="AZ1353" s="1783"/>
      <c r="BA1353" s="1783"/>
      <c r="BB1353" s="1783"/>
      <c r="BC1353" s="1783"/>
      <c r="BD1353" s="1783"/>
      <c r="BE1353" s="1783"/>
      <c r="BF1353" s="1783"/>
      <c r="BG1353" s="1783"/>
      <c r="BH1353" s="1783"/>
      <c r="BI1353" s="1783"/>
    </row>
    <row r="1354" spans="1:61">
      <c r="A1354" s="1819"/>
      <c r="B1354" s="1818"/>
      <c r="C1354" s="1818"/>
      <c r="D1354" s="1818"/>
      <c r="E1354" s="1818"/>
      <c r="F1354" s="1818"/>
      <c r="G1354" s="1818"/>
      <c r="H1354" s="1783"/>
      <c r="I1354" s="1783"/>
      <c r="J1354" s="1783"/>
      <c r="K1354" s="1783"/>
      <c r="L1354" s="1783"/>
      <c r="M1354" s="1783"/>
      <c r="N1354" s="1783"/>
      <c r="O1354" s="1783"/>
      <c r="P1354" s="1783"/>
      <c r="Q1354" s="1783"/>
      <c r="R1354" s="1783"/>
      <c r="S1354" s="1783"/>
      <c r="T1354" s="1783"/>
      <c r="U1354" s="1783"/>
      <c r="V1354" s="1783"/>
      <c r="W1354" s="1783"/>
      <c r="X1354" s="1783"/>
      <c r="Y1354" s="1783"/>
      <c r="Z1354" s="1783"/>
      <c r="AA1354" s="1783"/>
      <c r="AB1354" s="1783"/>
      <c r="AC1354" s="1783"/>
      <c r="AD1354" s="1783"/>
      <c r="AE1354" s="1783"/>
      <c r="AF1354" s="1783"/>
      <c r="AG1354" s="1783"/>
      <c r="AH1354" s="1783"/>
      <c r="AI1354" s="1783"/>
      <c r="AJ1354" s="1783"/>
      <c r="AK1354" s="1783"/>
      <c r="AL1354" s="1783"/>
      <c r="AM1354" s="1783"/>
      <c r="AN1354" s="1783"/>
      <c r="AO1354" s="1783"/>
      <c r="AP1354" s="1783"/>
      <c r="AQ1354" s="1783"/>
      <c r="AR1354" s="1783"/>
      <c r="AS1354" s="1783"/>
      <c r="AT1354" s="1783"/>
      <c r="AU1354" s="1783"/>
      <c r="AV1354" s="1783"/>
      <c r="AW1354" s="1783"/>
      <c r="AX1354" s="1783"/>
      <c r="AY1354" s="1783"/>
      <c r="AZ1354" s="1783"/>
      <c r="BA1354" s="1783"/>
      <c r="BB1354" s="1783"/>
      <c r="BC1354" s="1783"/>
      <c r="BD1354" s="1783"/>
      <c r="BE1354" s="1783"/>
      <c r="BF1354" s="1783"/>
      <c r="BG1354" s="1783"/>
      <c r="BH1354" s="1783"/>
      <c r="BI1354" s="1783"/>
    </row>
    <row r="1355" spans="1:61">
      <c r="A1355" s="1819"/>
      <c r="B1355" s="1818"/>
      <c r="C1355" s="1818"/>
      <c r="D1355" s="1818"/>
      <c r="E1355" s="1818"/>
      <c r="F1355" s="1818"/>
      <c r="G1355" s="1818"/>
      <c r="H1355" s="1783"/>
      <c r="I1355" s="1783"/>
      <c r="J1355" s="1783"/>
      <c r="K1355" s="1783"/>
      <c r="L1355" s="1783"/>
      <c r="M1355" s="1783"/>
      <c r="N1355" s="1783"/>
      <c r="O1355" s="1783"/>
      <c r="P1355" s="1783"/>
      <c r="Q1355" s="1783"/>
      <c r="R1355" s="1783"/>
      <c r="S1355" s="1783"/>
      <c r="T1355" s="1783"/>
      <c r="U1355" s="1783"/>
      <c r="V1355" s="1783"/>
      <c r="W1355" s="1783"/>
      <c r="X1355" s="1783"/>
      <c r="Y1355" s="1783"/>
      <c r="Z1355" s="1783"/>
      <c r="AA1355" s="1783"/>
      <c r="AB1355" s="1783"/>
      <c r="AC1355" s="1783"/>
      <c r="AD1355" s="1783"/>
      <c r="AE1355" s="1783"/>
      <c r="AF1355" s="1783"/>
      <c r="AG1355" s="1783"/>
      <c r="AH1355" s="1783"/>
      <c r="AI1355" s="1783"/>
      <c r="AJ1355" s="1783"/>
      <c r="AK1355" s="1783"/>
      <c r="AL1355" s="1783"/>
      <c r="AM1355" s="1783"/>
      <c r="AN1355" s="1783"/>
      <c r="AO1355" s="1783"/>
      <c r="AP1355" s="1783"/>
      <c r="AQ1355" s="1783"/>
      <c r="AR1355" s="1783"/>
      <c r="AS1355" s="1783"/>
      <c r="AT1355" s="1783"/>
      <c r="AU1355" s="1783"/>
      <c r="AV1355" s="1783"/>
      <c r="AW1355" s="1783"/>
      <c r="AX1355" s="1783"/>
      <c r="AY1355" s="1783"/>
      <c r="AZ1355" s="1783"/>
      <c r="BA1355" s="1783"/>
      <c r="BB1355" s="1783"/>
      <c r="BC1355" s="1783"/>
      <c r="BD1355" s="1783"/>
      <c r="BE1355" s="1783"/>
      <c r="BF1355" s="1783"/>
      <c r="BG1355" s="1783"/>
      <c r="BH1355" s="1783"/>
      <c r="BI1355" s="1783"/>
    </row>
    <row r="1356" spans="1:61">
      <c r="A1356" s="1819"/>
      <c r="B1356" s="1818"/>
      <c r="C1356" s="1818"/>
      <c r="D1356" s="1818"/>
      <c r="E1356" s="1818"/>
      <c r="F1356" s="1818"/>
      <c r="G1356" s="1818"/>
      <c r="H1356" s="1783"/>
      <c r="I1356" s="1783"/>
      <c r="J1356" s="1783"/>
      <c r="K1356" s="1783"/>
      <c r="L1356" s="1783"/>
      <c r="M1356" s="1783"/>
      <c r="N1356" s="1783"/>
      <c r="O1356" s="1783"/>
      <c r="P1356" s="1783"/>
      <c r="Q1356" s="1783"/>
      <c r="R1356" s="1783"/>
      <c r="S1356" s="1783"/>
      <c r="T1356" s="1783"/>
      <c r="U1356" s="1783"/>
      <c r="V1356" s="1783"/>
      <c r="W1356" s="1783"/>
      <c r="X1356" s="1783"/>
      <c r="Y1356" s="1783"/>
      <c r="Z1356" s="1783"/>
      <c r="AA1356" s="1783"/>
      <c r="AB1356" s="1783"/>
      <c r="AC1356" s="1783"/>
      <c r="AD1356" s="1783"/>
      <c r="AE1356" s="1783"/>
      <c r="AF1356" s="1783"/>
      <c r="AG1356" s="1783"/>
      <c r="AH1356" s="1783"/>
      <c r="AI1356" s="1783"/>
      <c r="AJ1356" s="1783"/>
      <c r="AK1356" s="1783"/>
      <c r="AL1356" s="1783"/>
      <c r="AM1356" s="1783"/>
      <c r="AN1356" s="1783"/>
      <c r="AO1356" s="1783"/>
      <c r="AP1356" s="1783"/>
      <c r="AQ1356" s="1783"/>
      <c r="AR1356" s="1783"/>
      <c r="AS1356" s="1783"/>
      <c r="AT1356" s="1783"/>
      <c r="AU1356" s="1783"/>
      <c r="AV1356" s="1783"/>
      <c r="AW1356" s="1783"/>
      <c r="AX1356" s="1783"/>
      <c r="AY1356" s="1783"/>
      <c r="AZ1356" s="1783"/>
      <c r="BA1356" s="1783"/>
      <c r="BB1356" s="1783"/>
      <c r="BC1356" s="1783"/>
      <c r="BD1356" s="1783"/>
      <c r="BE1356" s="1783"/>
      <c r="BF1356" s="1783"/>
      <c r="BG1356" s="1783"/>
      <c r="BH1356" s="1783"/>
      <c r="BI1356" s="1783"/>
    </row>
    <row r="1357" spans="1:61">
      <c r="A1357" s="1819"/>
      <c r="B1357" s="1818"/>
      <c r="C1357" s="1818"/>
      <c r="D1357" s="1818"/>
      <c r="E1357" s="1818"/>
      <c r="F1357" s="1818"/>
      <c r="G1357" s="1818"/>
      <c r="H1357" s="1783"/>
      <c r="I1357" s="1783"/>
      <c r="J1357" s="1783"/>
      <c r="K1357" s="1783"/>
      <c r="L1357" s="1783"/>
      <c r="M1357" s="1783"/>
      <c r="N1357" s="1783"/>
      <c r="O1357" s="1783"/>
      <c r="P1357" s="1783"/>
      <c r="Q1357" s="1783"/>
      <c r="R1357" s="1783"/>
      <c r="S1357" s="1783"/>
      <c r="T1357" s="1783"/>
      <c r="U1357" s="1783"/>
      <c r="V1357" s="1783"/>
      <c r="W1357" s="1783"/>
      <c r="X1357" s="1783"/>
      <c r="Y1357" s="1783"/>
      <c r="Z1357" s="1783"/>
      <c r="AA1357" s="1783"/>
      <c r="AB1357" s="1783"/>
      <c r="AC1357" s="1783"/>
      <c r="AD1357" s="1783"/>
      <c r="AE1357" s="1783"/>
      <c r="AF1357" s="1783"/>
      <c r="AG1357" s="1783"/>
      <c r="AH1357" s="1783"/>
      <c r="AI1357" s="1783"/>
      <c r="AJ1357" s="1783"/>
      <c r="AK1357" s="1783"/>
      <c r="AL1357" s="1783"/>
      <c r="AM1357" s="1783"/>
      <c r="AN1357" s="1783"/>
      <c r="AO1357" s="1783"/>
      <c r="AP1357" s="1783"/>
      <c r="AQ1357" s="1783"/>
      <c r="AR1357" s="1783"/>
      <c r="AS1357" s="1783"/>
      <c r="AT1357" s="1783"/>
      <c r="AU1357" s="1783"/>
      <c r="AV1357" s="1783"/>
      <c r="AW1357" s="1783"/>
      <c r="AX1357" s="1783"/>
      <c r="AY1357" s="1783"/>
      <c r="AZ1357" s="1783"/>
      <c r="BA1357" s="1783"/>
      <c r="BB1357" s="1783"/>
      <c r="BC1357" s="1783"/>
      <c r="BD1357" s="1783"/>
      <c r="BE1357" s="1783"/>
      <c r="BF1357" s="1783"/>
      <c r="BG1357" s="1783"/>
      <c r="BH1357" s="1783"/>
      <c r="BI1357" s="1783"/>
    </row>
    <row r="1358" spans="1:61">
      <c r="A1358" s="1819"/>
      <c r="B1358" s="1818"/>
      <c r="C1358" s="1818"/>
      <c r="D1358" s="1818"/>
      <c r="E1358" s="1818"/>
      <c r="F1358" s="1818"/>
      <c r="G1358" s="1818"/>
      <c r="H1358" s="1783"/>
      <c r="I1358" s="1783"/>
      <c r="J1358" s="1783"/>
      <c r="K1358" s="1783"/>
      <c r="L1358" s="1783"/>
      <c r="M1358" s="1783"/>
      <c r="N1358" s="1783"/>
      <c r="O1358" s="1783"/>
      <c r="P1358" s="1783"/>
      <c r="Q1358" s="1783"/>
      <c r="R1358" s="1783"/>
      <c r="S1358" s="1783"/>
      <c r="T1358" s="1783"/>
      <c r="U1358" s="1783"/>
      <c r="V1358" s="1783"/>
      <c r="W1358" s="1783"/>
      <c r="X1358" s="1783"/>
      <c r="Y1358" s="1783"/>
      <c r="Z1358" s="1783"/>
      <c r="AA1358" s="1783"/>
      <c r="AB1358" s="1783"/>
      <c r="AC1358" s="1783"/>
      <c r="AD1358" s="1783"/>
      <c r="AE1358" s="1783"/>
      <c r="AF1358" s="1783"/>
      <c r="AG1358" s="1783"/>
      <c r="AH1358" s="1783"/>
      <c r="AI1358" s="1783"/>
      <c r="AJ1358" s="1783"/>
      <c r="AK1358" s="1783"/>
      <c r="AL1358" s="1783"/>
      <c r="AM1358" s="1783"/>
      <c r="AN1358" s="1783"/>
      <c r="AO1358" s="1783"/>
      <c r="AP1358" s="1783"/>
      <c r="AQ1358" s="1783"/>
      <c r="AR1358" s="1783"/>
      <c r="AS1358" s="1783"/>
      <c r="AT1358" s="1783"/>
      <c r="AU1358" s="1783"/>
      <c r="AV1358" s="1783"/>
      <c r="AW1358" s="1783"/>
      <c r="AX1358" s="1783"/>
      <c r="AY1358" s="1783"/>
      <c r="AZ1358" s="1783"/>
      <c r="BA1358" s="1783"/>
      <c r="BB1358" s="1783"/>
      <c r="BC1358" s="1783"/>
      <c r="BD1358" s="1783"/>
      <c r="BE1358" s="1783"/>
      <c r="BF1358" s="1783"/>
      <c r="BG1358" s="1783"/>
      <c r="BH1358" s="1783"/>
      <c r="BI1358" s="1783"/>
    </row>
    <row r="1359" spans="1:61">
      <c r="A1359" s="1819"/>
      <c r="B1359" s="1818"/>
      <c r="C1359" s="1818"/>
      <c r="D1359" s="1818"/>
      <c r="E1359" s="1818"/>
      <c r="F1359" s="1818"/>
      <c r="G1359" s="1818"/>
      <c r="H1359" s="1783"/>
      <c r="I1359" s="1783"/>
      <c r="J1359" s="1783"/>
      <c r="K1359" s="1783"/>
      <c r="L1359" s="1783"/>
      <c r="M1359" s="1783"/>
      <c r="N1359" s="1783"/>
      <c r="O1359" s="1783"/>
      <c r="P1359" s="1783"/>
      <c r="Q1359" s="1783"/>
      <c r="R1359" s="1783"/>
      <c r="S1359" s="1783"/>
      <c r="T1359" s="1783"/>
      <c r="U1359" s="1783"/>
      <c r="V1359" s="1783"/>
      <c r="W1359" s="1783"/>
      <c r="X1359" s="1783"/>
      <c r="Y1359" s="1783"/>
      <c r="Z1359" s="1783"/>
      <c r="AA1359" s="1783"/>
      <c r="AB1359" s="1783"/>
      <c r="AC1359" s="1783"/>
      <c r="AD1359" s="1783"/>
      <c r="AE1359" s="1783"/>
      <c r="AF1359" s="1783"/>
      <c r="AG1359" s="1783"/>
      <c r="AH1359" s="1783"/>
      <c r="AI1359" s="1783"/>
      <c r="AJ1359" s="1783"/>
      <c r="AK1359" s="1783"/>
      <c r="AL1359" s="1783"/>
      <c r="AM1359" s="1783"/>
      <c r="AN1359" s="1783"/>
      <c r="AO1359" s="1783"/>
      <c r="AP1359" s="1783"/>
      <c r="AQ1359" s="1783"/>
      <c r="AR1359" s="1783"/>
      <c r="AS1359" s="1783"/>
      <c r="AT1359" s="1783"/>
      <c r="AU1359" s="1783"/>
      <c r="AV1359" s="1783"/>
      <c r="AW1359" s="1783"/>
      <c r="AX1359" s="1783"/>
      <c r="AY1359" s="1783"/>
      <c r="AZ1359" s="1783"/>
      <c r="BA1359" s="1783"/>
      <c r="BB1359" s="1783"/>
      <c r="BC1359" s="1783"/>
      <c r="BD1359" s="1783"/>
      <c r="BE1359" s="1783"/>
      <c r="BF1359" s="1783"/>
      <c r="BG1359" s="1783"/>
      <c r="BH1359" s="1783"/>
      <c r="BI1359" s="1783"/>
    </row>
    <row r="1360" spans="1:61">
      <c r="A1360" s="1819"/>
      <c r="B1360" s="1818"/>
      <c r="C1360" s="1818"/>
      <c r="D1360" s="1818"/>
      <c r="E1360" s="1818"/>
      <c r="F1360" s="1818"/>
      <c r="G1360" s="1818"/>
      <c r="H1360" s="1783"/>
      <c r="I1360" s="1783"/>
      <c r="J1360" s="1783"/>
      <c r="K1360" s="1783"/>
      <c r="L1360" s="1783"/>
      <c r="M1360" s="1783"/>
      <c r="N1360" s="1783"/>
      <c r="O1360" s="1783"/>
      <c r="P1360" s="1783"/>
      <c r="Q1360" s="1783"/>
      <c r="R1360" s="1783"/>
      <c r="S1360" s="1783"/>
      <c r="T1360" s="1783"/>
      <c r="U1360" s="1783"/>
      <c r="V1360" s="1783"/>
      <c r="W1360" s="1783"/>
      <c r="X1360" s="1783"/>
      <c r="Y1360" s="1783"/>
      <c r="Z1360" s="1783"/>
      <c r="AA1360" s="1783"/>
      <c r="AB1360" s="1783"/>
      <c r="AC1360" s="1783"/>
      <c r="AD1360" s="1783"/>
      <c r="AE1360" s="1783"/>
      <c r="AF1360" s="1783"/>
      <c r="AG1360" s="1783"/>
      <c r="AH1360" s="1783"/>
      <c r="AI1360" s="1783"/>
      <c r="AJ1360" s="1783"/>
      <c r="AK1360" s="1783"/>
      <c r="AL1360" s="1783"/>
      <c r="AM1360" s="1783"/>
      <c r="AN1360" s="1783"/>
      <c r="AO1360" s="1783"/>
      <c r="AP1360" s="1783"/>
      <c r="AQ1360" s="1783"/>
      <c r="AR1360" s="1783"/>
      <c r="AS1360" s="1783"/>
      <c r="AT1360" s="1783"/>
      <c r="AU1360" s="1783"/>
      <c r="AV1360" s="1783"/>
      <c r="AW1360" s="1783"/>
      <c r="AX1360" s="1783"/>
      <c r="AY1360" s="1783"/>
      <c r="AZ1360" s="1783"/>
      <c r="BA1360" s="1783"/>
      <c r="BB1360" s="1783"/>
      <c r="BC1360" s="1783"/>
      <c r="BD1360" s="1783"/>
      <c r="BE1360" s="1783"/>
      <c r="BF1360" s="1783"/>
      <c r="BG1360" s="1783"/>
      <c r="BH1360" s="1783"/>
      <c r="BI1360" s="1783"/>
    </row>
    <row r="1361" spans="1:61">
      <c r="A1361" s="1819"/>
      <c r="B1361" s="1818"/>
      <c r="C1361" s="1818"/>
      <c r="D1361" s="1818"/>
      <c r="E1361" s="1818"/>
      <c r="F1361" s="1818"/>
      <c r="G1361" s="1818"/>
      <c r="H1361" s="1783"/>
      <c r="I1361" s="1783"/>
      <c r="J1361" s="1783"/>
      <c r="K1361" s="1783"/>
      <c r="L1361" s="1783"/>
      <c r="M1361" s="1783"/>
      <c r="N1361" s="1783"/>
      <c r="O1361" s="1783"/>
      <c r="P1361" s="1783"/>
      <c r="Q1361" s="1783"/>
      <c r="R1361" s="1783"/>
      <c r="S1361" s="1783"/>
      <c r="T1361" s="1783"/>
      <c r="U1361" s="1783"/>
      <c r="V1361" s="1783"/>
      <c r="W1361" s="1783"/>
      <c r="X1361" s="1783"/>
      <c r="Y1361" s="1783"/>
      <c r="Z1361" s="1783"/>
      <c r="AA1361" s="1783"/>
      <c r="AB1361" s="1783"/>
      <c r="AC1361" s="1783"/>
      <c r="AD1361" s="1783"/>
      <c r="AE1361" s="1783"/>
      <c r="AF1361" s="1783"/>
      <c r="AG1361" s="1783"/>
      <c r="AH1361" s="1783"/>
      <c r="AI1361" s="1783"/>
      <c r="AJ1361" s="1783"/>
      <c r="AK1361" s="1783"/>
      <c r="AL1361" s="1783"/>
      <c r="AM1361" s="1783"/>
      <c r="AN1361" s="1783"/>
      <c r="AO1361" s="1783"/>
      <c r="AP1361" s="1783"/>
      <c r="AQ1361" s="1783"/>
      <c r="AR1361" s="1783"/>
      <c r="AS1361" s="1783"/>
      <c r="AT1361" s="1783"/>
      <c r="AU1361" s="1783"/>
      <c r="AV1361" s="1783"/>
      <c r="AW1361" s="1783"/>
      <c r="AX1361" s="1783"/>
      <c r="AY1361" s="1783"/>
      <c r="AZ1361" s="1783"/>
      <c r="BA1361" s="1783"/>
      <c r="BB1361" s="1783"/>
      <c r="BC1361" s="1783"/>
      <c r="BD1361" s="1783"/>
      <c r="BE1361" s="1783"/>
      <c r="BF1361" s="1783"/>
      <c r="BG1361" s="1783"/>
      <c r="BH1361" s="1783"/>
      <c r="BI1361" s="1783"/>
    </row>
    <row r="1362" spans="1:61">
      <c r="A1362" s="1819"/>
      <c r="B1362" s="1818"/>
      <c r="C1362" s="1818"/>
      <c r="D1362" s="1818"/>
      <c r="E1362" s="1818"/>
      <c r="F1362" s="1818"/>
      <c r="G1362" s="1818"/>
      <c r="H1362" s="1783"/>
      <c r="I1362" s="1783"/>
      <c r="J1362" s="1783"/>
      <c r="K1362" s="1783"/>
      <c r="L1362" s="1783"/>
      <c r="M1362" s="1783"/>
      <c r="N1362" s="1783"/>
      <c r="O1362" s="1783"/>
      <c r="P1362" s="1783"/>
      <c r="Q1362" s="1783"/>
      <c r="R1362" s="1783"/>
      <c r="S1362" s="1783"/>
      <c r="T1362" s="1783"/>
      <c r="U1362" s="1783"/>
      <c r="V1362" s="1783"/>
      <c r="W1362" s="1783"/>
      <c r="X1362" s="1783"/>
      <c r="Y1362" s="1783"/>
      <c r="Z1362" s="1783"/>
      <c r="AA1362" s="1783"/>
      <c r="AB1362" s="1783"/>
      <c r="AC1362" s="1783"/>
      <c r="AD1362" s="1783"/>
      <c r="AE1362" s="1783"/>
      <c r="AF1362" s="1783"/>
      <c r="AG1362" s="1783"/>
      <c r="AH1362" s="1783"/>
      <c r="AI1362" s="1783"/>
      <c r="AJ1362" s="1783"/>
      <c r="AK1362" s="1783"/>
      <c r="AL1362" s="1783"/>
      <c r="AM1362" s="1783"/>
      <c r="AN1362" s="1783"/>
      <c r="AO1362" s="1783"/>
      <c r="AP1362" s="1783"/>
      <c r="AQ1362" s="1783"/>
      <c r="AR1362" s="1783"/>
      <c r="AS1362" s="1783"/>
      <c r="AT1362" s="1783"/>
      <c r="AU1362" s="1783"/>
      <c r="AV1362" s="1783"/>
      <c r="AW1362" s="1783"/>
      <c r="AX1362" s="1783"/>
      <c r="AY1362" s="1783"/>
      <c r="AZ1362" s="1783"/>
      <c r="BA1362" s="1783"/>
      <c r="BB1362" s="1783"/>
      <c r="BC1362" s="1783"/>
      <c r="BD1362" s="1783"/>
      <c r="BE1362" s="1783"/>
      <c r="BF1362" s="1783"/>
      <c r="BG1362" s="1783"/>
      <c r="BH1362" s="1783"/>
      <c r="BI1362" s="1783"/>
    </row>
    <row r="1363" spans="1:61">
      <c r="A1363" s="1819"/>
      <c r="B1363" s="1818"/>
      <c r="C1363" s="1818"/>
      <c r="D1363" s="1818"/>
      <c r="E1363" s="1818"/>
      <c r="F1363" s="1818"/>
      <c r="G1363" s="1818"/>
      <c r="H1363" s="1783"/>
      <c r="I1363" s="1783"/>
      <c r="J1363" s="1783"/>
      <c r="K1363" s="1783"/>
      <c r="L1363" s="1783"/>
      <c r="M1363" s="1783"/>
      <c r="N1363" s="1783"/>
      <c r="O1363" s="1783"/>
      <c r="P1363" s="1783"/>
      <c r="Q1363" s="1783"/>
      <c r="R1363" s="1783"/>
      <c r="S1363" s="1783"/>
      <c r="T1363" s="1783"/>
      <c r="U1363" s="1783"/>
      <c r="V1363" s="1783"/>
      <c r="W1363" s="1783"/>
      <c r="X1363" s="1783"/>
      <c r="Y1363" s="1783"/>
      <c r="Z1363" s="1783"/>
      <c r="AA1363" s="1783"/>
      <c r="AB1363" s="1783"/>
      <c r="AC1363" s="1783"/>
      <c r="AD1363" s="1783"/>
      <c r="AE1363" s="1783"/>
      <c r="AF1363" s="1783"/>
      <c r="AG1363" s="1783"/>
      <c r="AH1363" s="1783"/>
      <c r="AI1363" s="1783"/>
      <c r="AJ1363" s="1783"/>
      <c r="AK1363" s="1783"/>
      <c r="AL1363" s="1783"/>
      <c r="AM1363" s="1783"/>
      <c r="AN1363" s="1783"/>
      <c r="AO1363" s="1783"/>
      <c r="AP1363" s="1783"/>
      <c r="AQ1363" s="1783"/>
      <c r="AR1363" s="1783"/>
      <c r="AS1363" s="1783"/>
      <c r="AT1363" s="1783"/>
      <c r="AU1363" s="1783"/>
      <c r="AV1363" s="1783"/>
      <c r="AW1363" s="1783"/>
      <c r="AX1363" s="1783"/>
      <c r="AY1363" s="1783"/>
      <c r="AZ1363" s="1783"/>
      <c r="BA1363" s="1783"/>
      <c r="BB1363" s="1783"/>
      <c r="BC1363" s="1783"/>
      <c r="BD1363" s="1783"/>
      <c r="BE1363" s="1783"/>
      <c r="BF1363" s="1783"/>
      <c r="BG1363" s="1783"/>
      <c r="BH1363" s="1783"/>
      <c r="BI1363" s="1783"/>
    </row>
    <row r="1364" spans="1:61">
      <c r="A1364" s="1819"/>
      <c r="B1364" s="1818"/>
      <c r="C1364" s="1818"/>
      <c r="D1364" s="1818"/>
      <c r="E1364" s="1818"/>
      <c r="F1364" s="1818"/>
      <c r="G1364" s="1818"/>
      <c r="H1364" s="1783"/>
      <c r="I1364" s="1783"/>
      <c r="J1364" s="1783"/>
      <c r="K1364" s="1783"/>
      <c r="L1364" s="1783"/>
      <c r="M1364" s="1783"/>
      <c r="N1364" s="1783"/>
      <c r="O1364" s="1783"/>
      <c r="P1364" s="1783"/>
      <c r="Q1364" s="1783"/>
      <c r="R1364" s="1783"/>
      <c r="S1364" s="1783"/>
      <c r="T1364" s="1783"/>
      <c r="U1364" s="1783"/>
      <c r="V1364" s="1783"/>
      <c r="W1364" s="1783"/>
      <c r="X1364" s="1783"/>
      <c r="Y1364" s="1783"/>
      <c r="Z1364" s="1783"/>
      <c r="AA1364" s="1783"/>
      <c r="AB1364" s="1783"/>
      <c r="AC1364" s="1783"/>
      <c r="AD1364" s="1783"/>
      <c r="AE1364" s="1783"/>
      <c r="AF1364" s="1783"/>
      <c r="AG1364" s="1783"/>
      <c r="AH1364" s="1783"/>
      <c r="AI1364" s="1783"/>
      <c r="AJ1364" s="1783"/>
      <c r="AK1364" s="1783"/>
      <c r="AL1364" s="1783"/>
      <c r="AM1364" s="1783"/>
      <c r="AN1364" s="1783"/>
      <c r="AO1364" s="1783"/>
      <c r="AP1364" s="1783"/>
      <c r="AQ1364" s="1783"/>
      <c r="AR1364" s="1783"/>
      <c r="AS1364" s="1783"/>
      <c r="AT1364" s="1783"/>
      <c r="AU1364" s="1783"/>
      <c r="AV1364" s="1783"/>
      <c r="AW1364" s="1783"/>
      <c r="AX1364" s="1783"/>
      <c r="AY1364" s="1783"/>
      <c r="AZ1364" s="1783"/>
      <c r="BA1364" s="1783"/>
      <c r="BB1364" s="1783"/>
      <c r="BC1364" s="1783"/>
      <c r="BD1364" s="1783"/>
      <c r="BE1364" s="1783"/>
      <c r="BF1364" s="1783"/>
      <c r="BG1364" s="1783"/>
      <c r="BH1364" s="1783"/>
      <c r="BI1364" s="1783"/>
    </row>
    <row r="1365" spans="1:61">
      <c r="A1365" s="1819"/>
      <c r="B1365" s="1818"/>
      <c r="C1365" s="1818"/>
      <c r="D1365" s="1818"/>
      <c r="E1365" s="1818"/>
      <c r="F1365" s="1818"/>
      <c r="G1365" s="1818"/>
      <c r="H1365" s="1783"/>
      <c r="I1365" s="1783"/>
      <c r="J1365" s="1783"/>
      <c r="K1365" s="1783"/>
      <c r="L1365" s="1783"/>
      <c r="M1365" s="1783"/>
      <c r="N1365" s="1783"/>
      <c r="O1365" s="1783"/>
      <c r="P1365" s="1783"/>
      <c r="Q1365" s="1783"/>
      <c r="R1365" s="1783"/>
      <c r="S1365" s="1783"/>
      <c r="T1365" s="1783"/>
      <c r="U1365" s="1783"/>
      <c r="V1365" s="1783"/>
      <c r="W1365" s="1783"/>
      <c r="X1365" s="1783"/>
      <c r="Y1365" s="1783"/>
      <c r="Z1365" s="1783"/>
      <c r="AA1365" s="1783"/>
      <c r="AB1365" s="1783"/>
      <c r="AC1365" s="1783"/>
      <c r="AD1365" s="1783"/>
      <c r="AE1365" s="1783"/>
      <c r="AF1365" s="1783"/>
      <c r="AG1365" s="1783"/>
      <c r="AH1365" s="1783"/>
      <c r="AI1365" s="1783"/>
      <c r="AJ1365" s="1783"/>
      <c r="AK1365" s="1783"/>
      <c r="AL1365" s="1783"/>
      <c r="AM1365" s="1783"/>
      <c r="AN1365" s="1783"/>
      <c r="AO1365" s="1783"/>
      <c r="AP1365" s="1783"/>
      <c r="AQ1365" s="1783"/>
      <c r="AR1365" s="1783"/>
      <c r="AS1365" s="1783"/>
      <c r="AT1365" s="1783"/>
      <c r="AU1365" s="1783"/>
      <c r="AV1365" s="1783"/>
      <c r="AW1365" s="1783"/>
      <c r="AX1365" s="1783"/>
      <c r="AY1365" s="1783"/>
      <c r="AZ1365" s="1783"/>
      <c r="BA1365" s="1783"/>
      <c r="BB1365" s="1783"/>
      <c r="BC1365" s="1783"/>
      <c r="BD1365" s="1783"/>
      <c r="BE1365" s="1783"/>
      <c r="BF1365" s="1783"/>
      <c r="BG1365" s="1783"/>
      <c r="BH1365" s="1783"/>
      <c r="BI1365" s="1783"/>
    </row>
    <row r="1366" spans="1:61">
      <c r="A1366" s="1819"/>
      <c r="B1366" s="1818"/>
      <c r="C1366" s="1818"/>
      <c r="D1366" s="1818"/>
      <c r="E1366" s="1818"/>
      <c r="F1366" s="1818"/>
      <c r="G1366" s="1818"/>
      <c r="H1366" s="1783"/>
      <c r="I1366" s="1783"/>
      <c r="J1366" s="1783"/>
      <c r="K1366" s="1783"/>
      <c r="L1366" s="1783"/>
      <c r="M1366" s="1783"/>
      <c r="N1366" s="1783"/>
      <c r="O1366" s="1783"/>
      <c r="P1366" s="1783"/>
      <c r="Q1366" s="1783"/>
      <c r="R1366" s="1783"/>
      <c r="S1366" s="1783"/>
      <c r="T1366" s="1783"/>
      <c r="U1366" s="1783"/>
      <c r="V1366" s="1783"/>
      <c r="W1366" s="1783"/>
      <c r="X1366" s="1783"/>
      <c r="Y1366" s="1783"/>
      <c r="Z1366" s="1783"/>
      <c r="AA1366" s="1783"/>
      <c r="AB1366" s="1783"/>
      <c r="AC1366" s="1783"/>
      <c r="AD1366" s="1783"/>
      <c r="AE1366" s="1783"/>
      <c r="AF1366" s="1783"/>
      <c r="AG1366" s="1783"/>
      <c r="AH1366" s="1783"/>
      <c r="AI1366" s="1783"/>
      <c r="AJ1366" s="1783"/>
      <c r="AK1366" s="1783"/>
      <c r="AL1366" s="1783"/>
      <c r="AM1366" s="1783"/>
      <c r="AN1366" s="1783"/>
      <c r="AO1366" s="1783"/>
      <c r="AP1366" s="1783"/>
      <c r="AQ1366" s="1783"/>
      <c r="AR1366" s="1783"/>
      <c r="AS1366" s="1783"/>
      <c r="AT1366" s="1783"/>
      <c r="AU1366" s="1783"/>
      <c r="AV1366" s="1783"/>
      <c r="AW1366" s="1783"/>
      <c r="AX1366" s="1783"/>
      <c r="AY1366" s="1783"/>
      <c r="AZ1366" s="1783"/>
      <c r="BA1366" s="1783"/>
      <c r="BB1366" s="1783"/>
      <c r="BC1366" s="1783"/>
      <c r="BD1366" s="1783"/>
      <c r="BE1366" s="1783"/>
      <c r="BF1366" s="1783"/>
      <c r="BG1366" s="1783"/>
      <c r="BH1366" s="1783"/>
      <c r="BI1366" s="1783"/>
    </row>
    <row r="1367" spans="1:61">
      <c r="A1367" s="1819"/>
      <c r="B1367" s="1818"/>
      <c r="C1367" s="1818"/>
      <c r="D1367" s="1818"/>
      <c r="E1367" s="1818"/>
      <c r="F1367" s="1818"/>
      <c r="G1367" s="1818"/>
      <c r="H1367" s="1783"/>
      <c r="I1367" s="1783"/>
      <c r="J1367" s="1783"/>
      <c r="K1367" s="1783"/>
      <c r="L1367" s="1783"/>
      <c r="M1367" s="1783"/>
      <c r="N1367" s="1783"/>
      <c r="O1367" s="1783"/>
      <c r="P1367" s="1783"/>
      <c r="Q1367" s="1783"/>
      <c r="R1367" s="1783"/>
      <c r="S1367" s="1783"/>
      <c r="T1367" s="1783"/>
      <c r="U1367" s="1783"/>
      <c r="V1367" s="1783"/>
      <c r="W1367" s="1783"/>
      <c r="X1367" s="1783"/>
      <c r="Y1367" s="1783"/>
      <c r="Z1367" s="1783"/>
      <c r="AA1367" s="1783"/>
      <c r="AB1367" s="1783"/>
      <c r="AC1367" s="1783"/>
      <c r="AD1367" s="1783"/>
      <c r="AE1367" s="1783"/>
      <c r="AF1367" s="1783"/>
      <c r="AG1367" s="1783"/>
      <c r="AH1367" s="1783"/>
      <c r="AI1367" s="1783"/>
      <c r="AJ1367" s="1783"/>
      <c r="AK1367" s="1783"/>
      <c r="AL1367" s="1783"/>
      <c r="AM1367" s="1783"/>
      <c r="AN1367" s="1783"/>
      <c r="AO1367" s="1783"/>
      <c r="AP1367" s="1783"/>
      <c r="AQ1367" s="1783"/>
      <c r="AR1367" s="1783"/>
      <c r="AS1367" s="1783"/>
      <c r="AT1367" s="1783"/>
      <c r="AU1367" s="1783"/>
      <c r="AV1367" s="1783"/>
      <c r="AW1367" s="1783"/>
      <c r="AX1367" s="1783"/>
      <c r="AY1367" s="1783"/>
      <c r="AZ1367" s="1783"/>
      <c r="BA1367" s="1783"/>
      <c r="BB1367" s="1783"/>
      <c r="BC1367" s="1783"/>
      <c r="BD1367" s="1783"/>
      <c r="BE1367" s="1783"/>
      <c r="BF1367" s="1783"/>
      <c r="BG1367" s="1783"/>
      <c r="BH1367" s="1783"/>
      <c r="BI1367" s="1783"/>
    </row>
    <row r="1368" spans="1:61">
      <c r="A1368" s="1819"/>
      <c r="B1368" s="1818"/>
      <c r="C1368" s="1818"/>
      <c r="D1368" s="1818"/>
      <c r="E1368" s="1818"/>
      <c r="F1368" s="1818"/>
      <c r="G1368" s="1818"/>
      <c r="H1368" s="1783"/>
      <c r="I1368" s="1783"/>
      <c r="J1368" s="1783"/>
      <c r="K1368" s="1783"/>
      <c r="L1368" s="1783"/>
      <c r="M1368" s="1783"/>
      <c r="N1368" s="1783"/>
      <c r="O1368" s="1783"/>
      <c r="P1368" s="1783"/>
      <c r="Q1368" s="1783"/>
      <c r="R1368" s="1783"/>
      <c r="S1368" s="1783"/>
      <c r="T1368" s="1783"/>
      <c r="U1368" s="1783"/>
      <c r="V1368" s="1783"/>
      <c r="W1368" s="1783"/>
      <c r="X1368" s="1783"/>
      <c r="Y1368" s="1783"/>
      <c r="Z1368" s="1783"/>
      <c r="AA1368" s="1783"/>
      <c r="AB1368" s="1783"/>
      <c r="AC1368" s="1783"/>
      <c r="AD1368" s="1783"/>
      <c r="AE1368" s="1783"/>
      <c r="AF1368" s="1783"/>
      <c r="AG1368" s="1783"/>
      <c r="AH1368" s="1783"/>
      <c r="AI1368" s="1783"/>
      <c r="AJ1368" s="1783"/>
      <c r="AK1368" s="1783"/>
      <c r="AL1368" s="1783"/>
      <c r="AM1368" s="1783"/>
      <c r="AN1368" s="1783"/>
      <c r="AO1368" s="1783"/>
      <c r="AP1368" s="1783"/>
      <c r="AQ1368" s="1783"/>
      <c r="AR1368" s="1783"/>
      <c r="AS1368" s="1783"/>
      <c r="AT1368" s="1783"/>
      <c r="AU1368" s="1783"/>
      <c r="AV1368" s="1783"/>
      <c r="AW1368" s="1783"/>
      <c r="AX1368" s="1783"/>
      <c r="AY1368" s="1783"/>
      <c r="AZ1368" s="1783"/>
      <c r="BA1368" s="1783"/>
      <c r="BB1368" s="1783"/>
      <c r="BC1368" s="1783"/>
      <c r="BD1368" s="1783"/>
      <c r="BE1368" s="1783"/>
      <c r="BF1368" s="1783"/>
      <c r="BG1368" s="1783"/>
      <c r="BH1368" s="1783"/>
      <c r="BI1368" s="1783"/>
    </row>
    <row r="1369" spans="1:61">
      <c r="A1369" s="1819"/>
      <c r="B1369" s="1818"/>
      <c r="C1369" s="1818"/>
      <c r="D1369" s="1818"/>
      <c r="E1369" s="1818"/>
      <c r="F1369" s="1818"/>
      <c r="G1369" s="1818"/>
      <c r="H1369" s="1783"/>
      <c r="I1369" s="1783"/>
      <c r="J1369" s="1783"/>
      <c r="K1369" s="1783"/>
      <c r="L1369" s="1783"/>
      <c r="M1369" s="1783"/>
      <c r="N1369" s="1783"/>
      <c r="O1369" s="1783"/>
      <c r="P1369" s="1783"/>
      <c r="Q1369" s="1783"/>
      <c r="R1369" s="1783"/>
      <c r="S1369" s="1783"/>
      <c r="T1369" s="1783"/>
      <c r="U1369" s="1783"/>
      <c r="V1369" s="1783"/>
      <c r="W1369" s="1783"/>
      <c r="X1369" s="1783"/>
      <c r="Y1369" s="1783"/>
      <c r="Z1369" s="1783"/>
      <c r="AA1369" s="1783"/>
      <c r="AB1369" s="1783"/>
      <c r="AC1369" s="1783"/>
      <c r="AD1369" s="1783"/>
      <c r="AE1369" s="1783"/>
      <c r="AF1369" s="1783"/>
      <c r="AG1369" s="1783"/>
      <c r="AH1369" s="1783"/>
      <c r="AI1369" s="1783"/>
      <c r="AJ1369" s="1783"/>
      <c r="AK1369" s="1783"/>
      <c r="AL1369" s="1783"/>
      <c r="AM1369" s="1783"/>
      <c r="AN1369" s="1783"/>
      <c r="AO1369" s="1783"/>
      <c r="AP1369" s="1783"/>
      <c r="AQ1369" s="1783"/>
      <c r="AR1369" s="1783"/>
      <c r="AS1369" s="1783"/>
      <c r="AT1369" s="1783"/>
      <c r="AU1369" s="1783"/>
      <c r="AV1369" s="1783"/>
      <c r="AW1369" s="1783"/>
      <c r="AX1369" s="1783"/>
      <c r="AY1369" s="1783"/>
      <c r="AZ1369" s="1783"/>
      <c r="BA1369" s="1783"/>
      <c r="BB1369" s="1783"/>
      <c r="BC1369" s="1783"/>
      <c r="BD1369" s="1783"/>
      <c r="BE1369" s="1783"/>
      <c r="BF1369" s="1783"/>
      <c r="BG1369" s="1783"/>
      <c r="BH1369" s="1783"/>
      <c r="BI1369" s="1783"/>
    </row>
    <row r="1370" spans="1:61">
      <c r="A1370" s="1819"/>
      <c r="B1370" s="1818"/>
      <c r="C1370" s="1818"/>
      <c r="D1370" s="1818"/>
      <c r="E1370" s="1818"/>
      <c r="F1370" s="1818"/>
      <c r="G1370" s="1818"/>
      <c r="H1370" s="1783"/>
      <c r="I1370" s="1783"/>
      <c r="J1370" s="1783"/>
      <c r="K1370" s="1783"/>
      <c r="L1370" s="1783"/>
      <c r="M1370" s="1783"/>
      <c r="N1370" s="1783"/>
      <c r="O1370" s="1783"/>
      <c r="P1370" s="1783"/>
      <c r="Q1370" s="1783"/>
      <c r="R1370" s="1783"/>
      <c r="S1370" s="1783"/>
      <c r="T1370" s="1783"/>
      <c r="U1370" s="1783"/>
      <c r="V1370" s="1783"/>
      <c r="W1370" s="1783"/>
      <c r="X1370" s="1783"/>
      <c r="Y1370" s="1783"/>
      <c r="Z1370" s="1783"/>
      <c r="AA1370" s="1783"/>
      <c r="AB1370" s="1783"/>
      <c r="AC1370" s="1783"/>
      <c r="AD1370" s="1783"/>
      <c r="AE1370" s="1783"/>
      <c r="AF1370" s="1783"/>
      <c r="AG1370" s="1783"/>
      <c r="AH1370" s="1783"/>
      <c r="AI1370" s="1783"/>
      <c r="AJ1370" s="1783"/>
      <c r="AK1370" s="1783"/>
      <c r="AL1370" s="1783"/>
      <c r="AM1370" s="1783"/>
      <c r="AN1370" s="1783"/>
      <c r="AO1370" s="1783"/>
      <c r="AP1370" s="1783"/>
      <c r="AQ1370" s="1783"/>
      <c r="AR1370" s="1783"/>
      <c r="AS1370" s="1783"/>
      <c r="AT1370" s="1783"/>
      <c r="AU1370" s="1783"/>
      <c r="AV1370" s="1783"/>
      <c r="AW1370" s="1783"/>
      <c r="AX1370" s="1783"/>
      <c r="AY1370" s="1783"/>
      <c r="AZ1370" s="1783"/>
      <c r="BA1370" s="1783"/>
      <c r="BB1370" s="1783"/>
      <c r="BC1370" s="1783"/>
      <c r="BD1370" s="1783"/>
      <c r="BE1370" s="1783"/>
      <c r="BF1370" s="1783"/>
      <c r="BG1370" s="1783"/>
      <c r="BH1370" s="1783"/>
      <c r="BI1370" s="1783"/>
    </row>
    <row r="1371" spans="1:61">
      <c r="A1371" s="1819"/>
      <c r="B1371" s="1818"/>
      <c r="C1371" s="1818"/>
      <c r="D1371" s="1818"/>
      <c r="E1371" s="1818"/>
      <c r="F1371" s="1818"/>
      <c r="G1371" s="1818"/>
      <c r="H1371" s="1783"/>
      <c r="I1371" s="1783"/>
      <c r="J1371" s="1783"/>
      <c r="K1371" s="1783"/>
      <c r="L1371" s="1783"/>
      <c r="M1371" s="1783"/>
      <c r="N1371" s="1783"/>
      <c r="O1371" s="1783"/>
      <c r="P1371" s="1783"/>
      <c r="Q1371" s="1783"/>
      <c r="R1371" s="1783"/>
      <c r="S1371" s="1783"/>
      <c r="T1371" s="1783"/>
      <c r="U1371" s="1783"/>
      <c r="V1371" s="1783"/>
      <c r="W1371" s="1783"/>
      <c r="X1371" s="1783"/>
      <c r="Y1371" s="1783"/>
      <c r="Z1371" s="1783"/>
      <c r="AA1371" s="1783"/>
      <c r="AB1371" s="1783"/>
      <c r="AC1371" s="1783"/>
      <c r="AD1371" s="1783"/>
      <c r="AE1371" s="1783"/>
      <c r="AF1371" s="1783"/>
      <c r="AG1371" s="1783"/>
      <c r="AH1371" s="1783"/>
      <c r="AI1371" s="1783"/>
      <c r="AJ1371" s="1783"/>
      <c r="AK1371" s="1783"/>
      <c r="AL1371" s="1783"/>
      <c r="AM1371" s="1783"/>
      <c r="AN1371" s="1783"/>
      <c r="AO1371" s="1783"/>
      <c r="AP1371" s="1783"/>
      <c r="AQ1371" s="1783"/>
      <c r="AR1371" s="1783"/>
      <c r="AS1371" s="1783"/>
      <c r="AT1371" s="1783"/>
      <c r="AU1371" s="1783"/>
      <c r="AV1371" s="1783"/>
      <c r="AW1371" s="1783"/>
      <c r="AX1371" s="1783"/>
      <c r="AY1371" s="1783"/>
      <c r="AZ1371" s="1783"/>
      <c r="BA1371" s="1783"/>
      <c r="BB1371" s="1783"/>
      <c r="BC1371" s="1783"/>
      <c r="BD1371" s="1783"/>
      <c r="BE1371" s="1783"/>
      <c r="BF1371" s="1783"/>
      <c r="BG1371" s="1783"/>
      <c r="BH1371" s="1783"/>
      <c r="BI1371" s="1783"/>
    </row>
    <row r="1372" spans="1:61">
      <c r="A1372" s="1819"/>
      <c r="B1372" s="1818"/>
      <c r="C1372" s="1818"/>
      <c r="D1372" s="1818"/>
      <c r="E1372" s="1818"/>
      <c r="F1372" s="1818"/>
      <c r="G1372" s="1818"/>
      <c r="H1372" s="1783"/>
      <c r="I1372" s="1783"/>
      <c r="J1372" s="1783"/>
      <c r="K1372" s="1783"/>
      <c r="L1372" s="1783"/>
      <c r="M1372" s="1783"/>
      <c r="N1372" s="1783"/>
      <c r="O1372" s="1783"/>
      <c r="P1372" s="1783"/>
      <c r="Q1372" s="1783"/>
      <c r="R1372" s="1783"/>
      <c r="S1372" s="1783"/>
      <c r="T1372" s="1783"/>
      <c r="U1372" s="1783"/>
      <c r="V1372" s="1783"/>
      <c r="W1372" s="1783"/>
      <c r="X1372" s="1783"/>
      <c r="Y1372" s="1783"/>
      <c r="Z1372" s="1783"/>
      <c r="AA1372" s="1783"/>
      <c r="AB1372" s="1783"/>
      <c r="AC1372" s="1783"/>
      <c r="AD1372" s="1783"/>
      <c r="AE1372" s="1783"/>
      <c r="AF1372" s="1783"/>
      <c r="AG1372" s="1783"/>
      <c r="AH1372" s="1783"/>
      <c r="AI1372" s="1783"/>
      <c r="AJ1372" s="1783"/>
      <c r="AK1372" s="1783"/>
      <c r="AL1372" s="1783"/>
      <c r="AM1372" s="1783"/>
      <c r="AN1372" s="1783"/>
      <c r="AO1372" s="1783"/>
      <c r="AP1372" s="1783"/>
      <c r="AQ1372" s="1783"/>
      <c r="AR1372" s="1783"/>
      <c r="AS1372" s="1783"/>
      <c r="AT1372" s="1783"/>
      <c r="AU1372" s="1783"/>
      <c r="AV1372" s="1783"/>
      <c r="AW1372" s="1783"/>
      <c r="AX1372" s="1783"/>
      <c r="AY1372" s="1783"/>
      <c r="AZ1372" s="1783"/>
      <c r="BA1372" s="1783"/>
      <c r="BB1372" s="1783"/>
      <c r="BC1372" s="1783"/>
      <c r="BD1372" s="1783"/>
      <c r="BE1372" s="1783"/>
      <c r="BF1372" s="1783"/>
      <c r="BG1372" s="1783"/>
      <c r="BH1372" s="1783"/>
      <c r="BI1372" s="1783"/>
    </row>
    <row r="1373" spans="1:61">
      <c r="A1373" s="1819"/>
      <c r="B1373" s="1818"/>
      <c r="C1373" s="1818"/>
      <c r="D1373" s="1818"/>
      <c r="E1373" s="1818"/>
      <c r="F1373" s="1818"/>
      <c r="G1373" s="1818"/>
      <c r="H1373" s="1783"/>
      <c r="I1373" s="1783"/>
      <c r="J1373" s="1783"/>
      <c r="K1373" s="1783"/>
      <c r="L1373" s="1783"/>
      <c r="M1373" s="1783"/>
      <c r="N1373" s="1783"/>
      <c r="O1373" s="1783"/>
      <c r="P1373" s="1783"/>
      <c r="Q1373" s="1783"/>
      <c r="R1373" s="1783"/>
      <c r="S1373" s="1783"/>
      <c r="T1373" s="1783"/>
      <c r="U1373" s="1783"/>
      <c r="V1373" s="1783"/>
      <c r="W1373" s="1783"/>
      <c r="X1373" s="1783"/>
      <c r="Y1373" s="1783"/>
      <c r="Z1373" s="1783"/>
      <c r="AA1373" s="1783"/>
      <c r="AB1373" s="1783"/>
      <c r="AC1373" s="1783"/>
      <c r="AD1373" s="1783"/>
      <c r="AE1373" s="1783"/>
      <c r="AF1373" s="1783"/>
      <c r="AG1373" s="1783"/>
      <c r="AH1373" s="1783"/>
      <c r="AI1373" s="1783"/>
      <c r="AJ1373" s="1783"/>
      <c r="AK1373" s="1783"/>
      <c r="AL1373" s="1783"/>
      <c r="AM1373" s="1783"/>
      <c r="AN1373" s="1783"/>
      <c r="AO1373" s="1783"/>
      <c r="AP1373" s="1783"/>
      <c r="AQ1373" s="1783"/>
      <c r="AR1373" s="1783"/>
      <c r="AS1373" s="1783"/>
      <c r="AT1373" s="1783"/>
      <c r="AU1373" s="1783"/>
      <c r="AV1373" s="1783"/>
      <c r="AW1373" s="1783"/>
      <c r="AX1373" s="1783"/>
      <c r="AY1373" s="1783"/>
      <c r="AZ1373" s="1783"/>
      <c r="BA1373" s="1783"/>
      <c r="BB1373" s="1783"/>
      <c r="BC1373" s="1783"/>
      <c r="BD1373" s="1783"/>
      <c r="BE1373" s="1783"/>
      <c r="BF1373" s="1783"/>
      <c r="BG1373" s="1783"/>
      <c r="BH1373" s="1783"/>
      <c r="BI1373" s="1783"/>
    </row>
    <row r="1374" spans="1:61">
      <c r="A1374" s="1819"/>
      <c r="B1374" s="1818"/>
      <c r="C1374" s="1818"/>
      <c r="D1374" s="1818"/>
      <c r="E1374" s="1818"/>
      <c r="F1374" s="1818"/>
      <c r="G1374" s="1818"/>
      <c r="H1374" s="1783"/>
      <c r="I1374" s="1783"/>
      <c r="J1374" s="1783"/>
      <c r="K1374" s="1783"/>
      <c r="L1374" s="1783"/>
      <c r="M1374" s="1783"/>
      <c r="N1374" s="1783"/>
      <c r="O1374" s="1783"/>
      <c r="P1374" s="1783"/>
      <c r="Q1374" s="1783"/>
      <c r="R1374" s="1783"/>
      <c r="S1374" s="1783"/>
      <c r="T1374" s="1783"/>
      <c r="U1374" s="1783"/>
      <c r="V1374" s="1783"/>
      <c r="W1374" s="1783"/>
      <c r="X1374" s="1783"/>
      <c r="Y1374" s="1783"/>
      <c r="Z1374" s="1783"/>
      <c r="AA1374" s="1783"/>
      <c r="AB1374" s="1783"/>
      <c r="AC1374" s="1783"/>
      <c r="AD1374" s="1783"/>
      <c r="AE1374" s="1783"/>
      <c r="AF1374" s="1783"/>
      <c r="AG1374" s="1783"/>
      <c r="AH1374" s="1783"/>
      <c r="AI1374" s="1783"/>
      <c r="AJ1374" s="1783"/>
      <c r="AK1374" s="1783"/>
      <c r="AL1374" s="1783"/>
      <c r="AM1374" s="1783"/>
      <c r="AN1374" s="1783"/>
      <c r="AO1374" s="1783"/>
      <c r="AP1374" s="1783"/>
      <c r="AQ1374" s="1783"/>
      <c r="AR1374" s="1783"/>
      <c r="AS1374" s="1783"/>
      <c r="AT1374" s="1783"/>
      <c r="AU1374" s="1783"/>
      <c r="AV1374" s="1783"/>
      <c r="AW1374" s="1783"/>
      <c r="AX1374" s="1783"/>
      <c r="AY1374" s="1783"/>
      <c r="AZ1374" s="1783"/>
      <c r="BA1374" s="1783"/>
      <c r="BB1374" s="1783"/>
      <c r="BC1374" s="1783"/>
      <c r="BD1374" s="1783"/>
      <c r="BE1374" s="1783"/>
      <c r="BF1374" s="1783"/>
      <c r="BG1374" s="1783"/>
      <c r="BH1374" s="1783"/>
      <c r="BI1374" s="1783"/>
    </row>
    <row r="1375" spans="1:61">
      <c r="A1375" s="1819"/>
      <c r="B1375" s="1818"/>
      <c r="C1375" s="1818"/>
      <c r="D1375" s="1818"/>
      <c r="E1375" s="1818"/>
      <c r="F1375" s="1818"/>
      <c r="G1375" s="1818"/>
      <c r="H1375" s="1783"/>
      <c r="I1375" s="1783"/>
      <c r="J1375" s="1783"/>
      <c r="K1375" s="1783"/>
      <c r="L1375" s="1783"/>
      <c r="M1375" s="1783"/>
      <c r="N1375" s="1783"/>
      <c r="O1375" s="1783"/>
      <c r="P1375" s="1783"/>
      <c r="Q1375" s="1783"/>
      <c r="R1375" s="1783"/>
      <c r="S1375" s="1783"/>
      <c r="T1375" s="1783"/>
      <c r="U1375" s="1783"/>
      <c r="V1375" s="1783"/>
      <c r="W1375" s="1783"/>
      <c r="X1375" s="1783"/>
      <c r="Y1375" s="1783"/>
      <c r="Z1375" s="1783"/>
      <c r="AA1375" s="1783"/>
      <c r="AB1375" s="1783"/>
      <c r="AC1375" s="1783"/>
      <c r="AD1375" s="1783"/>
      <c r="AE1375" s="1783"/>
      <c r="AF1375" s="1783"/>
      <c r="AG1375" s="1783"/>
      <c r="AH1375" s="1783"/>
      <c r="AI1375" s="1783"/>
      <c r="AJ1375" s="1783"/>
      <c r="AK1375" s="1783"/>
      <c r="AL1375" s="1783"/>
      <c r="AM1375" s="1783"/>
      <c r="AN1375" s="1783"/>
      <c r="AO1375" s="1783"/>
      <c r="AP1375" s="1783"/>
      <c r="AQ1375" s="1783"/>
      <c r="AR1375" s="1783"/>
      <c r="AS1375" s="1783"/>
      <c r="AT1375" s="1783"/>
      <c r="AU1375" s="1783"/>
      <c r="AV1375" s="1783"/>
      <c r="AW1375" s="1783"/>
      <c r="AX1375" s="1783"/>
      <c r="AY1375" s="1783"/>
      <c r="AZ1375" s="1783"/>
      <c r="BA1375" s="1783"/>
      <c r="BB1375" s="1783"/>
      <c r="BC1375" s="1783"/>
      <c r="BD1375" s="1783"/>
      <c r="BE1375" s="1783"/>
      <c r="BF1375" s="1783"/>
      <c r="BG1375" s="1783"/>
      <c r="BH1375" s="1783"/>
      <c r="BI1375" s="1783"/>
    </row>
    <row r="1376" spans="1:61">
      <c r="A1376" s="1819"/>
      <c r="B1376" s="1818"/>
      <c r="C1376" s="1818"/>
      <c r="D1376" s="1818"/>
      <c r="E1376" s="1818"/>
      <c r="F1376" s="1818"/>
      <c r="G1376" s="1818"/>
      <c r="H1376" s="1783"/>
      <c r="I1376" s="1783"/>
      <c r="J1376" s="1783"/>
      <c r="K1376" s="1783"/>
      <c r="L1376" s="1783"/>
      <c r="M1376" s="1783"/>
      <c r="N1376" s="1783"/>
      <c r="O1376" s="1783"/>
      <c r="P1376" s="1783"/>
      <c r="Q1376" s="1783"/>
      <c r="R1376" s="1783"/>
      <c r="S1376" s="1783"/>
      <c r="T1376" s="1783"/>
      <c r="U1376" s="1783"/>
      <c r="V1376" s="1783"/>
      <c r="W1376" s="1783"/>
      <c r="X1376" s="1783"/>
      <c r="Y1376" s="1783"/>
      <c r="Z1376" s="1783"/>
      <c r="AA1376" s="1783"/>
      <c r="AB1376" s="1783"/>
      <c r="AC1376" s="1783"/>
      <c r="AD1376" s="1783"/>
      <c r="AE1376" s="1783"/>
      <c r="AF1376" s="1783"/>
      <c r="AG1376" s="1783"/>
      <c r="AH1376" s="1783"/>
      <c r="AI1376" s="1783"/>
      <c r="AJ1376" s="1783"/>
      <c r="AK1376" s="1783"/>
      <c r="AL1376" s="1783"/>
      <c r="AM1376" s="1783"/>
      <c r="AN1376" s="1783"/>
      <c r="AO1376" s="1783"/>
      <c r="AP1376" s="1783"/>
      <c r="AQ1376" s="1783"/>
      <c r="AR1376" s="1783"/>
      <c r="AS1376" s="1783"/>
      <c r="AT1376" s="1783"/>
      <c r="AU1376" s="1783"/>
      <c r="AV1376" s="1783"/>
      <c r="AW1376" s="1783"/>
      <c r="AX1376" s="1783"/>
      <c r="AY1376" s="1783"/>
      <c r="AZ1376" s="1783"/>
      <c r="BA1376" s="1783"/>
      <c r="BB1376" s="1783"/>
      <c r="BC1376" s="1783"/>
      <c r="BD1376" s="1783"/>
      <c r="BE1376" s="1783"/>
      <c r="BF1376" s="1783"/>
      <c r="BG1376" s="1783"/>
      <c r="BH1376" s="1783"/>
      <c r="BI1376" s="1783"/>
    </row>
    <row r="1377" spans="1:61">
      <c r="A1377" s="1819"/>
      <c r="B1377" s="1818"/>
      <c r="C1377" s="1818"/>
      <c r="D1377" s="1818"/>
      <c r="E1377" s="1818"/>
      <c r="F1377" s="1818"/>
      <c r="G1377" s="1818"/>
      <c r="H1377" s="1783"/>
      <c r="I1377" s="1783"/>
      <c r="J1377" s="1783"/>
      <c r="K1377" s="1783"/>
      <c r="L1377" s="1783"/>
      <c r="M1377" s="1783"/>
      <c r="N1377" s="1783"/>
      <c r="O1377" s="1783"/>
      <c r="P1377" s="1783"/>
      <c r="Q1377" s="1783"/>
      <c r="R1377" s="1783"/>
      <c r="S1377" s="1783"/>
      <c r="T1377" s="1783"/>
      <c r="U1377" s="1783"/>
      <c r="V1377" s="1783"/>
      <c r="W1377" s="1783"/>
      <c r="X1377" s="1783"/>
      <c r="Y1377" s="1783"/>
      <c r="Z1377" s="1783"/>
      <c r="AA1377" s="1783"/>
      <c r="AB1377" s="1783"/>
      <c r="AC1377" s="1783"/>
      <c r="AD1377" s="1783"/>
      <c r="AE1377" s="1783"/>
      <c r="AF1377" s="1783"/>
      <c r="AG1377" s="1783"/>
      <c r="AH1377" s="1783"/>
      <c r="AI1377" s="1783"/>
      <c r="AJ1377" s="1783"/>
      <c r="AK1377" s="1783"/>
      <c r="AL1377" s="1783"/>
      <c r="AM1377" s="1783"/>
      <c r="AN1377" s="1783"/>
      <c r="AO1377" s="1783"/>
      <c r="AP1377" s="1783"/>
      <c r="AQ1377" s="1783"/>
      <c r="AR1377" s="1783"/>
      <c r="AS1377" s="1783"/>
      <c r="AT1377" s="1783"/>
      <c r="AU1377" s="1783"/>
      <c r="AV1377" s="1783"/>
      <c r="AW1377" s="1783"/>
      <c r="AX1377" s="1783"/>
      <c r="AY1377" s="1783"/>
      <c r="AZ1377" s="1783"/>
      <c r="BA1377" s="1783"/>
      <c r="BB1377" s="1783"/>
      <c r="BC1377" s="1783"/>
      <c r="BD1377" s="1783"/>
      <c r="BE1377" s="1783"/>
      <c r="BF1377" s="1783"/>
      <c r="BG1377" s="1783"/>
      <c r="BH1377" s="1783"/>
      <c r="BI1377" s="1783"/>
    </row>
    <row r="1378" spans="1:61">
      <c r="A1378" s="1819"/>
      <c r="B1378" s="1818"/>
      <c r="C1378" s="1818"/>
      <c r="D1378" s="1818"/>
      <c r="E1378" s="1818"/>
      <c r="F1378" s="1818"/>
      <c r="G1378" s="1818"/>
      <c r="H1378" s="1783"/>
      <c r="I1378" s="1783"/>
      <c r="J1378" s="1783"/>
      <c r="K1378" s="1783"/>
      <c r="L1378" s="1783"/>
      <c r="M1378" s="1783"/>
      <c r="N1378" s="1783"/>
      <c r="O1378" s="1783"/>
      <c r="P1378" s="1783"/>
      <c r="Q1378" s="1783"/>
      <c r="R1378" s="1783"/>
      <c r="S1378" s="1783"/>
      <c r="T1378" s="1783"/>
      <c r="U1378" s="1783"/>
      <c r="V1378" s="1783"/>
      <c r="W1378" s="1783"/>
      <c r="X1378" s="1783"/>
      <c r="Y1378" s="1783"/>
      <c r="Z1378" s="1783"/>
      <c r="AA1378" s="1783"/>
      <c r="AB1378" s="1783"/>
      <c r="AC1378" s="1783"/>
      <c r="AD1378" s="1783"/>
      <c r="AE1378" s="1783"/>
      <c r="AF1378" s="1783"/>
      <c r="AG1378" s="1783"/>
      <c r="AH1378" s="1783"/>
      <c r="AI1378" s="1783"/>
      <c r="AJ1378" s="1783"/>
      <c r="AK1378" s="1783"/>
      <c r="AL1378" s="1783"/>
      <c r="AM1378" s="1783"/>
      <c r="AN1378" s="1783"/>
      <c r="AO1378" s="1783"/>
      <c r="AP1378" s="1783"/>
      <c r="AQ1378" s="1783"/>
      <c r="AR1378" s="1783"/>
      <c r="AS1378" s="1783"/>
      <c r="AT1378" s="1783"/>
      <c r="AU1378" s="1783"/>
      <c r="AV1378" s="1783"/>
      <c r="AW1378" s="1783"/>
      <c r="AX1378" s="1783"/>
      <c r="AY1378" s="1783"/>
      <c r="AZ1378" s="1783"/>
      <c r="BA1378" s="1783"/>
      <c r="BB1378" s="1783"/>
      <c r="BC1378" s="1783"/>
      <c r="BD1378" s="1783"/>
      <c r="BE1378" s="1783"/>
      <c r="BF1378" s="1783"/>
      <c r="BG1378" s="1783"/>
      <c r="BH1378" s="1783"/>
      <c r="BI1378" s="1783"/>
    </row>
    <row r="1379" spans="1:61">
      <c r="A1379" s="1819"/>
      <c r="B1379" s="1818"/>
      <c r="C1379" s="1818"/>
      <c r="D1379" s="1818"/>
      <c r="E1379" s="1818"/>
      <c r="F1379" s="1818"/>
      <c r="G1379" s="1818"/>
      <c r="H1379" s="1783"/>
      <c r="I1379" s="1783"/>
      <c r="J1379" s="1783"/>
      <c r="K1379" s="1783"/>
      <c r="L1379" s="1783"/>
      <c r="M1379" s="1783"/>
      <c r="N1379" s="1783"/>
      <c r="O1379" s="1783"/>
      <c r="P1379" s="1783"/>
      <c r="Q1379" s="1783"/>
      <c r="R1379" s="1783"/>
      <c r="S1379" s="1783"/>
      <c r="T1379" s="1783"/>
      <c r="U1379" s="1783"/>
      <c r="V1379" s="1783"/>
      <c r="W1379" s="1783"/>
      <c r="X1379" s="1783"/>
      <c r="Y1379" s="1783"/>
      <c r="Z1379" s="1783"/>
      <c r="AA1379" s="1783"/>
      <c r="AB1379" s="1783"/>
      <c r="AC1379" s="1783"/>
      <c r="AD1379" s="1783"/>
      <c r="AE1379" s="1783"/>
      <c r="AF1379" s="1783"/>
      <c r="AG1379" s="1783"/>
      <c r="AH1379" s="1783"/>
      <c r="AI1379" s="1783"/>
      <c r="AJ1379" s="1783"/>
      <c r="AK1379" s="1783"/>
      <c r="AL1379" s="1783"/>
      <c r="AM1379" s="1783"/>
      <c r="AN1379" s="1783"/>
      <c r="AO1379" s="1783"/>
      <c r="AP1379" s="1783"/>
      <c r="AQ1379" s="1783"/>
      <c r="AR1379" s="1783"/>
      <c r="AS1379" s="1783"/>
      <c r="AT1379" s="1783"/>
      <c r="AU1379" s="1783"/>
      <c r="AV1379" s="1783"/>
      <c r="AW1379" s="1783"/>
      <c r="AX1379" s="1783"/>
      <c r="AY1379" s="1783"/>
      <c r="AZ1379" s="1783"/>
      <c r="BA1379" s="1783"/>
      <c r="BB1379" s="1783"/>
      <c r="BC1379" s="1783"/>
      <c r="BD1379" s="1783"/>
      <c r="BE1379" s="1783"/>
      <c r="BF1379" s="1783"/>
      <c r="BG1379" s="1783"/>
      <c r="BH1379" s="1783"/>
      <c r="BI1379" s="1783"/>
    </row>
    <row r="1380" spans="1:61">
      <c r="A1380" s="1819"/>
      <c r="B1380" s="1818"/>
      <c r="C1380" s="1818"/>
      <c r="D1380" s="1818"/>
      <c r="E1380" s="1818"/>
      <c r="F1380" s="1818"/>
      <c r="G1380" s="1818"/>
      <c r="H1380" s="1783"/>
      <c r="I1380" s="1783"/>
      <c r="J1380" s="1783"/>
      <c r="K1380" s="1783"/>
      <c r="L1380" s="1783"/>
      <c r="M1380" s="1783"/>
      <c r="N1380" s="1783"/>
      <c r="O1380" s="1783"/>
      <c r="P1380" s="1783"/>
      <c r="Q1380" s="1783"/>
      <c r="R1380" s="1783"/>
      <c r="S1380" s="1783"/>
      <c r="T1380" s="1783"/>
      <c r="U1380" s="1783"/>
      <c r="V1380" s="1783"/>
      <c r="W1380" s="1783"/>
      <c r="X1380" s="1783"/>
      <c r="Y1380" s="1783"/>
      <c r="Z1380" s="1783"/>
      <c r="AA1380" s="1783"/>
      <c r="AB1380" s="1783"/>
      <c r="AC1380" s="1783"/>
      <c r="AD1380" s="1783"/>
      <c r="AE1380" s="1783"/>
      <c r="AF1380" s="1783"/>
      <c r="AG1380" s="1783"/>
      <c r="AH1380" s="1783"/>
      <c r="AI1380" s="1783"/>
      <c r="AJ1380" s="1783"/>
      <c r="AK1380" s="1783"/>
      <c r="AL1380" s="1783"/>
      <c r="AM1380" s="1783"/>
      <c r="AN1380" s="1783"/>
      <c r="AO1380" s="1783"/>
      <c r="AP1380" s="1783"/>
      <c r="AQ1380" s="1783"/>
      <c r="AR1380" s="1783"/>
      <c r="AS1380" s="1783"/>
      <c r="AT1380" s="1783"/>
      <c r="AU1380" s="1783"/>
      <c r="AV1380" s="1783"/>
      <c r="AW1380" s="1783"/>
      <c r="AX1380" s="1783"/>
      <c r="AY1380" s="1783"/>
      <c r="AZ1380" s="1783"/>
      <c r="BA1380" s="1783"/>
      <c r="BB1380" s="1783"/>
      <c r="BC1380" s="1783"/>
      <c r="BD1380" s="1783"/>
      <c r="BE1380" s="1783"/>
      <c r="BF1380" s="1783"/>
      <c r="BG1380" s="1783"/>
      <c r="BH1380" s="1783"/>
      <c r="BI1380" s="1783"/>
    </row>
    <row r="1381" spans="1:61">
      <c r="A1381" s="1819"/>
      <c r="B1381" s="1818"/>
      <c r="C1381" s="1818"/>
      <c r="D1381" s="1818"/>
      <c r="E1381" s="1818"/>
      <c r="F1381" s="1818"/>
      <c r="G1381" s="1818"/>
      <c r="H1381" s="1783"/>
      <c r="I1381" s="1783"/>
      <c r="J1381" s="1783"/>
      <c r="K1381" s="1783"/>
      <c r="L1381" s="1783"/>
      <c r="M1381" s="1783"/>
      <c r="N1381" s="1783"/>
      <c r="O1381" s="1783"/>
      <c r="P1381" s="1783"/>
      <c r="Q1381" s="1783"/>
      <c r="R1381" s="1783"/>
      <c r="S1381" s="1783"/>
      <c r="T1381" s="1783"/>
      <c r="U1381" s="1783"/>
      <c r="V1381" s="1783"/>
      <c r="W1381" s="1783"/>
      <c r="X1381" s="1783"/>
      <c r="Y1381" s="1783"/>
      <c r="Z1381" s="1783"/>
      <c r="AA1381" s="1783"/>
      <c r="AB1381" s="1783"/>
      <c r="AC1381" s="1783"/>
      <c r="AD1381" s="1783"/>
      <c r="AE1381" s="1783"/>
      <c r="AF1381" s="1783"/>
      <c r="AG1381" s="1783"/>
      <c r="AH1381" s="1783"/>
      <c r="AI1381" s="1783"/>
      <c r="AJ1381" s="1783"/>
      <c r="AK1381" s="1783"/>
      <c r="AL1381" s="1783"/>
      <c r="AM1381" s="1783"/>
      <c r="AN1381" s="1783"/>
      <c r="AO1381" s="1783"/>
      <c r="AP1381" s="1783"/>
      <c r="AQ1381" s="1783"/>
      <c r="AR1381" s="1783"/>
      <c r="AS1381" s="1783"/>
      <c r="AT1381" s="1783"/>
      <c r="AU1381" s="1783"/>
      <c r="AV1381" s="1783"/>
      <c r="AW1381" s="1783"/>
      <c r="AX1381" s="1783"/>
      <c r="AY1381" s="1783"/>
      <c r="AZ1381" s="1783"/>
      <c r="BA1381" s="1783"/>
      <c r="BB1381" s="1783"/>
      <c r="BC1381" s="1783"/>
      <c r="BD1381" s="1783"/>
      <c r="BE1381" s="1783"/>
      <c r="BF1381" s="1783"/>
      <c r="BG1381" s="1783"/>
      <c r="BH1381" s="1783"/>
      <c r="BI1381" s="1783"/>
    </row>
    <row r="1382" spans="1:61">
      <c r="A1382" s="1819"/>
      <c r="B1382" s="1818"/>
      <c r="C1382" s="1818"/>
      <c r="D1382" s="1818"/>
      <c r="E1382" s="1818"/>
      <c r="F1382" s="1818"/>
      <c r="G1382" s="1818"/>
      <c r="H1382" s="1783"/>
      <c r="I1382" s="1783"/>
      <c r="J1382" s="1783"/>
      <c r="K1382" s="1783"/>
      <c r="L1382" s="1783"/>
      <c r="M1382" s="1783"/>
      <c r="N1382" s="1783"/>
      <c r="O1382" s="1783"/>
      <c r="P1382" s="1783"/>
      <c r="Q1382" s="1783"/>
      <c r="R1382" s="1783"/>
      <c r="S1382" s="1783"/>
      <c r="T1382" s="1783"/>
      <c r="U1382" s="1783"/>
      <c r="V1382" s="1783"/>
      <c r="W1382" s="1783"/>
      <c r="X1382" s="1783"/>
      <c r="Y1382" s="1783"/>
      <c r="Z1382" s="1783"/>
      <c r="AA1382" s="1783"/>
      <c r="AB1382" s="1783"/>
      <c r="AC1382" s="1783"/>
      <c r="AD1382" s="1783"/>
      <c r="AE1382" s="1783"/>
      <c r="AF1382" s="1783"/>
      <c r="AG1382" s="1783"/>
      <c r="AH1382" s="1783"/>
      <c r="AI1382" s="1783"/>
      <c r="AJ1382" s="1783"/>
      <c r="AK1382" s="1783"/>
      <c r="AL1382" s="1783"/>
      <c r="AM1382" s="1783"/>
      <c r="AN1382" s="1783"/>
      <c r="AO1382" s="1783"/>
      <c r="AP1382" s="1783"/>
      <c r="AQ1382" s="1783"/>
      <c r="AR1382" s="1783"/>
      <c r="AS1382" s="1783"/>
      <c r="AT1382" s="1783"/>
      <c r="AU1382" s="1783"/>
      <c r="AV1382" s="1783"/>
      <c r="AW1382" s="1783"/>
      <c r="AX1382" s="1783"/>
      <c r="AY1382" s="1783"/>
      <c r="AZ1382" s="1783"/>
      <c r="BA1382" s="1783"/>
      <c r="BB1382" s="1783"/>
      <c r="BC1382" s="1783"/>
      <c r="BD1382" s="1783"/>
      <c r="BE1382" s="1783"/>
      <c r="BF1382" s="1783"/>
      <c r="BG1382" s="1783"/>
      <c r="BH1382" s="1783"/>
      <c r="BI1382" s="1783"/>
    </row>
    <row r="1383" spans="1:61">
      <c r="A1383" s="1819"/>
      <c r="B1383" s="1818"/>
      <c r="C1383" s="1818"/>
      <c r="D1383" s="1818"/>
      <c r="E1383" s="1818"/>
      <c r="F1383" s="1818"/>
      <c r="G1383" s="1818"/>
      <c r="H1383" s="1783"/>
      <c r="I1383" s="1783"/>
      <c r="J1383" s="1783"/>
      <c r="K1383" s="1783"/>
      <c r="L1383" s="1783"/>
      <c r="M1383" s="1783"/>
      <c r="N1383" s="1783"/>
      <c r="O1383" s="1783"/>
      <c r="P1383" s="1783"/>
      <c r="Q1383" s="1783"/>
      <c r="R1383" s="1783"/>
      <c r="S1383" s="1783"/>
      <c r="T1383" s="1783"/>
      <c r="U1383" s="1783"/>
      <c r="V1383" s="1783"/>
      <c r="W1383" s="1783"/>
      <c r="X1383" s="1783"/>
      <c r="Y1383" s="1783"/>
      <c r="Z1383" s="1783"/>
      <c r="AA1383" s="1783"/>
      <c r="AB1383" s="1783"/>
      <c r="AC1383" s="1783"/>
      <c r="AD1383" s="1783"/>
      <c r="AE1383" s="1783"/>
      <c r="AF1383" s="1783"/>
      <c r="AG1383" s="1783"/>
      <c r="AH1383" s="1783"/>
      <c r="AI1383" s="1783"/>
      <c r="AJ1383" s="1783"/>
      <c r="AK1383" s="1783"/>
      <c r="AL1383" s="1783"/>
      <c r="AM1383" s="1783"/>
      <c r="AN1383" s="1783"/>
      <c r="AO1383" s="1783"/>
      <c r="AP1383" s="1783"/>
      <c r="AQ1383" s="1783"/>
      <c r="AR1383" s="1783"/>
      <c r="AS1383" s="1783"/>
      <c r="AT1383" s="1783"/>
      <c r="AU1383" s="1783"/>
      <c r="AV1383" s="1783"/>
      <c r="AW1383" s="1783"/>
      <c r="AX1383" s="1783"/>
      <c r="AY1383" s="1783"/>
      <c r="AZ1383" s="1783"/>
      <c r="BA1383" s="1783"/>
      <c r="BB1383" s="1783"/>
      <c r="BC1383" s="1783"/>
      <c r="BD1383" s="1783"/>
      <c r="BE1383" s="1783"/>
      <c r="BF1383" s="1783"/>
      <c r="BG1383" s="1783"/>
      <c r="BH1383" s="1783"/>
      <c r="BI1383" s="1783"/>
    </row>
    <row r="1384" spans="1:61">
      <c r="A1384" s="1819"/>
      <c r="B1384" s="1818"/>
      <c r="C1384" s="1818"/>
      <c r="D1384" s="1818"/>
      <c r="E1384" s="1818"/>
      <c r="F1384" s="1818"/>
      <c r="G1384" s="1818"/>
      <c r="H1384" s="1783"/>
      <c r="I1384" s="1783"/>
      <c r="J1384" s="1783"/>
      <c r="K1384" s="1783"/>
      <c r="L1384" s="1783"/>
      <c r="M1384" s="1783"/>
      <c r="N1384" s="1783"/>
      <c r="O1384" s="1783"/>
      <c r="P1384" s="1783"/>
      <c r="Q1384" s="1783"/>
      <c r="R1384" s="1783"/>
      <c r="S1384" s="1783"/>
      <c r="T1384" s="1783"/>
      <c r="U1384" s="1783"/>
      <c r="V1384" s="1783"/>
      <c r="W1384" s="1783"/>
      <c r="X1384" s="1783"/>
      <c r="Y1384" s="1783"/>
      <c r="Z1384" s="1783"/>
      <c r="AA1384" s="1783"/>
      <c r="AB1384" s="1783"/>
      <c r="AC1384" s="1783"/>
      <c r="AD1384" s="1783"/>
      <c r="AE1384" s="1783"/>
      <c r="AF1384" s="1783"/>
      <c r="AG1384" s="1783"/>
      <c r="AH1384" s="1783"/>
      <c r="AI1384" s="1783"/>
      <c r="AJ1384" s="1783"/>
      <c r="AK1384" s="1783"/>
      <c r="AL1384" s="1783"/>
      <c r="AM1384" s="1783"/>
      <c r="AN1384" s="1783"/>
      <c r="AO1384" s="1783"/>
      <c r="AP1384" s="1783"/>
      <c r="AQ1384" s="1783"/>
      <c r="AR1384" s="1783"/>
      <c r="AS1384" s="1783"/>
      <c r="AT1384" s="1783"/>
      <c r="AU1384" s="1783"/>
      <c r="AV1384" s="1783"/>
      <c r="AW1384" s="1783"/>
      <c r="AX1384" s="1783"/>
      <c r="AY1384" s="1783"/>
      <c r="AZ1384" s="1783"/>
      <c r="BA1384" s="1783"/>
      <c r="BB1384" s="1783"/>
      <c r="BC1384" s="1783"/>
      <c r="BD1384" s="1783"/>
      <c r="BE1384" s="1783"/>
      <c r="BF1384" s="1783"/>
      <c r="BG1384" s="1783"/>
      <c r="BH1384" s="1783"/>
      <c r="BI1384" s="1783"/>
    </row>
    <row r="1385" spans="1:61">
      <c r="A1385" s="1819"/>
      <c r="B1385" s="1818"/>
      <c r="C1385" s="1818"/>
      <c r="D1385" s="1818"/>
      <c r="E1385" s="1818"/>
      <c r="F1385" s="1818"/>
      <c r="G1385" s="1818"/>
      <c r="H1385" s="1783"/>
      <c r="I1385" s="1783"/>
      <c r="J1385" s="1783"/>
      <c r="K1385" s="1783"/>
      <c r="L1385" s="1783"/>
      <c r="M1385" s="1783"/>
      <c r="N1385" s="1783"/>
      <c r="O1385" s="1783"/>
      <c r="P1385" s="1783"/>
      <c r="Q1385" s="1783"/>
      <c r="R1385" s="1783"/>
      <c r="S1385" s="1783"/>
      <c r="T1385" s="1783"/>
      <c r="U1385" s="1783"/>
      <c r="V1385" s="1783"/>
      <c r="W1385" s="1783"/>
      <c r="X1385" s="1783"/>
      <c r="Y1385" s="1783"/>
      <c r="Z1385" s="1783"/>
      <c r="AA1385" s="1783"/>
      <c r="AB1385" s="1783"/>
      <c r="AC1385" s="1783"/>
      <c r="AD1385" s="1783"/>
      <c r="AE1385" s="1783"/>
      <c r="AF1385" s="1783"/>
      <c r="AG1385" s="1783"/>
      <c r="AH1385" s="1783"/>
      <c r="AI1385" s="1783"/>
      <c r="AJ1385" s="1783"/>
      <c r="AK1385" s="1783"/>
      <c r="AL1385" s="1783"/>
      <c r="AM1385" s="1783"/>
      <c r="AN1385" s="1783"/>
      <c r="AO1385" s="1783"/>
      <c r="AP1385" s="1783"/>
      <c r="AQ1385" s="1783"/>
      <c r="AR1385" s="1783"/>
      <c r="AS1385" s="1783"/>
      <c r="AT1385" s="1783"/>
      <c r="AU1385" s="1783"/>
      <c r="AV1385" s="1783"/>
      <c r="AW1385" s="1783"/>
      <c r="AX1385" s="1783"/>
      <c r="AY1385" s="1783"/>
      <c r="AZ1385" s="1783"/>
      <c r="BA1385" s="1783"/>
      <c r="BB1385" s="1783"/>
      <c r="BC1385" s="1783"/>
      <c r="BD1385" s="1783"/>
      <c r="BE1385" s="1783"/>
      <c r="BF1385" s="1783"/>
      <c r="BG1385" s="1783"/>
      <c r="BH1385" s="1783"/>
      <c r="BI1385" s="1783"/>
    </row>
    <row r="1386" spans="1:61">
      <c r="A1386" s="1819"/>
      <c r="B1386" s="1818"/>
      <c r="C1386" s="1818"/>
      <c r="D1386" s="1818"/>
      <c r="E1386" s="1818"/>
      <c r="F1386" s="1818"/>
      <c r="G1386" s="1818"/>
      <c r="H1386" s="1783"/>
      <c r="I1386" s="1783"/>
      <c r="J1386" s="1783"/>
      <c r="K1386" s="1783"/>
      <c r="L1386" s="1783"/>
      <c r="M1386" s="1783"/>
      <c r="N1386" s="1783"/>
      <c r="O1386" s="1783"/>
      <c r="P1386" s="1783"/>
      <c r="Q1386" s="1783"/>
      <c r="R1386" s="1783"/>
      <c r="S1386" s="1783"/>
      <c r="T1386" s="1783"/>
      <c r="U1386" s="1783"/>
      <c r="V1386" s="1783"/>
      <c r="W1386" s="1783"/>
      <c r="X1386" s="1783"/>
      <c r="Y1386" s="1783"/>
      <c r="Z1386" s="1783"/>
      <c r="AA1386" s="1783"/>
      <c r="AB1386" s="1783"/>
      <c r="AC1386" s="1783"/>
      <c r="AD1386" s="1783"/>
      <c r="AE1386" s="1783"/>
      <c r="AF1386" s="1783"/>
      <c r="AG1386" s="1783"/>
      <c r="AH1386" s="1783"/>
      <c r="AI1386" s="1783"/>
      <c r="AJ1386" s="1783"/>
      <c r="AK1386" s="1783"/>
      <c r="AL1386" s="1783"/>
      <c r="AM1386" s="1783"/>
      <c r="AN1386" s="1783"/>
      <c r="AO1386" s="1783"/>
      <c r="AP1386" s="1783"/>
      <c r="AQ1386" s="1783"/>
      <c r="AR1386" s="1783"/>
      <c r="AS1386" s="1783"/>
      <c r="AT1386" s="1783"/>
      <c r="AU1386" s="1783"/>
      <c r="AV1386" s="1783"/>
      <c r="AW1386" s="1783"/>
      <c r="AX1386" s="1783"/>
      <c r="AY1386" s="1783"/>
      <c r="AZ1386" s="1783"/>
      <c r="BA1386" s="1783"/>
      <c r="BB1386" s="1783"/>
      <c r="BC1386" s="1783"/>
      <c r="BD1386" s="1783"/>
      <c r="BE1386" s="1783"/>
      <c r="BF1386" s="1783"/>
      <c r="BG1386" s="1783"/>
      <c r="BH1386" s="1783"/>
      <c r="BI1386" s="1783"/>
    </row>
    <row r="1387" spans="1:61">
      <c r="A1387" s="1819"/>
      <c r="B1387" s="1818"/>
      <c r="C1387" s="1818"/>
      <c r="D1387" s="1818"/>
      <c r="E1387" s="1818"/>
      <c r="F1387" s="1818"/>
      <c r="G1387" s="1818"/>
      <c r="H1387" s="1783"/>
      <c r="I1387" s="1783"/>
      <c r="J1387" s="1783"/>
      <c r="K1387" s="1783"/>
      <c r="L1387" s="1783"/>
      <c r="M1387" s="1783"/>
      <c r="N1387" s="1783"/>
      <c r="O1387" s="1783"/>
      <c r="P1387" s="1783"/>
      <c r="Q1387" s="1783"/>
      <c r="R1387" s="1783"/>
      <c r="S1387" s="1783"/>
      <c r="T1387" s="1783"/>
      <c r="U1387" s="1783"/>
      <c r="V1387" s="1783"/>
      <c r="W1387" s="1783"/>
      <c r="X1387" s="1783"/>
      <c r="Y1387" s="1783"/>
      <c r="Z1387" s="1783"/>
      <c r="AA1387" s="1783"/>
      <c r="AB1387" s="1783"/>
      <c r="AC1387" s="1783"/>
      <c r="AD1387" s="1783"/>
      <c r="AE1387" s="1783"/>
      <c r="AF1387" s="1783"/>
      <c r="AG1387" s="1783"/>
      <c r="AH1387" s="1783"/>
      <c r="AI1387" s="1783"/>
      <c r="AJ1387" s="1783"/>
      <c r="AK1387" s="1783"/>
      <c r="AL1387" s="1783"/>
      <c r="AM1387" s="1783"/>
      <c r="AN1387" s="1783"/>
      <c r="AO1387" s="1783"/>
      <c r="AP1387" s="1783"/>
      <c r="AQ1387" s="1783"/>
      <c r="AR1387" s="1783"/>
      <c r="AS1387" s="1783"/>
      <c r="AT1387" s="1783"/>
      <c r="AU1387" s="1783"/>
      <c r="AV1387" s="1783"/>
      <c r="AW1387" s="1783"/>
      <c r="AX1387" s="1783"/>
      <c r="AY1387" s="1783"/>
      <c r="AZ1387" s="1783"/>
      <c r="BA1387" s="1783"/>
      <c r="BB1387" s="1783"/>
      <c r="BC1387" s="1783"/>
      <c r="BD1387" s="1783"/>
      <c r="BE1387" s="1783"/>
      <c r="BF1387" s="1783"/>
      <c r="BG1387" s="1783"/>
      <c r="BH1387" s="1783"/>
      <c r="BI1387" s="1783"/>
    </row>
    <row r="1388" spans="1:61">
      <c r="A1388" s="1819"/>
      <c r="B1388" s="1818"/>
      <c r="C1388" s="1818"/>
      <c r="D1388" s="1818"/>
      <c r="E1388" s="1818"/>
      <c r="F1388" s="1818"/>
      <c r="G1388" s="1818"/>
      <c r="H1388" s="1783"/>
      <c r="I1388" s="1783"/>
      <c r="J1388" s="1783"/>
      <c r="K1388" s="1783"/>
      <c r="L1388" s="1783"/>
      <c r="M1388" s="1783"/>
      <c r="N1388" s="1783"/>
      <c r="O1388" s="1783"/>
      <c r="P1388" s="1783"/>
      <c r="Q1388" s="1783"/>
      <c r="R1388" s="1783"/>
      <c r="S1388" s="1783"/>
      <c r="T1388" s="1783"/>
      <c r="U1388" s="1783"/>
      <c r="V1388" s="1783"/>
      <c r="W1388" s="1783"/>
      <c r="X1388" s="1783"/>
      <c r="Y1388" s="1783"/>
      <c r="Z1388" s="1783"/>
      <c r="AA1388" s="1783"/>
      <c r="AB1388" s="1783"/>
      <c r="AC1388" s="1783"/>
      <c r="AD1388" s="1783"/>
      <c r="AE1388" s="1783"/>
      <c r="AF1388" s="1783"/>
      <c r="AG1388" s="1783"/>
      <c r="AH1388" s="1783"/>
      <c r="AI1388" s="1783"/>
      <c r="AJ1388" s="1783"/>
      <c r="AK1388" s="1783"/>
      <c r="AL1388" s="1783"/>
      <c r="AM1388" s="1783"/>
      <c r="AN1388" s="1783"/>
      <c r="AO1388" s="1783"/>
      <c r="AP1388" s="1783"/>
      <c r="AQ1388" s="1783"/>
      <c r="AR1388" s="1783"/>
      <c r="AS1388" s="1783"/>
      <c r="AT1388" s="1783"/>
      <c r="AU1388" s="1783"/>
      <c r="AV1388" s="1783"/>
      <c r="AW1388" s="1783"/>
      <c r="AX1388" s="1783"/>
      <c r="AY1388" s="1783"/>
      <c r="AZ1388" s="1783"/>
      <c r="BA1388" s="1783"/>
      <c r="BB1388" s="1783"/>
      <c r="BC1388" s="1783"/>
      <c r="BD1388" s="1783"/>
      <c r="BE1388" s="1783"/>
      <c r="BF1388" s="1783"/>
      <c r="BG1388" s="1783"/>
      <c r="BH1388" s="1783"/>
      <c r="BI1388" s="1783"/>
    </row>
    <row r="1389" spans="1:61">
      <c r="A1389" s="1819"/>
      <c r="B1389" s="1818"/>
      <c r="C1389" s="1818"/>
      <c r="D1389" s="1818"/>
      <c r="E1389" s="1818"/>
      <c r="F1389" s="1818"/>
      <c r="G1389" s="1818"/>
      <c r="H1389" s="1783"/>
      <c r="I1389" s="1783"/>
      <c r="J1389" s="1783"/>
      <c r="K1389" s="1783"/>
      <c r="L1389" s="1783"/>
      <c r="M1389" s="1783"/>
      <c r="N1389" s="1783"/>
      <c r="O1389" s="1783"/>
      <c r="P1389" s="1783"/>
      <c r="Q1389" s="1783"/>
      <c r="R1389" s="1783"/>
      <c r="S1389" s="1783"/>
      <c r="T1389" s="1783"/>
      <c r="U1389" s="1783"/>
      <c r="V1389" s="1783"/>
      <c r="W1389" s="1783"/>
      <c r="X1389" s="1783"/>
      <c r="Y1389" s="1783"/>
      <c r="Z1389" s="1783"/>
      <c r="AA1389" s="1783"/>
      <c r="AB1389" s="1783"/>
      <c r="AC1389" s="1783"/>
      <c r="AD1389" s="1783"/>
      <c r="AE1389" s="1783"/>
      <c r="AF1389" s="1783"/>
      <c r="AG1389" s="1783"/>
      <c r="AH1389" s="1783"/>
      <c r="AI1389" s="1783"/>
      <c r="AJ1389" s="1783"/>
      <c r="AK1389" s="1783"/>
      <c r="AL1389" s="1783"/>
      <c r="AM1389" s="1783"/>
      <c r="AN1389" s="1783"/>
      <c r="AO1389" s="1783"/>
      <c r="AP1389" s="1783"/>
      <c r="AQ1389" s="1783"/>
      <c r="AR1389" s="1783"/>
      <c r="AS1389" s="1783"/>
      <c r="AT1389" s="1783"/>
      <c r="AU1389" s="1783"/>
      <c r="AV1389" s="1783"/>
      <c r="AW1389" s="1783"/>
      <c r="AX1389" s="1783"/>
      <c r="AY1389" s="1783"/>
      <c r="AZ1389" s="1783"/>
      <c r="BA1389" s="1783"/>
      <c r="BB1389" s="1783"/>
      <c r="BC1389" s="1783"/>
      <c r="BD1389" s="1783"/>
      <c r="BE1389" s="1783"/>
      <c r="BF1389" s="1783"/>
      <c r="BG1389" s="1783"/>
      <c r="BH1389" s="1783"/>
      <c r="BI1389" s="1783"/>
    </row>
    <row r="1390" spans="1:61">
      <c r="A1390" s="1819"/>
      <c r="B1390" s="1818"/>
      <c r="C1390" s="1818"/>
      <c r="D1390" s="1818"/>
      <c r="E1390" s="1818"/>
      <c r="F1390" s="1818"/>
      <c r="G1390" s="1818"/>
      <c r="H1390" s="1783"/>
      <c r="I1390" s="1783"/>
      <c r="J1390" s="1783"/>
      <c r="K1390" s="1783"/>
      <c r="L1390" s="1783"/>
      <c r="M1390" s="1783"/>
      <c r="N1390" s="1783"/>
      <c r="O1390" s="1783"/>
      <c r="P1390" s="1783"/>
      <c r="Q1390" s="1783"/>
      <c r="R1390" s="1783"/>
      <c r="S1390" s="1783"/>
      <c r="T1390" s="1783"/>
      <c r="U1390" s="1783"/>
      <c r="V1390" s="1783"/>
      <c r="W1390" s="1783"/>
      <c r="X1390" s="1783"/>
      <c r="Y1390" s="1783"/>
      <c r="Z1390" s="1783"/>
      <c r="AA1390" s="1783"/>
      <c r="AB1390" s="1783"/>
      <c r="AC1390" s="1783"/>
      <c r="AD1390" s="1783"/>
      <c r="AE1390" s="1783"/>
      <c r="AF1390" s="1783"/>
      <c r="AG1390" s="1783"/>
      <c r="AH1390" s="1783"/>
      <c r="AI1390" s="1783"/>
      <c r="AJ1390" s="1783"/>
      <c r="AK1390" s="1783"/>
      <c r="AL1390" s="1783"/>
      <c r="AM1390" s="1783"/>
      <c r="AN1390" s="1783"/>
      <c r="AO1390" s="1783"/>
      <c r="AP1390" s="1783"/>
      <c r="AQ1390" s="1783"/>
      <c r="AR1390" s="1783"/>
      <c r="AS1390" s="1783"/>
      <c r="AT1390" s="1783"/>
      <c r="AU1390" s="1783"/>
      <c r="AV1390" s="1783"/>
      <c r="AW1390" s="1783"/>
      <c r="AX1390" s="1783"/>
      <c r="AY1390" s="1783"/>
      <c r="AZ1390" s="1783"/>
      <c r="BA1390" s="1783"/>
      <c r="BB1390" s="1783"/>
      <c r="BC1390" s="1783"/>
      <c r="BD1390" s="1783"/>
      <c r="BE1390" s="1783"/>
      <c r="BF1390" s="1783"/>
      <c r="BG1390" s="1783"/>
      <c r="BH1390" s="1783"/>
      <c r="BI1390" s="1783"/>
    </row>
    <row r="1391" spans="1:61">
      <c r="A1391" s="1819"/>
      <c r="B1391" s="1818"/>
      <c r="C1391" s="1818"/>
      <c r="D1391" s="1818"/>
      <c r="E1391" s="1818"/>
      <c r="F1391" s="1818"/>
      <c r="G1391" s="1818"/>
      <c r="H1391" s="1783"/>
      <c r="I1391" s="1783"/>
      <c r="J1391" s="1783"/>
      <c r="K1391" s="1783"/>
      <c r="L1391" s="1783"/>
      <c r="M1391" s="1783"/>
      <c r="N1391" s="1783"/>
      <c r="O1391" s="1783"/>
      <c r="P1391" s="1783"/>
      <c r="Q1391" s="1783"/>
      <c r="R1391" s="1783"/>
      <c r="S1391" s="1783"/>
      <c r="T1391" s="1783"/>
      <c r="U1391" s="1783"/>
      <c r="V1391" s="1783"/>
      <c r="W1391" s="1783"/>
      <c r="X1391" s="1783"/>
      <c r="Y1391" s="1783"/>
      <c r="Z1391" s="1783"/>
      <c r="AA1391" s="1783"/>
      <c r="AB1391" s="1783"/>
      <c r="AC1391" s="1783"/>
      <c r="AD1391" s="1783"/>
      <c r="AE1391" s="1783"/>
      <c r="AF1391" s="1783"/>
      <c r="AG1391" s="1783"/>
      <c r="AH1391" s="1783"/>
      <c r="AI1391" s="1783"/>
      <c r="AJ1391" s="1783"/>
      <c r="AK1391" s="1783"/>
      <c r="AL1391" s="1783"/>
      <c r="AM1391" s="1783"/>
      <c r="AN1391" s="1783"/>
      <c r="AO1391" s="1783"/>
      <c r="AP1391" s="1783"/>
      <c r="AQ1391" s="1783"/>
      <c r="AR1391" s="1783"/>
      <c r="AS1391" s="1783"/>
      <c r="AT1391" s="1783"/>
      <c r="AU1391" s="1783"/>
      <c r="AV1391" s="1783"/>
      <c r="AW1391" s="1783"/>
      <c r="AX1391" s="1783"/>
      <c r="AY1391" s="1783"/>
      <c r="AZ1391" s="1783"/>
      <c r="BA1391" s="1783"/>
      <c r="BB1391" s="1783"/>
      <c r="BC1391" s="1783"/>
      <c r="BD1391" s="1783"/>
      <c r="BE1391" s="1783"/>
      <c r="BF1391" s="1783"/>
      <c r="BG1391" s="1783"/>
      <c r="BH1391" s="1783"/>
      <c r="BI1391" s="1783"/>
    </row>
    <row r="1392" spans="1:61">
      <c r="A1392" s="1819"/>
      <c r="B1392" s="1818"/>
      <c r="C1392" s="1818"/>
      <c r="D1392" s="1818"/>
      <c r="E1392" s="1818"/>
      <c r="F1392" s="1818"/>
      <c r="G1392" s="1818"/>
      <c r="H1392" s="1783"/>
      <c r="I1392" s="1783"/>
      <c r="J1392" s="1783"/>
      <c r="K1392" s="1783"/>
      <c r="L1392" s="1783"/>
      <c r="M1392" s="1783"/>
      <c r="N1392" s="1783"/>
      <c r="O1392" s="1783"/>
      <c r="P1392" s="1783"/>
      <c r="Q1392" s="1783"/>
      <c r="R1392" s="1783"/>
      <c r="S1392" s="1783"/>
      <c r="T1392" s="1783"/>
      <c r="U1392" s="1783"/>
      <c r="V1392" s="1783"/>
      <c r="W1392" s="1783"/>
      <c r="X1392" s="1783"/>
      <c r="Y1392" s="1783"/>
      <c r="Z1392" s="1783"/>
      <c r="AA1392" s="1783"/>
      <c r="AB1392" s="1783"/>
      <c r="AC1392" s="1783"/>
      <c r="AD1392" s="1783"/>
      <c r="AE1392" s="1783"/>
      <c r="AF1392" s="1783"/>
      <c r="AG1392" s="1783"/>
      <c r="AH1392" s="1783"/>
      <c r="AI1392" s="1783"/>
      <c r="AJ1392" s="1783"/>
      <c r="AK1392" s="1783"/>
      <c r="AL1392" s="1783"/>
      <c r="AM1392" s="1783"/>
      <c r="AN1392" s="1783"/>
      <c r="AO1392" s="1783"/>
      <c r="AP1392" s="1783"/>
      <c r="AQ1392" s="1783"/>
      <c r="AR1392" s="1783"/>
      <c r="AS1392" s="1783"/>
      <c r="AT1392" s="1783"/>
      <c r="AU1392" s="1783"/>
      <c r="AV1392" s="1783"/>
      <c r="AW1392" s="1783"/>
      <c r="AX1392" s="1783"/>
      <c r="AY1392" s="1783"/>
      <c r="AZ1392" s="1783"/>
      <c r="BA1392" s="1783"/>
      <c r="BB1392" s="1783"/>
      <c r="BC1392" s="1783"/>
      <c r="BD1392" s="1783"/>
      <c r="BE1392" s="1783"/>
      <c r="BF1392" s="1783"/>
      <c r="BG1392" s="1783"/>
      <c r="BH1392" s="1783"/>
      <c r="BI1392" s="1783"/>
    </row>
    <row r="1393" spans="1:61">
      <c r="A1393" s="1819"/>
      <c r="B1393" s="1818"/>
      <c r="C1393" s="1818"/>
      <c r="D1393" s="1818"/>
      <c r="E1393" s="1818"/>
      <c r="F1393" s="1818"/>
      <c r="G1393" s="1818"/>
      <c r="H1393" s="1783"/>
      <c r="I1393" s="1783"/>
      <c r="J1393" s="1783"/>
      <c r="K1393" s="1783"/>
      <c r="L1393" s="1783"/>
      <c r="M1393" s="1783"/>
      <c r="N1393" s="1783"/>
      <c r="O1393" s="1783"/>
      <c r="P1393" s="1783"/>
      <c r="Q1393" s="1783"/>
      <c r="R1393" s="1783"/>
      <c r="S1393" s="1783"/>
      <c r="T1393" s="1783"/>
      <c r="U1393" s="1783"/>
      <c r="V1393" s="1783"/>
      <c r="W1393" s="1783"/>
      <c r="X1393" s="1783"/>
      <c r="Y1393" s="1783"/>
      <c r="Z1393" s="1783"/>
      <c r="AA1393" s="1783"/>
      <c r="AB1393" s="1783"/>
      <c r="AC1393" s="1783"/>
      <c r="AD1393" s="1783"/>
      <c r="AE1393" s="1783"/>
      <c r="AF1393" s="1783"/>
      <c r="AG1393" s="1783"/>
      <c r="AH1393" s="1783"/>
      <c r="AI1393" s="1783"/>
      <c r="AJ1393" s="1783"/>
      <c r="AK1393" s="1783"/>
      <c r="AL1393" s="1783"/>
      <c r="AM1393" s="1783"/>
      <c r="AN1393" s="1783"/>
      <c r="AO1393" s="1783"/>
      <c r="AP1393" s="1783"/>
      <c r="AQ1393" s="1783"/>
      <c r="AR1393" s="1783"/>
      <c r="AS1393" s="1783"/>
      <c r="AT1393" s="1783"/>
      <c r="AU1393" s="1783"/>
      <c r="AV1393" s="1783"/>
      <c r="AW1393" s="1783"/>
      <c r="AX1393" s="1783"/>
      <c r="AY1393" s="1783"/>
      <c r="AZ1393" s="1783"/>
      <c r="BA1393" s="1783"/>
      <c r="BB1393" s="1783"/>
      <c r="BC1393" s="1783"/>
      <c r="BD1393" s="1783"/>
      <c r="BE1393" s="1783"/>
      <c r="BF1393" s="1783"/>
      <c r="BG1393" s="1783"/>
      <c r="BH1393" s="1783"/>
      <c r="BI1393" s="1783"/>
    </row>
    <row r="1394" spans="1:61">
      <c r="A1394" s="1819"/>
      <c r="B1394" s="1818"/>
      <c r="C1394" s="1818"/>
      <c r="D1394" s="1818"/>
      <c r="E1394" s="1818"/>
      <c r="F1394" s="1818"/>
      <c r="G1394" s="1818"/>
      <c r="H1394" s="1783"/>
      <c r="I1394" s="1783"/>
      <c r="J1394" s="1783"/>
      <c r="K1394" s="1783"/>
      <c r="L1394" s="1783"/>
      <c r="M1394" s="1783"/>
      <c r="N1394" s="1783"/>
      <c r="O1394" s="1783"/>
      <c r="P1394" s="1783"/>
      <c r="Q1394" s="1783"/>
      <c r="R1394" s="1783"/>
      <c r="S1394" s="1783"/>
      <c r="T1394" s="1783"/>
      <c r="U1394" s="1783"/>
      <c r="V1394" s="1783"/>
      <c r="W1394" s="1783"/>
      <c r="X1394" s="1783"/>
      <c r="Y1394" s="1783"/>
      <c r="Z1394" s="1783"/>
      <c r="AA1394" s="1783"/>
      <c r="AB1394" s="1783"/>
      <c r="AC1394" s="1783"/>
      <c r="AD1394" s="1783"/>
      <c r="AE1394" s="1783"/>
      <c r="AF1394" s="1783"/>
      <c r="AG1394" s="1783"/>
      <c r="AH1394" s="1783"/>
      <c r="AI1394" s="1783"/>
      <c r="AJ1394" s="1783"/>
      <c r="AK1394" s="1783"/>
      <c r="AL1394" s="1783"/>
      <c r="AM1394" s="1783"/>
      <c r="AN1394" s="1783"/>
      <c r="AO1394" s="1783"/>
      <c r="AP1394" s="1783"/>
      <c r="AQ1394" s="1783"/>
      <c r="AR1394" s="1783"/>
      <c r="AS1394" s="1783"/>
      <c r="AT1394" s="1783"/>
      <c r="AU1394" s="1783"/>
      <c r="AV1394" s="1783"/>
      <c r="AW1394" s="1783"/>
      <c r="AX1394" s="1783"/>
      <c r="AY1394" s="1783"/>
      <c r="AZ1394" s="1783"/>
      <c r="BA1394" s="1783"/>
      <c r="BB1394" s="1783"/>
      <c r="BC1394" s="1783"/>
      <c r="BD1394" s="1783"/>
      <c r="BE1394" s="1783"/>
      <c r="BF1394" s="1783"/>
      <c r="BG1394" s="1783"/>
      <c r="BH1394" s="1783"/>
      <c r="BI1394" s="1783"/>
    </row>
    <row r="1395" spans="1:61">
      <c r="A1395" s="1819"/>
      <c r="B1395" s="1818"/>
      <c r="C1395" s="1818"/>
      <c r="D1395" s="1818"/>
      <c r="E1395" s="1818"/>
      <c r="F1395" s="1818"/>
      <c r="G1395" s="1818"/>
      <c r="H1395" s="1783"/>
      <c r="I1395" s="1783"/>
      <c r="J1395" s="1783"/>
      <c r="K1395" s="1783"/>
      <c r="L1395" s="1783"/>
      <c r="M1395" s="1783"/>
      <c r="N1395" s="1783"/>
      <c r="O1395" s="1783"/>
      <c r="P1395" s="1783"/>
      <c r="Q1395" s="1783"/>
      <c r="R1395" s="1783"/>
      <c r="S1395" s="1783"/>
      <c r="T1395" s="1783"/>
      <c r="U1395" s="1783"/>
      <c r="V1395" s="1783"/>
      <c r="W1395" s="1783"/>
      <c r="X1395" s="1783"/>
      <c r="Y1395" s="1783"/>
      <c r="Z1395" s="1783"/>
      <c r="AA1395" s="1783"/>
      <c r="AB1395" s="1783"/>
      <c r="AC1395" s="1783"/>
      <c r="AD1395" s="1783"/>
      <c r="AE1395" s="1783"/>
      <c r="AF1395" s="1783"/>
      <c r="AG1395" s="1783"/>
      <c r="AH1395" s="1783"/>
      <c r="AI1395" s="1783"/>
      <c r="AJ1395" s="1783"/>
      <c r="AK1395" s="1783"/>
      <c r="AL1395" s="1783"/>
      <c r="AM1395" s="1783"/>
      <c r="AN1395" s="1783"/>
      <c r="AO1395" s="1783"/>
      <c r="AP1395" s="1783"/>
      <c r="AQ1395" s="1783"/>
      <c r="AR1395" s="1783"/>
      <c r="AS1395" s="1783"/>
      <c r="AT1395" s="1783"/>
      <c r="AU1395" s="1783"/>
      <c r="AV1395" s="1783"/>
      <c r="AW1395" s="1783"/>
      <c r="AX1395" s="1783"/>
      <c r="AY1395" s="1783"/>
      <c r="AZ1395" s="1783"/>
      <c r="BA1395" s="1783"/>
      <c r="BB1395" s="1783"/>
      <c r="BC1395" s="1783"/>
      <c r="BD1395" s="1783"/>
      <c r="BE1395" s="1783"/>
      <c r="BF1395" s="1783"/>
      <c r="BG1395" s="1783"/>
      <c r="BH1395" s="1783"/>
      <c r="BI1395" s="1783"/>
    </row>
    <row r="1396" spans="1:61">
      <c r="A1396" s="1819"/>
      <c r="B1396" s="1818"/>
      <c r="C1396" s="1818"/>
      <c r="D1396" s="1818"/>
      <c r="E1396" s="1818"/>
      <c r="F1396" s="1818"/>
      <c r="G1396" s="1818"/>
      <c r="H1396" s="1783"/>
      <c r="I1396" s="1783"/>
      <c r="J1396" s="1783"/>
      <c r="K1396" s="1783"/>
      <c r="L1396" s="1783"/>
      <c r="M1396" s="1783"/>
      <c r="N1396" s="1783"/>
      <c r="O1396" s="1783"/>
      <c r="P1396" s="1783"/>
      <c r="Q1396" s="1783"/>
      <c r="R1396" s="1783"/>
      <c r="S1396" s="1783"/>
      <c r="T1396" s="1783"/>
      <c r="U1396" s="1783"/>
      <c r="V1396" s="1783"/>
      <c r="W1396" s="1783"/>
      <c r="X1396" s="1783"/>
      <c r="Y1396" s="1783"/>
      <c r="Z1396" s="1783"/>
      <c r="AA1396" s="1783"/>
      <c r="AB1396" s="1783"/>
      <c r="AC1396" s="1783"/>
      <c r="AD1396" s="1783"/>
      <c r="AE1396" s="1783"/>
      <c r="AF1396" s="1783"/>
      <c r="AG1396" s="1783"/>
      <c r="AH1396" s="1783"/>
      <c r="AI1396" s="1783"/>
      <c r="AJ1396" s="1783"/>
      <c r="AK1396" s="1783"/>
      <c r="AL1396" s="1783"/>
      <c r="AM1396" s="1783"/>
      <c r="AN1396" s="1783"/>
      <c r="AO1396" s="1783"/>
      <c r="AP1396" s="1783"/>
      <c r="AQ1396" s="1783"/>
      <c r="AR1396" s="1783"/>
      <c r="AS1396" s="1783"/>
      <c r="AT1396" s="1783"/>
      <c r="AU1396" s="1783"/>
      <c r="AV1396" s="1783"/>
      <c r="AW1396" s="1783"/>
      <c r="AX1396" s="1783"/>
      <c r="AY1396" s="1783"/>
      <c r="AZ1396" s="1783"/>
      <c r="BA1396" s="1783"/>
      <c r="BB1396" s="1783"/>
      <c r="BC1396" s="1783"/>
      <c r="BD1396" s="1783"/>
      <c r="BE1396" s="1783"/>
      <c r="BF1396" s="1783"/>
      <c r="BG1396" s="1783"/>
      <c r="BH1396" s="1783"/>
      <c r="BI1396" s="1783"/>
    </row>
    <row r="1397" spans="1:61">
      <c r="A1397" s="1819"/>
      <c r="B1397" s="1818"/>
      <c r="C1397" s="1818"/>
      <c r="D1397" s="1818"/>
      <c r="E1397" s="1818"/>
      <c r="F1397" s="1818"/>
      <c r="G1397" s="1818"/>
      <c r="H1397" s="1783"/>
      <c r="I1397" s="1783"/>
      <c r="J1397" s="1783"/>
      <c r="K1397" s="1783"/>
      <c r="L1397" s="1783"/>
      <c r="M1397" s="1783"/>
      <c r="N1397" s="1783"/>
      <c r="O1397" s="1783"/>
      <c r="P1397" s="1783"/>
      <c r="Q1397" s="1783"/>
      <c r="R1397" s="1783"/>
      <c r="S1397" s="1783"/>
      <c r="T1397" s="1783"/>
      <c r="U1397" s="1783"/>
      <c r="V1397" s="1783"/>
      <c r="W1397" s="1783"/>
      <c r="X1397" s="1783"/>
      <c r="Y1397" s="1783"/>
      <c r="Z1397" s="1783"/>
      <c r="AA1397" s="1783"/>
      <c r="AB1397" s="1783"/>
      <c r="AC1397" s="1783"/>
      <c r="AD1397" s="1783"/>
      <c r="AE1397" s="1783"/>
      <c r="AF1397" s="1783"/>
      <c r="AG1397" s="1783"/>
      <c r="AH1397" s="1783"/>
      <c r="AI1397" s="1783"/>
      <c r="AJ1397" s="1783"/>
      <c r="AK1397" s="1783"/>
      <c r="AL1397" s="1783"/>
      <c r="AM1397" s="1783"/>
      <c r="AN1397" s="1783"/>
      <c r="AO1397" s="1783"/>
      <c r="AP1397" s="1783"/>
      <c r="AQ1397" s="1783"/>
      <c r="AR1397" s="1783"/>
      <c r="AS1397" s="1783"/>
      <c r="AT1397" s="1783"/>
      <c r="AU1397" s="1783"/>
      <c r="AV1397" s="1783"/>
      <c r="AW1397" s="1783"/>
      <c r="AX1397" s="1783"/>
      <c r="AY1397" s="1783"/>
      <c r="AZ1397" s="1783"/>
      <c r="BA1397" s="1783"/>
      <c r="BB1397" s="1783"/>
      <c r="BC1397" s="1783"/>
      <c r="BD1397" s="1783"/>
      <c r="BE1397" s="1783"/>
      <c r="BF1397" s="1783"/>
      <c r="BG1397" s="1783"/>
      <c r="BH1397" s="1783"/>
      <c r="BI1397" s="1783"/>
    </row>
    <row r="1398" spans="1:61">
      <c r="A1398" s="1819"/>
      <c r="B1398" s="1818"/>
      <c r="C1398" s="1818"/>
      <c r="D1398" s="1818"/>
      <c r="E1398" s="1818"/>
      <c r="F1398" s="1818"/>
      <c r="G1398" s="1818"/>
      <c r="H1398" s="1783"/>
      <c r="I1398" s="1783"/>
      <c r="J1398" s="1783"/>
      <c r="K1398" s="1783"/>
      <c r="L1398" s="1783"/>
      <c r="M1398" s="1783"/>
      <c r="N1398" s="1783"/>
      <c r="O1398" s="1783"/>
      <c r="P1398" s="1783"/>
      <c r="Q1398" s="1783"/>
      <c r="R1398" s="1783"/>
      <c r="S1398" s="1783"/>
      <c r="T1398" s="1783"/>
      <c r="U1398" s="1783"/>
      <c r="V1398" s="1783"/>
      <c r="W1398" s="1783"/>
      <c r="X1398" s="1783"/>
      <c r="Y1398" s="1783"/>
      <c r="Z1398" s="1783"/>
      <c r="AA1398" s="1783"/>
      <c r="AB1398" s="1783"/>
      <c r="AC1398" s="1783"/>
      <c r="AD1398" s="1783"/>
      <c r="AE1398" s="1783"/>
      <c r="AF1398" s="1783"/>
      <c r="AG1398" s="1783"/>
      <c r="AH1398" s="1783"/>
      <c r="AI1398" s="1783"/>
      <c r="AJ1398" s="1783"/>
      <c r="AK1398" s="1783"/>
      <c r="AL1398" s="1783"/>
      <c r="AM1398" s="1783"/>
      <c r="AN1398" s="1783"/>
      <c r="AO1398" s="1783"/>
      <c r="AP1398" s="1783"/>
      <c r="AQ1398" s="1783"/>
      <c r="AR1398" s="1783"/>
      <c r="AS1398" s="1783"/>
      <c r="AT1398" s="1783"/>
      <c r="AU1398" s="1783"/>
      <c r="AV1398" s="1783"/>
      <c r="AW1398" s="1783"/>
      <c r="AX1398" s="1783"/>
      <c r="AY1398" s="1783"/>
      <c r="AZ1398" s="1783"/>
      <c r="BA1398" s="1783"/>
      <c r="BB1398" s="1783"/>
      <c r="BC1398" s="1783"/>
      <c r="BD1398" s="1783"/>
      <c r="BE1398" s="1783"/>
      <c r="BF1398" s="1783"/>
      <c r="BG1398" s="1783"/>
      <c r="BH1398" s="1783"/>
      <c r="BI1398" s="1783"/>
    </row>
    <row r="1399" spans="1:61">
      <c r="A1399" s="1819"/>
      <c r="B1399" s="1818"/>
      <c r="C1399" s="1818"/>
      <c r="D1399" s="1818"/>
      <c r="E1399" s="1818"/>
      <c r="F1399" s="1818"/>
      <c r="G1399" s="1818"/>
      <c r="H1399" s="1783"/>
      <c r="I1399" s="1783"/>
      <c r="J1399" s="1783"/>
      <c r="K1399" s="1783"/>
      <c r="L1399" s="1783"/>
      <c r="M1399" s="1783"/>
      <c r="N1399" s="1783"/>
      <c r="O1399" s="1783"/>
      <c r="P1399" s="1783"/>
      <c r="Q1399" s="1783"/>
      <c r="R1399" s="1783"/>
      <c r="S1399" s="1783"/>
      <c r="T1399" s="1783"/>
      <c r="U1399" s="1783"/>
      <c r="V1399" s="1783"/>
      <c r="W1399" s="1783"/>
      <c r="X1399" s="1783"/>
      <c r="Y1399" s="1783"/>
      <c r="Z1399" s="1783"/>
      <c r="AA1399" s="1783"/>
      <c r="AB1399" s="1783"/>
      <c r="AC1399" s="1783"/>
      <c r="AD1399" s="1783"/>
      <c r="AE1399" s="1783"/>
      <c r="AF1399" s="1783"/>
      <c r="AG1399" s="1783"/>
      <c r="AH1399" s="1783"/>
      <c r="AI1399" s="1783"/>
      <c r="AJ1399" s="1783"/>
      <c r="AK1399" s="1783"/>
      <c r="AL1399" s="1783"/>
      <c r="AM1399" s="1783"/>
      <c r="AN1399" s="1783"/>
      <c r="AO1399" s="1783"/>
      <c r="AP1399" s="1783"/>
      <c r="AQ1399" s="1783"/>
      <c r="AR1399" s="1783"/>
      <c r="AS1399" s="1783"/>
      <c r="AT1399" s="1783"/>
      <c r="AU1399" s="1783"/>
      <c r="AV1399" s="1783"/>
      <c r="AW1399" s="1783"/>
      <c r="AX1399" s="1783"/>
      <c r="AY1399" s="1783"/>
      <c r="AZ1399" s="1783"/>
      <c r="BA1399" s="1783"/>
      <c r="BB1399" s="1783"/>
      <c r="BC1399" s="1783"/>
      <c r="BD1399" s="1783"/>
      <c r="BE1399" s="1783"/>
      <c r="BF1399" s="1783"/>
      <c r="BG1399" s="1783"/>
      <c r="BH1399" s="1783"/>
      <c r="BI1399" s="1783"/>
    </row>
    <row r="1400" spans="1:61">
      <c r="A1400" s="1819"/>
      <c r="B1400" s="1818"/>
      <c r="C1400" s="1818"/>
      <c r="D1400" s="1818"/>
      <c r="E1400" s="1818"/>
      <c r="F1400" s="1818"/>
      <c r="G1400" s="1818"/>
      <c r="H1400" s="1783"/>
      <c r="I1400" s="1783"/>
      <c r="J1400" s="1783"/>
      <c r="K1400" s="1783"/>
      <c r="L1400" s="1783"/>
      <c r="M1400" s="1783"/>
      <c r="N1400" s="1783"/>
      <c r="O1400" s="1783"/>
      <c r="P1400" s="1783"/>
      <c r="Q1400" s="1783"/>
      <c r="R1400" s="1783"/>
      <c r="S1400" s="1783"/>
      <c r="T1400" s="1783"/>
      <c r="U1400" s="1783"/>
      <c r="V1400" s="1783"/>
      <c r="W1400" s="1783"/>
      <c r="X1400" s="1783"/>
      <c r="Y1400" s="1783"/>
      <c r="Z1400" s="1783"/>
      <c r="AA1400" s="1783"/>
      <c r="AB1400" s="1783"/>
      <c r="AC1400" s="1783"/>
      <c r="AD1400" s="1783"/>
      <c r="AE1400" s="1783"/>
      <c r="AF1400" s="1783"/>
      <c r="AG1400" s="1783"/>
      <c r="AH1400" s="1783"/>
      <c r="AI1400" s="1783"/>
      <c r="AJ1400" s="1783"/>
      <c r="AK1400" s="1783"/>
      <c r="AL1400" s="1783"/>
      <c r="AM1400" s="1783"/>
      <c r="AN1400" s="1783"/>
      <c r="AO1400" s="1783"/>
      <c r="AP1400" s="1783"/>
      <c r="AQ1400" s="1783"/>
      <c r="AR1400" s="1783"/>
      <c r="AS1400" s="1783"/>
      <c r="AT1400" s="1783"/>
      <c r="AU1400" s="1783"/>
      <c r="AV1400" s="1783"/>
      <c r="AW1400" s="1783"/>
      <c r="AX1400" s="1783"/>
      <c r="AY1400" s="1783"/>
      <c r="AZ1400" s="1783"/>
      <c r="BA1400" s="1783"/>
      <c r="BB1400" s="1783"/>
      <c r="BC1400" s="1783"/>
      <c r="BD1400" s="1783"/>
      <c r="BE1400" s="1783"/>
      <c r="BF1400" s="1783"/>
      <c r="BG1400" s="1783"/>
      <c r="BH1400" s="1783"/>
      <c r="BI1400" s="1783"/>
    </row>
    <row r="1401" spans="1:61">
      <c r="A1401" s="1819"/>
      <c r="B1401" s="1818"/>
      <c r="C1401" s="1818"/>
      <c r="D1401" s="1818"/>
      <c r="E1401" s="1818"/>
      <c r="F1401" s="1818"/>
      <c r="G1401" s="1818"/>
      <c r="H1401" s="1783"/>
      <c r="I1401" s="1783"/>
      <c r="J1401" s="1783"/>
      <c r="K1401" s="1783"/>
      <c r="L1401" s="1783"/>
      <c r="M1401" s="1783"/>
      <c r="N1401" s="1783"/>
      <c r="O1401" s="1783"/>
      <c r="P1401" s="1783"/>
      <c r="Q1401" s="1783"/>
      <c r="R1401" s="1783"/>
      <c r="S1401" s="1783"/>
      <c r="T1401" s="1783"/>
      <c r="U1401" s="1783"/>
      <c r="V1401" s="1783"/>
      <c r="W1401" s="1783"/>
      <c r="X1401" s="1783"/>
      <c r="Y1401" s="1783"/>
      <c r="Z1401" s="1783"/>
      <c r="AA1401" s="1783"/>
      <c r="AB1401" s="1783"/>
      <c r="AC1401" s="1783"/>
      <c r="AD1401" s="1783"/>
      <c r="AE1401" s="1783"/>
      <c r="AF1401" s="1783"/>
      <c r="AG1401" s="1783"/>
      <c r="AH1401" s="1783"/>
      <c r="AI1401" s="1783"/>
      <c r="AJ1401" s="1783"/>
      <c r="AK1401" s="1783"/>
      <c r="AL1401" s="1783"/>
      <c r="AM1401" s="1783"/>
      <c r="AN1401" s="1783"/>
      <c r="AO1401" s="1783"/>
      <c r="AP1401" s="1783"/>
      <c r="AQ1401" s="1783"/>
      <c r="AR1401" s="1783"/>
      <c r="AS1401" s="1783"/>
      <c r="AT1401" s="1783"/>
      <c r="AU1401" s="1783"/>
      <c r="AV1401" s="1783"/>
      <c r="AW1401" s="1783"/>
      <c r="AX1401" s="1783"/>
      <c r="AY1401" s="1783"/>
      <c r="AZ1401" s="1783"/>
      <c r="BA1401" s="1783"/>
      <c r="BB1401" s="1783"/>
      <c r="BC1401" s="1783"/>
      <c r="BD1401" s="1783"/>
      <c r="BE1401" s="1783"/>
      <c r="BF1401" s="1783"/>
      <c r="BG1401" s="1783"/>
      <c r="BH1401" s="1783"/>
      <c r="BI1401" s="1783"/>
    </row>
    <row r="1402" spans="1:61">
      <c r="A1402" s="1819"/>
      <c r="B1402" s="1818"/>
      <c r="C1402" s="1818"/>
      <c r="D1402" s="1818"/>
      <c r="E1402" s="1818"/>
      <c r="F1402" s="1818"/>
      <c r="G1402" s="1818"/>
      <c r="H1402" s="1783"/>
      <c r="I1402" s="1783"/>
      <c r="J1402" s="1783"/>
      <c r="K1402" s="1783"/>
      <c r="L1402" s="1783"/>
      <c r="M1402" s="1783"/>
      <c r="N1402" s="1783"/>
      <c r="O1402" s="1783"/>
      <c r="P1402" s="1783"/>
      <c r="Q1402" s="1783"/>
      <c r="R1402" s="1783"/>
      <c r="S1402" s="1783"/>
      <c r="T1402" s="1783"/>
      <c r="U1402" s="1783"/>
      <c r="V1402" s="1783"/>
      <c r="W1402" s="1783"/>
      <c r="X1402" s="1783"/>
      <c r="Y1402" s="1783"/>
      <c r="Z1402" s="1783"/>
      <c r="AA1402" s="1783"/>
      <c r="AB1402" s="1783"/>
      <c r="AC1402" s="1783"/>
      <c r="AD1402" s="1783"/>
      <c r="AE1402" s="1783"/>
      <c r="AF1402" s="1783"/>
      <c r="AG1402" s="1783"/>
      <c r="AH1402" s="1783"/>
      <c r="AI1402" s="1783"/>
      <c r="AJ1402" s="1783"/>
      <c r="AK1402" s="1783"/>
      <c r="AL1402" s="1783"/>
      <c r="AM1402" s="1783"/>
      <c r="AN1402" s="1783"/>
      <c r="AO1402" s="1783"/>
      <c r="AP1402" s="1783"/>
      <c r="AQ1402" s="1783"/>
      <c r="AR1402" s="1783"/>
      <c r="AS1402" s="1783"/>
      <c r="AT1402" s="1783"/>
      <c r="AU1402" s="1783"/>
      <c r="AV1402" s="1783"/>
      <c r="AW1402" s="1783"/>
      <c r="AX1402" s="1783"/>
      <c r="AY1402" s="1783"/>
      <c r="AZ1402" s="1783"/>
      <c r="BA1402" s="1783"/>
      <c r="BB1402" s="1783"/>
      <c r="BC1402" s="1783"/>
      <c r="BD1402" s="1783"/>
      <c r="BE1402" s="1783"/>
      <c r="BF1402" s="1783"/>
      <c r="BG1402" s="1783"/>
      <c r="BH1402" s="1783"/>
      <c r="BI1402" s="1783"/>
    </row>
    <row r="1403" spans="1:61">
      <c r="A1403" s="1819"/>
      <c r="B1403" s="1818"/>
      <c r="C1403" s="1818"/>
      <c r="D1403" s="1818"/>
      <c r="E1403" s="1818"/>
      <c r="F1403" s="1818"/>
      <c r="G1403" s="1818"/>
      <c r="H1403" s="1783"/>
      <c r="I1403" s="1783"/>
      <c r="J1403" s="1783"/>
      <c r="K1403" s="1783"/>
      <c r="L1403" s="1783"/>
      <c r="M1403" s="1783"/>
      <c r="N1403" s="1783"/>
      <c r="O1403" s="1783"/>
      <c r="P1403" s="1783"/>
      <c r="Q1403" s="1783"/>
      <c r="R1403" s="1783"/>
      <c r="S1403" s="1783"/>
      <c r="T1403" s="1783"/>
      <c r="U1403" s="1783"/>
      <c r="V1403" s="1783"/>
      <c r="W1403" s="1783"/>
      <c r="X1403" s="1783"/>
      <c r="Y1403" s="1783"/>
      <c r="Z1403" s="1783"/>
      <c r="AA1403" s="1783"/>
      <c r="AB1403" s="1783"/>
      <c r="AC1403" s="1783"/>
      <c r="AD1403" s="1783"/>
      <c r="AE1403" s="1783"/>
      <c r="AF1403" s="1783"/>
      <c r="AG1403" s="1783"/>
      <c r="AH1403" s="1783"/>
      <c r="AI1403" s="1783"/>
      <c r="AJ1403" s="1783"/>
      <c r="AK1403" s="1783"/>
      <c r="AL1403" s="1783"/>
      <c r="AM1403" s="1783"/>
      <c r="AN1403" s="1783"/>
      <c r="AO1403" s="1783"/>
      <c r="AP1403" s="1783"/>
      <c r="AQ1403" s="1783"/>
      <c r="AR1403" s="1783"/>
      <c r="AS1403" s="1783"/>
      <c r="AT1403" s="1783"/>
      <c r="AU1403" s="1783"/>
      <c r="AV1403" s="1783"/>
      <c r="AW1403" s="1783"/>
      <c r="AX1403" s="1783"/>
      <c r="AY1403" s="1783"/>
      <c r="AZ1403" s="1783"/>
      <c r="BA1403" s="1783"/>
      <c r="BB1403" s="1783"/>
      <c r="BC1403" s="1783"/>
      <c r="BD1403" s="1783"/>
      <c r="BE1403" s="1783"/>
      <c r="BF1403" s="1783"/>
      <c r="BG1403" s="1783"/>
      <c r="BH1403" s="1783"/>
      <c r="BI1403" s="1783"/>
    </row>
    <row r="1404" spans="1:61">
      <c r="A1404" s="1819"/>
      <c r="B1404" s="1818"/>
      <c r="C1404" s="1818"/>
      <c r="D1404" s="1818"/>
      <c r="E1404" s="1818"/>
      <c r="F1404" s="1818"/>
      <c r="G1404" s="1818"/>
      <c r="H1404" s="1783"/>
      <c r="I1404" s="1783"/>
      <c r="J1404" s="1783"/>
      <c r="K1404" s="1783"/>
      <c r="L1404" s="1783"/>
      <c r="M1404" s="1783"/>
      <c r="N1404" s="1783"/>
      <c r="O1404" s="1783"/>
      <c r="P1404" s="1783"/>
      <c r="Q1404" s="1783"/>
      <c r="R1404" s="1783"/>
      <c r="S1404" s="1783"/>
      <c r="T1404" s="1783"/>
      <c r="U1404" s="1783"/>
      <c r="V1404" s="1783"/>
      <c r="W1404" s="1783"/>
      <c r="X1404" s="1783"/>
      <c r="Y1404" s="1783"/>
      <c r="Z1404" s="1783"/>
      <c r="AA1404" s="1783"/>
      <c r="AB1404" s="1783"/>
      <c r="AC1404" s="1783"/>
      <c r="AD1404" s="1783"/>
      <c r="AE1404" s="1783"/>
      <c r="AF1404" s="1783"/>
      <c r="AG1404" s="1783"/>
      <c r="AH1404" s="1783"/>
      <c r="AI1404" s="1783"/>
      <c r="AJ1404" s="1783"/>
      <c r="AK1404" s="1783"/>
      <c r="AL1404" s="1783"/>
      <c r="AM1404" s="1783"/>
      <c r="AN1404" s="1783"/>
      <c r="AO1404" s="1783"/>
      <c r="AP1404" s="1783"/>
      <c r="AQ1404" s="1783"/>
      <c r="AR1404" s="1783"/>
      <c r="AS1404" s="1783"/>
      <c r="AT1404" s="1783"/>
      <c r="AU1404" s="1783"/>
      <c r="AV1404" s="1783"/>
      <c r="AW1404" s="1783"/>
      <c r="AX1404" s="1783"/>
      <c r="AY1404" s="1783"/>
      <c r="AZ1404" s="1783"/>
      <c r="BA1404" s="1783"/>
      <c r="BB1404" s="1783"/>
      <c r="BC1404" s="1783"/>
      <c r="BD1404" s="1783"/>
      <c r="BE1404" s="1783"/>
      <c r="BF1404" s="1783"/>
      <c r="BG1404" s="1783"/>
      <c r="BH1404" s="1783"/>
      <c r="BI1404" s="1783"/>
    </row>
    <row r="1405" spans="1:61">
      <c r="A1405" s="1819"/>
      <c r="B1405" s="1818"/>
      <c r="C1405" s="1818"/>
      <c r="D1405" s="1818"/>
      <c r="E1405" s="1818"/>
      <c r="F1405" s="1818"/>
      <c r="G1405" s="1818"/>
      <c r="H1405" s="1783"/>
      <c r="I1405" s="1783"/>
      <c r="J1405" s="1783"/>
      <c r="K1405" s="1783"/>
      <c r="L1405" s="1783"/>
      <c r="M1405" s="1783"/>
      <c r="N1405" s="1783"/>
      <c r="O1405" s="1783"/>
      <c r="P1405" s="1783"/>
      <c r="Q1405" s="1783"/>
      <c r="R1405" s="1783"/>
      <c r="S1405" s="1783"/>
      <c r="T1405" s="1783"/>
      <c r="U1405" s="1783"/>
      <c r="V1405" s="1783"/>
      <c r="W1405" s="1783"/>
      <c r="X1405" s="1783"/>
      <c r="Y1405" s="1783"/>
      <c r="Z1405" s="1783"/>
      <c r="AA1405" s="1783"/>
      <c r="AB1405" s="1783"/>
      <c r="AC1405" s="1783"/>
      <c r="AD1405" s="1783"/>
      <c r="AE1405" s="1783"/>
      <c r="AF1405" s="1783"/>
      <c r="AG1405" s="1783"/>
      <c r="AH1405" s="1783"/>
      <c r="AI1405" s="1783"/>
      <c r="AJ1405" s="1783"/>
      <c r="AK1405" s="1783"/>
      <c r="AL1405" s="1783"/>
      <c r="AM1405" s="1783"/>
      <c r="AN1405" s="1783"/>
      <c r="AO1405" s="1783"/>
      <c r="AP1405" s="1783"/>
      <c r="AQ1405" s="1783"/>
      <c r="AR1405" s="1783"/>
      <c r="AS1405" s="1783"/>
      <c r="AT1405" s="1783"/>
      <c r="AU1405" s="1783"/>
      <c r="AV1405" s="1783"/>
      <c r="AW1405" s="1783"/>
      <c r="AX1405" s="1783"/>
      <c r="AY1405" s="1783"/>
      <c r="AZ1405" s="1783"/>
      <c r="BA1405" s="1783"/>
      <c r="BB1405" s="1783"/>
      <c r="BC1405" s="1783"/>
      <c r="BD1405" s="1783"/>
      <c r="BE1405" s="1783"/>
      <c r="BF1405" s="1783"/>
      <c r="BG1405" s="1783"/>
      <c r="BH1405" s="1783"/>
      <c r="BI1405" s="1783"/>
    </row>
    <row r="1406" spans="1:61">
      <c r="A1406" s="1819"/>
      <c r="B1406" s="1818"/>
      <c r="C1406" s="1818"/>
      <c r="D1406" s="1818"/>
      <c r="E1406" s="1818"/>
      <c r="F1406" s="1818"/>
      <c r="G1406" s="1818"/>
      <c r="H1406" s="1783"/>
      <c r="I1406" s="1783"/>
      <c r="J1406" s="1783"/>
      <c r="K1406" s="1783"/>
      <c r="L1406" s="1783"/>
      <c r="M1406" s="1783"/>
      <c r="N1406" s="1783"/>
      <c r="O1406" s="1783"/>
      <c r="P1406" s="1783"/>
      <c r="Q1406" s="1783"/>
      <c r="R1406" s="1783"/>
      <c r="S1406" s="1783"/>
      <c r="T1406" s="1783"/>
      <c r="U1406" s="1783"/>
      <c r="V1406" s="1783"/>
      <c r="W1406" s="1783"/>
      <c r="X1406" s="1783"/>
      <c r="Y1406" s="1783"/>
      <c r="Z1406" s="1783"/>
      <c r="AA1406" s="1783"/>
      <c r="AB1406" s="1783"/>
      <c r="AC1406" s="1783"/>
      <c r="AD1406" s="1783"/>
      <c r="AE1406" s="1783"/>
      <c r="AF1406" s="1783"/>
      <c r="AG1406" s="1783"/>
      <c r="AH1406" s="1783"/>
      <c r="AI1406" s="1783"/>
      <c r="AJ1406" s="1783"/>
      <c r="AK1406" s="1783"/>
      <c r="AL1406" s="1783"/>
      <c r="AM1406" s="1783"/>
      <c r="AN1406" s="1783"/>
      <c r="AO1406" s="1783"/>
      <c r="AP1406" s="1783"/>
      <c r="AQ1406" s="1783"/>
      <c r="AR1406" s="1783"/>
      <c r="AS1406" s="1783"/>
      <c r="AT1406" s="1783"/>
      <c r="AU1406" s="1783"/>
      <c r="AV1406" s="1783"/>
      <c r="AW1406" s="1783"/>
      <c r="AX1406" s="1783"/>
      <c r="AY1406" s="1783"/>
      <c r="AZ1406" s="1783"/>
      <c r="BA1406" s="1783"/>
      <c r="BB1406" s="1783"/>
      <c r="BC1406" s="1783"/>
      <c r="BD1406" s="1783"/>
      <c r="BE1406" s="1783"/>
      <c r="BF1406" s="1783"/>
      <c r="BG1406" s="1783"/>
      <c r="BH1406" s="1783"/>
      <c r="BI1406" s="1783"/>
    </row>
    <row r="1407" spans="1:61">
      <c r="A1407" s="1819"/>
      <c r="B1407" s="1818"/>
      <c r="C1407" s="1818"/>
      <c r="D1407" s="1818"/>
      <c r="E1407" s="1818"/>
      <c r="F1407" s="1818"/>
      <c r="G1407" s="1818"/>
      <c r="H1407" s="1783"/>
      <c r="I1407" s="1783"/>
      <c r="J1407" s="1783"/>
      <c r="K1407" s="1783"/>
      <c r="L1407" s="1783"/>
      <c r="M1407" s="1783"/>
      <c r="N1407" s="1783"/>
      <c r="O1407" s="1783"/>
      <c r="P1407" s="1783"/>
      <c r="Q1407" s="1783"/>
      <c r="R1407" s="1783"/>
      <c r="S1407" s="1783"/>
      <c r="T1407" s="1783"/>
      <c r="U1407" s="1783"/>
      <c r="V1407" s="1783"/>
      <c r="W1407" s="1783"/>
      <c r="X1407" s="1783"/>
      <c r="Y1407" s="1783"/>
      <c r="Z1407" s="1783"/>
      <c r="AA1407" s="1783"/>
      <c r="AB1407" s="1783"/>
      <c r="AC1407" s="1783"/>
      <c r="AD1407" s="1783"/>
      <c r="AE1407" s="1783"/>
      <c r="AF1407" s="1783"/>
      <c r="AG1407" s="1783"/>
      <c r="AH1407" s="1783"/>
      <c r="AI1407" s="1783"/>
      <c r="AJ1407" s="1783"/>
      <c r="AK1407" s="1783"/>
      <c r="AL1407" s="1783"/>
      <c r="AM1407" s="1783"/>
      <c r="AN1407" s="1783"/>
      <c r="AO1407" s="1783"/>
      <c r="AP1407" s="1783"/>
      <c r="AQ1407" s="1783"/>
      <c r="AR1407" s="1783"/>
      <c r="AS1407" s="1783"/>
      <c r="AT1407" s="1783"/>
      <c r="AU1407" s="1783"/>
      <c r="AV1407" s="1783"/>
      <c r="AW1407" s="1783"/>
      <c r="AX1407" s="1783"/>
      <c r="AY1407" s="1783"/>
      <c r="AZ1407" s="1783"/>
      <c r="BA1407" s="1783"/>
      <c r="BB1407" s="1783"/>
      <c r="BC1407" s="1783"/>
      <c r="BD1407" s="1783"/>
      <c r="BE1407" s="1783"/>
      <c r="BF1407" s="1783"/>
      <c r="BG1407" s="1783"/>
      <c r="BH1407" s="1783"/>
      <c r="BI1407" s="1783"/>
    </row>
    <row r="1408" spans="1:61">
      <c r="A1408" s="1819"/>
      <c r="B1408" s="1818"/>
      <c r="C1408" s="1818"/>
      <c r="D1408" s="1818"/>
      <c r="E1408" s="1818"/>
      <c r="F1408" s="1818"/>
      <c r="G1408" s="1818"/>
      <c r="H1408" s="1783"/>
      <c r="I1408" s="1783"/>
      <c r="J1408" s="1783"/>
      <c r="K1408" s="1783"/>
      <c r="L1408" s="1783"/>
      <c r="M1408" s="1783"/>
      <c r="N1408" s="1783"/>
      <c r="O1408" s="1783"/>
      <c r="P1408" s="1783"/>
      <c r="Q1408" s="1783"/>
      <c r="R1408" s="1783"/>
      <c r="S1408" s="1783"/>
      <c r="T1408" s="1783"/>
      <c r="U1408" s="1783"/>
      <c r="V1408" s="1783"/>
      <c r="W1408" s="1783"/>
      <c r="X1408" s="1783"/>
      <c r="Y1408" s="1783"/>
      <c r="Z1408" s="1783"/>
      <c r="AA1408" s="1783"/>
      <c r="AB1408" s="1783"/>
      <c r="AC1408" s="1783"/>
      <c r="AD1408" s="1783"/>
      <c r="AE1408" s="1783"/>
      <c r="AF1408" s="1783"/>
      <c r="AG1408" s="1783"/>
      <c r="AH1408" s="1783"/>
      <c r="AI1408" s="1783"/>
      <c r="AJ1408" s="1783"/>
      <c r="AK1408" s="1783"/>
      <c r="AL1408" s="1783"/>
      <c r="AM1408" s="1783"/>
      <c r="AN1408" s="1783"/>
      <c r="AO1408" s="1783"/>
      <c r="AP1408" s="1783"/>
      <c r="AQ1408" s="1783"/>
      <c r="AR1408" s="1783"/>
      <c r="AS1408" s="1783"/>
      <c r="AT1408" s="1783"/>
      <c r="AU1408" s="1783"/>
      <c r="AV1408" s="1783"/>
      <c r="AW1408" s="1783"/>
      <c r="AX1408" s="1783"/>
      <c r="AY1408" s="1783"/>
      <c r="AZ1408" s="1783"/>
      <c r="BA1408" s="1783"/>
      <c r="BB1408" s="1783"/>
      <c r="BC1408" s="1783"/>
      <c r="BD1408" s="1783"/>
      <c r="BE1408" s="1783"/>
      <c r="BF1408" s="1783"/>
      <c r="BG1408" s="1783"/>
      <c r="BH1408" s="1783"/>
      <c r="BI1408" s="1783"/>
    </row>
    <row r="1409" spans="1:61">
      <c r="A1409" s="1819"/>
      <c r="B1409" s="1818"/>
      <c r="C1409" s="1818"/>
      <c r="D1409" s="1818"/>
      <c r="E1409" s="1818"/>
      <c r="F1409" s="1818"/>
      <c r="G1409" s="1818"/>
      <c r="H1409" s="1783"/>
      <c r="I1409" s="1783"/>
      <c r="J1409" s="1783"/>
      <c r="K1409" s="1783"/>
      <c r="L1409" s="1783"/>
      <c r="M1409" s="1783"/>
      <c r="N1409" s="1783"/>
      <c r="O1409" s="1783"/>
      <c r="P1409" s="1783"/>
      <c r="Q1409" s="1783"/>
      <c r="R1409" s="1783"/>
      <c r="S1409" s="1783"/>
      <c r="T1409" s="1783"/>
      <c r="U1409" s="1783"/>
      <c r="V1409" s="1783"/>
      <c r="W1409" s="1783"/>
      <c r="X1409" s="1783"/>
      <c r="Y1409" s="1783"/>
      <c r="Z1409" s="1783"/>
      <c r="AA1409" s="1783"/>
      <c r="AB1409" s="1783"/>
      <c r="AC1409" s="1783"/>
      <c r="AD1409" s="1783"/>
      <c r="AE1409" s="1783"/>
      <c r="AF1409" s="1783"/>
      <c r="AG1409" s="1783"/>
      <c r="AH1409" s="1783"/>
      <c r="AI1409" s="1783"/>
      <c r="AJ1409" s="1783"/>
      <c r="AK1409" s="1783"/>
      <c r="AL1409" s="1783"/>
      <c r="AM1409" s="1783"/>
      <c r="AN1409" s="1783"/>
      <c r="AO1409" s="1783"/>
      <c r="AP1409" s="1783"/>
      <c r="AQ1409" s="1783"/>
      <c r="AR1409" s="1783"/>
      <c r="AS1409" s="1783"/>
      <c r="AT1409" s="1783"/>
      <c r="AU1409" s="1783"/>
      <c r="AV1409" s="1783"/>
      <c r="AW1409" s="1783"/>
      <c r="AX1409" s="1783"/>
      <c r="AY1409" s="1783"/>
      <c r="AZ1409" s="1783"/>
      <c r="BA1409" s="1783"/>
      <c r="BB1409" s="1783"/>
      <c r="BC1409" s="1783"/>
      <c r="BD1409" s="1783"/>
      <c r="BE1409" s="1783"/>
      <c r="BF1409" s="1783"/>
      <c r="BG1409" s="1783"/>
      <c r="BH1409" s="1783"/>
      <c r="BI1409" s="1783"/>
    </row>
    <row r="1410" spans="1:61">
      <c r="A1410" s="1819"/>
      <c r="B1410" s="1818"/>
      <c r="C1410" s="1818"/>
      <c r="D1410" s="1818"/>
      <c r="E1410" s="1818"/>
      <c r="F1410" s="1818"/>
      <c r="G1410" s="1818"/>
      <c r="H1410" s="1783"/>
      <c r="I1410" s="1783"/>
      <c r="J1410" s="1783"/>
      <c r="K1410" s="1783"/>
      <c r="L1410" s="1783"/>
      <c r="M1410" s="1783"/>
      <c r="N1410" s="1783"/>
      <c r="O1410" s="1783"/>
      <c r="P1410" s="1783"/>
      <c r="Q1410" s="1783"/>
      <c r="R1410" s="1783"/>
      <c r="S1410" s="1783"/>
      <c r="T1410" s="1783"/>
      <c r="U1410" s="1783"/>
      <c r="V1410" s="1783"/>
      <c r="W1410" s="1783"/>
      <c r="X1410" s="1783"/>
      <c r="Y1410" s="1783"/>
      <c r="Z1410" s="1783"/>
      <c r="AA1410" s="1783"/>
      <c r="AB1410" s="1783"/>
      <c r="AC1410" s="1783"/>
      <c r="AD1410" s="1783"/>
      <c r="AE1410" s="1783"/>
      <c r="AF1410" s="1783"/>
      <c r="AG1410" s="1783"/>
      <c r="AH1410" s="1783"/>
      <c r="AI1410" s="1783"/>
      <c r="AJ1410" s="1783"/>
      <c r="AK1410" s="1783"/>
      <c r="AL1410" s="1783"/>
      <c r="AM1410" s="1783"/>
      <c r="AN1410" s="1783"/>
      <c r="AO1410" s="1783"/>
      <c r="AP1410" s="1783"/>
      <c r="AQ1410" s="1783"/>
      <c r="AR1410" s="1783"/>
      <c r="AS1410" s="1783"/>
      <c r="AT1410" s="1783"/>
      <c r="AU1410" s="1783"/>
      <c r="AV1410" s="1783"/>
      <c r="AW1410" s="1783"/>
      <c r="AX1410" s="1783"/>
      <c r="AY1410" s="1783"/>
      <c r="AZ1410" s="1783"/>
      <c r="BA1410" s="1783"/>
      <c r="BB1410" s="1783"/>
      <c r="BC1410" s="1783"/>
      <c r="BD1410" s="1783"/>
      <c r="BE1410" s="1783"/>
      <c r="BF1410" s="1783"/>
      <c r="BG1410" s="1783"/>
      <c r="BH1410" s="1783"/>
      <c r="BI1410" s="1783"/>
    </row>
    <row r="1411" spans="1:61">
      <c r="A1411" s="1819"/>
      <c r="B1411" s="1818"/>
      <c r="C1411" s="1818"/>
      <c r="D1411" s="1818"/>
      <c r="E1411" s="1818"/>
      <c r="F1411" s="1818"/>
      <c r="G1411" s="1818"/>
      <c r="H1411" s="1783"/>
      <c r="I1411" s="1783"/>
      <c r="J1411" s="1783"/>
      <c r="K1411" s="1783"/>
      <c r="L1411" s="1783"/>
      <c r="M1411" s="1783"/>
      <c r="N1411" s="1783"/>
      <c r="O1411" s="1783"/>
      <c r="P1411" s="1783"/>
      <c r="Q1411" s="1783"/>
      <c r="R1411" s="1783"/>
      <c r="S1411" s="1783"/>
      <c r="T1411" s="1783"/>
      <c r="U1411" s="1783"/>
      <c r="V1411" s="1783"/>
      <c r="W1411" s="1783"/>
      <c r="X1411" s="1783"/>
      <c r="Y1411" s="1783"/>
      <c r="Z1411" s="1783"/>
      <c r="AA1411" s="1783"/>
      <c r="AB1411" s="1783"/>
      <c r="AC1411" s="1783"/>
      <c r="AD1411" s="1783"/>
      <c r="AE1411" s="1783"/>
      <c r="AF1411" s="1783"/>
      <c r="AG1411" s="1783"/>
      <c r="AH1411" s="1783"/>
      <c r="AI1411" s="1783"/>
      <c r="AJ1411" s="1783"/>
      <c r="AK1411" s="1783"/>
      <c r="AL1411" s="1783"/>
      <c r="AM1411" s="1783"/>
      <c r="AN1411" s="1783"/>
      <c r="AO1411" s="1783"/>
      <c r="AP1411" s="1783"/>
      <c r="AQ1411" s="1783"/>
      <c r="AR1411" s="1783"/>
      <c r="AS1411" s="1783"/>
      <c r="AT1411" s="1783"/>
      <c r="AU1411" s="1783"/>
      <c r="AV1411" s="1783"/>
      <c r="AW1411" s="1783"/>
      <c r="AX1411" s="1783"/>
      <c r="AY1411" s="1783"/>
      <c r="AZ1411" s="1783"/>
      <c r="BA1411" s="1783"/>
      <c r="BB1411" s="1783"/>
      <c r="BC1411" s="1783"/>
      <c r="BD1411" s="1783"/>
      <c r="BE1411" s="1783"/>
      <c r="BF1411" s="1783"/>
      <c r="BG1411" s="1783"/>
      <c r="BH1411" s="1783"/>
      <c r="BI1411" s="1783"/>
    </row>
    <row r="1412" spans="1:61">
      <c r="A1412" s="1819"/>
      <c r="B1412" s="1818"/>
      <c r="C1412" s="1818"/>
      <c r="D1412" s="1818"/>
      <c r="E1412" s="1818"/>
      <c r="F1412" s="1818"/>
      <c r="G1412" s="1818"/>
      <c r="H1412" s="1783"/>
      <c r="I1412" s="1783"/>
      <c r="J1412" s="1783"/>
      <c r="K1412" s="1783"/>
      <c r="L1412" s="1783"/>
      <c r="M1412" s="1783"/>
      <c r="N1412" s="1783"/>
      <c r="O1412" s="1783"/>
      <c r="P1412" s="1783"/>
      <c r="Q1412" s="1783"/>
      <c r="R1412" s="1783"/>
      <c r="S1412" s="1783"/>
      <c r="T1412" s="1783"/>
      <c r="U1412" s="1783"/>
      <c r="V1412" s="1783"/>
      <c r="W1412" s="1783"/>
      <c r="X1412" s="1783"/>
      <c r="Y1412" s="1783"/>
      <c r="Z1412" s="1783"/>
      <c r="AA1412" s="1783"/>
      <c r="AB1412" s="1783"/>
      <c r="AC1412" s="1783"/>
      <c r="AD1412" s="1783"/>
      <c r="AE1412" s="1783"/>
      <c r="AF1412" s="1783"/>
      <c r="AG1412" s="1783"/>
      <c r="AH1412" s="1783"/>
      <c r="AI1412" s="1783"/>
      <c r="AJ1412" s="1783"/>
      <c r="AK1412" s="1783"/>
      <c r="AL1412" s="1783"/>
      <c r="AM1412" s="1783"/>
      <c r="AN1412" s="1783"/>
      <c r="AO1412" s="1783"/>
      <c r="AP1412" s="1783"/>
      <c r="AQ1412" s="1783"/>
      <c r="AR1412" s="1783"/>
      <c r="AS1412" s="1783"/>
      <c r="AT1412" s="1783"/>
      <c r="AU1412" s="1783"/>
      <c r="AV1412" s="1783"/>
      <c r="AW1412" s="1783"/>
      <c r="AX1412" s="1783"/>
      <c r="AY1412" s="1783"/>
      <c r="AZ1412" s="1783"/>
      <c r="BA1412" s="1783"/>
      <c r="BB1412" s="1783"/>
      <c r="BC1412" s="1783"/>
      <c r="BD1412" s="1783"/>
      <c r="BE1412" s="1783"/>
      <c r="BF1412" s="1783"/>
      <c r="BG1412" s="1783"/>
      <c r="BH1412" s="1783"/>
      <c r="BI1412" s="1783"/>
    </row>
    <row r="1413" spans="1:61">
      <c r="A1413" s="1819"/>
      <c r="B1413" s="1818"/>
      <c r="C1413" s="1818"/>
      <c r="D1413" s="1818"/>
      <c r="E1413" s="1818"/>
      <c r="F1413" s="1818"/>
      <c r="G1413" s="1818"/>
      <c r="H1413" s="1783"/>
      <c r="I1413" s="1783"/>
      <c r="J1413" s="1783"/>
      <c r="K1413" s="1783"/>
      <c r="L1413" s="1783"/>
      <c r="M1413" s="1783"/>
      <c r="N1413" s="1783"/>
      <c r="O1413" s="1783"/>
      <c r="P1413" s="1783"/>
      <c r="Q1413" s="1783"/>
      <c r="R1413" s="1783"/>
      <c r="S1413" s="1783"/>
      <c r="T1413" s="1783"/>
      <c r="U1413" s="1783"/>
      <c r="V1413" s="1783"/>
      <c r="W1413" s="1783"/>
      <c r="X1413" s="1783"/>
      <c r="Y1413" s="1783"/>
      <c r="Z1413" s="1783"/>
      <c r="AA1413" s="1783"/>
      <c r="AB1413" s="1783"/>
      <c r="AC1413" s="1783"/>
      <c r="AD1413" s="1783"/>
      <c r="AE1413" s="1783"/>
      <c r="AF1413" s="1783"/>
      <c r="AG1413" s="1783"/>
      <c r="AH1413" s="1783"/>
      <c r="AI1413" s="1783"/>
      <c r="AJ1413" s="1783"/>
      <c r="AK1413" s="1783"/>
      <c r="AL1413" s="1783"/>
      <c r="AM1413" s="1783"/>
      <c r="AN1413" s="1783"/>
      <c r="AO1413" s="1783"/>
      <c r="AP1413" s="1783"/>
      <c r="AQ1413" s="1783"/>
      <c r="AR1413" s="1783"/>
      <c r="AS1413" s="1783"/>
      <c r="AT1413" s="1783"/>
      <c r="AU1413" s="1783"/>
      <c r="AV1413" s="1783"/>
      <c r="AW1413" s="1783"/>
      <c r="AX1413" s="1783"/>
      <c r="AY1413" s="1783"/>
      <c r="AZ1413" s="1783"/>
      <c r="BA1413" s="1783"/>
      <c r="BB1413" s="1783"/>
      <c r="BC1413" s="1783"/>
      <c r="BD1413" s="1783"/>
      <c r="BE1413" s="1783"/>
      <c r="BF1413" s="1783"/>
      <c r="BG1413" s="1783"/>
      <c r="BH1413" s="1783"/>
      <c r="BI1413" s="1783"/>
    </row>
    <row r="1414" spans="1:61">
      <c r="A1414" s="1819"/>
      <c r="B1414" s="1818"/>
      <c r="C1414" s="1818"/>
      <c r="D1414" s="1818"/>
      <c r="E1414" s="1818"/>
      <c r="F1414" s="1818"/>
      <c r="G1414" s="1818"/>
      <c r="H1414" s="1783"/>
      <c r="I1414" s="1783"/>
      <c r="J1414" s="1783"/>
      <c r="K1414" s="1783"/>
      <c r="L1414" s="1783"/>
      <c r="M1414" s="1783"/>
      <c r="N1414" s="1783"/>
      <c r="O1414" s="1783"/>
      <c r="P1414" s="1783"/>
      <c r="Q1414" s="1783"/>
      <c r="R1414" s="1783"/>
      <c r="S1414" s="1783"/>
      <c r="T1414" s="1783"/>
      <c r="U1414" s="1783"/>
      <c r="V1414" s="1783"/>
      <c r="W1414" s="1783"/>
      <c r="X1414" s="1783"/>
      <c r="Y1414" s="1783"/>
      <c r="Z1414" s="1783"/>
      <c r="AA1414" s="1783"/>
      <c r="AB1414" s="1783"/>
      <c r="AC1414" s="1783"/>
      <c r="AD1414" s="1783"/>
      <c r="AE1414" s="1783"/>
      <c r="AF1414" s="1783"/>
      <c r="AG1414" s="1783"/>
      <c r="AH1414" s="1783"/>
      <c r="AI1414" s="1783"/>
      <c r="AJ1414" s="1783"/>
      <c r="AK1414" s="1783"/>
      <c r="AL1414" s="1783"/>
      <c r="AM1414" s="1783"/>
      <c r="AN1414" s="1783"/>
      <c r="AO1414" s="1783"/>
      <c r="AP1414" s="1783"/>
      <c r="AQ1414" s="1783"/>
      <c r="AR1414" s="1783"/>
      <c r="AS1414" s="1783"/>
      <c r="AT1414" s="1783"/>
      <c r="AU1414" s="1783"/>
      <c r="AV1414" s="1783"/>
      <c r="AW1414" s="1783"/>
      <c r="AX1414" s="1783"/>
      <c r="AY1414" s="1783"/>
      <c r="AZ1414" s="1783"/>
      <c r="BA1414" s="1783"/>
      <c r="BB1414" s="1783"/>
      <c r="BC1414" s="1783"/>
      <c r="BD1414" s="1783"/>
      <c r="BE1414" s="1783"/>
      <c r="BF1414" s="1783"/>
      <c r="BG1414" s="1783"/>
      <c r="BH1414" s="1783"/>
      <c r="BI1414" s="1783"/>
    </row>
    <row r="1415" spans="1:61">
      <c r="A1415" s="1819"/>
      <c r="B1415" s="1818"/>
      <c r="C1415" s="1818"/>
      <c r="D1415" s="1818"/>
      <c r="E1415" s="1818"/>
      <c r="F1415" s="1818"/>
      <c r="G1415" s="1818"/>
      <c r="H1415" s="1783"/>
      <c r="I1415" s="1783"/>
      <c r="J1415" s="1783"/>
      <c r="K1415" s="1783"/>
      <c r="L1415" s="1783"/>
      <c r="M1415" s="1783"/>
      <c r="N1415" s="1783"/>
      <c r="O1415" s="1783"/>
      <c r="P1415" s="1783"/>
      <c r="Q1415" s="1783"/>
      <c r="R1415" s="1783"/>
      <c r="S1415" s="1783"/>
      <c r="T1415" s="1783"/>
      <c r="U1415" s="1783"/>
      <c r="V1415" s="1783"/>
      <c r="W1415" s="1783"/>
      <c r="X1415" s="1783"/>
      <c r="Y1415" s="1783"/>
      <c r="Z1415" s="1783"/>
      <c r="AA1415" s="1783"/>
      <c r="AB1415" s="1783"/>
      <c r="AC1415" s="1783"/>
      <c r="AD1415" s="1783"/>
      <c r="AE1415" s="1783"/>
      <c r="AF1415" s="1783"/>
      <c r="AG1415" s="1783"/>
      <c r="AH1415" s="1783"/>
      <c r="AI1415" s="1783"/>
      <c r="AJ1415" s="1783"/>
      <c r="AK1415" s="1783"/>
      <c r="AL1415" s="1783"/>
      <c r="AM1415" s="1783"/>
      <c r="AN1415" s="1783"/>
      <c r="AO1415" s="1783"/>
      <c r="AP1415" s="1783"/>
      <c r="AQ1415" s="1783"/>
      <c r="AR1415" s="1783"/>
      <c r="AS1415" s="1783"/>
      <c r="AT1415" s="1783"/>
      <c r="AU1415" s="1783"/>
      <c r="AV1415" s="1783"/>
      <c r="AW1415" s="1783"/>
      <c r="AX1415" s="1783"/>
      <c r="AY1415" s="1783"/>
      <c r="AZ1415" s="1783"/>
      <c r="BA1415" s="1783"/>
      <c r="BB1415" s="1783"/>
      <c r="BC1415" s="1783"/>
      <c r="BD1415" s="1783"/>
      <c r="BE1415" s="1783"/>
      <c r="BF1415" s="1783"/>
      <c r="BG1415" s="1783"/>
      <c r="BH1415" s="1783"/>
      <c r="BI1415" s="1783"/>
    </row>
    <row r="1416" spans="1:61">
      <c r="A1416" s="1819"/>
      <c r="B1416" s="1818"/>
      <c r="C1416" s="1818"/>
      <c r="D1416" s="1818"/>
      <c r="E1416" s="1818"/>
      <c r="F1416" s="1818"/>
      <c r="G1416" s="1818"/>
      <c r="H1416" s="1783"/>
      <c r="I1416" s="1783"/>
      <c r="J1416" s="1783"/>
      <c r="K1416" s="1783"/>
      <c r="L1416" s="1783"/>
      <c r="M1416" s="1783"/>
      <c r="N1416" s="1783"/>
      <c r="O1416" s="1783"/>
      <c r="P1416" s="1783"/>
      <c r="Q1416" s="1783"/>
      <c r="R1416" s="1783"/>
      <c r="S1416" s="1783"/>
      <c r="T1416" s="1783"/>
      <c r="U1416" s="1783"/>
      <c r="V1416" s="1783"/>
      <c r="W1416" s="1783"/>
      <c r="X1416" s="1783"/>
      <c r="Y1416" s="1783"/>
      <c r="Z1416" s="1783"/>
      <c r="AA1416" s="1783"/>
      <c r="AB1416" s="1783"/>
      <c r="AC1416" s="1783"/>
      <c r="AD1416" s="1783"/>
      <c r="AE1416" s="1783"/>
      <c r="AF1416" s="1783"/>
      <c r="AG1416" s="1783"/>
      <c r="AH1416" s="1783"/>
      <c r="AI1416" s="1783"/>
      <c r="AJ1416" s="1783"/>
      <c r="AK1416" s="1783"/>
      <c r="AL1416" s="1783"/>
      <c r="AM1416" s="1783"/>
      <c r="AN1416" s="1783"/>
      <c r="AO1416" s="1783"/>
      <c r="AP1416" s="1783"/>
      <c r="AQ1416" s="1783"/>
      <c r="AR1416" s="1783"/>
      <c r="AS1416" s="1783"/>
      <c r="AT1416" s="1783"/>
      <c r="AU1416" s="1783"/>
      <c r="AV1416" s="1783"/>
      <c r="AW1416" s="1783"/>
      <c r="AX1416" s="1783"/>
      <c r="AY1416" s="1783"/>
      <c r="AZ1416" s="1783"/>
      <c r="BA1416" s="1783"/>
      <c r="BB1416" s="1783"/>
      <c r="BC1416" s="1783"/>
      <c r="BD1416" s="1783"/>
      <c r="BE1416" s="1783"/>
      <c r="BF1416" s="1783"/>
      <c r="BG1416" s="1783"/>
      <c r="BH1416" s="1783"/>
      <c r="BI1416" s="1783"/>
    </row>
    <row r="1417" spans="1:61">
      <c r="A1417" s="1819"/>
      <c r="B1417" s="1818"/>
      <c r="C1417" s="1818"/>
      <c r="D1417" s="1818"/>
      <c r="E1417" s="1818"/>
      <c r="F1417" s="1818"/>
      <c r="G1417" s="1818"/>
      <c r="H1417" s="1783"/>
      <c r="I1417" s="1783"/>
      <c r="J1417" s="1783"/>
      <c r="K1417" s="1783"/>
      <c r="L1417" s="1783"/>
      <c r="M1417" s="1783"/>
      <c r="N1417" s="1783"/>
      <c r="O1417" s="1783"/>
      <c r="P1417" s="1783"/>
      <c r="Q1417" s="1783"/>
      <c r="R1417" s="1783"/>
      <c r="S1417" s="1783"/>
      <c r="T1417" s="1783"/>
      <c r="U1417" s="1783"/>
      <c r="V1417" s="1783"/>
      <c r="W1417" s="1783"/>
      <c r="X1417" s="1783"/>
      <c r="Y1417" s="1783"/>
      <c r="Z1417" s="1783"/>
      <c r="AA1417" s="1783"/>
      <c r="AB1417" s="1783"/>
      <c r="AC1417" s="1783"/>
      <c r="AD1417" s="1783"/>
      <c r="AE1417" s="1783"/>
      <c r="AF1417" s="1783"/>
      <c r="AG1417" s="1783"/>
      <c r="AH1417" s="1783"/>
      <c r="AI1417" s="1783"/>
      <c r="AJ1417" s="1783"/>
      <c r="AK1417" s="1783"/>
      <c r="AL1417" s="1783"/>
      <c r="AM1417" s="1783"/>
      <c r="AN1417" s="1783"/>
      <c r="AO1417" s="1783"/>
      <c r="AP1417" s="1783"/>
      <c r="AQ1417" s="1783"/>
      <c r="AR1417" s="1783"/>
      <c r="AS1417" s="1783"/>
      <c r="AT1417" s="1783"/>
      <c r="AU1417" s="1783"/>
      <c r="AV1417" s="1783"/>
      <c r="AW1417" s="1783"/>
      <c r="AX1417" s="1783"/>
      <c r="AY1417" s="1783"/>
      <c r="AZ1417" s="1783"/>
      <c r="BA1417" s="1783"/>
      <c r="BB1417" s="1783"/>
      <c r="BC1417" s="1783"/>
      <c r="BD1417" s="1783"/>
      <c r="BE1417" s="1783"/>
      <c r="BF1417" s="1783"/>
      <c r="BG1417" s="1783"/>
      <c r="BH1417" s="1783"/>
      <c r="BI1417" s="1783"/>
    </row>
    <row r="1418" spans="1:61">
      <c r="A1418" s="1819"/>
      <c r="B1418" s="1818"/>
      <c r="C1418" s="1818"/>
      <c r="D1418" s="1818"/>
      <c r="E1418" s="1818"/>
      <c r="F1418" s="1818"/>
      <c r="G1418" s="1818"/>
      <c r="H1418" s="1783"/>
      <c r="I1418" s="1783"/>
      <c r="J1418" s="1783"/>
      <c r="K1418" s="1783"/>
      <c r="L1418" s="1783"/>
      <c r="M1418" s="1783"/>
      <c r="N1418" s="1783"/>
      <c r="O1418" s="1783"/>
      <c r="P1418" s="1783"/>
      <c r="Q1418" s="1783"/>
      <c r="R1418" s="1783"/>
      <c r="S1418" s="1783"/>
      <c r="T1418" s="1783"/>
      <c r="U1418" s="1783"/>
      <c r="V1418" s="1783"/>
      <c r="W1418" s="1783"/>
      <c r="X1418" s="1783"/>
      <c r="Y1418" s="1783"/>
      <c r="Z1418" s="1783"/>
      <c r="AA1418" s="1783"/>
      <c r="AB1418" s="1783"/>
      <c r="AC1418" s="1783"/>
      <c r="AD1418" s="1783"/>
      <c r="AE1418" s="1783"/>
      <c r="AF1418" s="1783"/>
      <c r="AG1418" s="1783"/>
      <c r="AH1418" s="1783"/>
      <c r="AI1418" s="1783"/>
      <c r="AJ1418" s="1783"/>
      <c r="AK1418" s="1783"/>
      <c r="AL1418" s="1783"/>
      <c r="AM1418" s="1783"/>
      <c r="AN1418" s="1783"/>
      <c r="AO1418" s="1783"/>
      <c r="AP1418" s="1783"/>
      <c r="AQ1418" s="1783"/>
      <c r="AR1418" s="1783"/>
      <c r="AS1418" s="1783"/>
      <c r="AT1418" s="1783"/>
      <c r="AU1418" s="1783"/>
      <c r="AV1418" s="1783"/>
      <c r="AW1418" s="1783"/>
      <c r="AX1418" s="1783"/>
      <c r="AY1418" s="1783"/>
      <c r="AZ1418" s="1783"/>
      <c r="BA1418" s="1783"/>
      <c r="BB1418" s="1783"/>
      <c r="BC1418" s="1783"/>
      <c r="BD1418" s="1783"/>
      <c r="BE1418" s="1783"/>
      <c r="BF1418" s="1783"/>
      <c r="BG1418" s="1783"/>
      <c r="BH1418" s="1783"/>
      <c r="BI1418" s="1783"/>
    </row>
    <row r="1419" spans="1:61">
      <c r="A1419" s="1819"/>
      <c r="B1419" s="1818"/>
      <c r="C1419" s="1818"/>
      <c r="D1419" s="1818"/>
      <c r="E1419" s="1818"/>
      <c r="F1419" s="1818"/>
      <c r="G1419" s="1818"/>
      <c r="H1419" s="1783"/>
      <c r="I1419" s="1783"/>
      <c r="J1419" s="1783"/>
      <c r="K1419" s="1783"/>
      <c r="L1419" s="1783"/>
      <c r="M1419" s="1783"/>
      <c r="N1419" s="1783"/>
      <c r="O1419" s="1783"/>
      <c r="P1419" s="1783"/>
      <c r="Q1419" s="1783"/>
      <c r="R1419" s="1783"/>
      <c r="S1419" s="1783"/>
      <c r="T1419" s="1783"/>
      <c r="U1419" s="1783"/>
      <c r="V1419" s="1783"/>
      <c r="W1419" s="1783"/>
      <c r="X1419" s="1783"/>
      <c r="Y1419" s="1783"/>
      <c r="Z1419" s="1783"/>
      <c r="AA1419" s="1783"/>
      <c r="AB1419" s="1783"/>
      <c r="AC1419" s="1783"/>
      <c r="AD1419" s="1783"/>
      <c r="AE1419" s="1783"/>
      <c r="AF1419" s="1783"/>
      <c r="AG1419" s="1783"/>
      <c r="AH1419" s="1783"/>
      <c r="AI1419" s="1783"/>
      <c r="AJ1419" s="1783"/>
      <c r="AK1419" s="1783"/>
      <c r="AL1419" s="1783"/>
      <c r="AM1419" s="1783"/>
      <c r="AN1419" s="1783"/>
      <c r="AO1419" s="1783"/>
      <c r="AP1419" s="1783"/>
      <c r="AQ1419" s="1783"/>
      <c r="AR1419" s="1783"/>
      <c r="AS1419" s="1783"/>
      <c r="AT1419" s="1783"/>
      <c r="AU1419" s="1783"/>
      <c r="AV1419" s="1783"/>
      <c r="AW1419" s="1783"/>
      <c r="AX1419" s="1783"/>
      <c r="AY1419" s="1783"/>
      <c r="AZ1419" s="1783"/>
      <c r="BA1419" s="1783"/>
      <c r="BB1419" s="1783"/>
      <c r="BC1419" s="1783"/>
      <c r="BD1419" s="1783"/>
      <c r="BE1419" s="1783"/>
      <c r="BF1419" s="1783"/>
      <c r="BG1419" s="1783"/>
      <c r="BH1419" s="1783"/>
      <c r="BI1419" s="1783"/>
    </row>
    <row r="1420" spans="1:61">
      <c r="A1420" s="1819"/>
      <c r="B1420" s="1818"/>
      <c r="C1420" s="1818"/>
      <c r="D1420" s="1818"/>
      <c r="E1420" s="1818"/>
      <c r="F1420" s="1818"/>
      <c r="G1420" s="1818"/>
      <c r="H1420" s="1783"/>
      <c r="I1420" s="1783"/>
      <c r="J1420" s="1783"/>
      <c r="K1420" s="1783"/>
      <c r="L1420" s="1783"/>
      <c r="M1420" s="1783"/>
      <c r="N1420" s="1783"/>
      <c r="O1420" s="1783"/>
      <c r="P1420" s="1783"/>
      <c r="Q1420" s="1783"/>
      <c r="R1420" s="1783"/>
      <c r="S1420" s="1783"/>
      <c r="T1420" s="1783"/>
      <c r="U1420" s="1783"/>
      <c r="V1420" s="1783"/>
      <c r="W1420" s="1783"/>
      <c r="X1420" s="1783"/>
      <c r="Y1420" s="1783"/>
      <c r="Z1420" s="1783"/>
      <c r="AA1420" s="1783"/>
      <c r="AB1420" s="1783"/>
      <c r="AC1420" s="1783"/>
      <c r="AD1420" s="1783"/>
      <c r="AE1420" s="1783"/>
      <c r="AF1420" s="1783"/>
      <c r="AG1420" s="1783"/>
      <c r="AH1420" s="1783"/>
      <c r="AI1420" s="1783"/>
      <c r="AJ1420" s="1783"/>
      <c r="AK1420" s="1783"/>
      <c r="AL1420" s="1783"/>
      <c r="AM1420" s="1783"/>
      <c r="AN1420" s="1783"/>
      <c r="AO1420" s="1783"/>
      <c r="AP1420" s="1783"/>
      <c r="AQ1420" s="1783"/>
      <c r="AR1420" s="1783"/>
      <c r="AS1420" s="1783"/>
      <c r="AT1420" s="1783"/>
      <c r="AU1420" s="1783"/>
      <c r="AV1420" s="1783"/>
      <c r="AW1420" s="1783"/>
      <c r="AX1420" s="1783"/>
      <c r="AY1420" s="1783"/>
      <c r="AZ1420" s="1783"/>
      <c r="BA1420" s="1783"/>
      <c r="BB1420" s="1783"/>
      <c r="BC1420" s="1783"/>
      <c r="BD1420" s="1783"/>
      <c r="BE1420" s="1783"/>
      <c r="BF1420" s="1783"/>
      <c r="BG1420" s="1783"/>
      <c r="BH1420" s="1783"/>
      <c r="BI1420" s="1783"/>
    </row>
    <row r="1421" spans="1:61">
      <c r="A1421" s="1819"/>
      <c r="B1421" s="1818"/>
      <c r="C1421" s="1818"/>
      <c r="D1421" s="1818"/>
      <c r="E1421" s="1818"/>
      <c r="F1421" s="1818"/>
      <c r="G1421" s="1818"/>
      <c r="H1421" s="1783"/>
      <c r="I1421" s="1783"/>
      <c r="J1421" s="1783"/>
      <c r="K1421" s="1783"/>
      <c r="L1421" s="1783"/>
      <c r="M1421" s="1783"/>
      <c r="N1421" s="1783"/>
      <c r="O1421" s="1783"/>
      <c r="P1421" s="1783"/>
      <c r="Q1421" s="1783"/>
      <c r="R1421" s="1783"/>
      <c r="S1421" s="1783"/>
      <c r="T1421" s="1783"/>
      <c r="U1421" s="1783"/>
      <c r="V1421" s="1783"/>
      <c r="W1421" s="1783"/>
      <c r="X1421" s="1783"/>
      <c r="Y1421" s="1783"/>
      <c r="Z1421" s="1783"/>
      <c r="AA1421" s="1783"/>
      <c r="AB1421" s="1783"/>
      <c r="AC1421" s="1783"/>
      <c r="AD1421" s="1783"/>
      <c r="AE1421" s="1783"/>
      <c r="AF1421" s="1783"/>
      <c r="AG1421" s="1783"/>
      <c r="AH1421" s="1783"/>
      <c r="AI1421" s="1783"/>
      <c r="AJ1421" s="1783"/>
      <c r="AK1421" s="1783"/>
      <c r="AL1421" s="1783"/>
      <c r="AM1421" s="1783"/>
      <c r="AN1421" s="1783"/>
      <c r="AO1421" s="1783"/>
      <c r="AP1421" s="1783"/>
      <c r="AQ1421" s="1783"/>
      <c r="AR1421" s="1783"/>
      <c r="AS1421" s="1783"/>
      <c r="AT1421" s="1783"/>
      <c r="AU1421" s="1783"/>
      <c r="AV1421" s="1783"/>
      <c r="AW1421" s="1783"/>
      <c r="AX1421" s="1783"/>
      <c r="AY1421" s="1783"/>
      <c r="AZ1421" s="1783"/>
      <c r="BA1421" s="1783"/>
      <c r="BB1421" s="1783"/>
      <c r="BC1421" s="1783"/>
      <c r="BD1421" s="1783"/>
      <c r="BE1421" s="1783"/>
      <c r="BF1421" s="1783"/>
      <c r="BG1421" s="1783"/>
      <c r="BH1421" s="1783"/>
      <c r="BI1421" s="1783"/>
    </row>
    <row r="1422" spans="1:61">
      <c r="A1422" s="1819"/>
      <c r="B1422" s="1818"/>
      <c r="C1422" s="1818"/>
      <c r="D1422" s="1818"/>
      <c r="E1422" s="1818"/>
      <c r="F1422" s="1818"/>
      <c r="G1422" s="1818"/>
      <c r="H1422" s="1783"/>
      <c r="I1422" s="1783"/>
      <c r="J1422" s="1783"/>
      <c r="K1422" s="1783"/>
      <c r="L1422" s="1783"/>
      <c r="M1422" s="1783"/>
      <c r="N1422" s="1783"/>
      <c r="O1422" s="1783"/>
      <c r="P1422" s="1783"/>
      <c r="Q1422" s="1783"/>
      <c r="R1422" s="1783"/>
      <c r="S1422" s="1783"/>
      <c r="T1422" s="1783"/>
      <c r="U1422" s="1783"/>
      <c r="V1422" s="1783"/>
      <c r="W1422" s="1783"/>
      <c r="X1422" s="1783"/>
      <c r="Y1422" s="1783"/>
      <c r="Z1422" s="1783"/>
      <c r="AA1422" s="1783"/>
      <c r="AB1422" s="1783"/>
      <c r="AC1422" s="1783"/>
      <c r="AD1422" s="1783"/>
      <c r="AE1422" s="1783"/>
      <c r="AF1422" s="1783"/>
      <c r="AG1422" s="1783"/>
      <c r="AH1422" s="1783"/>
      <c r="AI1422" s="1783"/>
      <c r="AJ1422" s="1783"/>
      <c r="AK1422" s="1783"/>
      <c r="AL1422" s="1783"/>
      <c r="AM1422" s="1783"/>
      <c r="AN1422" s="1783"/>
      <c r="AO1422" s="1783"/>
      <c r="AP1422" s="1783"/>
      <c r="AQ1422" s="1783"/>
      <c r="AR1422" s="1783"/>
      <c r="AS1422" s="1783"/>
      <c r="AT1422" s="1783"/>
      <c r="AU1422" s="1783"/>
      <c r="AV1422" s="1783"/>
      <c r="AW1422" s="1783"/>
      <c r="AX1422" s="1783"/>
      <c r="AY1422" s="1783"/>
      <c r="AZ1422" s="1783"/>
      <c r="BA1422" s="1783"/>
      <c r="BB1422" s="1783"/>
      <c r="BC1422" s="1783"/>
      <c r="BD1422" s="1783"/>
      <c r="BE1422" s="1783"/>
      <c r="BF1422" s="1783"/>
      <c r="BG1422" s="1783"/>
      <c r="BH1422" s="1783"/>
      <c r="BI1422" s="1783"/>
    </row>
    <row r="1423" spans="1:61">
      <c r="A1423" s="1819"/>
      <c r="B1423" s="1818"/>
      <c r="C1423" s="1818"/>
      <c r="D1423" s="1818"/>
      <c r="E1423" s="1818"/>
      <c r="F1423" s="1818"/>
      <c r="G1423" s="1818"/>
      <c r="H1423" s="1783"/>
      <c r="I1423" s="1783"/>
      <c r="J1423" s="1783"/>
      <c r="K1423" s="1783"/>
      <c r="L1423" s="1783"/>
      <c r="M1423" s="1783"/>
      <c r="N1423" s="1783"/>
      <c r="O1423" s="1783"/>
      <c r="P1423" s="1783"/>
      <c r="Q1423" s="1783"/>
      <c r="R1423" s="1783"/>
      <c r="S1423" s="1783"/>
      <c r="T1423" s="1783"/>
      <c r="U1423" s="1783"/>
      <c r="V1423" s="1783"/>
      <c r="W1423" s="1783"/>
      <c r="X1423" s="1783"/>
      <c r="Y1423" s="1783"/>
      <c r="Z1423" s="1783"/>
      <c r="AA1423" s="1783"/>
      <c r="AB1423" s="1783"/>
      <c r="AC1423" s="1783"/>
      <c r="AD1423" s="1783"/>
      <c r="AE1423" s="1783"/>
      <c r="AF1423" s="1783"/>
      <c r="AG1423" s="1783"/>
      <c r="AH1423" s="1783"/>
      <c r="AI1423" s="1783"/>
      <c r="AJ1423" s="1783"/>
      <c r="AK1423" s="1783"/>
      <c r="AL1423" s="1783"/>
      <c r="AM1423" s="1783"/>
      <c r="AN1423" s="1783"/>
      <c r="AO1423" s="1783"/>
      <c r="AP1423" s="1783"/>
      <c r="AQ1423" s="1783"/>
      <c r="AR1423" s="1783"/>
      <c r="AS1423" s="1783"/>
      <c r="AT1423" s="1783"/>
      <c r="AU1423" s="1783"/>
      <c r="AV1423" s="1783"/>
      <c r="AW1423" s="1783"/>
      <c r="AX1423" s="1783"/>
      <c r="AY1423" s="1783"/>
      <c r="AZ1423" s="1783"/>
      <c r="BA1423" s="1783"/>
      <c r="BB1423" s="1783"/>
      <c r="BC1423" s="1783"/>
      <c r="BD1423" s="1783"/>
      <c r="BE1423" s="1783"/>
      <c r="BF1423" s="1783"/>
      <c r="BG1423" s="1783"/>
      <c r="BH1423" s="1783"/>
      <c r="BI1423" s="1783"/>
    </row>
    <row r="1424" spans="1:61">
      <c r="A1424" s="1819"/>
      <c r="B1424" s="1818"/>
      <c r="C1424" s="1818"/>
      <c r="D1424" s="1818"/>
      <c r="E1424" s="1818"/>
      <c r="F1424" s="1818"/>
      <c r="G1424" s="1818"/>
      <c r="H1424" s="1783"/>
      <c r="I1424" s="1783"/>
      <c r="J1424" s="1783"/>
      <c r="K1424" s="1783"/>
      <c r="L1424" s="1783"/>
      <c r="M1424" s="1783"/>
      <c r="N1424" s="1783"/>
      <c r="O1424" s="1783"/>
      <c r="P1424" s="1783"/>
      <c r="Q1424" s="1783"/>
      <c r="R1424" s="1783"/>
      <c r="S1424" s="1783"/>
      <c r="T1424" s="1783"/>
      <c r="U1424" s="1783"/>
      <c r="V1424" s="1783"/>
      <c r="W1424" s="1783"/>
      <c r="X1424" s="1783"/>
      <c r="Y1424" s="1783"/>
      <c r="Z1424" s="1783"/>
      <c r="AA1424" s="1783"/>
      <c r="AB1424" s="1783"/>
      <c r="AC1424" s="1783"/>
      <c r="AD1424" s="1783"/>
      <c r="AE1424" s="1783"/>
      <c r="AF1424" s="1783"/>
      <c r="AG1424" s="1783"/>
      <c r="AH1424" s="1783"/>
      <c r="AI1424" s="1783"/>
      <c r="AJ1424" s="1783"/>
      <c r="AK1424" s="1783"/>
      <c r="AL1424" s="1783"/>
      <c r="AM1424" s="1783"/>
      <c r="AN1424" s="1783"/>
      <c r="AO1424" s="1783"/>
      <c r="AP1424" s="1783"/>
      <c r="AQ1424" s="1783"/>
      <c r="AR1424" s="1783"/>
      <c r="AS1424" s="1783"/>
      <c r="AT1424" s="1783"/>
      <c r="AU1424" s="1783"/>
      <c r="AV1424" s="1783"/>
      <c r="AW1424" s="1783"/>
      <c r="AX1424" s="1783"/>
      <c r="AY1424" s="1783"/>
      <c r="AZ1424" s="1783"/>
      <c r="BA1424" s="1783"/>
      <c r="BB1424" s="1783"/>
      <c r="BC1424" s="1783"/>
      <c r="BD1424" s="1783"/>
      <c r="BE1424" s="1783"/>
      <c r="BF1424" s="1783"/>
      <c r="BG1424" s="1783"/>
      <c r="BH1424" s="1783"/>
      <c r="BI1424" s="1783"/>
    </row>
    <row r="1425" spans="1:61">
      <c r="A1425" s="1819"/>
      <c r="B1425" s="1818"/>
      <c r="C1425" s="1818"/>
      <c r="D1425" s="1818"/>
      <c r="E1425" s="1818"/>
      <c r="F1425" s="1818"/>
      <c r="G1425" s="1818"/>
      <c r="H1425" s="1783"/>
      <c r="I1425" s="1783"/>
      <c r="J1425" s="1783"/>
      <c r="K1425" s="1783"/>
      <c r="L1425" s="1783"/>
      <c r="M1425" s="1783"/>
      <c r="N1425" s="1783"/>
      <c r="O1425" s="1783"/>
      <c r="P1425" s="1783"/>
      <c r="Q1425" s="1783"/>
      <c r="R1425" s="1783"/>
      <c r="S1425" s="1783"/>
      <c r="T1425" s="1783"/>
      <c r="U1425" s="1783"/>
      <c r="V1425" s="1783"/>
      <c r="W1425" s="1783"/>
      <c r="X1425" s="1783"/>
      <c r="Y1425" s="1783"/>
      <c r="Z1425" s="1783"/>
      <c r="AA1425" s="1783"/>
      <c r="AB1425" s="1783"/>
      <c r="AC1425" s="1783"/>
      <c r="AD1425" s="1783"/>
      <c r="AE1425" s="1783"/>
      <c r="AF1425" s="1783"/>
      <c r="AG1425" s="1783"/>
      <c r="AH1425" s="1783"/>
      <c r="AI1425" s="1783"/>
      <c r="AJ1425" s="1783"/>
      <c r="AK1425" s="1783"/>
      <c r="AL1425" s="1783"/>
      <c r="AM1425" s="1783"/>
      <c r="AN1425" s="1783"/>
      <c r="AO1425" s="1783"/>
      <c r="AP1425" s="1783"/>
      <c r="AQ1425" s="1783"/>
      <c r="AR1425" s="1783"/>
      <c r="AS1425" s="1783"/>
      <c r="AT1425" s="1783"/>
      <c r="AU1425" s="1783"/>
      <c r="AV1425" s="1783"/>
      <c r="AW1425" s="1783"/>
      <c r="AX1425" s="1783"/>
      <c r="AY1425" s="1783"/>
      <c r="AZ1425" s="1783"/>
      <c r="BA1425" s="1783"/>
      <c r="BB1425" s="1783"/>
      <c r="BC1425" s="1783"/>
      <c r="BD1425" s="1783"/>
      <c r="BE1425" s="1783"/>
      <c r="BF1425" s="1783"/>
      <c r="BG1425" s="1783"/>
      <c r="BH1425" s="1783"/>
      <c r="BI1425" s="1783"/>
    </row>
    <row r="1426" spans="1:61">
      <c r="A1426" s="1819"/>
      <c r="B1426" s="1818"/>
      <c r="C1426" s="1818"/>
      <c r="D1426" s="1818"/>
      <c r="E1426" s="1818"/>
      <c r="F1426" s="1818"/>
      <c r="G1426" s="1818"/>
      <c r="H1426" s="1783"/>
      <c r="I1426" s="1783"/>
      <c r="J1426" s="1783"/>
      <c r="K1426" s="1783"/>
      <c r="L1426" s="1783"/>
      <c r="M1426" s="1783"/>
      <c r="N1426" s="1783"/>
      <c r="O1426" s="1783"/>
      <c r="P1426" s="1783"/>
      <c r="Q1426" s="1783"/>
      <c r="R1426" s="1783"/>
      <c r="S1426" s="1783"/>
      <c r="T1426" s="1783"/>
      <c r="U1426" s="1783"/>
      <c r="V1426" s="1783"/>
      <c r="W1426" s="1783"/>
      <c r="X1426" s="1783"/>
      <c r="Y1426" s="1783"/>
      <c r="Z1426" s="1783"/>
      <c r="AA1426" s="1783"/>
      <c r="AB1426" s="1783"/>
      <c r="AC1426" s="1783"/>
      <c r="AD1426" s="1783"/>
      <c r="AE1426" s="1783"/>
      <c r="AF1426" s="1783"/>
      <c r="AG1426" s="1783"/>
      <c r="AH1426" s="1783"/>
      <c r="AI1426" s="1783"/>
      <c r="AJ1426" s="1783"/>
      <c r="AK1426" s="1783"/>
      <c r="AL1426" s="1783"/>
      <c r="AM1426" s="1783"/>
      <c r="AN1426" s="1783"/>
      <c r="AO1426" s="1783"/>
      <c r="AP1426" s="1783"/>
      <c r="AQ1426" s="1783"/>
      <c r="AR1426" s="1783"/>
      <c r="AS1426" s="1783"/>
      <c r="AT1426" s="1783"/>
      <c r="AU1426" s="1783"/>
      <c r="AV1426" s="1783"/>
      <c r="AW1426" s="1783"/>
      <c r="AX1426" s="1783"/>
      <c r="AY1426" s="1783"/>
      <c r="AZ1426" s="1783"/>
      <c r="BA1426" s="1783"/>
      <c r="BB1426" s="1783"/>
      <c r="BC1426" s="1783"/>
      <c r="BD1426" s="1783"/>
      <c r="BE1426" s="1783"/>
      <c r="BF1426" s="1783"/>
      <c r="BG1426" s="1783"/>
      <c r="BH1426" s="1783"/>
      <c r="BI1426" s="1783"/>
    </row>
    <row r="1427" spans="1:61">
      <c r="A1427" s="1819"/>
      <c r="B1427" s="1818"/>
      <c r="C1427" s="1818"/>
      <c r="D1427" s="1818"/>
      <c r="E1427" s="1818"/>
      <c r="F1427" s="1818"/>
      <c r="G1427" s="1818"/>
      <c r="H1427" s="1783"/>
      <c r="I1427" s="1783"/>
      <c r="J1427" s="1783"/>
      <c r="K1427" s="1783"/>
      <c r="L1427" s="1783"/>
      <c r="M1427" s="1783"/>
      <c r="N1427" s="1783"/>
      <c r="O1427" s="1783"/>
      <c r="P1427" s="1783"/>
      <c r="Q1427" s="1783"/>
      <c r="R1427" s="1783"/>
      <c r="S1427" s="1783"/>
      <c r="T1427" s="1783"/>
      <c r="U1427" s="1783"/>
      <c r="V1427" s="1783"/>
      <c r="W1427" s="1783"/>
      <c r="X1427" s="1783"/>
      <c r="Y1427" s="1783"/>
      <c r="Z1427" s="1783"/>
      <c r="AA1427" s="1783"/>
      <c r="AB1427" s="1783"/>
      <c r="AC1427" s="1783"/>
      <c r="AD1427" s="1783"/>
      <c r="AE1427" s="1783"/>
      <c r="AF1427" s="1783"/>
      <c r="AG1427" s="1783"/>
      <c r="AH1427" s="1783"/>
      <c r="AI1427" s="1783"/>
      <c r="AJ1427" s="1783"/>
      <c r="AK1427" s="1783"/>
      <c r="AL1427" s="1783"/>
      <c r="AM1427" s="1783"/>
      <c r="AN1427" s="1783"/>
      <c r="AO1427" s="1783"/>
      <c r="AP1427" s="1783"/>
      <c r="AQ1427" s="1783"/>
      <c r="AR1427" s="1783"/>
      <c r="AS1427" s="1783"/>
      <c r="AT1427" s="1783"/>
      <c r="AU1427" s="1783"/>
      <c r="AV1427" s="1783"/>
      <c r="AW1427" s="1783"/>
      <c r="AX1427" s="1783"/>
      <c r="AY1427" s="1783"/>
      <c r="AZ1427" s="1783"/>
      <c r="BA1427" s="1783"/>
      <c r="BB1427" s="1783"/>
      <c r="BC1427" s="1783"/>
      <c r="BD1427" s="1783"/>
      <c r="BE1427" s="1783"/>
      <c r="BF1427" s="1783"/>
      <c r="BG1427" s="1783"/>
      <c r="BH1427" s="1783"/>
      <c r="BI1427" s="1783"/>
    </row>
    <row r="1428" spans="1:61">
      <c r="A1428" s="1819"/>
      <c r="B1428" s="1818"/>
      <c r="C1428" s="1818"/>
      <c r="D1428" s="1818"/>
      <c r="E1428" s="1818"/>
      <c r="F1428" s="1818"/>
      <c r="G1428" s="1818"/>
      <c r="H1428" s="1783"/>
      <c r="I1428" s="1783"/>
      <c r="J1428" s="1783"/>
      <c r="K1428" s="1783"/>
      <c r="L1428" s="1783"/>
      <c r="M1428" s="1783"/>
      <c r="N1428" s="1783"/>
      <c r="O1428" s="1783"/>
      <c r="P1428" s="1783"/>
      <c r="Q1428" s="1783"/>
      <c r="R1428" s="1783"/>
      <c r="S1428" s="1783"/>
      <c r="T1428" s="1783"/>
      <c r="U1428" s="1783"/>
      <c r="V1428" s="1783"/>
      <c r="W1428" s="1783"/>
      <c r="X1428" s="1783"/>
      <c r="Y1428" s="1783"/>
      <c r="Z1428" s="1783"/>
      <c r="AA1428" s="1783"/>
      <c r="AB1428" s="1783"/>
      <c r="AC1428" s="1783"/>
      <c r="AD1428" s="1783"/>
      <c r="AE1428" s="1783"/>
      <c r="AF1428" s="1783"/>
      <c r="AG1428" s="1783"/>
      <c r="AH1428" s="1783"/>
      <c r="AI1428" s="1783"/>
      <c r="AJ1428" s="1783"/>
      <c r="AK1428" s="1783"/>
      <c r="AL1428" s="1783"/>
      <c r="AM1428" s="1783"/>
      <c r="AN1428" s="1783"/>
      <c r="AO1428" s="1783"/>
      <c r="AP1428" s="1783"/>
      <c r="AQ1428" s="1783"/>
      <c r="AR1428" s="1783"/>
      <c r="AS1428" s="1783"/>
      <c r="AT1428" s="1783"/>
      <c r="AU1428" s="1783"/>
      <c r="AV1428" s="1783"/>
      <c r="AW1428" s="1783"/>
      <c r="AX1428" s="1783"/>
      <c r="AY1428" s="1783"/>
      <c r="AZ1428" s="1783"/>
      <c r="BA1428" s="1783"/>
      <c r="BB1428" s="1783"/>
      <c r="BC1428" s="1783"/>
      <c r="BD1428" s="1783"/>
      <c r="BE1428" s="1783"/>
      <c r="BF1428" s="1783"/>
      <c r="BG1428" s="1783"/>
      <c r="BH1428" s="1783"/>
      <c r="BI1428" s="1783"/>
    </row>
    <row r="1429" spans="1:61">
      <c r="A1429" s="1819"/>
      <c r="B1429" s="1818"/>
      <c r="C1429" s="1818"/>
      <c r="D1429" s="1818"/>
      <c r="E1429" s="1818"/>
      <c r="F1429" s="1818"/>
      <c r="G1429" s="1818"/>
      <c r="H1429" s="1783"/>
      <c r="I1429" s="1783"/>
      <c r="J1429" s="1783"/>
      <c r="K1429" s="1783"/>
      <c r="L1429" s="1783"/>
      <c r="M1429" s="1783"/>
      <c r="N1429" s="1783"/>
      <c r="O1429" s="1783"/>
      <c r="P1429" s="1783"/>
      <c r="Q1429" s="1783"/>
      <c r="R1429" s="1783"/>
      <c r="S1429" s="1783"/>
      <c r="T1429" s="1783"/>
      <c r="U1429" s="1783"/>
      <c r="V1429" s="1783"/>
      <c r="W1429" s="1783"/>
      <c r="X1429" s="1783"/>
      <c r="Y1429" s="1783"/>
      <c r="Z1429" s="1783"/>
      <c r="AA1429" s="1783"/>
      <c r="AB1429" s="1783"/>
      <c r="AC1429" s="1783"/>
      <c r="AD1429" s="1783"/>
      <c r="AE1429" s="1783"/>
      <c r="AF1429" s="1783"/>
      <c r="AG1429" s="1783"/>
      <c r="AH1429" s="1783"/>
      <c r="AI1429" s="1783"/>
      <c r="AJ1429" s="1783"/>
      <c r="AK1429" s="1783"/>
      <c r="AL1429" s="1783"/>
      <c r="AM1429" s="1783"/>
      <c r="AN1429" s="1783"/>
      <c r="AO1429" s="1783"/>
      <c r="AP1429" s="1783"/>
      <c r="AQ1429" s="1783"/>
      <c r="AR1429" s="1783"/>
      <c r="AS1429" s="1783"/>
      <c r="AT1429" s="1783"/>
      <c r="AU1429" s="1783"/>
      <c r="AV1429" s="1783"/>
      <c r="AW1429" s="1783"/>
      <c r="AX1429" s="1783"/>
      <c r="AY1429" s="1783"/>
      <c r="AZ1429" s="1783"/>
      <c r="BA1429" s="1783"/>
      <c r="BB1429" s="1783"/>
      <c r="BC1429" s="1783"/>
      <c r="BD1429" s="1783"/>
      <c r="BE1429" s="1783"/>
      <c r="BF1429" s="1783"/>
      <c r="BG1429" s="1783"/>
      <c r="BH1429" s="1783"/>
      <c r="BI1429" s="1783"/>
    </row>
    <row r="1430" spans="1:61">
      <c r="A1430" s="1819"/>
      <c r="B1430" s="1818"/>
      <c r="C1430" s="1818"/>
      <c r="D1430" s="1818"/>
      <c r="E1430" s="1818"/>
      <c r="F1430" s="1818"/>
      <c r="G1430" s="1818"/>
      <c r="H1430" s="1783"/>
      <c r="I1430" s="1783"/>
      <c r="J1430" s="1783"/>
      <c r="K1430" s="1783"/>
      <c r="L1430" s="1783"/>
      <c r="M1430" s="1783"/>
      <c r="N1430" s="1783"/>
      <c r="O1430" s="1783"/>
      <c r="P1430" s="1783"/>
      <c r="Q1430" s="1783"/>
      <c r="R1430" s="1783"/>
      <c r="S1430" s="1783"/>
      <c r="T1430" s="1783"/>
      <c r="U1430" s="1783"/>
      <c r="V1430" s="1783"/>
      <c r="W1430" s="1783"/>
      <c r="X1430" s="1783"/>
      <c r="Y1430" s="1783"/>
      <c r="Z1430" s="1783"/>
      <c r="AA1430" s="1783"/>
      <c r="AB1430" s="1783"/>
      <c r="AC1430" s="1783"/>
      <c r="AD1430" s="1783"/>
      <c r="AE1430" s="1783"/>
      <c r="AF1430" s="1783"/>
      <c r="AG1430" s="1783"/>
      <c r="AH1430" s="1783"/>
      <c r="AI1430" s="1783"/>
      <c r="AJ1430" s="1783"/>
      <c r="AK1430" s="1783"/>
      <c r="AL1430" s="1783"/>
      <c r="AM1430" s="1783"/>
      <c r="AN1430" s="1783"/>
      <c r="AO1430" s="1783"/>
      <c r="AP1430" s="1783"/>
      <c r="AQ1430" s="1783"/>
      <c r="AR1430" s="1783"/>
      <c r="AS1430" s="1783"/>
      <c r="AT1430" s="1783"/>
      <c r="AU1430" s="1783"/>
      <c r="AV1430" s="1783"/>
      <c r="AW1430" s="1783"/>
      <c r="AX1430" s="1783"/>
      <c r="AY1430" s="1783"/>
      <c r="AZ1430" s="1783"/>
      <c r="BA1430" s="1783"/>
      <c r="BB1430" s="1783"/>
      <c r="BC1430" s="1783"/>
      <c r="BD1430" s="1783"/>
      <c r="BE1430" s="1783"/>
      <c r="BF1430" s="1783"/>
      <c r="BG1430" s="1783"/>
      <c r="BH1430" s="1783"/>
      <c r="BI1430" s="1783"/>
    </row>
    <row r="1431" spans="1:61">
      <c r="A1431" s="1819"/>
      <c r="B1431" s="1818"/>
      <c r="C1431" s="1818"/>
      <c r="D1431" s="1818"/>
      <c r="E1431" s="1818"/>
      <c r="F1431" s="1818"/>
      <c r="G1431" s="1818"/>
      <c r="H1431" s="1783"/>
      <c r="I1431" s="1783"/>
      <c r="J1431" s="1783"/>
      <c r="K1431" s="1783"/>
      <c r="L1431" s="1783"/>
      <c r="M1431" s="1783"/>
      <c r="N1431" s="1783"/>
      <c r="O1431" s="1783"/>
      <c r="P1431" s="1783"/>
      <c r="Q1431" s="1783"/>
      <c r="R1431" s="1783"/>
      <c r="S1431" s="1783"/>
      <c r="T1431" s="1783"/>
      <c r="U1431" s="1783"/>
      <c r="V1431" s="1783"/>
      <c r="W1431" s="1783"/>
      <c r="X1431" s="1783"/>
      <c r="Y1431" s="1783"/>
      <c r="Z1431" s="1783"/>
      <c r="AA1431" s="1783"/>
      <c r="AB1431" s="1783"/>
      <c r="AC1431" s="1783"/>
      <c r="AD1431" s="1783"/>
      <c r="AE1431" s="1783"/>
      <c r="AF1431" s="1783"/>
      <c r="AG1431" s="1783"/>
      <c r="AH1431" s="1783"/>
      <c r="AI1431" s="1783"/>
      <c r="AJ1431" s="1783"/>
      <c r="AK1431" s="1783"/>
      <c r="AL1431" s="1783"/>
      <c r="AM1431" s="1783"/>
      <c r="AN1431" s="1783"/>
      <c r="AO1431" s="1783"/>
      <c r="AP1431" s="1783"/>
      <c r="AQ1431" s="1783"/>
      <c r="AR1431" s="1783"/>
      <c r="AS1431" s="1783"/>
      <c r="AT1431" s="1783"/>
      <c r="AU1431" s="1783"/>
      <c r="AV1431" s="1783"/>
      <c r="AW1431" s="1783"/>
      <c r="AX1431" s="1783"/>
      <c r="AY1431" s="1783"/>
      <c r="AZ1431" s="1783"/>
      <c r="BA1431" s="1783"/>
      <c r="BB1431" s="1783"/>
      <c r="BC1431" s="1783"/>
      <c r="BD1431" s="1783"/>
      <c r="BE1431" s="1783"/>
      <c r="BF1431" s="1783"/>
      <c r="BG1431" s="1783"/>
      <c r="BH1431" s="1783"/>
      <c r="BI1431" s="1783"/>
    </row>
    <row r="1432" spans="1:61">
      <c r="A1432" s="1819"/>
      <c r="B1432" s="1818"/>
      <c r="C1432" s="1818"/>
      <c r="D1432" s="1818"/>
      <c r="E1432" s="1818"/>
      <c r="F1432" s="1818"/>
      <c r="G1432" s="1818"/>
      <c r="H1432" s="1783"/>
      <c r="I1432" s="1783"/>
      <c r="J1432" s="1783"/>
      <c r="K1432" s="1783"/>
      <c r="L1432" s="1783"/>
      <c r="M1432" s="1783"/>
      <c r="N1432" s="1783"/>
      <c r="O1432" s="1783"/>
      <c r="P1432" s="1783"/>
      <c r="Q1432" s="1783"/>
      <c r="R1432" s="1783"/>
      <c r="S1432" s="1783"/>
      <c r="T1432" s="1783"/>
      <c r="U1432" s="1783"/>
      <c r="V1432" s="1783"/>
      <c r="W1432" s="1783"/>
      <c r="X1432" s="1783"/>
      <c r="Y1432" s="1783"/>
      <c r="Z1432" s="1783"/>
      <c r="AA1432" s="1783"/>
      <c r="AB1432" s="1783"/>
      <c r="AC1432" s="1783"/>
      <c r="AD1432" s="1783"/>
      <c r="AE1432" s="1783"/>
      <c r="AF1432" s="1783"/>
      <c r="AG1432" s="1783"/>
      <c r="AH1432" s="1783"/>
      <c r="AI1432" s="1783"/>
      <c r="AJ1432" s="1783"/>
      <c r="AK1432" s="1783"/>
      <c r="AL1432" s="1783"/>
      <c r="AM1432" s="1783"/>
      <c r="AN1432" s="1783"/>
      <c r="AO1432" s="1783"/>
      <c r="AP1432" s="1783"/>
      <c r="AQ1432" s="1783"/>
      <c r="AR1432" s="1783"/>
      <c r="AS1432" s="1783"/>
      <c r="AT1432" s="1783"/>
      <c r="AU1432" s="1783"/>
      <c r="AV1432" s="1783"/>
      <c r="AW1432" s="1783"/>
      <c r="AX1432" s="1783"/>
      <c r="AY1432" s="1783"/>
      <c r="AZ1432" s="1783"/>
      <c r="BA1432" s="1783"/>
      <c r="BB1432" s="1783"/>
      <c r="BC1432" s="1783"/>
      <c r="BD1432" s="1783"/>
      <c r="BE1432" s="1783"/>
      <c r="BF1432" s="1783"/>
      <c r="BG1432" s="1783"/>
      <c r="BH1432" s="1783"/>
      <c r="BI1432" s="1783"/>
    </row>
    <row r="1433" spans="1:61">
      <c r="A1433" s="1819"/>
      <c r="B1433" s="1818"/>
      <c r="C1433" s="1818"/>
      <c r="D1433" s="1818"/>
      <c r="E1433" s="1818"/>
      <c r="F1433" s="1818"/>
      <c r="G1433" s="1818"/>
      <c r="H1433" s="1783"/>
      <c r="I1433" s="1783"/>
      <c r="J1433" s="1783"/>
      <c r="K1433" s="1783"/>
      <c r="L1433" s="1783"/>
      <c r="M1433" s="1783"/>
      <c r="N1433" s="1783"/>
      <c r="O1433" s="1783"/>
      <c r="P1433" s="1783"/>
      <c r="Q1433" s="1783"/>
      <c r="R1433" s="1783"/>
      <c r="S1433" s="1783"/>
      <c r="T1433" s="1783"/>
      <c r="U1433" s="1783"/>
      <c r="V1433" s="1783"/>
      <c r="W1433" s="1783"/>
      <c r="X1433" s="1783"/>
      <c r="Y1433" s="1783"/>
      <c r="Z1433" s="1783"/>
      <c r="AA1433" s="1783"/>
      <c r="AB1433" s="1783"/>
      <c r="AC1433" s="1783"/>
      <c r="AD1433" s="1783"/>
      <c r="AE1433" s="1783"/>
      <c r="AF1433" s="1783"/>
      <c r="AG1433" s="1783"/>
      <c r="AH1433" s="1783"/>
      <c r="AI1433" s="1783"/>
      <c r="AJ1433" s="1783"/>
      <c r="AK1433" s="1783"/>
      <c r="AL1433" s="1783"/>
      <c r="AM1433" s="1783"/>
      <c r="AN1433" s="1783"/>
      <c r="AO1433" s="1783"/>
      <c r="AP1433" s="1783"/>
      <c r="AQ1433" s="1783"/>
      <c r="AR1433" s="1783"/>
      <c r="AS1433" s="1783"/>
      <c r="AT1433" s="1783"/>
      <c r="AU1433" s="1783"/>
      <c r="AV1433" s="1783"/>
      <c r="AW1433" s="1783"/>
      <c r="AX1433" s="1783"/>
      <c r="AY1433" s="1783"/>
      <c r="AZ1433" s="1783"/>
      <c r="BA1433" s="1783"/>
      <c r="BB1433" s="1783"/>
      <c r="BC1433" s="1783"/>
      <c r="BD1433" s="1783"/>
      <c r="BE1433" s="1783"/>
      <c r="BF1433" s="1783"/>
      <c r="BG1433" s="1783"/>
      <c r="BH1433" s="1783"/>
      <c r="BI1433" s="1783"/>
    </row>
    <row r="1434" spans="1:61">
      <c r="A1434" s="1819"/>
      <c r="B1434" s="1818"/>
      <c r="C1434" s="1818"/>
      <c r="D1434" s="1818"/>
      <c r="E1434" s="1818"/>
      <c r="F1434" s="1818"/>
      <c r="G1434" s="1818"/>
      <c r="H1434" s="1783"/>
      <c r="I1434" s="1783"/>
      <c r="J1434" s="1783"/>
      <c r="K1434" s="1783"/>
      <c r="L1434" s="1783"/>
      <c r="M1434" s="1783"/>
      <c r="N1434" s="1783"/>
      <c r="O1434" s="1783"/>
      <c r="P1434" s="1783"/>
      <c r="Q1434" s="1783"/>
      <c r="R1434" s="1783"/>
      <c r="S1434" s="1783"/>
      <c r="T1434" s="1783"/>
      <c r="U1434" s="1783"/>
      <c r="V1434" s="1783"/>
      <c r="W1434" s="1783"/>
      <c r="X1434" s="1783"/>
      <c r="Y1434" s="1783"/>
      <c r="Z1434" s="1783"/>
      <c r="AA1434" s="1783"/>
      <c r="AB1434" s="1783"/>
      <c r="AC1434" s="1783"/>
      <c r="AD1434" s="1783"/>
      <c r="AE1434" s="1783"/>
      <c r="AF1434" s="1783"/>
      <c r="AG1434" s="1783"/>
      <c r="AH1434" s="1783"/>
      <c r="AI1434" s="1783"/>
      <c r="AJ1434" s="1783"/>
      <c r="AK1434" s="1783"/>
      <c r="AL1434" s="1783"/>
      <c r="AM1434" s="1783"/>
      <c r="AN1434" s="1783"/>
      <c r="AO1434" s="1783"/>
      <c r="AP1434" s="1783"/>
      <c r="AQ1434" s="1783"/>
      <c r="AR1434" s="1783"/>
      <c r="AS1434" s="1783"/>
      <c r="AT1434" s="1783"/>
      <c r="AU1434" s="1783"/>
      <c r="AV1434" s="1783"/>
      <c r="AW1434" s="1783"/>
      <c r="AX1434" s="1783"/>
      <c r="AY1434" s="1783"/>
      <c r="AZ1434" s="1783"/>
      <c r="BA1434" s="1783"/>
      <c r="BB1434" s="1783"/>
      <c r="BC1434" s="1783"/>
      <c r="BD1434" s="1783"/>
      <c r="BE1434" s="1783"/>
      <c r="BF1434" s="1783"/>
      <c r="BG1434" s="1783"/>
      <c r="BH1434" s="1783"/>
      <c r="BI1434" s="1783"/>
    </row>
    <row r="1435" spans="1:61">
      <c r="A1435" s="1819"/>
      <c r="B1435" s="1818"/>
      <c r="C1435" s="1818"/>
      <c r="D1435" s="1818"/>
      <c r="E1435" s="1818"/>
      <c r="F1435" s="1818"/>
      <c r="G1435" s="1818"/>
      <c r="H1435" s="1783"/>
      <c r="I1435" s="1783"/>
      <c r="J1435" s="1783"/>
      <c r="K1435" s="1783"/>
      <c r="L1435" s="1783"/>
      <c r="M1435" s="1783"/>
      <c r="N1435" s="1783"/>
      <c r="O1435" s="1783"/>
      <c r="P1435" s="1783"/>
      <c r="Q1435" s="1783"/>
      <c r="R1435" s="1783"/>
      <c r="S1435" s="1783"/>
      <c r="T1435" s="1783"/>
      <c r="U1435" s="1783"/>
      <c r="V1435" s="1783"/>
      <c r="W1435" s="1783"/>
      <c r="X1435" s="1783"/>
      <c r="Y1435" s="1783"/>
      <c r="Z1435" s="1783"/>
      <c r="AA1435" s="1783"/>
      <c r="AB1435" s="1783"/>
      <c r="AC1435" s="1783"/>
      <c r="AD1435" s="1783"/>
      <c r="AE1435" s="1783"/>
      <c r="AF1435" s="1783"/>
      <c r="AG1435" s="1783"/>
      <c r="AH1435" s="1783"/>
      <c r="AI1435" s="1783"/>
      <c r="AJ1435" s="1783"/>
      <c r="AK1435" s="1783"/>
      <c r="AL1435" s="1783"/>
      <c r="AM1435" s="1783"/>
      <c r="AN1435" s="1783"/>
      <c r="AO1435" s="1783"/>
      <c r="AP1435" s="1783"/>
      <c r="AQ1435" s="1783"/>
      <c r="AR1435" s="1783"/>
      <c r="AS1435" s="1783"/>
      <c r="AT1435" s="1783"/>
      <c r="AU1435" s="1783"/>
      <c r="AV1435" s="1783"/>
      <c r="AW1435" s="1783"/>
      <c r="AX1435" s="1783"/>
      <c r="AY1435" s="1783"/>
      <c r="AZ1435" s="1783"/>
      <c r="BA1435" s="1783"/>
      <c r="BB1435" s="1783"/>
      <c r="BC1435" s="1783"/>
      <c r="BD1435" s="1783"/>
      <c r="BE1435" s="1783"/>
      <c r="BF1435" s="1783"/>
      <c r="BG1435" s="1783"/>
      <c r="BH1435" s="1783"/>
      <c r="BI1435" s="1783"/>
    </row>
    <row r="1436" spans="1:61">
      <c r="A1436" s="1819"/>
      <c r="B1436" s="1818"/>
      <c r="C1436" s="1818"/>
      <c r="D1436" s="1818"/>
      <c r="E1436" s="1818"/>
      <c r="F1436" s="1818"/>
      <c r="G1436" s="1818"/>
      <c r="H1436" s="1783"/>
      <c r="I1436" s="1783"/>
      <c r="J1436" s="1783"/>
      <c r="K1436" s="1783"/>
      <c r="L1436" s="1783"/>
      <c r="M1436" s="1783"/>
      <c r="N1436" s="1783"/>
      <c r="O1436" s="1783"/>
      <c r="P1436" s="1783"/>
      <c r="Q1436" s="1783"/>
      <c r="R1436" s="1783"/>
      <c r="S1436" s="1783"/>
      <c r="T1436" s="1783"/>
      <c r="U1436" s="1783"/>
      <c r="V1436" s="1783"/>
      <c r="W1436" s="1783"/>
      <c r="X1436" s="1783"/>
      <c r="Y1436" s="1783"/>
      <c r="Z1436" s="1783"/>
      <c r="AA1436" s="1783"/>
      <c r="AB1436" s="1783"/>
      <c r="AC1436" s="1783"/>
      <c r="AD1436" s="1783"/>
      <c r="AE1436" s="1783"/>
      <c r="AF1436" s="1783"/>
      <c r="AG1436" s="1783"/>
      <c r="AH1436" s="1783"/>
      <c r="AI1436" s="1783"/>
      <c r="AJ1436" s="1783"/>
      <c r="AK1436" s="1783"/>
      <c r="AL1436" s="1783"/>
      <c r="AM1436" s="1783"/>
      <c r="AN1436" s="1783"/>
      <c r="AO1436" s="1783"/>
      <c r="AP1436" s="1783"/>
      <c r="AQ1436" s="1783"/>
      <c r="AR1436" s="1783"/>
      <c r="AS1436" s="1783"/>
      <c r="AT1436" s="1783"/>
      <c r="AU1436" s="1783"/>
      <c r="AV1436" s="1783"/>
      <c r="AW1436" s="1783"/>
      <c r="AX1436" s="1783"/>
      <c r="AY1436" s="1783"/>
      <c r="AZ1436" s="1783"/>
      <c r="BA1436" s="1783"/>
      <c r="BB1436" s="1783"/>
      <c r="BC1436" s="1783"/>
      <c r="BD1436" s="1783"/>
      <c r="BE1436" s="1783"/>
      <c r="BF1436" s="1783"/>
      <c r="BG1436" s="1783"/>
      <c r="BH1436" s="1783"/>
      <c r="BI1436" s="1783"/>
    </row>
    <row r="1437" spans="1:61">
      <c r="A1437" s="1819"/>
      <c r="B1437" s="1818"/>
      <c r="C1437" s="1818"/>
      <c r="D1437" s="1818"/>
      <c r="E1437" s="1818"/>
      <c r="F1437" s="1818"/>
      <c r="G1437" s="1818"/>
      <c r="H1437" s="1783"/>
      <c r="I1437" s="1783"/>
      <c r="J1437" s="1783"/>
      <c r="K1437" s="1783"/>
      <c r="L1437" s="1783"/>
      <c r="M1437" s="1783"/>
      <c r="N1437" s="1783"/>
      <c r="O1437" s="1783"/>
      <c r="P1437" s="1783"/>
      <c r="Q1437" s="1783"/>
      <c r="R1437" s="1783"/>
      <c r="S1437" s="1783"/>
      <c r="T1437" s="1783"/>
      <c r="U1437" s="1783"/>
      <c r="V1437" s="1783"/>
      <c r="W1437" s="1783"/>
      <c r="X1437" s="1783"/>
      <c r="Y1437" s="1783"/>
      <c r="Z1437" s="1783"/>
      <c r="AA1437" s="1783"/>
      <c r="AB1437" s="1783"/>
      <c r="AC1437" s="1783"/>
      <c r="AD1437" s="1783"/>
      <c r="AE1437" s="1783"/>
      <c r="AF1437" s="1783"/>
      <c r="AG1437" s="1783"/>
      <c r="AH1437" s="1783"/>
      <c r="AI1437" s="1783"/>
      <c r="AJ1437" s="1783"/>
      <c r="AK1437" s="1783"/>
      <c r="AL1437" s="1783"/>
      <c r="AM1437" s="1783"/>
      <c r="AN1437" s="1783"/>
      <c r="AO1437" s="1783"/>
      <c r="AP1437" s="1783"/>
      <c r="AQ1437" s="1783"/>
      <c r="AR1437" s="1783"/>
      <c r="AS1437" s="1783"/>
      <c r="AT1437" s="1783"/>
      <c r="AU1437" s="1783"/>
      <c r="AV1437" s="1783"/>
      <c r="AW1437" s="1783"/>
      <c r="AX1437" s="1783"/>
      <c r="AY1437" s="1783"/>
      <c r="AZ1437" s="1783"/>
      <c r="BA1437" s="1783"/>
      <c r="BB1437" s="1783"/>
      <c r="BC1437" s="1783"/>
      <c r="BD1437" s="1783"/>
      <c r="BE1437" s="1783"/>
      <c r="BF1437" s="1783"/>
      <c r="BG1437" s="1783"/>
      <c r="BH1437" s="1783"/>
      <c r="BI1437" s="1783"/>
    </row>
    <row r="1438" spans="1:61">
      <c r="A1438" s="1819"/>
      <c r="B1438" s="1818"/>
      <c r="C1438" s="1818"/>
      <c r="D1438" s="1818"/>
      <c r="E1438" s="1818"/>
      <c r="F1438" s="1818"/>
      <c r="G1438" s="1818"/>
      <c r="H1438" s="1783"/>
      <c r="I1438" s="1783"/>
      <c r="J1438" s="1783"/>
      <c r="K1438" s="1783"/>
      <c r="L1438" s="1783"/>
      <c r="M1438" s="1783"/>
      <c r="N1438" s="1783"/>
      <c r="O1438" s="1783"/>
      <c r="P1438" s="1783"/>
      <c r="Q1438" s="1783"/>
      <c r="R1438" s="1783"/>
      <c r="S1438" s="1783"/>
      <c r="T1438" s="1783"/>
      <c r="U1438" s="1783"/>
      <c r="V1438" s="1783"/>
      <c r="W1438" s="1783"/>
      <c r="X1438" s="1783"/>
      <c r="Y1438" s="1783"/>
      <c r="Z1438" s="1783"/>
      <c r="AA1438" s="1783"/>
      <c r="AB1438" s="1783"/>
      <c r="AC1438" s="1783"/>
      <c r="AD1438" s="1783"/>
      <c r="AE1438" s="1783"/>
      <c r="AF1438" s="1783"/>
      <c r="AG1438" s="1783"/>
      <c r="AH1438" s="1783"/>
      <c r="AI1438" s="1783"/>
      <c r="AJ1438" s="1783"/>
      <c r="AK1438" s="1783"/>
      <c r="AL1438" s="1783"/>
      <c r="AM1438" s="1783"/>
      <c r="AN1438" s="1783"/>
      <c r="AO1438" s="1783"/>
      <c r="AP1438" s="1783"/>
      <c r="AQ1438" s="1783"/>
      <c r="AR1438" s="1783"/>
      <c r="AS1438" s="1783"/>
      <c r="AT1438" s="1783"/>
      <c r="AU1438" s="1783"/>
      <c r="AV1438" s="1783"/>
      <c r="AW1438" s="1783"/>
      <c r="AX1438" s="1783"/>
      <c r="AY1438" s="1783"/>
      <c r="AZ1438" s="1783"/>
      <c r="BA1438" s="1783"/>
      <c r="BB1438" s="1783"/>
      <c r="BC1438" s="1783"/>
      <c r="BD1438" s="1783"/>
      <c r="BE1438" s="1783"/>
      <c r="BF1438" s="1783"/>
      <c r="BG1438" s="1783"/>
      <c r="BH1438" s="1783"/>
      <c r="BI1438" s="1783"/>
    </row>
    <row r="1439" spans="1:61">
      <c r="A1439" s="1819"/>
      <c r="B1439" s="1818"/>
      <c r="C1439" s="1818"/>
      <c r="D1439" s="1818"/>
      <c r="E1439" s="1818"/>
      <c r="F1439" s="1818"/>
      <c r="G1439" s="1818"/>
      <c r="H1439" s="1783"/>
      <c r="I1439" s="1783"/>
      <c r="J1439" s="1783"/>
      <c r="K1439" s="1783"/>
      <c r="L1439" s="1783"/>
      <c r="M1439" s="1783"/>
      <c r="N1439" s="1783"/>
      <c r="O1439" s="1783"/>
      <c r="P1439" s="1783"/>
      <c r="Q1439" s="1783"/>
      <c r="R1439" s="1783"/>
      <c r="S1439" s="1783"/>
      <c r="T1439" s="1783"/>
      <c r="U1439" s="1783"/>
      <c r="V1439" s="1783"/>
      <c r="W1439" s="1783"/>
      <c r="X1439" s="1783"/>
      <c r="Y1439" s="1783"/>
      <c r="Z1439" s="1783"/>
      <c r="AA1439" s="1783"/>
      <c r="AB1439" s="1783"/>
      <c r="AC1439" s="1783"/>
      <c r="AD1439" s="1783"/>
      <c r="AE1439" s="1783"/>
      <c r="AF1439" s="1783"/>
      <c r="AG1439" s="1783"/>
      <c r="AH1439" s="1783"/>
      <c r="AI1439" s="1783"/>
      <c r="AJ1439" s="1783"/>
      <c r="AK1439" s="1783"/>
      <c r="AL1439" s="1783"/>
      <c r="AM1439" s="1783"/>
      <c r="AN1439" s="1783"/>
      <c r="AO1439" s="1783"/>
      <c r="AP1439" s="1783"/>
      <c r="AQ1439" s="1783"/>
      <c r="AR1439" s="1783"/>
      <c r="AS1439" s="1783"/>
      <c r="AT1439" s="1783"/>
      <c r="AU1439" s="1783"/>
      <c r="AV1439" s="1783"/>
      <c r="AW1439" s="1783"/>
      <c r="AX1439" s="1783"/>
      <c r="AY1439" s="1783"/>
      <c r="AZ1439" s="1783"/>
      <c r="BA1439" s="1783"/>
      <c r="BB1439" s="1783"/>
      <c r="BC1439" s="1783"/>
      <c r="BD1439" s="1783"/>
      <c r="BE1439" s="1783"/>
      <c r="BF1439" s="1783"/>
      <c r="BG1439" s="1783"/>
      <c r="BH1439" s="1783"/>
      <c r="BI1439" s="1783"/>
    </row>
    <row r="1440" spans="1:61">
      <c r="A1440" s="1819"/>
      <c r="B1440" s="1818"/>
      <c r="C1440" s="1818"/>
      <c r="D1440" s="1818"/>
      <c r="E1440" s="1818"/>
      <c r="F1440" s="1818"/>
      <c r="G1440" s="1818"/>
      <c r="H1440" s="1783"/>
      <c r="I1440" s="1783"/>
      <c r="J1440" s="1783"/>
      <c r="K1440" s="1783"/>
      <c r="L1440" s="1783"/>
      <c r="M1440" s="1783"/>
      <c r="N1440" s="1783"/>
      <c r="O1440" s="1783"/>
      <c r="P1440" s="1783"/>
      <c r="Q1440" s="1783"/>
      <c r="R1440" s="1783"/>
      <c r="S1440" s="1783"/>
      <c r="T1440" s="1783"/>
      <c r="U1440" s="1783"/>
      <c r="V1440" s="1783"/>
      <c r="W1440" s="1783"/>
      <c r="X1440" s="1783"/>
      <c r="Y1440" s="1783"/>
      <c r="Z1440" s="1783"/>
      <c r="AA1440" s="1783"/>
      <c r="AB1440" s="1783"/>
      <c r="AC1440" s="1783"/>
      <c r="AD1440" s="1783"/>
      <c r="AE1440" s="1783"/>
      <c r="AF1440" s="1783"/>
      <c r="AG1440" s="1783"/>
      <c r="AH1440" s="1783"/>
      <c r="AI1440" s="1783"/>
      <c r="AJ1440" s="1783"/>
      <c r="AK1440" s="1783"/>
      <c r="AL1440" s="1783"/>
      <c r="AM1440" s="1783"/>
      <c r="AN1440" s="1783"/>
      <c r="AO1440" s="1783"/>
      <c r="AP1440" s="1783"/>
      <c r="AQ1440" s="1783"/>
      <c r="AR1440" s="1783"/>
      <c r="AS1440" s="1783"/>
      <c r="AT1440" s="1783"/>
      <c r="AU1440" s="1783"/>
      <c r="AV1440" s="1783"/>
      <c r="AW1440" s="1783"/>
      <c r="AX1440" s="1783"/>
      <c r="AY1440" s="1783"/>
      <c r="AZ1440" s="1783"/>
      <c r="BA1440" s="1783"/>
      <c r="BB1440" s="1783"/>
      <c r="BC1440" s="1783"/>
      <c r="BD1440" s="1783"/>
      <c r="BE1440" s="1783"/>
      <c r="BF1440" s="1783"/>
      <c r="BG1440" s="1783"/>
      <c r="BH1440" s="1783"/>
      <c r="BI1440" s="1783"/>
    </row>
    <row r="1441" spans="1:61">
      <c r="A1441" s="1819"/>
      <c r="B1441" s="1818"/>
      <c r="C1441" s="1818"/>
      <c r="D1441" s="1818"/>
      <c r="E1441" s="1818"/>
      <c r="F1441" s="1818"/>
      <c r="G1441" s="1818"/>
      <c r="H1441" s="1783"/>
      <c r="I1441" s="1783"/>
      <c r="J1441" s="1783"/>
      <c r="K1441" s="1783"/>
      <c r="L1441" s="1783"/>
      <c r="M1441" s="1783"/>
      <c r="N1441" s="1783"/>
      <c r="O1441" s="1783"/>
      <c r="P1441" s="1783"/>
      <c r="Q1441" s="1783"/>
      <c r="R1441" s="1783"/>
      <c r="S1441" s="1783"/>
      <c r="T1441" s="1783"/>
      <c r="U1441" s="1783"/>
      <c r="V1441" s="1783"/>
      <c r="W1441" s="1783"/>
      <c r="X1441" s="1783"/>
      <c r="Y1441" s="1783"/>
      <c r="Z1441" s="1783"/>
      <c r="AA1441" s="1783"/>
      <c r="AB1441" s="1783"/>
      <c r="AC1441" s="1783"/>
      <c r="AD1441" s="1783"/>
      <c r="AE1441" s="1783"/>
      <c r="AF1441" s="1783"/>
      <c r="AG1441" s="1783"/>
      <c r="AH1441" s="1783"/>
      <c r="AI1441" s="1783"/>
      <c r="AJ1441" s="1783"/>
      <c r="AK1441" s="1783"/>
      <c r="AL1441" s="1783"/>
      <c r="AM1441" s="1783"/>
      <c r="AN1441" s="1783"/>
      <c r="AO1441" s="1783"/>
      <c r="AP1441" s="1783"/>
      <c r="AQ1441" s="1783"/>
      <c r="AR1441" s="1783"/>
      <c r="AS1441" s="1783"/>
      <c r="AT1441" s="1783"/>
      <c r="AU1441" s="1783"/>
      <c r="AV1441" s="1783"/>
      <c r="AW1441" s="1783"/>
      <c r="AX1441" s="1783"/>
      <c r="AY1441" s="1783"/>
      <c r="AZ1441" s="1783"/>
      <c r="BA1441" s="1783"/>
      <c r="BB1441" s="1783"/>
      <c r="BC1441" s="1783"/>
      <c r="BD1441" s="1783"/>
      <c r="BE1441" s="1783"/>
      <c r="BF1441" s="1783"/>
      <c r="BG1441" s="1783"/>
      <c r="BH1441" s="1783"/>
      <c r="BI1441" s="1783"/>
    </row>
    <row r="1442" spans="1:61">
      <c r="A1442" s="1819"/>
      <c r="B1442" s="1818"/>
      <c r="C1442" s="1818"/>
      <c r="D1442" s="1818"/>
      <c r="E1442" s="1818"/>
      <c r="F1442" s="1818"/>
      <c r="G1442" s="1818"/>
      <c r="H1442" s="1783"/>
      <c r="I1442" s="1783"/>
      <c r="J1442" s="1783"/>
      <c r="K1442" s="1783"/>
      <c r="L1442" s="1783"/>
      <c r="M1442" s="1783"/>
      <c r="N1442" s="1783"/>
      <c r="O1442" s="1783"/>
      <c r="P1442" s="1783"/>
      <c r="Q1442" s="1783"/>
      <c r="R1442" s="1783"/>
      <c r="S1442" s="1783"/>
      <c r="T1442" s="1783"/>
      <c r="U1442" s="1783"/>
      <c r="V1442" s="1783"/>
      <c r="W1442" s="1783"/>
      <c r="X1442" s="1783"/>
      <c r="Y1442" s="1783"/>
      <c r="Z1442" s="1783"/>
      <c r="AA1442" s="1783"/>
      <c r="AB1442" s="1783"/>
      <c r="AC1442" s="1783"/>
      <c r="AD1442" s="1783"/>
      <c r="AE1442" s="1783"/>
      <c r="AF1442" s="1783"/>
      <c r="AG1442" s="1783"/>
      <c r="AH1442" s="1783"/>
      <c r="AI1442" s="1783"/>
      <c r="AJ1442" s="1783"/>
      <c r="AK1442" s="1783"/>
      <c r="AL1442" s="1783"/>
      <c r="AM1442" s="1783"/>
      <c r="AN1442" s="1783"/>
      <c r="AO1442" s="1783"/>
      <c r="AP1442" s="1783"/>
      <c r="AQ1442" s="1783"/>
      <c r="AR1442" s="1783"/>
      <c r="AS1442" s="1783"/>
      <c r="AT1442" s="1783"/>
      <c r="AU1442" s="1783"/>
      <c r="AV1442" s="1783"/>
      <c r="AW1442" s="1783"/>
      <c r="AX1442" s="1783"/>
      <c r="AY1442" s="1783"/>
      <c r="AZ1442" s="1783"/>
      <c r="BA1442" s="1783"/>
      <c r="BB1442" s="1783"/>
      <c r="BC1442" s="1783"/>
      <c r="BD1442" s="1783"/>
      <c r="BE1442" s="1783"/>
      <c r="BF1442" s="1783"/>
      <c r="BG1442" s="1783"/>
      <c r="BH1442" s="1783"/>
      <c r="BI1442" s="1783"/>
    </row>
    <row r="1443" spans="1:61">
      <c r="A1443" s="1819"/>
      <c r="B1443" s="1818"/>
      <c r="C1443" s="1818"/>
      <c r="D1443" s="1818"/>
      <c r="E1443" s="1818"/>
      <c r="F1443" s="1818"/>
      <c r="G1443" s="1818"/>
      <c r="H1443" s="1783"/>
      <c r="I1443" s="1783"/>
      <c r="J1443" s="1783"/>
      <c r="K1443" s="1783"/>
      <c r="L1443" s="1783"/>
      <c r="M1443" s="1783"/>
      <c r="N1443" s="1783"/>
      <c r="O1443" s="1783"/>
      <c r="P1443" s="1783"/>
      <c r="Q1443" s="1783"/>
      <c r="R1443" s="1783"/>
      <c r="S1443" s="1783"/>
      <c r="T1443" s="1783"/>
      <c r="U1443" s="1783"/>
      <c r="V1443" s="1783"/>
      <c r="W1443" s="1783"/>
      <c r="X1443" s="1783"/>
      <c r="Y1443" s="1783"/>
      <c r="Z1443" s="1783"/>
      <c r="AA1443" s="1783"/>
      <c r="AB1443" s="1783"/>
      <c r="AC1443" s="1783"/>
      <c r="AD1443" s="1783"/>
      <c r="AE1443" s="1783"/>
      <c r="AF1443" s="1783"/>
      <c r="AG1443" s="1783"/>
      <c r="AH1443" s="1783"/>
      <c r="AI1443" s="1783"/>
      <c r="AJ1443" s="1783"/>
      <c r="AK1443" s="1783"/>
      <c r="AL1443" s="1783"/>
      <c r="AM1443" s="1783"/>
      <c r="AN1443" s="1783"/>
      <c r="AO1443" s="1783"/>
      <c r="AP1443" s="1783"/>
      <c r="AQ1443" s="1783"/>
      <c r="AR1443" s="1783"/>
      <c r="AS1443" s="1783"/>
      <c r="AT1443" s="1783"/>
      <c r="AU1443" s="1783"/>
      <c r="AV1443" s="1783"/>
      <c r="AW1443" s="1783"/>
      <c r="AX1443" s="1783"/>
      <c r="AY1443" s="1783"/>
      <c r="AZ1443" s="1783"/>
      <c r="BA1443" s="1783"/>
      <c r="BB1443" s="1783"/>
      <c r="BC1443" s="1783"/>
      <c r="BD1443" s="1783"/>
      <c r="BE1443" s="1783"/>
      <c r="BF1443" s="1783"/>
      <c r="BG1443" s="1783"/>
      <c r="BH1443" s="1783"/>
      <c r="BI1443" s="1783"/>
    </row>
    <row r="1444" spans="1:61">
      <c r="A1444" s="1819"/>
      <c r="B1444" s="1818"/>
      <c r="C1444" s="1818"/>
      <c r="D1444" s="1818"/>
      <c r="E1444" s="1818"/>
      <c r="F1444" s="1818"/>
      <c r="G1444" s="1818"/>
      <c r="H1444" s="1783"/>
      <c r="I1444" s="1783"/>
      <c r="J1444" s="1783"/>
      <c r="K1444" s="1783"/>
      <c r="L1444" s="1783"/>
      <c r="M1444" s="1783"/>
      <c r="N1444" s="1783"/>
      <c r="O1444" s="1783"/>
      <c r="P1444" s="1783"/>
      <c r="Q1444" s="1783"/>
      <c r="R1444" s="1783"/>
      <c r="S1444" s="1783"/>
      <c r="T1444" s="1783"/>
      <c r="U1444" s="1783"/>
      <c r="V1444" s="1783"/>
      <c r="W1444" s="1783"/>
      <c r="X1444" s="1783"/>
      <c r="Y1444" s="1783"/>
      <c r="Z1444" s="1783"/>
      <c r="AA1444" s="1783"/>
      <c r="AB1444" s="1783"/>
      <c r="AC1444" s="1783"/>
      <c r="AD1444" s="1783"/>
      <c r="AE1444" s="1783"/>
      <c r="AF1444" s="1783"/>
      <c r="AG1444" s="1783"/>
      <c r="AH1444" s="1783"/>
      <c r="AI1444" s="1783"/>
      <c r="AJ1444" s="1783"/>
      <c r="AK1444" s="1783"/>
      <c r="AL1444" s="1783"/>
      <c r="AM1444" s="1783"/>
      <c r="AN1444" s="1783"/>
      <c r="AO1444" s="1783"/>
      <c r="AP1444" s="1783"/>
      <c r="AQ1444" s="1783"/>
      <c r="AR1444" s="1783"/>
      <c r="AS1444" s="1783"/>
      <c r="AT1444" s="1783"/>
      <c r="AU1444" s="1783"/>
      <c r="AV1444" s="1783"/>
      <c r="AW1444" s="1783"/>
      <c r="AX1444" s="1783"/>
      <c r="AY1444" s="1783"/>
      <c r="AZ1444" s="1783"/>
      <c r="BA1444" s="1783"/>
      <c r="BB1444" s="1783"/>
      <c r="BC1444" s="1783"/>
      <c r="BD1444" s="1783"/>
      <c r="BE1444" s="1783"/>
      <c r="BF1444" s="1783"/>
      <c r="BG1444" s="1783"/>
      <c r="BH1444" s="1783"/>
      <c r="BI1444" s="1783"/>
    </row>
    <row r="1445" spans="1:61">
      <c r="A1445" s="1819"/>
      <c r="B1445" s="1818"/>
      <c r="C1445" s="1818"/>
      <c r="D1445" s="1818"/>
      <c r="E1445" s="1818"/>
      <c r="F1445" s="1818"/>
      <c r="G1445" s="1818"/>
      <c r="H1445" s="1783"/>
      <c r="I1445" s="1783"/>
      <c r="J1445" s="1783"/>
      <c r="K1445" s="1783"/>
      <c r="L1445" s="1783"/>
      <c r="M1445" s="1783"/>
      <c r="N1445" s="1783"/>
      <c r="O1445" s="1783"/>
      <c r="P1445" s="1783"/>
      <c r="Q1445" s="1783"/>
      <c r="R1445" s="1783"/>
      <c r="S1445" s="1783"/>
      <c r="T1445" s="1783"/>
      <c r="U1445" s="1783"/>
      <c r="V1445" s="1783"/>
      <c r="W1445" s="1783"/>
      <c r="X1445" s="1783"/>
      <c r="Y1445" s="1783"/>
      <c r="Z1445" s="1783"/>
      <c r="AA1445" s="1783"/>
      <c r="AB1445" s="1783"/>
      <c r="AC1445" s="1783"/>
      <c r="AD1445" s="1783"/>
      <c r="AE1445" s="1783"/>
      <c r="AF1445" s="1783"/>
      <c r="AG1445" s="1783"/>
      <c r="AH1445" s="1783"/>
      <c r="AI1445" s="1783"/>
      <c r="AJ1445" s="1783"/>
      <c r="AK1445" s="1783"/>
      <c r="AL1445" s="1783"/>
      <c r="AM1445" s="1783"/>
      <c r="AN1445" s="1783"/>
      <c r="AO1445" s="1783"/>
      <c r="AP1445" s="1783"/>
      <c r="AQ1445" s="1783"/>
      <c r="AR1445" s="1783"/>
      <c r="AS1445" s="1783"/>
      <c r="AT1445" s="1783"/>
      <c r="AU1445" s="1783"/>
      <c r="AV1445" s="1783"/>
      <c r="AW1445" s="1783"/>
      <c r="AX1445" s="1783"/>
      <c r="AY1445" s="1783"/>
      <c r="AZ1445" s="1783"/>
      <c r="BA1445" s="1783"/>
      <c r="BB1445" s="1783"/>
      <c r="BC1445" s="1783"/>
      <c r="BD1445" s="1783"/>
      <c r="BE1445" s="1783"/>
      <c r="BF1445" s="1783"/>
      <c r="BG1445" s="1783"/>
      <c r="BH1445" s="1783"/>
      <c r="BI1445" s="1783"/>
    </row>
    <row r="1446" spans="1:61">
      <c r="A1446" s="1819"/>
      <c r="B1446" s="1818"/>
      <c r="C1446" s="1818"/>
      <c r="D1446" s="1818"/>
      <c r="E1446" s="1818"/>
      <c r="F1446" s="1818"/>
      <c r="G1446" s="1818"/>
      <c r="H1446" s="1783"/>
      <c r="I1446" s="1783"/>
      <c r="J1446" s="1783"/>
      <c r="K1446" s="1783"/>
      <c r="L1446" s="1783"/>
      <c r="M1446" s="1783"/>
      <c r="N1446" s="1783"/>
      <c r="O1446" s="1783"/>
      <c r="P1446" s="1783"/>
      <c r="Q1446" s="1783"/>
      <c r="R1446" s="1783"/>
      <c r="S1446" s="1783"/>
      <c r="T1446" s="1783"/>
      <c r="U1446" s="1783"/>
      <c r="V1446" s="1783"/>
      <c r="W1446" s="1783"/>
      <c r="X1446" s="1783"/>
      <c r="Y1446" s="1783"/>
      <c r="Z1446" s="1783"/>
      <c r="AA1446" s="1783"/>
      <c r="AB1446" s="1783"/>
      <c r="AC1446" s="1783"/>
      <c r="AD1446" s="1783"/>
      <c r="AE1446" s="1783"/>
      <c r="AF1446" s="1783"/>
      <c r="AG1446" s="1783"/>
      <c r="AH1446" s="1783"/>
      <c r="AI1446" s="1783"/>
      <c r="AJ1446" s="1783"/>
      <c r="AK1446" s="1783"/>
      <c r="AL1446" s="1783"/>
      <c r="AM1446" s="1783"/>
      <c r="AN1446" s="1783"/>
      <c r="AO1446" s="1783"/>
      <c r="AP1446" s="1783"/>
      <c r="AQ1446" s="1783"/>
      <c r="AR1446" s="1783"/>
      <c r="AS1446" s="1783"/>
      <c r="AT1446" s="1783"/>
      <c r="AU1446" s="1783"/>
      <c r="AV1446" s="1783"/>
      <c r="AW1446" s="1783"/>
      <c r="AX1446" s="1783"/>
      <c r="AY1446" s="1783"/>
      <c r="AZ1446" s="1783"/>
      <c r="BA1446" s="1783"/>
      <c r="BB1446" s="1783"/>
      <c r="BC1446" s="1783"/>
      <c r="BD1446" s="1783"/>
      <c r="BE1446" s="1783"/>
      <c r="BF1446" s="1783"/>
      <c r="BG1446" s="1783"/>
      <c r="BH1446" s="1783"/>
      <c r="BI1446" s="1783"/>
    </row>
    <row r="1447" spans="1:61">
      <c r="A1447" s="1819"/>
      <c r="B1447" s="1818"/>
      <c r="C1447" s="1818"/>
      <c r="D1447" s="1818"/>
      <c r="E1447" s="1818"/>
      <c r="F1447" s="1818"/>
      <c r="G1447" s="1818"/>
      <c r="H1447" s="1783"/>
      <c r="I1447" s="1783"/>
      <c r="J1447" s="1783"/>
      <c r="K1447" s="1783"/>
      <c r="L1447" s="1783"/>
      <c r="M1447" s="1783"/>
      <c r="N1447" s="1783"/>
      <c r="O1447" s="1783"/>
      <c r="P1447" s="1783"/>
      <c r="Q1447" s="1783"/>
      <c r="R1447" s="1783"/>
      <c r="S1447" s="1783"/>
      <c r="T1447" s="1783"/>
      <c r="U1447" s="1783"/>
      <c r="V1447" s="1783"/>
      <c r="W1447" s="1783"/>
      <c r="X1447" s="1783"/>
      <c r="Y1447" s="1783"/>
      <c r="Z1447" s="1783"/>
      <c r="AA1447" s="1783"/>
      <c r="AB1447" s="1783"/>
      <c r="AC1447" s="1783"/>
      <c r="AD1447" s="1783"/>
      <c r="AE1447" s="1783"/>
      <c r="AF1447" s="1783"/>
      <c r="AG1447" s="1783"/>
      <c r="AH1447" s="1783"/>
      <c r="AI1447" s="1783"/>
      <c r="AJ1447" s="1783"/>
      <c r="AK1447" s="1783"/>
      <c r="AL1447" s="1783"/>
      <c r="AM1447" s="1783"/>
      <c r="AN1447" s="1783"/>
      <c r="AO1447" s="1783"/>
      <c r="AP1447" s="1783"/>
      <c r="AQ1447" s="1783"/>
      <c r="AR1447" s="1783"/>
      <c r="AS1447" s="1783"/>
      <c r="AT1447" s="1783"/>
      <c r="AU1447" s="1783"/>
      <c r="AV1447" s="1783"/>
      <c r="AW1447" s="1783"/>
      <c r="AX1447" s="1783"/>
      <c r="AY1447" s="1783"/>
      <c r="AZ1447" s="1783"/>
      <c r="BA1447" s="1783"/>
      <c r="BB1447" s="1783"/>
      <c r="BC1447" s="1783"/>
      <c r="BD1447" s="1783"/>
      <c r="BE1447" s="1783"/>
      <c r="BF1447" s="1783"/>
      <c r="BG1447" s="1783"/>
      <c r="BH1447" s="1783"/>
      <c r="BI1447" s="1783"/>
    </row>
    <row r="1448" spans="1:61">
      <c r="A1448" s="1819"/>
      <c r="B1448" s="1818"/>
      <c r="C1448" s="1818"/>
      <c r="D1448" s="1818"/>
      <c r="E1448" s="1818"/>
      <c r="F1448" s="1818"/>
      <c r="G1448" s="1818"/>
      <c r="H1448" s="1783"/>
      <c r="I1448" s="1783"/>
      <c r="J1448" s="1783"/>
      <c r="K1448" s="1783"/>
      <c r="L1448" s="1783"/>
      <c r="M1448" s="1783"/>
      <c r="N1448" s="1783"/>
      <c r="O1448" s="1783"/>
      <c r="P1448" s="1783"/>
      <c r="Q1448" s="1783"/>
      <c r="R1448" s="1783"/>
      <c r="S1448" s="1783"/>
      <c r="T1448" s="1783"/>
      <c r="U1448" s="1783"/>
      <c r="V1448" s="1783"/>
      <c r="W1448" s="1783"/>
      <c r="X1448" s="1783"/>
      <c r="Y1448" s="1783"/>
      <c r="Z1448" s="1783"/>
      <c r="AA1448" s="1783"/>
      <c r="AB1448" s="1783"/>
      <c r="AC1448" s="1783"/>
      <c r="AD1448" s="1783"/>
      <c r="AE1448" s="1783"/>
      <c r="AF1448" s="1783"/>
      <c r="AG1448" s="1783"/>
      <c r="AH1448" s="1783"/>
      <c r="AI1448" s="1783"/>
      <c r="AJ1448" s="1783"/>
      <c r="AK1448" s="1783"/>
      <c r="AL1448" s="1783"/>
      <c r="AM1448" s="1783"/>
      <c r="AN1448" s="1783"/>
      <c r="AO1448" s="1783"/>
      <c r="AP1448" s="1783"/>
      <c r="AQ1448" s="1783"/>
      <c r="AR1448" s="1783"/>
      <c r="AS1448" s="1783"/>
      <c r="AT1448" s="1783"/>
      <c r="AU1448" s="1783"/>
      <c r="AV1448" s="1783"/>
      <c r="AW1448" s="1783"/>
      <c r="AX1448" s="1783"/>
      <c r="AY1448" s="1783"/>
      <c r="AZ1448" s="1783"/>
      <c r="BA1448" s="1783"/>
      <c r="BB1448" s="1783"/>
      <c r="BC1448" s="1783"/>
      <c r="BD1448" s="1783"/>
      <c r="BE1448" s="1783"/>
      <c r="BF1448" s="1783"/>
      <c r="BG1448" s="1783"/>
      <c r="BH1448" s="1783"/>
      <c r="BI1448" s="1783"/>
    </row>
    <row r="1449" spans="1:61">
      <c r="A1449" s="1819"/>
      <c r="B1449" s="1818"/>
      <c r="C1449" s="1818"/>
      <c r="D1449" s="1818"/>
      <c r="E1449" s="1818"/>
      <c r="F1449" s="1818"/>
      <c r="G1449" s="1818"/>
      <c r="H1449" s="1783"/>
      <c r="I1449" s="1783"/>
      <c r="J1449" s="1783"/>
      <c r="K1449" s="1783"/>
      <c r="L1449" s="1783"/>
      <c r="M1449" s="1783"/>
      <c r="N1449" s="1783"/>
      <c r="O1449" s="1783"/>
      <c r="P1449" s="1783"/>
      <c r="Q1449" s="1783"/>
      <c r="R1449" s="1783"/>
      <c r="S1449" s="1783"/>
      <c r="T1449" s="1783"/>
      <c r="U1449" s="1783"/>
      <c r="V1449" s="1783"/>
      <c r="W1449" s="1783"/>
      <c r="X1449" s="1783"/>
      <c r="Y1449" s="1783"/>
      <c r="Z1449" s="1783"/>
      <c r="AA1449" s="1783"/>
      <c r="AB1449" s="1783"/>
      <c r="AC1449" s="1783"/>
      <c r="AD1449" s="1783"/>
      <c r="AE1449" s="1783"/>
      <c r="AF1449" s="1783"/>
      <c r="AG1449" s="1783"/>
      <c r="AH1449" s="1783"/>
      <c r="AI1449" s="1783"/>
      <c r="AJ1449" s="1783"/>
      <c r="AK1449" s="1783"/>
      <c r="AL1449" s="1783"/>
      <c r="AM1449" s="1783"/>
      <c r="AN1449" s="1783"/>
      <c r="AO1449" s="1783"/>
      <c r="AP1449" s="1783"/>
      <c r="AQ1449" s="1783"/>
      <c r="AR1449" s="1783"/>
      <c r="AS1449" s="1783"/>
      <c r="AT1449" s="1783"/>
      <c r="AU1449" s="1783"/>
      <c r="AV1449" s="1783"/>
      <c r="AW1449" s="1783"/>
      <c r="AX1449" s="1783"/>
      <c r="AY1449" s="1783"/>
      <c r="AZ1449" s="1783"/>
      <c r="BA1449" s="1783"/>
      <c r="BB1449" s="1783"/>
      <c r="BC1449" s="1783"/>
      <c r="BD1449" s="1783"/>
      <c r="BE1449" s="1783"/>
      <c r="BF1449" s="1783"/>
      <c r="BG1449" s="1783"/>
      <c r="BH1449" s="1783"/>
      <c r="BI1449" s="1783"/>
    </row>
    <row r="1450" spans="1:61">
      <c r="A1450" s="1819"/>
      <c r="B1450" s="1818"/>
      <c r="C1450" s="1818"/>
      <c r="D1450" s="1818"/>
      <c r="E1450" s="1818"/>
      <c r="F1450" s="1818"/>
      <c r="G1450" s="1818"/>
      <c r="H1450" s="1783"/>
      <c r="I1450" s="1783"/>
      <c r="J1450" s="1783"/>
      <c r="K1450" s="1783"/>
      <c r="L1450" s="1783"/>
      <c r="M1450" s="1783"/>
      <c r="N1450" s="1783"/>
      <c r="O1450" s="1783"/>
      <c r="P1450" s="1783"/>
      <c r="Q1450" s="1783"/>
      <c r="R1450" s="1783"/>
      <c r="S1450" s="1783"/>
      <c r="T1450" s="1783"/>
      <c r="U1450" s="1783"/>
      <c r="V1450" s="1783"/>
      <c r="W1450" s="1783"/>
      <c r="X1450" s="1783"/>
      <c r="Y1450" s="1783"/>
      <c r="Z1450" s="1783"/>
      <c r="AA1450" s="1783"/>
      <c r="AB1450" s="1783"/>
      <c r="AC1450" s="1783"/>
      <c r="AD1450" s="1783"/>
      <c r="AE1450" s="1783"/>
      <c r="AF1450" s="1783"/>
      <c r="AG1450" s="1783"/>
      <c r="AH1450" s="1783"/>
      <c r="AI1450" s="1783"/>
      <c r="AJ1450" s="1783"/>
      <c r="AK1450" s="1783"/>
      <c r="AL1450" s="1783"/>
      <c r="AM1450" s="1783"/>
      <c r="AN1450" s="1783"/>
      <c r="AO1450" s="1783"/>
      <c r="AP1450" s="1783"/>
      <c r="AQ1450" s="1783"/>
      <c r="AR1450" s="1783"/>
      <c r="AS1450" s="1783"/>
      <c r="AT1450" s="1783"/>
      <c r="AU1450" s="1783"/>
      <c r="AV1450" s="1783"/>
      <c r="AW1450" s="1783"/>
      <c r="AX1450" s="1783"/>
      <c r="AY1450" s="1783"/>
      <c r="AZ1450" s="1783"/>
      <c r="BA1450" s="1783"/>
      <c r="BB1450" s="1783"/>
      <c r="BC1450" s="1783"/>
      <c r="BD1450" s="1783"/>
      <c r="BE1450" s="1783"/>
      <c r="BF1450" s="1783"/>
      <c r="BG1450" s="1783"/>
      <c r="BH1450" s="1783"/>
      <c r="BI1450" s="1783"/>
    </row>
    <row r="1451" spans="1:61">
      <c r="A1451" s="1819"/>
      <c r="B1451" s="1818"/>
      <c r="C1451" s="1818"/>
      <c r="D1451" s="1818"/>
      <c r="E1451" s="1818"/>
      <c r="F1451" s="1818"/>
      <c r="G1451" s="1818"/>
      <c r="H1451" s="1783"/>
      <c r="I1451" s="1783"/>
      <c r="J1451" s="1783"/>
      <c r="K1451" s="1783"/>
      <c r="L1451" s="1783"/>
      <c r="M1451" s="1783"/>
      <c r="N1451" s="1783"/>
      <c r="O1451" s="1783"/>
      <c r="P1451" s="1783"/>
      <c r="Q1451" s="1783"/>
      <c r="R1451" s="1783"/>
      <c r="S1451" s="1783"/>
      <c r="T1451" s="1783"/>
      <c r="U1451" s="1783"/>
      <c r="V1451" s="1783"/>
      <c r="W1451" s="1783"/>
      <c r="X1451" s="1783"/>
      <c r="Y1451" s="1783"/>
      <c r="Z1451" s="1783"/>
      <c r="AA1451" s="1783"/>
      <c r="AB1451" s="1783"/>
      <c r="AC1451" s="1783"/>
      <c r="AD1451" s="1783"/>
      <c r="AE1451" s="1783"/>
      <c r="AF1451" s="1783"/>
      <c r="AG1451" s="1783"/>
      <c r="AH1451" s="1783"/>
      <c r="AI1451" s="1783"/>
      <c r="AJ1451" s="1783"/>
      <c r="AK1451" s="1783"/>
      <c r="AL1451" s="1783"/>
      <c r="AM1451" s="1783"/>
      <c r="AN1451" s="1783"/>
      <c r="AO1451" s="1783"/>
      <c r="AP1451" s="1783"/>
      <c r="AQ1451" s="1783"/>
      <c r="AR1451" s="1783"/>
      <c r="AS1451" s="1783"/>
      <c r="AT1451" s="1783"/>
      <c r="AU1451" s="1783"/>
      <c r="AV1451" s="1783"/>
      <c r="AW1451" s="1783"/>
      <c r="AX1451" s="1783"/>
      <c r="AY1451" s="1783"/>
      <c r="AZ1451" s="1783"/>
      <c r="BA1451" s="1783"/>
      <c r="BB1451" s="1783"/>
      <c r="BC1451" s="1783"/>
      <c r="BD1451" s="1783"/>
      <c r="BE1451" s="1783"/>
      <c r="BF1451" s="1783"/>
      <c r="BG1451" s="1783"/>
      <c r="BH1451" s="1783"/>
      <c r="BI1451" s="1783"/>
    </row>
    <row r="1452" spans="1:61">
      <c r="A1452" s="1819"/>
      <c r="B1452" s="1818"/>
      <c r="C1452" s="1818"/>
      <c r="D1452" s="1818"/>
      <c r="E1452" s="1818"/>
      <c r="F1452" s="1818"/>
      <c r="G1452" s="1818"/>
      <c r="H1452" s="1783"/>
      <c r="I1452" s="1783"/>
      <c r="J1452" s="1783"/>
      <c r="K1452" s="1783"/>
      <c r="L1452" s="1783"/>
      <c r="M1452" s="1783"/>
      <c r="N1452" s="1783"/>
      <c r="O1452" s="1783"/>
      <c r="P1452" s="1783"/>
      <c r="Q1452" s="1783"/>
      <c r="R1452" s="1783"/>
      <c r="S1452" s="1783"/>
      <c r="T1452" s="1783"/>
      <c r="U1452" s="1783"/>
      <c r="V1452" s="1783"/>
      <c r="W1452" s="1783"/>
      <c r="X1452" s="1783"/>
      <c r="Y1452" s="1783"/>
      <c r="Z1452" s="1783"/>
      <c r="AA1452" s="1783"/>
      <c r="AB1452" s="1783"/>
      <c r="AC1452" s="1783"/>
      <c r="AD1452" s="1783"/>
      <c r="AE1452" s="1783"/>
      <c r="AF1452" s="1783"/>
      <c r="AG1452" s="1783"/>
      <c r="AH1452" s="1783"/>
      <c r="AI1452" s="1783"/>
      <c r="AJ1452" s="1783"/>
      <c r="AK1452" s="1783"/>
      <c r="AL1452" s="1783"/>
      <c r="AM1452" s="1783"/>
      <c r="AN1452" s="1783"/>
      <c r="AO1452" s="1783"/>
      <c r="AP1452" s="1783"/>
      <c r="AQ1452" s="1783"/>
      <c r="AR1452" s="1783"/>
      <c r="AS1452" s="1783"/>
      <c r="AT1452" s="1783"/>
      <c r="AU1452" s="1783"/>
      <c r="AV1452" s="1783"/>
      <c r="AW1452" s="1783"/>
      <c r="AX1452" s="1783"/>
      <c r="AY1452" s="1783"/>
      <c r="AZ1452" s="1783"/>
      <c r="BA1452" s="1783"/>
      <c r="BB1452" s="1783"/>
      <c r="BC1452" s="1783"/>
      <c r="BD1452" s="1783"/>
      <c r="BE1452" s="1783"/>
      <c r="BF1452" s="1783"/>
      <c r="BG1452" s="1783"/>
      <c r="BH1452" s="1783"/>
      <c r="BI1452" s="1783"/>
    </row>
    <row r="1453" spans="1:61">
      <c r="A1453" s="1819"/>
      <c r="B1453" s="1818"/>
      <c r="C1453" s="1818"/>
      <c r="D1453" s="1818"/>
      <c r="E1453" s="1818"/>
      <c r="F1453" s="1818"/>
      <c r="G1453" s="1818"/>
      <c r="H1453" s="1783"/>
      <c r="I1453" s="1783"/>
      <c r="J1453" s="1783"/>
      <c r="K1453" s="1783"/>
      <c r="L1453" s="1783"/>
      <c r="M1453" s="1783"/>
      <c r="N1453" s="1783"/>
      <c r="O1453" s="1783"/>
      <c r="P1453" s="1783"/>
      <c r="Q1453" s="1783"/>
      <c r="R1453" s="1783"/>
      <c r="S1453" s="1783"/>
      <c r="T1453" s="1783"/>
      <c r="U1453" s="1783"/>
      <c r="V1453" s="1783"/>
      <c r="W1453" s="1783"/>
      <c r="X1453" s="1783"/>
      <c r="Y1453" s="1783"/>
      <c r="Z1453" s="1783"/>
      <c r="AA1453" s="1783"/>
      <c r="AB1453" s="1783"/>
      <c r="AC1453" s="1783"/>
      <c r="AD1453" s="1783"/>
      <c r="AE1453" s="1783"/>
      <c r="AF1453" s="1783"/>
      <c r="AG1453" s="1783"/>
      <c r="AH1453" s="1783"/>
      <c r="AI1453" s="1783"/>
      <c r="AJ1453" s="1783"/>
      <c r="AK1453" s="1783"/>
      <c r="AL1453" s="1783"/>
      <c r="AM1453" s="1783"/>
      <c r="AN1453" s="1783"/>
      <c r="AO1453" s="1783"/>
      <c r="AP1453" s="1783"/>
      <c r="AQ1453" s="1783"/>
      <c r="AR1453" s="1783"/>
      <c r="AS1453" s="1783"/>
      <c r="AT1453" s="1783"/>
      <c r="AU1453" s="1783"/>
      <c r="AV1453" s="1783"/>
      <c r="AW1453" s="1783"/>
      <c r="AX1453" s="1783"/>
      <c r="AY1453" s="1783"/>
      <c r="AZ1453" s="1783"/>
      <c r="BA1453" s="1783"/>
      <c r="BB1453" s="1783"/>
      <c r="BC1453" s="1783"/>
      <c r="BD1453" s="1783"/>
      <c r="BE1453" s="1783"/>
      <c r="BF1453" s="1783"/>
      <c r="BG1453" s="1783"/>
      <c r="BH1453" s="1783"/>
      <c r="BI1453" s="1783"/>
    </row>
    <row r="1454" spans="1:61">
      <c r="A1454" s="1819"/>
      <c r="B1454" s="1818"/>
      <c r="C1454" s="1818"/>
      <c r="D1454" s="1818"/>
      <c r="E1454" s="1818"/>
      <c r="F1454" s="1818"/>
      <c r="G1454" s="1818"/>
      <c r="H1454" s="1783"/>
      <c r="I1454" s="1783"/>
      <c r="J1454" s="1783"/>
      <c r="K1454" s="1783"/>
      <c r="L1454" s="1783"/>
      <c r="M1454" s="1783"/>
      <c r="N1454" s="1783"/>
      <c r="O1454" s="1783"/>
      <c r="P1454" s="1783"/>
      <c r="Q1454" s="1783"/>
      <c r="R1454" s="1783"/>
      <c r="S1454" s="1783"/>
      <c r="T1454" s="1783"/>
      <c r="U1454" s="1783"/>
      <c r="V1454" s="1783"/>
      <c r="W1454" s="1783"/>
      <c r="X1454" s="1783"/>
      <c r="Y1454" s="1783"/>
      <c r="Z1454" s="1783"/>
      <c r="AA1454" s="1783"/>
      <c r="AB1454" s="1783"/>
      <c r="AC1454" s="1783"/>
      <c r="AD1454" s="1783"/>
      <c r="AE1454" s="1783"/>
      <c r="AF1454" s="1783"/>
      <c r="AG1454" s="1783"/>
      <c r="AH1454" s="1783"/>
      <c r="AI1454" s="1783"/>
      <c r="AJ1454" s="1783"/>
      <c r="AK1454" s="1783"/>
      <c r="AL1454" s="1783"/>
      <c r="AM1454" s="1783"/>
      <c r="AN1454" s="1783"/>
      <c r="AO1454" s="1783"/>
      <c r="AP1454" s="1783"/>
      <c r="AQ1454" s="1783"/>
      <c r="AR1454" s="1783"/>
      <c r="AS1454" s="1783"/>
      <c r="AT1454" s="1783"/>
      <c r="AU1454" s="1783"/>
      <c r="AV1454" s="1783"/>
      <c r="AW1454" s="1783"/>
      <c r="AX1454" s="1783"/>
      <c r="AY1454" s="1783"/>
      <c r="AZ1454" s="1783"/>
      <c r="BA1454" s="1783"/>
      <c r="BB1454" s="1783"/>
      <c r="BC1454" s="1783"/>
      <c r="BD1454" s="1783"/>
      <c r="BE1454" s="1783"/>
      <c r="BF1454" s="1783"/>
      <c r="BG1454" s="1783"/>
      <c r="BH1454" s="1783"/>
      <c r="BI1454" s="1783"/>
    </row>
    <row r="1455" spans="1:61">
      <c r="A1455" s="1819"/>
      <c r="B1455" s="1818"/>
      <c r="C1455" s="1818"/>
      <c r="D1455" s="1818"/>
      <c r="E1455" s="1818"/>
      <c r="F1455" s="1818"/>
      <c r="G1455" s="1818"/>
      <c r="H1455" s="1783"/>
      <c r="I1455" s="1783"/>
      <c r="J1455" s="1783"/>
      <c r="K1455" s="1783"/>
      <c r="L1455" s="1783"/>
      <c r="M1455" s="1783"/>
      <c r="N1455" s="1783"/>
      <c r="O1455" s="1783"/>
      <c r="P1455" s="1783"/>
      <c r="Q1455" s="1783"/>
      <c r="R1455" s="1783"/>
      <c r="S1455" s="1783"/>
      <c r="T1455" s="1783"/>
      <c r="U1455" s="1783"/>
      <c r="V1455" s="1783"/>
      <c r="W1455" s="1783"/>
      <c r="X1455" s="1783"/>
      <c r="Y1455" s="1783"/>
      <c r="Z1455" s="1783"/>
      <c r="AA1455" s="1783"/>
      <c r="AB1455" s="1783"/>
      <c r="AC1455" s="1783"/>
      <c r="AD1455" s="1783"/>
      <c r="AE1455" s="1783"/>
      <c r="AF1455" s="1783"/>
      <c r="AG1455" s="1783"/>
      <c r="AH1455" s="1783"/>
      <c r="AI1455" s="1783"/>
      <c r="AJ1455" s="1783"/>
      <c r="AK1455" s="1783"/>
      <c r="AL1455" s="1783"/>
      <c r="AM1455" s="1783"/>
      <c r="AN1455" s="1783"/>
      <c r="AO1455" s="1783"/>
      <c r="AP1455" s="1783"/>
      <c r="AQ1455" s="1783"/>
      <c r="AR1455" s="1783"/>
      <c r="AS1455" s="1783"/>
      <c r="AT1455" s="1783"/>
      <c r="AU1455" s="1783"/>
      <c r="AV1455" s="1783"/>
      <c r="AW1455" s="1783"/>
      <c r="AX1455" s="1783"/>
      <c r="AY1455" s="1783"/>
      <c r="AZ1455" s="1783"/>
      <c r="BA1455" s="1783"/>
      <c r="BB1455" s="1783"/>
      <c r="BC1455" s="1783"/>
      <c r="BD1455" s="1783"/>
      <c r="BE1455" s="1783"/>
      <c r="BF1455" s="1783"/>
      <c r="BG1455" s="1783"/>
      <c r="BH1455" s="1783"/>
      <c r="BI1455" s="1783"/>
    </row>
    <row r="1456" spans="1:61">
      <c r="A1456" s="1819"/>
      <c r="B1456" s="1818"/>
      <c r="C1456" s="1818"/>
      <c r="D1456" s="1818"/>
      <c r="E1456" s="1818"/>
      <c r="F1456" s="1818"/>
      <c r="G1456" s="1818"/>
      <c r="H1456" s="1783"/>
      <c r="I1456" s="1783"/>
      <c r="J1456" s="1783"/>
      <c r="K1456" s="1783"/>
      <c r="L1456" s="1783"/>
      <c r="M1456" s="1783"/>
      <c r="N1456" s="1783"/>
      <c r="O1456" s="1783"/>
      <c r="P1456" s="1783"/>
      <c r="Q1456" s="1783"/>
      <c r="R1456" s="1783"/>
      <c r="S1456" s="1783"/>
      <c r="T1456" s="1783"/>
      <c r="U1456" s="1783"/>
      <c r="V1456" s="1783"/>
      <c r="W1456" s="1783"/>
      <c r="X1456" s="1783"/>
      <c r="Y1456" s="1783"/>
      <c r="Z1456" s="1783"/>
      <c r="AA1456" s="1783"/>
      <c r="AB1456" s="1783"/>
      <c r="AC1456" s="1783"/>
      <c r="AD1456" s="1783"/>
      <c r="AE1456" s="1783"/>
      <c r="AF1456" s="1783"/>
      <c r="AG1456" s="1783"/>
      <c r="AH1456" s="1783"/>
      <c r="AI1456" s="1783"/>
      <c r="AJ1456" s="1783"/>
      <c r="AK1456" s="1783"/>
      <c r="AL1456" s="1783"/>
      <c r="AM1456" s="1783"/>
      <c r="AN1456" s="1783"/>
      <c r="AO1456" s="1783"/>
      <c r="AP1456" s="1783"/>
      <c r="AQ1456" s="1783"/>
      <c r="AR1456" s="1783"/>
      <c r="AS1456" s="1783"/>
      <c r="AT1456" s="1783"/>
      <c r="AU1456" s="1783"/>
      <c r="AV1456" s="1783"/>
      <c r="AW1456" s="1783"/>
      <c r="AX1456" s="1783"/>
      <c r="AY1456" s="1783"/>
      <c r="AZ1456" s="1783"/>
      <c r="BA1456" s="1783"/>
      <c r="BB1456" s="1783"/>
      <c r="BC1456" s="1783"/>
      <c r="BD1456" s="1783"/>
      <c r="BE1456" s="1783"/>
      <c r="BF1456" s="1783"/>
      <c r="BG1456" s="1783"/>
      <c r="BH1456" s="1783"/>
      <c r="BI1456" s="1783"/>
    </row>
    <row r="1457" spans="1:61">
      <c r="A1457" s="1819"/>
      <c r="B1457" s="1818"/>
      <c r="C1457" s="1818"/>
      <c r="D1457" s="1818"/>
      <c r="E1457" s="1818"/>
      <c r="F1457" s="1818"/>
      <c r="G1457" s="1818"/>
      <c r="H1457" s="1783"/>
      <c r="I1457" s="1783"/>
      <c r="J1457" s="1783"/>
      <c r="K1457" s="1783"/>
      <c r="L1457" s="1783"/>
      <c r="M1457" s="1783"/>
      <c r="N1457" s="1783"/>
      <c r="O1457" s="1783"/>
      <c r="P1457" s="1783"/>
      <c r="Q1457" s="1783"/>
      <c r="R1457" s="1783"/>
      <c r="S1457" s="1783"/>
      <c r="T1457" s="1783"/>
      <c r="U1457" s="1783"/>
      <c r="V1457" s="1783"/>
      <c r="W1457" s="1783"/>
      <c r="X1457" s="1783"/>
      <c r="Y1457" s="1783"/>
      <c r="Z1457" s="1783"/>
      <c r="AA1457" s="1783"/>
      <c r="AB1457" s="1783"/>
      <c r="AC1457" s="1783"/>
      <c r="AD1457" s="1783"/>
      <c r="AE1457" s="1783"/>
      <c r="AF1457" s="1783"/>
      <c r="AG1457" s="1783"/>
      <c r="AH1457" s="1783"/>
      <c r="AI1457" s="1783"/>
      <c r="AJ1457" s="1783"/>
      <c r="AK1457" s="1783"/>
      <c r="AL1457" s="1783"/>
      <c r="AM1457" s="1783"/>
      <c r="AN1457" s="1783"/>
      <c r="AO1457" s="1783"/>
      <c r="AP1457" s="1783"/>
      <c r="AQ1457" s="1783"/>
      <c r="AR1457" s="1783"/>
      <c r="AS1457" s="1783"/>
      <c r="AT1457" s="1783"/>
      <c r="AU1457" s="1783"/>
      <c r="AV1457" s="1783"/>
      <c r="AW1457" s="1783"/>
      <c r="AX1457" s="1783"/>
      <c r="AY1457" s="1783"/>
      <c r="AZ1457" s="1783"/>
      <c r="BA1457" s="1783"/>
      <c r="BB1457" s="1783"/>
      <c r="BC1457" s="1783"/>
      <c r="BD1457" s="1783"/>
      <c r="BE1457" s="1783"/>
      <c r="BF1457" s="1783"/>
      <c r="BG1457" s="1783"/>
      <c r="BH1457" s="1783"/>
      <c r="BI1457" s="1783"/>
    </row>
    <row r="1458" spans="1:61">
      <c r="A1458" s="1819"/>
      <c r="B1458" s="1818"/>
      <c r="C1458" s="1818"/>
      <c r="D1458" s="1818"/>
      <c r="E1458" s="1818"/>
      <c r="F1458" s="1818"/>
      <c r="G1458" s="1818"/>
      <c r="H1458" s="1783"/>
      <c r="I1458" s="1783"/>
      <c r="J1458" s="1783"/>
      <c r="K1458" s="1783"/>
      <c r="L1458" s="1783"/>
      <c r="M1458" s="1783"/>
      <c r="N1458" s="1783"/>
      <c r="O1458" s="1783"/>
      <c r="P1458" s="1783"/>
      <c r="Q1458" s="1783"/>
      <c r="R1458" s="1783"/>
      <c r="S1458" s="1783"/>
      <c r="T1458" s="1783"/>
      <c r="U1458" s="1783"/>
      <c r="V1458" s="1783"/>
      <c r="W1458" s="1783"/>
      <c r="X1458" s="1783"/>
      <c r="Y1458" s="1783"/>
      <c r="Z1458" s="1783"/>
      <c r="AA1458" s="1783"/>
      <c r="AB1458" s="1783"/>
      <c r="AC1458" s="1783"/>
      <c r="AD1458" s="1783"/>
      <c r="AE1458" s="1783"/>
      <c r="AF1458" s="1783"/>
      <c r="AG1458" s="1783"/>
      <c r="AH1458" s="1783"/>
      <c r="AI1458" s="1783"/>
      <c r="AJ1458" s="1783"/>
      <c r="AK1458" s="1783"/>
      <c r="AL1458" s="1783"/>
      <c r="AM1458" s="1783"/>
      <c r="AN1458" s="1783"/>
      <c r="AO1458" s="1783"/>
      <c r="AP1458" s="1783"/>
      <c r="AQ1458" s="1783"/>
      <c r="AR1458" s="1783"/>
      <c r="AS1458" s="1783"/>
      <c r="AT1458" s="1783"/>
      <c r="AU1458" s="1783"/>
      <c r="AV1458" s="1783"/>
      <c r="AW1458" s="1783"/>
      <c r="AX1458" s="1783"/>
      <c r="AY1458" s="1783"/>
      <c r="AZ1458" s="1783"/>
      <c r="BA1458" s="1783"/>
      <c r="BB1458" s="1783"/>
      <c r="BC1458" s="1783"/>
      <c r="BD1458" s="1783"/>
      <c r="BE1458" s="1783"/>
      <c r="BF1458" s="1783"/>
      <c r="BG1458" s="1783"/>
      <c r="BH1458" s="1783"/>
      <c r="BI1458" s="1783"/>
    </row>
    <row r="1459" spans="1:61">
      <c r="A1459" s="1819"/>
      <c r="B1459" s="1818"/>
      <c r="C1459" s="1818"/>
      <c r="D1459" s="1818"/>
      <c r="E1459" s="1818"/>
      <c r="F1459" s="1818"/>
      <c r="G1459" s="1818"/>
      <c r="H1459" s="1783"/>
      <c r="I1459" s="1783"/>
      <c r="J1459" s="1783"/>
      <c r="K1459" s="1783"/>
      <c r="L1459" s="1783"/>
      <c r="M1459" s="1783"/>
      <c r="N1459" s="1783"/>
      <c r="O1459" s="1783"/>
      <c r="P1459" s="1783"/>
      <c r="Q1459" s="1783"/>
      <c r="R1459" s="1783"/>
      <c r="S1459" s="1783"/>
      <c r="T1459" s="1783"/>
      <c r="U1459" s="1783"/>
      <c r="V1459" s="1783"/>
      <c r="W1459" s="1783"/>
      <c r="X1459" s="1783"/>
      <c r="Y1459" s="1783"/>
      <c r="Z1459" s="1783"/>
      <c r="AA1459" s="1783"/>
      <c r="AB1459" s="1783"/>
      <c r="AC1459" s="1783"/>
      <c r="AD1459" s="1783"/>
      <c r="AE1459" s="1783"/>
      <c r="AF1459" s="1783"/>
      <c r="AG1459" s="1783"/>
      <c r="AH1459" s="1783"/>
      <c r="AI1459" s="1783"/>
      <c r="AJ1459" s="1783"/>
      <c r="AK1459" s="1783"/>
      <c r="AL1459" s="1783"/>
      <c r="AM1459" s="1783"/>
      <c r="AN1459" s="1783"/>
      <c r="AO1459" s="1783"/>
      <c r="AP1459" s="1783"/>
      <c r="AQ1459" s="1783"/>
      <c r="AR1459" s="1783"/>
      <c r="AS1459" s="1783"/>
      <c r="AT1459" s="1783"/>
      <c r="AU1459" s="1783"/>
      <c r="AV1459" s="1783"/>
      <c r="AW1459" s="1783"/>
      <c r="AX1459" s="1783"/>
      <c r="AY1459" s="1783"/>
      <c r="AZ1459" s="1783"/>
      <c r="BA1459" s="1783"/>
      <c r="BB1459" s="1783"/>
      <c r="BC1459" s="1783"/>
      <c r="BD1459" s="1783"/>
      <c r="BE1459" s="1783"/>
      <c r="BF1459" s="1783"/>
      <c r="BG1459" s="1783"/>
      <c r="BH1459" s="1783"/>
      <c r="BI1459" s="1783"/>
    </row>
    <row r="1460" spans="1:61">
      <c r="A1460" s="1819"/>
      <c r="B1460" s="1818"/>
      <c r="C1460" s="1818"/>
      <c r="D1460" s="1818"/>
      <c r="E1460" s="1818"/>
      <c r="F1460" s="1818"/>
      <c r="G1460" s="1818"/>
      <c r="H1460" s="1783"/>
      <c r="I1460" s="1783"/>
      <c r="J1460" s="1783"/>
      <c r="K1460" s="1783"/>
      <c r="L1460" s="1783"/>
      <c r="M1460" s="1783"/>
      <c r="N1460" s="1783"/>
      <c r="O1460" s="1783"/>
      <c r="P1460" s="1783"/>
      <c r="Q1460" s="1783"/>
      <c r="R1460" s="1783"/>
      <c r="S1460" s="1783"/>
      <c r="T1460" s="1783"/>
      <c r="U1460" s="1783"/>
      <c r="V1460" s="1783"/>
      <c r="W1460" s="1783"/>
      <c r="X1460" s="1783"/>
      <c r="Y1460" s="1783"/>
      <c r="Z1460" s="1783"/>
      <c r="AA1460" s="1783"/>
      <c r="AB1460" s="1783"/>
      <c r="AC1460" s="1783"/>
      <c r="AD1460" s="1783"/>
      <c r="AE1460" s="1783"/>
      <c r="AF1460" s="1783"/>
      <c r="AG1460" s="1783"/>
      <c r="AH1460" s="1783"/>
      <c r="AI1460" s="1783"/>
      <c r="AJ1460" s="1783"/>
      <c r="AK1460" s="1783"/>
      <c r="AL1460" s="1783"/>
      <c r="AM1460" s="1783"/>
      <c r="AN1460" s="1783"/>
      <c r="AO1460" s="1783"/>
      <c r="AP1460" s="1783"/>
      <c r="AQ1460" s="1783"/>
      <c r="AR1460" s="1783"/>
      <c r="AS1460" s="1783"/>
      <c r="AT1460" s="1783"/>
      <c r="AU1460" s="1783"/>
      <c r="AV1460" s="1783"/>
      <c r="AW1460" s="1783"/>
      <c r="AX1460" s="1783"/>
      <c r="AY1460" s="1783"/>
      <c r="AZ1460" s="1783"/>
      <c r="BA1460" s="1783"/>
      <c r="BB1460" s="1783"/>
      <c r="BC1460" s="1783"/>
      <c r="BD1460" s="1783"/>
      <c r="BE1460" s="1783"/>
      <c r="BF1460" s="1783"/>
      <c r="BG1460" s="1783"/>
      <c r="BH1460" s="1783"/>
      <c r="BI1460" s="1783"/>
    </row>
    <row r="1461" spans="1:61">
      <c r="A1461" s="1819"/>
      <c r="B1461" s="1818"/>
      <c r="C1461" s="1818"/>
      <c r="D1461" s="1818"/>
      <c r="E1461" s="1818"/>
      <c r="F1461" s="1818"/>
      <c r="G1461" s="1818"/>
      <c r="H1461" s="1783"/>
      <c r="I1461" s="1783"/>
      <c r="J1461" s="1783"/>
      <c r="K1461" s="1783"/>
      <c r="L1461" s="1783"/>
      <c r="M1461" s="1783"/>
      <c r="N1461" s="1783"/>
      <c r="O1461" s="1783"/>
      <c r="P1461" s="1783"/>
      <c r="Q1461" s="1783"/>
      <c r="R1461" s="1783"/>
      <c r="S1461" s="1783"/>
      <c r="T1461" s="1783"/>
      <c r="U1461" s="1783"/>
      <c r="V1461" s="1783"/>
      <c r="W1461" s="1783"/>
      <c r="X1461" s="1783"/>
      <c r="Y1461" s="1783"/>
      <c r="Z1461" s="1783"/>
      <c r="AA1461" s="1783"/>
      <c r="AB1461" s="1783"/>
      <c r="AC1461" s="1783"/>
      <c r="AD1461" s="1783"/>
      <c r="AE1461" s="1783"/>
      <c r="AF1461" s="1783"/>
      <c r="AG1461" s="1783"/>
      <c r="AH1461" s="1783"/>
      <c r="AI1461" s="1783"/>
      <c r="AJ1461" s="1783"/>
      <c r="AK1461" s="1783"/>
      <c r="AL1461" s="1783"/>
      <c r="AM1461" s="1783"/>
      <c r="AN1461" s="1783"/>
      <c r="AO1461" s="1783"/>
      <c r="AP1461" s="1783"/>
      <c r="AQ1461" s="1783"/>
      <c r="AR1461" s="1783"/>
      <c r="AS1461" s="1783"/>
      <c r="AT1461" s="1783"/>
      <c r="AU1461" s="1783"/>
      <c r="AV1461" s="1783"/>
      <c r="AW1461" s="1783"/>
      <c r="AX1461" s="1783"/>
      <c r="AY1461" s="1783"/>
      <c r="AZ1461" s="1783"/>
      <c r="BA1461" s="1783"/>
      <c r="BB1461" s="1783"/>
      <c r="BC1461" s="1783"/>
      <c r="BD1461" s="1783"/>
      <c r="BE1461" s="1783"/>
      <c r="BF1461" s="1783"/>
      <c r="BG1461" s="1783"/>
      <c r="BH1461" s="1783"/>
      <c r="BI1461" s="1783"/>
    </row>
    <row r="1462" spans="1:61">
      <c r="A1462" s="1819"/>
      <c r="B1462" s="1818"/>
      <c r="C1462" s="1818"/>
      <c r="D1462" s="1818"/>
      <c r="E1462" s="1818"/>
      <c r="F1462" s="1818"/>
      <c r="G1462" s="1818"/>
      <c r="H1462" s="1783"/>
      <c r="I1462" s="1783"/>
      <c r="J1462" s="1783"/>
      <c r="K1462" s="1783"/>
      <c r="L1462" s="1783"/>
      <c r="M1462" s="1783"/>
      <c r="N1462" s="1783"/>
      <c r="O1462" s="1783"/>
      <c r="P1462" s="1783"/>
      <c r="Q1462" s="1783"/>
      <c r="R1462" s="1783"/>
      <c r="S1462" s="1783"/>
      <c r="T1462" s="1783"/>
      <c r="U1462" s="1783"/>
      <c r="V1462" s="1783"/>
      <c r="W1462" s="1783"/>
      <c r="X1462" s="1783"/>
      <c r="Y1462" s="1783"/>
      <c r="Z1462" s="1783"/>
      <c r="AA1462" s="1783"/>
      <c r="AB1462" s="1783"/>
      <c r="AC1462" s="1783"/>
      <c r="AD1462" s="1783"/>
      <c r="AE1462" s="1783"/>
      <c r="AF1462" s="1783"/>
      <c r="AG1462" s="1783"/>
      <c r="AH1462" s="1783"/>
      <c r="AI1462" s="1783"/>
      <c r="AJ1462" s="1783"/>
      <c r="AK1462" s="1783"/>
      <c r="AL1462" s="1783"/>
      <c r="AM1462" s="1783"/>
      <c r="AN1462" s="1783"/>
      <c r="AO1462" s="1783"/>
      <c r="AP1462" s="1783"/>
      <c r="AQ1462" s="1783"/>
      <c r="AR1462" s="1783"/>
      <c r="AS1462" s="1783"/>
      <c r="AT1462" s="1783"/>
      <c r="AU1462" s="1783"/>
      <c r="AV1462" s="1783"/>
      <c r="AW1462" s="1783"/>
      <c r="AX1462" s="1783"/>
      <c r="AY1462" s="1783"/>
      <c r="AZ1462" s="1783"/>
      <c r="BA1462" s="1783"/>
      <c r="BB1462" s="1783"/>
      <c r="BC1462" s="1783"/>
      <c r="BD1462" s="1783"/>
      <c r="BE1462" s="1783"/>
      <c r="BF1462" s="1783"/>
      <c r="BG1462" s="1783"/>
      <c r="BH1462" s="1783"/>
      <c r="BI1462" s="1783"/>
    </row>
    <row r="1463" spans="1:61">
      <c r="A1463" s="1819"/>
      <c r="B1463" s="1818"/>
      <c r="C1463" s="1818"/>
      <c r="D1463" s="1818"/>
      <c r="E1463" s="1818"/>
      <c r="F1463" s="1818"/>
      <c r="G1463" s="1818"/>
      <c r="H1463" s="1783"/>
      <c r="I1463" s="1783"/>
      <c r="J1463" s="1783"/>
      <c r="K1463" s="1783"/>
      <c r="L1463" s="1783"/>
      <c r="M1463" s="1783"/>
      <c r="N1463" s="1783"/>
      <c r="O1463" s="1783"/>
      <c r="P1463" s="1783"/>
      <c r="Q1463" s="1783"/>
      <c r="R1463" s="1783"/>
      <c r="S1463" s="1783"/>
      <c r="T1463" s="1783"/>
      <c r="U1463" s="1783"/>
      <c r="V1463" s="1783"/>
      <c r="W1463" s="1783"/>
      <c r="X1463" s="1783"/>
      <c r="Y1463" s="1783"/>
      <c r="Z1463" s="1783"/>
      <c r="AA1463" s="1783"/>
      <c r="AB1463" s="1783"/>
      <c r="AC1463" s="1783"/>
      <c r="AD1463" s="1783"/>
      <c r="AE1463" s="1783"/>
      <c r="AF1463" s="1783"/>
      <c r="AG1463" s="1783"/>
      <c r="AH1463" s="1783"/>
      <c r="AI1463" s="1783"/>
      <c r="AJ1463" s="1783"/>
      <c r="AK1463" s="1783"/>
      <c r="AL1463" s="1783"/>
      <c r="AM1463" s="1783"/>
      <c r="AN1463" s="1783"/>
      <c r="AO1463" s="1783"/>
      <c r="AP1463" s="1783"/>
      <c r="AQ1463" s="1783"/>
      <c r="AR1463" s="1783"/>
      <c r="AS1463" s="1783"/>
      <c r="AT1463" s="1783"/>
      <c r="AU1463" s="1783"/>
      <c r="AV1463" s="1783"/>
      <c r="AW1463" s="1783"/>
      <c r="AX1463" s="1783"/>
      <c r="AY1463" s="1783"/>
      <c r="AZ1463" s="1783"/>
      <c r="BA1463" s="1783"/>
      <c r="BB1463" s="1783"/>
      <c r="BC1463" s="1783"/>
      <c r="BD1463" s="1783"/>
      <c r="BE1463" s="1783"/>
      <c r="BF1463" s="1783"/>
      <c r="BG1463" s="1783"/>
      <c r="BH1463" s="1783"/>
      <c r="BI1463" s="1783"/>
    </row>
    <row r="1464" spans="1:61">
      <c r="A1464" s="1819"/>
      <c r="B1464" s="1818"/>
      <c r="C1464" s="1818"/>
      <c r="D1464" s="1818"/>
      <c r="E1464" s="1818"/>
      <c r="F1464" s="1818"/>
      <c r="G1464" s="1818"/>
      <c r="H1464" s="1783"/>
      <c r="I1464" s="1783"/>
      <c r="J1464" s="1783"/>
      <c r="K1464" s="1783"/>
      <c r="L1464" s="1783"/>
      <c r="M1464" s="1783"/>
      <c r="N1464" s="1783"/>
      <c r="O1464" s="1783"/>
      <c r="P1464" s="1783"/>
      <c r="Q1464" s="1783"/>
      <c r="R1464" s="1783"/>
      <c r="S1464" s="1783"/>
      <c r="T1464" s="1783"/>
      <c r="U1464" s="1783"/>
      <c r="V1464" s="1783"/>
      <c r="W1464" s="1783"/>
      <c r="X1464" s="1783"/>
      <c r="Y1464" s="1783"/>
      <c r="Z1464" s="1783"/>
      <c r="AA1464" s="1783"/>
      <c r="AB1464" s="1783"/>
      <c r="AC1464" s="1783"/>
      <c r="AD1464" s="1783"/>
      <c r="AE1464" s="1783"/>
      <c r="AF1464" s="1783"/>
      <c r="AG1464" s="1783"/>
      <c r="AH1464" s="1783"/>
      <c r="AI1464" s="1783"/>
      <c r="AJ1464" s="1783"/>
      <c r="AK1464" s="1783"/>
      <c r="AL1464" s="1783"/>
      <c r="AM1464" s="1783"/>
      <c r="AN1464" s="1783"/>
      <c r="AO1464" s="1783"/>
      <c r="AP1464" s="1783"/>
      <c r="AQ1464" s="1783"/>
      <c r="AR1464" s="1783"/>
      <c r="AS1464" s="1783"/>
      <c r="AT1464" s="1783"/>
      <c r="AU1464" s="1783"/>
      <c r="AV1464" s="1783"/>
      <c r="AW1464" s="1783"/>
      <c r="AX1464" s="1783"/>
      <c r="AY1464" s="1783"/>
      <c r="AZ1464" s="1783"/>
      <c r="BA1464" s="1783"/>
      <c r="BB1464" s="1783"/>
      <c r="BC1464" s="1783"/>
      <c r="BD1464" s="1783"/>
      <c r="BE1464" s="1783"/>
      <c r="BF1464" s="1783"/>
      <c r="BG1464" s="1783"/>
      <c r="BH1464" s="1783"/>
      <c r="BI1464" s="1783"/>
    </row>
    <row r="1465" spans="1:61">
      <c r="A1465" s="1819"/>
      <c r="B1465" s="1818"/>
      <c r="C1465" s="1818"/>
      <c r="D1465" s="1818"/>
      <c r="E1465" s="1818"/>
      <c r="F1465" s="1818"/>
      <c r="G1465" s="1818"/>
      <c r="H1465" s="1783"/>
      <c r="I1465" s="1783"/>
      <c r="J1465" s="1783"/>
      <c r="K1465" s="1783"/>
      <c r="L1465" s="1783"/>
      <c r="M1465" s="1783"/>
      <c r="N1465" s="1783"/>
      <c r="O1465" s="1783"/>
      <c r="P1465" s="1783"/>
      <c r="Q1465" s="1783"/>
      <c r="R1465" s="1783"/>
      <c r="S1465" s="1783"/>
      <c r="T1465" s="1783"/>
      <c r="U1465" s="1783"/>
      <c r="V1465" s="1783"/>
      <c r="W1465" s="1783"/>
      <c r="X1465" s="1783"/>
      <c r="Y1465" s="1783"/>
      <c r="Z1465" s="1783"/>
      <c r="AA1465" s="1783"/>
      <c r="AB1465" s="1783"/>
      <c r="AC1465" s="1783"/>
      <c r="AD1465" s="1783"/>
      <c r="AE1465" s="1783"/>
      <c r="AF1465" s="1783"/>
      <c r="AG1465" s="1783"/>
      <c r="AH1465" s="1783"/>
      <c r="AI1465" s="1783"/>
      <c r="AJ1465" s="1783"/>
      <c r="AK1465" s="1783"/>
      <c r="AL1465" s="1783"/>
      <c r="AM1465" s="1783"/>
      <c r="AN1465" s="1783"/>
      <c r="AO1465" s="1783"/>
      <c r="AP1465" s="1783"/>
      <c r="AQ1465" s="1783"/>
      <c r="AR1465" s="1783"/>
      <c r="AS1465" s="1783"/>
      <c r="AT1465" s="1783"/>
      <c r="AU1465" s="1783"/>
      <c r="AV1465" s="1783"/>
      <c r="AW1465" s="1783"/>
      <c r="AX1465" s="1783"/>
      <c r="AY1465" s="1783"/>
      <c r="AZ1465" s="1783"/>
      <c r="BA1465" s="1783"/>
      <c r="BB1465" s="1783"/>
      <c r="BC1465" s="1783"/>
      <c r="BD1465" s="1783"/>
      <c r="BE1465" s="1783"/>
      <c r="BF1465" s="1783"/>
      <c r="BG1465" s="1783"/>
      <c r="BH1465" s="1783"/>
      <c r="BI1465" s="1783"/>
    </row>
    <row r="1466" spans="1:61">
      <c r="A1466" s="1819"/>
      <c r="B1466" s="1818"/>
      <c r="C1466" s="1818"/>
      <c r="D1466" s="1818"/>
      <c r="E1466" s="1818"/>
      <c r="F1466" s="1818"/>
      <c r="G1466" s="1818"/>
      <c r="H1466" s="1783"/>
      <c r="I1466" s="1783"/>
      <c r="J1466" s="1783"/>
      <c r="K1466" s="1783"/>
      <c r="L1466" s="1783"/>
      <c r="M1466" s="1783"/>
      <c r="N1466" s="1783"/>
      <c r="O1466" s="1783"/>
      <c r="P1466" s="1783"/>
      <c r="Q1466" s="1783"/>
      <c r="R1466" s="1783"/>
      <c r="S1466" s="1783"/>
      <c r="T1466" s="1783"/>
      <c r="U1466" s="1783"/>
      <c r="V1466" s="1783"/>
      <c r="W1466" s="1783"/>
      <c r="X1466" s="1783"/>
      <c r="Y1466" s="1783"/>
      <c r="Z1466" s="1783"/>
      <c r="AA1466" s="1783"/>
      <c r="AB1466" s="1783"/>
      <c r="AC1466" s="1783"/>
      <c r="AD1466" s="1783"/>
      <c r="AE1466" s="1783"/>
      <c r="AF1466" s="1783"/>
      <c r="AG1466" s="1783"/>
      <c r="AH1466" s="1783"/>
      <c r="AI1466" s="1783"/>
      <c r="AJ1466" s="1783"/>
      <c r="AK1466" s="1783"/>
      <c r="AL1466" s="1783"/>
      <c r="AM1466" s="1783"/>
      <c r="AN1466" s="1783"/>
      <c r="AO1466" s="1783"/>
      <c r="AP1466" s="1783"/>
      <c r="AQ1466" s="1783"/>
      <c r="AR1466" s="1783"/>
      <c r="AS1466" s="1783"/>
      <c r="AT1466" s="1783"/>
      <c r="AU1466" s="1783"/>
      <c r="AV1466" s="1783"/>
      <c r="AW1466" s="1783"/>
      <c r="AX1466" s="1783"/>
      <c r="AY1466" s="1783"/>
      <c r="AZ1466" s="1783"/>
      <c r="BA1466" s="1783"/>
      <c r="BB1466" s="1783"/>
      <c r="BC1466" s="1783"/>
      <c r="BD1466" s="1783"/>
      <c r="BE1466" s="1783"/>
      <c r="BF1466" s="1783"/>
      <c r="BG1466" s="1783"/>
      <c r="BH1466" s="1783"/>
      <c r="BI1466" s="1783"/>
    </row>
    <row r="1467" spans="1:61">
      <c r="A1467" s="1819"/>
      <c r="B1467" s="1818"/>
      <c r="C1467" s="1818"/>
      <c r="D1467" s="1818"/>
      <c r="E1467" s="1818"/>
      <c r="F1467" s="1818"/>
      <c r="G1467" s="1818"/>
      <c r="H1467" s="1783"/>
      <c r="I1467" s="1783"/>
      <c r="J1467" s="1783"/>
      <c r="K1467" s="1783"/>
      <c r="L1467" s="1783"/>
      <c r="M1467" s="1783"/>
      <c r="N1467" s="1783"/>
      <c r="O1467" s="1783"/>
      <c r="P1467" s="1783"/>
      <c r="Q1467" s="1783"/>
      <c r="R1467" s="1783"/>
      <c r="S1467" s="1783"/>
      <c r="T1467" s="1783"/>
      <c r="U1467" s="1783"/>
      <c r="V1467" s="1783"/>
      <c r="W1467" s="1783"/>
      <c r="X1467" s="1783"/>
      <c r="Y1467" s="1783"/>
      <c r="Z1467" s="1783"/>
      <c r="AA1467" s="1783"/>
      <c r="AB1467" s="1783"/>
      <c r="AC1467" s="1783"/>
      <c r="AD1467" s="1783"/>
      <c r="AE1467" s="1783"/>
      <c r="AF1467" s="1783"/>
      <c r="AG1467" s="1783"/>
      <c r="AH1467" s="1783"/>
      <c r="AI1467" s="1783"/>
      <c r="AJ1467" s="1783"/>
      <c r="AK1467" s="1783"/>
      <c r="AL1467" s="1783"/>
      <c r="AM1467" s="1783"/>
      <c r="AN1467" s="1783"/>
      <c r="AO1467" s="1783"/>
      <c r="AP1467" s="1783"/>
      <c r="AQ1467" s="1783"/>
      <c r="AR1467" s="1783"/>
      <c r="AS1467" s="1783"/>
      <c r="AT1467" s="1783"/>
      <c r="AU1467" s="1783"/>
      <c r="AV1467" s="1783"/>
      <c r="AW1467" s="1783"/>
      <c r="AX1467" s="1783"/>
      <c r="AY1467" s="1783"/>
      <c r="AZ1467" s="1783"/>
      <c r="BA1467" s="1783"/>
      <c r="BB1467" s="1783"/>
      <c r="BC1467" s="1783"/>
      <c r="BD1467" s="1783"/>
      <c r="BE1467" s="1783"/>
      <c r="BF1467" s="1783"/>
      <c r="BG1467" s="1783"/>
      <c r="BH1467" s="1783"/>
      <c r="BI1467" s="1783"/>
    </row>
    <row r="1468" spans="1:61">
      <c r="A1468" s="1819"/>
      <c r="B1468" s="1818"/>
      <c r="C1468" s="1818"/>
      <c r="D1468" s="1818"/>
      <c r="E1468" s="1818"/>
      <c r="F1468" s="1818"/>
      <c r="G1468" s="1818"/>
      <c r="H1468" s="1783"/>
      <c r="I1468" s="1783"/>
      <c r="J1468" s="1783"/>
      <c r="K1468" s="1783"/>
      <c r="L1468" s="1783"/>
      <c r="M1468" s="1783"/>
      <c r="N1468" s="1783"/>
      <c r="O1468" s="1783"/>
      <c r="P1468" s="1783"/>
      <c r="Q1468" s="1783"/>
      <c r="R1468" s="1783"/>
      <c r="S1468" s="1783"/>
      <c r="T1468" s="1783"/>
      <c r="U1468" s="1783"/>
      <c r="V1468" s="1783"/>
      <c r="W1468" s="1783"/>
      <c r="X1468" s="1783"/>
      <c r="Y1468" s="1783"/>
      <c r="Z1468" s="1783"/>
      <c r="AA1468" s="1783"/>
      <c r="AB1468" s="1783"/>
      <c r="AC1468" s="1783"/>
      <c r="AD1468" s="1783"/>
      <c r="AE1468" s="1783"/>
      <c r="AF1468" s="1783"/>
      <c r="AG1468" s="1783"/>
      <c r="AH1468" s="1783"/>
      <c r="AI1468" s="1783"/>
      <c r="AJ1468" s="1783"/>
      <c r="AK1468" s="1783"/>
      <c r="AL1468" s="1783"/>
      <c r="AM1468" s="1783"/>
      <c r="AN1468" s="1783"/>
      <c r="AO1468" s="1783"/>
      <c r="AP1468" s="1783"/>
      <c r="AQ1468" s="1783"/>
      <c r="AR1468" s="1783"/>
      <c r="AS1468" s="1783"/>
      <c r="AT1468" s="1783"/>
      <c r="AU1468" s="1783"/>
      <c r="AV1468" s="1783"/>
      <c r="AW1468" s="1783"/>
      <c r="AX1468" s="1783"/>
      <c r="AY1468" s="1783"/>
      <c r="AZ1468" s="1783"/>
      <c r="BA1468" s="1783"/>
      <c r="BB1468" s="1783"/>
      <c r="BC1468" s="1783"/>
      <c r="BD1468" s="1783"/>
      <c r="BE1468" s="1783"/>
      <c r="BF1468" s="1783"/>
      <c r="BG1468" s="1783"/>
      <c r="BH1468" s="1783"/>
      <c r="BI1468" s="1783"/>
    </row>
    <row r="1469" spans="1:61">
      <c r="A1469" s="1819"/>
      <c r="B1469" s="1818"/>
      <c r="C1469" s="1818"/>
      <c r="D1469" s="1818"/>
      <c r="E1469" s="1818"/>
      <c r="F1469" s="1818"/>
      <c r="G1469" s="1818"/>
      <c r="H1469" s="1783"/>
      <c r="I1469" s="1783"/>
      <c r="J1469" s="1783"/>
      <c r="K1469" s="1783"/>
      <c r="L1469" s="1783"/>
      <c r="M1469" s="1783"/>
      <c r="N1469" s="1783"/>
      <c r="O1469" s="1783"/>
      <c r="P1469" s="1783"/>
      <c r="Q1469" s="1783"/>
      <c r="R1469" s="1783"/>
      <c r="S1469" s="1783"/>
      <c r="T1469" s="1783"/>
      <c r="U1469" s="1783"/>
      <c r="V1469" s="1783"/>
      <c r="W1469" s="1783"/>
      <c r="X1469" s="1783"/>
      <c r="Y1469" s="1783"/>
      <c r="Z1469" s="1783"/>
      <c r="AA1469" s="1783"/>
      <c r="AB1469" s="1783"/>
      <c r="AC1469" s="1783"/>
      <c r="AD1469" s="1783"/>
      <c r="AE1469" s="1783"/>
      <c r="AF1469" s="1783"/>
      <c r="AG1469" s="1783"/>
      <c r="AH1469" s="1783"/>
      <c r="AI1469" s="1783"/>
      <c r="AJ1469" s="1783"/>
      <c r="AK1469" s="1783"/>
      <c r="AL1469" s="1783"/>
      <c r="AM1469" s="1783"/>
      <c r="AN1469" s="1783"/>
      <c r="AO1469" s="1783"/>
      <c r="AP1469" s="1783"/>
      <c r="AQ1469" s="1783"/>
      <c r="AR1469" s="1783"/>
      <c r="AS1469" s="1783"/>
      <c r="AT1469" s="1783"/>
      <c r="AU1469" s="1783"/>
      <c r="AV1469" s="1783"/>
      <c r="AW1469" s="1783"/>
      <c r="AX1469" s="1783"/>
      <c r="AY1469" s="1783"/>
      <c r="AZ1469" s="1783"/>
      <c r="BA1469" s="1783"/>
      <c r="BB1469" s="1783"/>
      <c r="BC1469" s="1783"/>
      <c r="BD1469" s="1783"/>
      <c r="BE1469" s="1783"/>
      <c r="BF1469" s="1783"/>
      <c r="BG1469" s="1783"/>
      <c r="BH1469" s="1783"/>
      <c r="BI1469" s="1783"/>
    </row>
    <row r="1470" spans="1:61">
      <c r="A1470" s="1819"/>
      <c r="B1470" s="1818"/>
      <c r="C1470" s="1818"/>
      <c r="D1470" s="1818"/>
      <c r="E1470" s="1818"/>
      <c r="F1470" s="1818"/>
      <c r="G1470" s="1818"/>
      <c r="H1470" s="1783"/>
      <c r="I1470" s="1783"/>
      <c r="J1470" s="1783"/>
      <c r="K1470" s="1783"/>
      <c r="L1470" s="1783"/>
      <c r="M1470" s="1783"/>
      <c r="N1470" s="1783"/>
      <c r="O1470" s="1783"/>
      <c r="P1470" s="1783"/>
      <c r="Q1470" s="1783"/>
      <c r="R1470" s="1783"/>
      <c r="S1470" s="1783"/>
      <c r="T1470" s="1783"/>
      <c r="U1470" s="1783"/>
      <c r="V1470" s="1783"/>
      <c r="W1470" s="1783"/>
      <c r="X1470" s="1783"/>
      <c r="Y1470" s="1783"/>
      <c r="Z1470" s="1783"/>
      <c r="AA1470" s="1783"/>
      <c r="AB1470" s="1783"/>
      <c r="AC1470" s="1783"/>
      <c r="AD1470" s="1783"/>
      <c r="AE1470" s="1783"/>
      <c r="AF1470" s="1783"/>
      <c r="AG1470" s="1783"/>
      <c r="AH1470" s="1783"/>
      <c r="AI1470" s="1783"/>
      <c r="AJ1470" s="1783"/>
      <c r="AK1470" s="1783"/>
      <c r="AL1470" s="1783"/>
      <c r="AM1470" s="1783"/>
      <c r="AN1470" s="1783"/>
      <c r="AO1470" s="1783"/>
      <c r="AP1470" s="1783"/>
      <c r="AQ1470" s="1783"/>
      <c r="AR1470" s="1783"/>
      <c r="AS1470" s="1783"/>
      <c r="AT1470" s="1783"/>
      <c r="AU1470" s="1783"/>
      <c r="AV1470" s="1783"/>
      <c r="AW1470" s="1783"/>
      <c r="AX1470" s="1783"/>
      <c r="AY1470" s="1783"/>
      <c r="AZ1470" s="1783"/>
      <c r="BA1470" s="1783"/>
      <c r="BB1470" s="1783"/>
      <c r="BC1470" s="1783"/>
      <c r="BD1470" s="1783"/>
      <c r="BE1470" s="1783"/>
      <c r="BF1470" s="1783"/>
      <c r="BG1470" s="1783"/>
      <c r="BH1470" s="1783"/>
      <c r="BI1470" s="1783"/>
    </row>
    <row r="1471" spans="1:61">
      <c r="A1471" s="1819"/>
      <c r="B1471" s="1818"/>
      <c r="C1471" s="1818"/>
      <c r="D1471" s="1818"/>
      <c r="E1471" s="1818"/>
      <c r="F1471" s="1818"/>
      <c r="G1471" s="1818"/>
      <c r="H1471" s="1783"/>
      <c r="I1471" s="1783"/>
      <c r="J1471" s="1783"/>
      <c r="K1471" s="1783"/>
      <c r="L1471" s="1783"/>
      <c r="M1471" s="1783"/>
      <c r="N1471" s="1783"/>
      <c r="O1471" s="1783"/>
      <c r="P1471" s="1783"/>
      <c r="Q1471" s="1783"/>
      <c r="R1471" s="1783"/>
      <c r="S1471" s="1783"/>
      <c r="T1471" s="1783"/>
      <c r="U1471" s="1783"/>
      <c r="V1471" s="1783"/>
      <c r="W1471" s="1783"/>
      <c r="X1471" s="1783"/>
      <c r="Y1471" s="1783"/>
      <c r="Z1471" s="1783"/>
      <c r="AA1471" s="1783"/>
      <c r="AB1471" s="1783"/>
      <c r="AC1471" s="1783"/>
      <c r="AD1471" s="1783"/>
      <c r="AE1471" s="1783"/>
      <c r="AF1471" s="1783"/>
      <c r="AG1471" s="1783"/>
      <c r="AH1471" s="1783"/>
      <c r="AI1471" s="1783"/>
      <c r="AJ1471" s="1783"/>
      <c r="AK1471" s="1783"/>
      <c r="AL1471" s="1783"/>
      <c r="AM1471" s="1783"/>
      <c r="AN1471" s="1783"/>
      <c r="AO1471" s="1783"/>
      <c r="AP1471" s="1783"/>
      <c r="AQ1471" s="1783"/>
      <c r="AR1471" s="1783"/>
      <c r="AS1471" s="1783"/>
      <c r="AT1471" s="1783"/>
      <c r="AU1471" s="1783"/>
      <c r="AV1471" s="1783"/>
      <c r="AW1471" s="1783"/>
      <c r="AX1471" s="1783"/>
      <c r="AY1471" s="1783"/>
      <c r="AZ1471" s="1783"/>
      <c r="BA1471" s="1783"/>
      <c r="BB1471" s="1783"/>
      <c r="BC1471" s="1783"/>
      <c r="BD1471" s="1783"/>
      <c r="BE1471" s="1783"/>
      <c r="BF1471" s="1783"/>
      <c r="BG1471" s="1783"/>
      <c r="BH1471" s="1783"/>
      <c r="BI1471" s="1783"/>
    </row>
    <row r="1472" spans="1:61">
      <c r="A1472" s="1819"/>
      <c r="B1472" s="1818"/>
      <c r="C1472" s="1818"/>
      <c r="D1472" s="1818"/>
      <c r="E1472" s="1818"/>
      <c r="F1472" s="1818"/>
      <c r="G1472" s="1818"/>
      <c r="H1472" s="1783"/>
      <c r="I1472" s="1783"/>
      <c r="J1472" s="1783"/>
      <c r="K1472" s="1783"/>
      <c r="L1472" s="1783"/>
      <c r="M1472" s="1783"/>
      <c r="N1472" s="1783"/>
      <c r="O1472" s="1783"/>
      <c r="P1472" s="1783"/>
      <c r="Q1472" s="1783"/>
      <c r="R1472" s="1783"/>
      <c r="S1472" s="1783"/>
      <c r="T1472" s="1783"/>
      <c r="U1472" s="1783"/>
      <c r="V1472" s="1783"/>
      <c r="W1472" s="1783"/>
      <c r="X1472" s="1783"/>
      <c r="Y1472" s="1783"/>
      <c r="Z1472" s="1783"/>
      <c r="AA1472" s="1783"/>
      <c r="AB1472" s="1783"/>
      <c r="AC1472" s="1783"/>
      <c r="AD1472" s="1783"/>
      <c r="AE1472" s="1783"/>
      <c r="AF1472" s="1783"/>
      <c r="AG1472" s="1783"/>
      <c r="AH1472" s="1783"/>
      <c r="AI1472" s="1783"/>
      <c r="AJ1472" s="1783"/>
      <c r="AK1472" s="1783"/>
      <c r="AL1472" s="1783"/>
      <c r="AM1472" s="1783"/>
      <c r="AN1472" s="1783"/>
      <c r="AO1472" s="1783"/>
      <c r="AP1472" s="1783"/>
      <c r="AQ1472" s="1783"/>
      <c r="AR1472" s="1783"/>
      <c r="AS1472" s="1783"/>
      <c r="AT1472" s="1783"/>
      <c r="AU1472" s="1783"/>
      <c r="AV1472" s="1783"/>
      <c r="AW1472" s="1783"/>
      <c r="AX1472" s="1783"/>
      <c r="AY1472" s="1783"/>
      <c r="AZ1472" s="1783"/>
      <c r="BA1472" s="1783"/>
      <c r="BB1472" s="1783"/>
      <c r="BC1472" s="1783"/>
      <c r="BD1472" s="1783"/>
      <c r="BE1472" s="1783"/>
      <c r="BF1472" s="1783"/>
      <c r="BG1472" s="1783"/>
      <c r="BH1472" s="1783"/>
      <c r="BI1472" s="1783"/>
    </row>
    <row r="1473" spans="1:61">
      <c r="A1473" s="1819"/>
      <c r="B1473" s="1818"/>
      <c r="C1473" s="1818"/>
      <c r="D1473" s="1818"/>
      <c r="E1473" s="1818"/>
      <c r="F1473" s="1818"/>
      <c r="G1473" s="1818"/>
      <c r="H1473" s="1783"/>
      <c r="I1473" s="1783"/>
      <c r="J1473" s="1783"/>
      <c r="K1473" s="1783"/>
      <c r="L1473" s="1783"/>
      <c r="M1473" s="1783"/>
      <c r="N1473" s="1783"/>
      <c r="O1473" s="1783"/>
      <c r="P1473" s="1783"/>
      <c r="Q1473" s="1783"/>
      <c r="R1473" s="1783"/>
      <c r="S1473" s="1783"/>
      <c r="T1473" s="1783"/>
      <c r="U1473" s="1783"/>
      <c r="V1473" s="1783"/>
      <c r="W1473" s="1783"/>
      <c r="X1473" s="1783"/>
      <c r="Y1473" s="1783"/>
      <c r="Z1473" s="1783"/>
      <c r="AA1473" s="1783"/>
      <c r="AB1473" s="1783"/>
      <c r="AC1473" s="1783"/>
      <c r="AD1473" s="1783"/>
      <c r="AE1473" s="1783"/>
      <c r="AF1473" s="1783"/>
      <c r="AG1473" s="1783"/>
      <c r="AH1473" s="1783"/>
      <c r="AI1473" s="1783"/>
      <c r="AJ1473" s="1783"/>
      <c r="AK1473" s="1783"/>
      <c r="AL1473" s="1783"/>
      <c r="AM1473" s="1783"/>
      <c r="AN1473" s="1783"/>
      <c r="AO1473" s="1783"/>
      <c r="AP1473" s="1783"/>
      <c r="AQ1473" s="1783"/>
      <c r="AR1473" s="1783"/>
      <c r="AS1473" s="1783"/>
      <c r="AT1473" s="1783"/>
      <c r="AU1473" s="1783"/>
      <c r="AV1473" s="1783"/>
      <c r="AW1473" s="1783"/>
      <c r="AX1473" s="1783"/>
      <c r="AY1473" s="1783"/>
      <c r="AZ1473" s="1783"/>
      <c r="BA1473" s="1783"/>
      <c r="BB1473" s="1783"/>
      <c r="BC1473" s="1783"/>
      <c r="BD1473" s="1783"/>
      <c r="BE1473" s="1783"/>
      <c r="BF1473" s="1783"/>
      <c r="BG1473" s="1783"/>
      <c r="BH1473" s="1783"/>
      <c r="BI1473" s="1783"/>
    </row>
    <row r="1474" spans="1:61">
      <c r="A1474" s="1819"/>
      <c r="B1474" s="1818"/>
      <c r="C1474" s="1818"/>
      <c r="D1474" s="1818"/>
      <c r="E1474" s="1818"/>
      <c r="F1474" s="1818"/>
      <c r="G1474" s="1818"/>
      <c r="H1474" s="1783"/>
      <c r="I1474" s="1783"/>
      <c r="J1474" s="1783"/>
      <c r="K1474" s="1783"/>
      <c r="L1474" s="1783"/>
      <c r="M1474" s="1783"/>
      <c r="N1474" s="1783"/>
      <c r="O1474" s="1783"/>
      <c r="P1474" s="1783"/>
      <c r="Q1474" s="1783"/>
      <c r="R1474" s="1783"/>
      <c r="S1474" s="1783"/>
      <c r="T1474" s="1783"/>
      <c r="U1474" s="1783"/>
      <c r="V1474" s="1783"/>
      <c r="W1474" s="1783"/>
      <c r="X1474" s="1783"/>
      <c r="Y1474" s="1783"/>
      <c r="Z1474" s="1783"/>
      <c r="AA1474" s="1783"/>
      <c r="AB1474" s="1783"/>
      <c r="AC1474" s="1783"/>
      <c r="AD1474" s="1783"/>
      <c r="AE1474" s="1783"/>
      <c r="AF1474" s="1783"/>
      <c r="AG1474" s="1783"/>
      <c r="AH1474" s="1783"/>
      <c r="AI1474" s="1783"/>
      <c r="AJ1474" s="1783"/>
      <c r="AK1474" s="1783"/>
      <c r="AL1474" s="1783"/>
      <c r="AM1474" s="1783"/>
      <c r="AN1474" s="1783"/>
      <c r="AO1474" s="1783"/>
      <c r="AP1474" s="1783"/>
      <c r="AQ1474" s="1783"/>
      <c r="AR1474" s="1783"/>
      <c r="AS1474" s="1783"/>
      <c r="AT1474" s="1783"/>
      <c r="AU1474" s="1783"/>
      <c r="AV1474" s="1783"/>
      <c r="AW1474" s="1783"/>
      <c r="AX1474" s="1783"/>
      <c r="AY1474" s="1783"/>
      <c r="AZ1474" s="1783"/>
      <c r="BA1474" s="1783"/>
      <c r="BB1474" s="1783"/>
      <c r="BC1474" s="1783"/>
      <c r="BD1474" s="1783"/>
      <c r="BE1474" s="1783"/>
      <c r="BF1474" s="1783"/>
      <c r="BG1474" s="1783"/>
      <c r="BH1474" s="1783"/>
      <c r="BI1474" s="1783"/>
    </row>
    <row r="1475" spans="1:61">
      <c r="A1475" s="1819"/>
      <c r="B1475" s="1818"/>
      <c r="C1475" s="1818"/>
      <c r="D1475" s="1818"/>
      <c r="E1475" s="1818"/>
      <c r="F1475" s="1818"/>
      <c r="G1475" s="1818"/>
      <c r="H1475" s="1783"/>
      <c r="I1475" s="1783"/>
      <c r="J1475" s="1783"/>
      <c r="K1475" s="1783"/>
      <c r="L1475" s="1783"/>
      <c r="M1475" s="1783"/>
      <c r="N1475" s="1783"/>
      <c r="O1475" s="1783"/>
      <c r="P1475" s="1783"/>
      <c r="Q1475" s="1783"/>
      <c r="R1475" s="1783"/>
      <c r="S1475" s="1783"/>
      <c r="T1475" s="1783"/>
      <c r="U1475" s="1783"/>
      <c r="V1475" s="1783"/>
      <c r="W1475" s="1783"/>
      <c r="X1475" s="1783"/>
      <c r="Y1475" s="1783"/>
      <c r="Z1475" s="1783"/>
      <c r="AA1475" s="1783"/>
      <c r="AB1475" s="1783"/>
      <c r="AC1475" s="1783"/>
      <c r="AD1475" s="1783"/>
      <c r="AE1475" s="1783"/>
      <c r="AF1475" s="1783"/>
      <c r="AG1475" s="1783"/>
      <c r="AH1475" s="1783"/>
      <c r="AI1475" s="1783"/>
      <c r="AJ1475" s="1783"/>
      <c r="AK1475" s="1783"/>
      <c r="AL1475" s="1783"/>
      <c r="AM1475" s="1783"/>
      <c r="AN1475" s="1783"/>
      <c r="AO1475" s="1783"/>
      <c r="AP1475" s="1783"/>
      <c r="AQ1475" s="1783"/>
      <c r="AR1475" s="1783"/>
      <c r="AS1475" s="1783"/>
      <c r="AT1475" s="1783"/>
      <c r="AU1475" s="1783"/>
      <c r="AV1475" s="1783"/>
      <c r="AW1475" s="1783"/>
      <c r="AX1475" s="1783"/>
      <c r="AY1475" s="1783"/>
      <c r="AZ1475" s="1783"/>
      <c r="BA1475" s="1783"/>
      <c r="BB1475" s="1783"/>
      <c r="BC1475" s="1783"/>
      <c r="BD1475" s="1783"/>
      <c r="BE1475" s="1783"/>
      <c r="BF1475" s="1783"/>
      <c r="BG1475" s="1783"/>
      <c r="BH1475" s="1783"/>
      <c r="BI1475" s="1783"/>
    </row>
    <row r="1476" spans="1:61">
      <c r="A1476" s="1819"/>
      <c r="B1476" s="1818"/>
      <c r="C1476" s="1818"/>
      <c r="D1476" s="1818"/>
      <c r="E1476" s="1818"/>
      <c r="F1476" s="1818"/>
      <c r="G1476" s="1818"/>
      <c r="H1476" s="1783"/>
      <c r="I1476" s="1783"/>
      <c r="J1476" s="1783"/>
      <c r="K1476" s="1783"/>
      <c r="L1476" s="1783"/>
      <c r="M1476" s="1783"/>
      <c r="N1476" s="1783"/>
      <c r="O1476" s="1783"/>
      <c r="P1476" s="1783"/>
      <c r="Q1476" s="1783"/>
      <c r="R1476" s="1783"/>
      <c r="S1476" s="1783"/>
      <c r="T1476" s="1783"/>
      <c r="U1476" s="1783"/>
      <c r="V1476" s="1783"/>
      <c r="W1476" s="1783"/>
      <c r="X1476" s="1783"/>
      <c r="Y1476" s="1783"/>
      <c r="Z1476" s="1783"/>
      <c r="AA1476" s="1783"/>
      <c r="AB1476" s="1783"/>
      <c r="AC1476" s="1783"/>
      <c r="AD1476" s="1783"/>
      <c r="AE1476" s="1783"/>
      <c r="AF1476" s="1783"/>
      <c r="AG1476" s="1783"/>
      <c r="AH1476" s="1783"/>
      <c r="AI1476" s="1783"/>
      <c r="AJ1476" s="1783"/>
      <c r="AK1476" s="1783"/>
      <c r="AL1476" s="1783"/>
      <c r="AM1476" s="1783"/>
      <c r="AN1476" s="1783"/>
      <c r="AO1476" s="1783"/>
      <c r="AP1476" s="1783"/>
      <c r="AQ1476" s="1783"/>
      <c r="AR1476" s="1783"/>
      <c r="AS1476" s="1783"/>
      <c r="AT1476" s="1783"/>
      <c r="AU1476" s="1783"/>
      <c r="AV1476" s="1783"/>
      <c r="AW1476" s="1783"/>
      <c r="AX1476" s="1783"/>
      <c r="AY1476" s="1783"/>
      <c r="AZ1476" s="1783"/>
      <c r="BA1476" s="1783"/>
      <c r="BB1476" s="1783"/>
      <c r="BC1476" s="1783"/>
      <c r="BD1476" s="1783"/>
      <c r="BE1476" s="1783"/>
      <c r="BF1476" s="1783"/>
      <c r="BG1476" s="1783"/>
      <c r="BH1476" s="1783"/>
      <c r="BI1476" s="1783"/>
    </row>
    <row r="1477" spans="1:61">
      <c r="A1477" s="1819"/>
      <c r="B1477" s="1818"/>
      <c r="C1477" s="1818"/>
      <c r="D1477" s="1818"/>
      <c r="E1477" s="1818"/>
      <c r="F1477" s="1818"/>
      <c r="G1477" s="1818"/>
      <c r="H1477" s="1783"/>
      <c r="I1477" s="1783"/>
      <c r="J1477" s="1783"/>
      <c r="K1477" s="1783"/>
      <c r="L1477" s="1783"/>
      <c r="M1477" s="1783"/>
      <c r="N1477" s="1783"/>
      <c r="O1477" s="1783"/>
      <c r="P1477" s="1783"/>
      <c r="Q1477" s="1783"/>
      <c r="R1477" s="1783"/>
      <c r="S1477" s="1783"/>
      <c r="T1477" s="1783"/>
      <c r="U1477" s="1783"/>
      <c r="V1477" s="1783"/>
      <c r="W1477" s="1783"/>
      <c r="X1477" s="1783"/>
      <c r="Y1477" s="1783"/>
      <c r="Z1477" s="1783"/>
      <c r="AA1477" s="1783"/>
      <c r="AB1477" s="1783"/>
      <c r="AC1477" s="1783"/>
      <c r="AD1477" s="1783"/>
      <c r="AE1477" s="1783"/>
      <c r="AF1477" s="1783"/>
      <c r="AG1477" s="1783"/>
      <c r="AH1477" s="1783"/>
      <c r="AI1477" s="1783"/>
      <c r="AJ1477" s="1783"/>
      <c r="AK1477" s="1783"/>
      <c r="AL1477" s="1783"/>
      <c r="AM1477" s="1783"/>
      <c r="AN1477" s="1783"/>
      <c r="AO1477" s="1783"/>
      <c r="AP1477" s="1783"/>
      <c r="AQ1477" s="1783"/>
      <c r="AR1477" s="1783"/>
      <c r="AS1477" s="1783"/>
      <c r="AT1477" s="1783"/>
      <c r="AU1477" s="1783"/>
      <c r="AV1477" s="1783"/>
      <c r="AW1477" s="1783"/>
      <c r="AX1477" s="1783"/>
      <c r="AY1477" s="1783"/>
      <c r="AZ1477" s="1783"/>
      <c r="BA1477" s="1783"/>
      <c r="BB1477" s="1783"/>
      <c r="BC1477" s="1783"/>
      <c r="BD1477" s="1783"/>
      <c r="BE1477" s="1783"/>
      <c r="BF1477" s="1783"/>
      <c r="BG1477" s="1783"/>
      <c r="BH1477" s="1783"/>
      <c r="BI1477" s="1783"/>
    </row>
    <row r="1478" spans="1:61">
      <c r="A1478" s="1819"/>
      <c r="B1478" s="1818"/>
      <c r="C1478" s="1818"/>
      <c r="D1478" s="1818"/>
      <c r="E1478" s="1818"/>
      <c r="F1478" s="1818"/>
      <c r="G1478" s="1818"/>
      <c r="H1478" s="1783"/>
      <c r="I1478" s="1783"/>
      <c r="J1478" s="1783"/>
      <c r="K1478" s="1783"/>
      <c r="L1478" s="1783"/>
      <c r="M1478" s="1783"/>
      <c r="N1478" s="1783"/>
      <c r="O1478" s="1783"/>
      <c r="P1478" s="1783"/>
      <c r="Q1478" s="1783"/>
      <c r="R1478" s="1783"/>
      <c r="S1478" s="1783"/>
      <c r="T1478" s="1783"/>
      <c r="U1478" s="1783"/>
      <c r="V1478" s="1783"/>
      <c r="W1478" s="1783"/>
      <c r="X1478" s="1783"/>
      <c r="Y1478" s="1783"/>
      <c r="Z1478" s="1783"/>
      <c r="AA1478" s="1783"/>
      <c r="AB1478" s="1783"/>
      <c r="AC1478" s="1783"/>
      <c r="AD1478" s="1783"/>
      <c r="AE1478" s="1783"/>
      <c r="AF1478" s="1783"/>
      <c r="AG1478" s="1783"/>
      <c r="AH1478" s="1783"/>
      <c r="AI1478" s="1783"/>
      <c r="AJ1478" s="1783"/>
      <c r="AK1478" s="1783"/>
      <c r="AL1478" s="1783"/>
      <c r="AM1478" s="1783"/>
      <c r="AN1478" s="1783"/>
      <c r="AO1478" s="1783"/>
      <c r="AP1478" s="1783"/>
      <c r="AQ1478" s="1783"/>
      <c r="AR1478" s="1783"/>
      <c r="AS1478" s="1783"/>
      <c r="AT1478" s="1783"/>
      <c r="AU1478" s="1783"/>
      <c r="AV1478" s="1783"/>
      <c r="AW1478" s="1783"/>
      <c r="AX1478" s="1783"/>
      <c r="AY1478" s="1783"/>
      <c r="AZ1478" s="1783"/>
      <c r="BA1478" s="1783"/>
      <c r="BB1478" s="1783"/>
      <c r="BC1478" s="1783"/>
      <c r="BD1478" s="1783"/>
      <c r="BE1478" s="1783"/>
      <c r="BF1478" s="1783"/>
      <c r="BG1478" s="1783"/>
      <c r="BH1478" s="1783"/>
      <c r="BI1478" s="1783"/>
    </row>
    <row r="1479" spans="1:61">
      <c r="A1479" s="1819"/>
      <c r="B1479" s="1818"/>
      <c r="C1479" s="1818"/>
      <c r="D1479" s="1818"/>
      <c r="E1479" s="1818"/>
      <c r="F1479" s="1818"/>
      <c r="G1479" s="1818"/>
      <c r="H1479" s="1783"/>
      <c r="I1479" s="1783"/>
      <c r="J1479" s="1783"/>
      <c r="K1479" s="1783"/>
      <c r="L1479" s="1783"/>
      <c r="M1479" s="1783"/>
      <c r="N1479" s="1783"/>
      <c r="O1479" s="1783"/>
      <c r="P1479" s="1783"/>
      <c r="Q1479" s="1783"/>
      <c r="R1479" s="1783"/>
      <c r="S1479" s="1783"/>
      <c r="T1479" s="1783"/>
      <c r="U1479" s="1783"/>
      <c r="V1479" s="1783"/>
      <c r="W1479" s="1783"/>
      <c r="X1479" s="1783"/>
      <c r="Y1479" s="1783"/>
      <c r="Z1479" s="1783"/>
      <c r="AA1479" s="1783"/>
      <c r="AB1479" s="1783"/>
      <c r="AC1479" s="1783"/>
      <c r="AD1479" s="1783"/>
      <c r="AE1479" s="1783"/>
      <c r="AF1479" s="1783"/>
      <c r="AG1479" s="1783"/>
      <c r="AH1479" s="1783"/>
      <c r="AI1479" s="1783"/>
      <c r="AJ1479" s="1783"/>
      <c r="AK1479" s="1783"/>
      <c r="AL1479" s="1783"/>
      <c r="AM1479" s="1783"/>
      <c r="AN1479" s="1783"/>
      <c r="AO1479" s="1783"/>
      <c r="AP1479" s="1783"/>
      <c r="AQ1479" s="1783"/>
      <c r="AR1479" s="1783"/>
      <c r="AS1479" s="1783"/>
      <c r="AT1479" s="1783"/>
      <c r="AU1479" s="1783"/>
      <c r="AV1479" s="1783"/>
      <c r="AW1479" s="1783"/>
      <c r="AX1479" s="1783"/>
      <c r="AY1479" s="1783"/>
      <c r="AZ1479" s="1783"/>
      <c r="BA1479" s="1783"/>
      <c r="BB1479" s="1783"/>
      <c r="BC1479" s="1783"/>
      <c r="BD1479" s="1783"/>
      <c r="BE1479" s="1783"/>
      <c r="BF1479" s="1783"/>
      <c r="BG1479" s="1783"/>
      <c r="BH1479" s="1783"/>
      <c r="BI1479" s="1783"/>
    </row>
    <row r="1480" spans="1:61">
      <c r="A1480" s="1819"/>
      <c r="B1480" s="1818"/>
      <c r="C1480" s="1818"/>
      <c r="D1480" s="1818"/>
      <c r="E1480" s="1818"/>
      <c r="F1480" s="1818"/>
      <c r="G1480" s="1818"/>
      <c r="H1480" s="1783"/>
      <c r="I1480" s="1783"/>
      <c r="J1480" s="1783"/>
      <c r="K1480" s="1783"/>
      <c r="L1480" s="1783"/>
      <c r="M1480" s="1783"/>
      <c r="N1480" s="1783"/>
      <c r="O1480" s="1783"/>
      <c r="P1480" s="1783"/>
      <c r="Q1480" s="1783"/>
      <c r="R1480" s="1783"/>
      <c r="S1480" s="1783"/>
      <c r="T1480" s="1783"/>
      <c r="U1480" s="1783"/>
      <c r="V1480" s="1783"/>
      <c r="W1480" s="1783"/>
      <c r="X1480" s="1783"/>
      <c r="Y1480" s="1783"/>
      <c r="Z1480" s="1783"/>
      <c r="AA1480" s="1783"/>
      <c r="AB1480" s="1783"/>
      <c r="AC1480" s="1783"/>
      <c r="AD1480" s="1783"/>
      <c r="AE1480" s="1783"/>
      <c r="AF1480" s="1783"/>
      <c r="AG1480" s="1783"/>
      <c r="AH1480" s="1783"/>
      <c r="AI1480" s="1783"/>
      <c r="AJ1480" s="1783"/>
      <c r="AK1480" s="1783"/>
      <c r="AL1480" s="1783"/>
      <c r="AM1480" s="1783"/>
      <c r="AN1480" s="1783"/>
      <c r="AO1480" s="1783"/>
      <c r="AP1480" s="1783"/>
      <c r="AQ1480" s="1783"/>
      <c r="AR1480" s="1783"/>
      <c r="AS1480" s="1783"/>
      <c r="AT1480" s="1783"/>
      <c r="AU1480" s="1783"/>
      <c r="AV1480" s="1783"/>
      <c r="AW1480" s="1783"/>
      <c r="AX1480" s="1783"/>
      <c r="AY1480" s="1783"/>
      <c r="AZ1480" s="1783"/>
      <c r="BA1480" s="1783"/>
      <c r="BB1480" s="1783"/>
      <c r="BC1480" s="1783"/>
      <c r="BD1480" s="1783"/>
      <c r="BE1480" s="1783"/>
      <c r="BF1480" s="1783"/>
      <c r="BG1480" s="1783"/>
      <c r="BH1480" s="1783"/>
      <c r="BI1480" s="1783"/>
    </row>
    <row r="1481" spans="1:61">
      <c r="A1481" s="1819"/>
      <c r="B1481" s="1818"/>
      <c r="C1481" s="1818"/>
      <c r="D1481" s="1818"/>
      <c r="E1481" s="1818"/>
      <c r="F1481" s="1818"/>
      <c r="G1481" s="1818"/>
      <c r="H1481" s="1783"/>
      <c r="I1481" s="1783"/>
      <c r="J1481" s="1783"/>
      <c r="K1481" s="1783"/>
      <c r="L1481" s="1783"/>
      <c r="M1481" s="1783"/>
      <c r="N1481" s="1783"/>
      <c r="O1481" s="1783"/>
      <c r="P1481" s="1783"/>
      <c r="Q1481" s="1783"/>
      <c r="R1481" s="1783"/>
      <c r="S1481" s="1783"/>
      <c r="T1481" s="1783"/>
      <c r="U1481" s="1783"/>
      <c r="V1481" s="1783"/>
      <c r="W1481" s="1783"/>
      <c r="X1481" s="1783"/>
      <c r="Y1481" s="1783"/>
      <c r="Z1481" s="1783"/>
      <c r="AA1481" s="1783"/>
      <c r="AB1481" s="1783"/>
      <c r="AC1481" s="1783"/>
      <c r="AD1481" s="1783"/>
      <c r="AE1481" s="1783"/>
      <c r="AF1481" s="1783"/>
      <c r="AG1481" s="1783"/>
      <c r="AH1481" s="1783"/>
      <c r="AI1481" s="1783"/>
      <c r="AJ1481" s="1783"/>
      <c r="AK1481" s="1783"/>
      <c r="AL1481" s="1783"/>
      <c r="AM1481" s="1783"/>
      <c r="AN1481" s="1783"/>
      <c r="AO1481" s="1783"/>
      <c r="AP1481" s="1783"/>
      <c r="AQ1481" s="1783"/>
      <c r="AR1481" s="1783"/>
      <c r="AS1481" s="1783"/>
      <c r="AT1481" s="1783"/>
      <c r="AU1481" s="1783"/>
      <c r="AV1481" s="1783"/>
      <c r="AW1481" s="1783"/>
      <c r="AX1481" s="1783"/>
      <c r="AY1481" s="1783"/>
      <c r="AZ1481" s="1783"/>
      <c r="BA1481" s="1783"/>
      <c r="BB1481" s="1783"/>
      <c r="BC1481" s="1783"/>
      <c r="BD1481" s="1783"/>
      <c r="BE1481" s="1783"/>
      <c r="BF1481" s="1783"/>
      <c r="BG1481" s="1783"/>
      <c r="BH1481" s="1783"/>
      <c r="BI1481" s="1783"/>
    </row>
    <row r="1482" spans="1:61">
      <c r="A1482" s="1819"/>
      <c r="B1482" s="1818"/>
      <c r="C1482" s="1818"/>
      <c r="D1482" s="1818"/>
      <c r="E1482" s="1818"/>
      <c r="F1482" s="1818"/>
      <c r="G1482" s="1818"/>
      <c r="H1482" s="1783"/>
      <c r="I1482" s="1783"/>
      <c r="J1482" s="1783"/>
      <c r="K1482" s="1783"/>
      <c r="L1482" s="1783"/>
      <c r="M1482" s="1783"/>
      <c r="N1482" s="1783"/>
      <c r="O1482" s="1783"/>
      <c r="P1482" s="1783"/>
      <c r="Q1482" s="1783"/>
      <c r="R1482" s="1783"/>
      <c r="S1482" s="1783"/>
      <c r="T1482" s="1783"/>
      <c r="U1482" s="1783"/>
      <c r="V1482" s="1783"/>
      <c r="W1482" s="1783"/>
      <c r="X1482" s="1783"/>
      <c r="Y1482" s="1783"/>
      <c r="Z1482" s="1783"/>
      <c r="AA1482" s="1783"/>
      <c r="AB1482" s="1783"/>
      <c r="AC1482" s="1783"/>
      <c r="AD1482" s="1783"/>
      <c r="AE1482" s="1783"/>
      <c r="AF1482" s="1783"/>
      <c r="AG1482" s="1783"/>
      <c r="AH1482" s="1783"/>
      <c r="AI1482" s="1783"/>
      <c r="AJ1482" s="1783"/>
      <c r="AK1482" s="1783"/>
      <c r="AL1482" s="1783"/>
      <c r="AM1482" s="1783"/>
      <c r="AN1482" s="1783"/>
      <c r="AO1482" s="1783"/>
      <c r="AP1482" s="1783"/>
      <c r="AQ1482" s="1783"/>
      <c r="AR1482" s="1783"/>
      <c r="AS1482" s="1783"/>
      <c r="AT1482" s="1783"/>
      <c r="AU1482" s="1783"/>
      <c r="AV1482" s="1783"/>
      <c r="AW1482" s="1783"/>
      <c r="AX1482" s="1783"/>
      <c r="AY1482" s="1783"/>
      <c r="AZ1482" s="1783"/>
      <c r="BA1482" s="1783"/>
      <c r="BB1482" s="1783"/>
      <c r="BC1482" s="1783"/>
      <c r="BD1482" s="1783"/>
      <c r="BE1482" s="1783"/>
      <c r="BF1482" s="1783"/>
      <c r="BG1482" s="1783"/>
      <c r="BH1482" s="1783"/>
      <c r="BI1482" s="1783"/>
    </row>
    <row r="1483" spans="1:61">
      <c r="A1483" s="1819"/>
      <c r="B1483" s="1818"/>
      <c r="C1483" s="1818"/>
      <c r="D1483" s="1818"/>
      <c r="E1483" s="1818"/>
      <c r="F1483" s="1818"/>
      <c r="G1483" s="1818"/>
      <c r="H1483" s="1783"/>
      <c r="I1483" s="1783"/>
      <c r="J1483" s="1783"/>
      <c r="K1483" s="1783"/>
      <c r="L1483" s="1783"/>
      <c r="M1483" s="1783"/>
      <c r="N1483" s="1783"/>
      <c r="O1483" s="1783"/>
      <c r="P1483" s="1783"/>
      <c r="Q1483" s="1783"/>
      <c r="R1483" s="1783"/>
      <c r="S1483" s="1783"/>
      <c r="T1483" s="1783"/>
      <c r="U1483" s="1783"/>
      <c r="V1483" s="1783"/>
      <c r="W1483" s="1783"/>
      <c r="X1483" s="1783"/>
      <c r="Y1483" s="1783"/>
      <c r="Z1483" s="1783"/>
      <c r="AA1483" s="1783"/>
      <c r="AB1483" s="1783"/>
      <c r="AC1483" s="1783"/>
      <c r="AD1483" s="1783"/>
      <c r="AE1483" s="1783"/>
      <c r="AF1483" s="1783"/>
      <c r="AG1483" s="1783"/>
      <c r="AH1483" s="1783"/>
      <c r="AI1483" s="1783"/>
      <c r="AJ1483" s="1783"/>
      <c r="AK1483" s="1783"/>
      <c r="AL1483" s="1783"/>
      <c r="AM1483" s="1783"/>
      <c r="AN1483" s="1783"/>
      <c r="AO1483" s="1783"/>
      <c r="AP1483" s="1783"/>
      <c r="AQ1483" s="1783"/>
      <c r="AR1483" s="1783"/>
      <c r="AS1483" s="1783"/>
      <c r="AT1483" s="1783"/>
      <c r="AU1483" s="1783"/>
      <c r="AV1483" s="1783"/>
      <c r="AW1483" s="1783"/>
      <c r="AX1483" s="1783"/>
      <c r="AY1483" s="1783"/>
      <c r="AZ1483" s="1783"/>
      <c r="BA1483" s="1783"/>
      <c r="BB1483" s="1783"/>
      <c r="BC1483" s="1783"/>
      <c r="BD1483" s="1783"/>
      <c r="BE1483" s="1783"/>
      <c r="BF1483" s="1783"/>
      <c r="BG1483" s="1783"/>
      <c r="BH1483" s="1783"/>
      <c r="BI1483" s="1783"/>
    </row>
    <row r="1484" spans="1:61">
      <c r="A1484" s="1819"/>
      <c r="B1484" s="1818"/>
      <c r="C1484" s="1818"/>
      <c r="D1484" s="1818"/>
      <c r="E1484" s="1818"/>
      <c r="F1484" s="1818"/>
      <c r="G1484" s="1818"/>
      <c r="H1484" s="1783"/>
      <c r="I1484" s="1783"/>
      <c r="J1484" s="1783"/>
      <c r="K1484" s="1783"/>
      <c r="L1484" s="1783"/>
      <c r="M1484" s="1783"/>
      <c r="N1484" s="1783"/>
      <c r="O1484" s="1783"/>
      <c r="P1484" s="1783"/>
      <c r="Q1484" s="1783"/>
      <c r="R1484" s="1783"/>
      <c r="S1484" s="1783"/>
      <c r="T1484" s="1783"/>
      <c r="U1484" s="1783"/>
      <c r="V1484" s="1783"/>
      <c r="W1484" s="1783"/>
      <c r="X1484" s="1783"/>
      <c r="Y1484" s="1783"/>
      <c r="Z1484" s="1783"/>
      <c r="AA1484" s="1783"/>
      <c r="AB1484" s="1783"/>
      <c r="AC1484" s="1783"/>
      <c r="AD1484" s="1783"/>
      <c r="AE1484" s="1783"/>
      <c r="AF1484" s="1783"/>
      <c r="AG1484" s="1783"/>
      <c r="AH1484" s="1783"/>
      <c r="AI1484" s="1783"/>
      <c r="AJ1484" s="1783"/>
      <c r="AK1484" s="1783"/>
      <c r="AL1484" s="1783"/>
      <c r="AM1484" s="1783"/>
      <c r="AN1484" s="1783"/>
      <c r="AO1484" s="1783"/>
      <c r="AP1484" s="1783"/>
      <c r="AQ1484" s="1783"/>
      <c r="AR1484" s="1783"/>
      <c r="AS1484" s="1783"/>
      <c r="AT1484" s="1783"/>
      <c r="AU1484" s="1783"/>
      <c r="AV1484" s="1783"/>
      <c r="AW1484" s="1783"/>
      <c r="AX1484" s="1783"/>
      <c r="AY1484" s="1783"/>
      <c r="AZ1484" s="1783"/>
      <c r="BA1484" s="1783"/>
      <c r="BB1484" s="1783"/>
      <c r="BC1484" s="1783"/>
      <c r="BD1484" s="1783"/>
      <c r="BE1484" s="1783"/>
      <c r="BF1484" s="1783"/>
      <c r="BG1484" s="1783"/>
      <c r="BH1484" s="1783"/>
      <c r="BI1484" s="1783"/>
    </row>
    <row r="1485" spans="1:61">
      <c r="A1485" s="1819"/>
      <c r="B1485" s="1818"/>
      <c r="C1485" s="1818"/>
      <c r="D1485" s="1818"/>
      <c r="E1485" s="1818"/>
      <c r="F1485" s="1818"/>
      <c r="G1485" s="1818"/>
      <c r="H1485" s="1783"/>
      <c r="I1485" s="1783"/>
      <c r="J1485" s="1783"/>
      <c r="K1485" s="1783"/>
      <c r="L1485" s="1783"/>
      <c r="M1485" s="1783"/>
      <c r="N1485" s="1783"/>
      <c r="O1485" s="1783"/>
      <c r="P1485" s="1783"/>
      <c r="Q1485" s="1783"/>
      <c r="R1485" s="1783"/>
      <c r="S1485" s="1783"/>
      <c r="T1485" s="1783"/>
      <c r="U1485" s="1783"/>
      <c r="V1485" s="1783"/>
      <c r="W1485" s="1783"/>
      <c r="X1485" s="1783"/>
      <c r="Y1485" s="1783"/>
      <c r="Z1485" s="1783"/>
      <c r="AA1485" s="1783"/>
      <c r="AB1485" s="1783"/>
      <c r="AC1485" s="1783"/>
      <c r="AD1485" s="1783"/>
      <c r="AE1485" s="1783"/>
      <c r="AF1485" s="1783"/>
      <c r="AG1485" s="1783"/>
      <c r="AH1485" s="1783"/>
      <c r="AI1485" s="1783"/>
      <c r="AJ1485" s="1783"/>
      <c r="AK1485" s="1783"/>
      <c r="AL1485" s="1783"/>
      <c r="AM1485" s="1783"/>
      <c r="AN1485" s="1783"/>
      <c r="AO1485" s="1783"/>
      <c r="AP1485" s="1783"/>
      <c r="AQ1485" s="1783"/>
      <c r="AR1485" s="1783"/>
      <c r="AS1485" s="1783"/>
      <c r="AT1485" s="1783"/>
      <c r="AU1485" s="1783"/>
      <c r="AV1485" s="1783"/>
      <c r="AW1485" s="1783"/>
      <c r="AX1485" s="1783"/>
      <c r="AY1485" s="1783"/>
      <c r="AZ1485" s="1783"/>
      <c r="BA1485" s="1783"/>
      <c r="BB1485" s="1783"/>
      <c r="BC1485" s="1783"/>
      <c r="BD1485" s="1783"/>
      <c r="BE1485" s="1783"/>
      <c r="BF1485" s="1783"/>
      <c r="BG1485" s="1783"/>
      <c r="BH1485" s="1783"/>
      <c r="BI1485" s="1783"/>
    </row>
    <row r="1486" spans="1:61">
      <c r="A1486" s="1819"/>
      <c r="B1486" s="1818"/>
      <c r="C1486" s="1818"/>
      <c r="D1486" s="1818"/>
      <c r="E1486" s="1818"/>
      <c r="F1486" s="1818"/>
      <c r="G1486" s="1818"/>
      <c r="H1486" s="1783"/>
      <c r="I1486" s="1783"/>
      <c r="J1486" s="1783"/>
      <c r="K1486" s="1783"/>
      <c r="L1486" s="1783"/>
      <c r="M1486" s="1783"/>
      <c r="N1486" s="1783"/>
      <c r="O1486" s="1783"/>
      <c r="P1486" s="1783"/>
      <c r="Q1486" s="1783"/>
      <c r="R1486" s="1783"/>
      <c r="S1486" s="1783"/>
      <c r="T1486" s="1783"/>
      <c r="U1486" s="1783"/>
      <c r="V1486" s="1783"/>
      <c r="W1486" s="1783"/>
      <c r="X1486" s="1783"/>
      <c r="Y1486" s="1783"/>
      <c r="Z1486" s="1783"/>
      <c r="AA1486" s="1783"/>
      <c r="AB1486" s="1783"/>
      <c r="AC1486" s="1783"/>
      <c r="AD1486" s="1783"/>
      <c r="AE1486" s="1783"/>
      <c r="AF1486" s="1783"/>
      <c r="AG1486" s="1783"/>
      <c r="AH1486" s="1783"/>
      <c r="AI1486" s="1783"/>
      <c r="AJ1486" s="1783"/>
      <c r="AK1486" s="1783"/>
      <c r="AL1486" s="1783"/>
      <c r="AM1486" s="1783"/>
      <c r="AN1486" s="1783"/>
      <c r="AO1486" s="1783"/>
      <c r="AP1486" s="1783"/>
      <c r="AQ1486" s="1783"/>
      <c r="AR1486" s="1783"/>
      <c r="AS1486" s="1783"/>
      <c r="AT1486" s="1783"/>
      <c r="AU1486" s="1783"/>
      <c r="AV1486" s="1783"/>
      <c r="AW1486" s="1783"/>
      <c r="AX1486" s="1783"/>
      <c r="AY1486" s="1783"/>
      <c r="AZ1486" s="1783"/>
      <c r="BA1486" s="1783"/>
      <c r="BB1486" s="1783"/>
      <c r="BC1486" s="1783"/>
      <c r="BD1486" s="1783"/>
      <c r="BE1486" s="1783"/>
      <c r="BF1486" s="1783"/>
      <c r="BG1486" s="1783"/>
      <c r="BH1486" s="1783"/>
      <c r="BI1486" s="1783"/>
    </row>
    <row r="1487" spans="1:61">
      <c r="A1487" s="1819"/>
      <c r="B1487" s="1818"/>
      <c r="C1487" s="1818"/>
      <c r="D1487" s="1818"/>
      <c r="E1487" s="1818"/>
      <c r="F1487" s="1818"/>
      <c r="G1487" s="1818"/>
      <c r="H1487" s="1783"/>
      <c r="I1487" s="1783"/>
      <c r="J1487" s="1783"/>
      <c r="K1487" s="1783"/>
      <c r="L1487" s="1783"/>
      <c r="M1487" s="1783"/>
      <c r="N1487" s="1783"/>
      <c r="O1487" s="1783"/>
      <c r="P1487" s="1783"/>
      <c r="Q1487" s="1783"/>
      <c r="R1487" s="1783"/>
      <c r="S1487" s="1783"/>
      <c r="T1487" s="1783"/>
      <c r="U1487" s="1783"/>
      <c r="V1487" s="1783"/>
      <c r="W1487" s="1783"/>
      <c r="X1487" s="1783"/>
      <c r="Y1487" s="1783"/>
      <c r="Z1487" s="1783"/>
      <c r="AA1487" s="1783"/>
      <c r="AB1487" s="1783"/>
      <c r="AC1487" s="1783"/>
      <c r="AD1487" s="1783"/>
      <c r="AE1487" s="1783"/>
      <c r="AF1487" s="1783"/>
      <c r="AG1487" s="1783"/>
      <c r="AH1487" s="1783"/>
      <c r="AI1487" s="1783"/>
      <c r="AJ1487" s="1783"/>
      <c r="AK1487" s="1783"/>
      <c r="AL1487" s="1783"/>
      <c r="AM1487" s="1783"/>
      <c r="AN1487" s="1783"/>
      <c r="AO1487" s="1783"/>
      <c r="AP1487" s="1783"/>
      <c r="AQ1487" s="1783"/>
      <c r="AR1487" s="1783"/>
      <c r="AS1487" s="1783"/>
      <c r="AT1487" s="1783"/>
      <c r="AU1487" s="1783"/>
      <c r="AV1487" s="1783"/>
      <c r="AW1487" s="1783"/>
      <c r="AX1487" s="1783"/>
      <c r="AY1487" s="1783"/>
      <c r="AZ1487" s="1783"/>
      <c r="BA1487" s="1783"/>
      <c r="BB1487" s="1783"/>
      <c r="BC1487" s="1783"/>
      <c r="BD1487" s="1783"/>
      <c r="BE1487" s="1783"/>
      <c r="BF1487" s="1783"/>
      <c r="BG1487" s="1783"/>
      <c r="BH1487" s="1783"/>
      <c r="BI1487" s="1783"/>
    </row>
    <row r="1488" spans="1:61">
      <c r="A1488" s="1819"/>
      <c r="B1488" s="1818"/>
      <c r="C1488" s="1818"/>
      <c r="D1488" s="1818"/>
      <c r="E1488" s="1818"/>
      <c r="F1488" s="1818"/>
      <c r="G1488" s="1818"/>
      <c r="H1488" s="1783"/>
      <c r="I1488" s="1783"/>
      <c r="J1488" s="1783"/>
      <c r="K1488" s="1783"/>
      <c r="L1488" s="1783"/>
      <c r="M1488" s="1783"/>
      <c r="N1488" s="1783"/>
      <c r="O1488" s="1783"/>
      <c r="P1488" s="1783"/>
      <c r="Q1488" s="1783"/>
      <c r="R1488" s="1783"/>
      <c r="S1488" s="1783"/>
      <c r="T1488" s="1783"/>
      <c r="U1488" s="1783"/>
      <c r="V1488" s="1783"/>
      <c r="W1488" s="1783"/>
      <c r="X1488" s="1783"/>
      <c r="Y1488" s="1783"/>
      <c r="Z1488" s="1783"/>
      <c r="AA1488" s="1783"/>
      <c r="AB1488" s="1783"/>
      <c r="AC1488" s="1783"/>
      <c r="AD1488" s="1783"/>
      <c r="AE1488" s="1783"/>
      <c r="AF1488" s="1783"/>
      <c r="AG1488" s="1783"/>
      <c r="AH1488" s="1783"/>
      <c r="AI1488" s="1783"/>
      <c r="AJ1488" s="1783"/>
      <c r="AK1488" s="1783"/>
      <c r="AL1488" s="1783"/>
      <c r="AM1488" s="1783"/>
      <c r="AN1488" s="1783"/>
      <c r="AO1488" s="1783"/>
      <c r="AP1488" s="1783"/>
      <c r="AQ1488" s="1783"/>
      <c r="AR1488" s="1783"/>
      <c r="AS1488" s="1783"/>
      <c r="AT1488" s="1783"/>
      <c r="AU1488" s="1783"/>
      <c r="AV1488" s="1783"/>
      <c r="AW1488" s="1783"/>
      <c r="AX1488" s="1783"/>
      <c r="AY1488" s="1783"/>
      <c r="AZ1488" s="1783"/>
      <c r="BA1488" s="1783"/>
      <c r="BB1488" s="1783"/>
      <c r="BC1488" s="1783"/>
      <c r="BD1488" s="1783"/>
      <c r="BE1488" s="1783"/>
      <c r="BF1488" s="1783"/>
      <c r="BG1488" s="1783"/>
      <c r="BH1488" s="1783"/>
      <c r="BI1488" s="1783"/>
    </row>
    <row r="1489" spans="1:61">
      <c r="A1489" s="1819"/>
      <c r="B1489" s="1818"/>
      <c r="C1489" s="1818"/>
      <c r="D1489" s="1818"/>
      <c r="E1489" s="1818"/>
      <c r="F1489" s="1818"/>
      <c r="G1489" s="1818"/>
      <c r="H1489" s="1783"/>
      <c r="I1489" s="1783"/>
      <c r="J1489" s="1783"/>
      <c r="K1489" s="1783"/>
      <c r="L1489" s="1783"/>
      <c r="M1489" s="1783"/>
      <c r="N1489" s="1783"/>
      <c r="O1489" s="1783"/>
      <c r="P1489" s="1783"/>
      <c r="Q1489" s="1783"/>
      <c r="R1489" s="1783"/>
      <c r="S1489" s="1783"/>
      <c r="T1489" s="1783"/>
      <c r="U1489" s="1783"/>
      <c r="V1489" s="1783"/>
      <c r="W1489" s="1783"/>
      <c r="X1489" s="1783"/>
      <c r="Y1489" s="1783"/>
      <c r="Z1489" s="1783"/>
      <c r="AA1489" s="1783"/>
      <c r="AB1489" s="1783"/>
      <c r="AC1489" s="1783"/>
      <c r="AD1489" s="1783"/>
      <c r="AE1489" s="1783"/>
      <c r="AF1489" s="1783"/>
      <c r="AG1489" s="1783"/>
      <c r="AH1489" s="1783"/>
      <c r="AI1489" s="1783"/>
      <c r="AJ1489" s="1783"/>
      <c r="AK1489" s="1783"/>
      <c r="AL1489" s="1783"/>
      <c r="AM1489" s="1783"/>
      <c r="AN1489" s="1783"/>
      <c r="AO1489" s="1783"/>
      <c r="AP1489" s="1783"/>
      <c r="AQ1489" s="1783"/>
      <c r="AR1489" s="1783"/>
      <c r="AS1489" s="1783"/>
      <c r="AT1489" s="1783"/>
      <c r="AU1489" s="1783"/>
      <c r="AV1489" s="1783"/>
      <c r="AW1489" s="1783"/>
      <c r="AX1489" s="1783"/>
      <c r="AY1489" s="1783"/>
      <c r="AZ1489" s="1783"/>
      <c r="BA1489" s="1783"/>
      <c r="BB1489" s="1783"/>
      <c r="BC1489" s="1783"/>
      <c r="BD1489" s="1783"/>
      <c r="BE1489" s="1783"/>
      <c r="BF1489" s="1783"/>
      <c r="BG1489" s="1783"/>
      <c r="BH1489" s="1783"/>
      <c r="BI1489" s="1783"/>
    </row>
    <row r="1490" spans="1:61">
      <c r="A1490" s="1819"/>
      <c r="B1490" s="1818"/>
      <c r="C1490" s="1818"/>
      <c r="D1490" s="1818"/>
      <c r="E1490" s="1818"/>
      <c r="F1490" s="1818"/>
      <c r="G1490" s="1818"/>
      <c r="H1490" s="1783"/>
      <c r="I1490" s="1783"/>
      <c r="J1490" s="1783"/>
      <c r="K1490" s="1783"/>
      <c r="L1490" s="1783"/>
      <c r="M1490" s="1783"/>
      <c r="N1490" s="1783"/>
      <c r="O1490" s="1783"/>
      <c r="P1490" s="1783"/>
      <c r="Q1490" s="1783"/>
      <c r="R1490" s="1783"/>
      <c r="S1490" s="1783"/>
      <c r="T1490" s="1783"/>
      <c r="U1490" s="1783"/>
      <c r="V1490" s="1783"/>
      <c r="W1490" s="1783"/>
      <c r="X1490" s="1783"/>
      <c r="Y1490" s="1783"/>
      <c r="Z1490" s="1783"/>
      <c r="AA1490" s="1783"/>
      <c r="AB1490" s="1783"/>
      <c r="AC1490" s="1783"/>
      <c r="AD1490" s="1783"/>
      <c r="AE1490" s="1783"/>
      <c r="AF1490" s="1783"/>
      <c r="AG1490" s="1783"/>
      <c r="AH1490" s="1783"/>
      <c r="AI1490" s="1783"/>
      <c r="AJ1490" s="1783"/>
      <c r="AK1490" s="1783"/>
      <c r="AL1490" s="1783"/>
      <c r="AM1490" s="1783"/>
      <c r="AN1490" s="1783"/>
      <c r="AO1490" s="1783"/>
      <c r="AP1490" s="1783"/>
      <c r="AQ1490" s="1783"/>
      <c r="AR1490" s="1783"/>
      <c r="AS1490" s="1783"/>
      <c r="AT1490" s="1783"/>
      <c r="AU1490" s="1783"/>
      <c r="AV1490" s="1783"/>
      <c r="AW1490" s="1783"/>
      <c r="AX1490" s="1783"/>
      <c r="AY1490" s="1783"/>
      <c r="AZ1490" s="1783"/>
      <c r="BA1490" s="1783"/>
      <c r="BB1490" s="1783"/>
      <c r="BC1490" s="1783"/>
      <c r="BD1490" s="1783"/>
      <c r="BE1490" s="1783"/>
      <c r="BF1490" s="1783"/>
      <c r="BG1490" s="1783"/>
      <c r="BH1490" s="1783"/>
      <c r="BI1490" s="1783"/>
    </row>
    <row r="1491" spans="1:61">
      <c r="A1491" s="1819"/>
      <c r="B1491" s="1818"/>
      <c r="C1491" s="1818"/>
      <c r="D1491" s="1818"/>
      <c r="E1491" s="1818"/>
      <c r="F1491" s="1818"/>
      <c r="G1491" s="1818"/>
      <c r="H1491" s="1783"/>
      <c r="I1491" s="1783"/>
      <c r="J1491" s="1783"/>
      <c r="K1491" s="1783"/>
      <c r="L1491" s="1783"/>
      <c r="M1491" s="1783"/>
      <c r="N1491" s="1783"/>
      <c r="O1491" s="1783"/>
      <c r="P1491" s="1783"/>
      <c r="Q1491" s="1783"/>
      <c r="R1491" s="1783"/>
      <c r="S1491" s="1783"/>
      <c r="T1491" s="1783"/>
      <c r="U1491" s="1783"/>
      <c r="V1491" s="1783"/>
      <c r="W1491" s="1783"/>
      <c r="X1491" s="1783"/>
      <c r="Y1491" s="1783"/>
      <c r="Z1491" s="1783"/>
      <c r="AA1491" s="1783"/>
      <c r="AB1491" s="1783"/>
      <c r="AC1491" s="1783"/>
      <c r="AD1491" s="1783"/>
      <c r="AE1491" s="1783"/>
      <c r="AF1491" s="1783"/>
      <c r="AG1491" s="1783"/>
      <c r="AH1491" s="1783"/>
      <c r="AI1491" s="1783"/>
      <c r="AJ1491" s="1783"/>
      <c r="AK1491" s="1783"/>
      <c r="AL1491" s="1783"/>
      <c r="AM1491" s="1783"/>
      <c r="AN1491" s="1783"/>
      <c r="AO1491" s="1783"/>
      <c r="AP1491" s="1783"/>
      <c r="AQ1491" s="1783"/>
      <c r="AR1491" s="1783"/>
      <c r="AS1491" s="1783"/>
      <c r="AT1491" s="1783"/>
      <c r="AU1491" s="1783"/>
      <c r="AV1491" s="1783"/>
      <c r="AW1491" s="1783"/>
      <c r="AX1491" s="1783"/>
      <c r="AY1491" s="1783"/>
      <c r="AZ1491" s="1783"/>
      <c r="BA1491" s="1783"/>
      <c r="BB1491" s="1783"/>
      <c r="BC1491" s="1783"/>
      <c r="BD1491" s="1783"/>
      <c r="BE1491" s="1783"/>
      <c r="BF1491" s="1783"/>
      <c r="BG1491" s="1783"/>
      <c r="BH1491" s="1783"/>
      <c r="BI1491" s="1783"/>
    </row>
    <row r="1492" spans="1:61">
      <c r="A1492" s="1819"/>
      <c r="B1492" s="1818"/>
      <c r="C1492" s="1818"/>
      <c r="D1492" s="1818"/>
      <c r="E1492" s="1818"/>
      <c r="F1492" s="1818"/>
      <c r="G1492" s="1818"/>
      <c r="H1492" s="1783"/>
      <c r="I1492" s="1783"/>
      <c r="J1492" s="1783"/>
      <c r="K1492" s="1783"/>
      <c r="L1492" s="1783"/>
      <c r="M1492" s="1783"/>
      <c r="N1492" s="1783"/>
      <c r="O1492" s="1783"/>
      <c r="P1492" s="1783"/>
      <c r="Q1492" s="1783"/>
      <c r="R1492" s="1783"/>
      <c r="S1492" s="1783"/>
      <c r="T1492" s="1783"/>
      <c r="U1492" s="1783"/>
      <c r="V1492" s="1783"/>
      <c r="W1492" s="1783"/>
      <c r="X1492" s="1783"/>
      <c r="Y1492" s="1783"/>
      <c r="Z1492" s="1783"/>
      <c r="AA1492" s="1783"/>
      <c r="AB1492" s="1783"/>
      <c r="AC1492" s="1783"/>
      <c r="AD1492" s="1783"/>
      <c r="AE1492" s="1783"/>
      <c r="AF1492" s="1783"/>
      <c r="AG1492" s="1783"/>
      <c r="AH1492" s="1783"/>
      <c r="AI1492" s="1783"/>
      <c r="AJ1492" s="1783"/>
      <c r="AK1492" s="1783"/>
      <c r="AL1492" s="1783"/>
      <c r="AM1492" s="1783"/>
      <c r="AN1492" s="1783"/>
      <c r="AO1492" s="1783"/>
      <c r="AP1492" s="1783"/>
      <c r="AQ1492" s="1783"/>
      <c r="AR1492" s="1783"/>
      <c r="AS1492" s="1783"/>
      <c r="AT1492" s="1783"/>
      <c r="AU1492" s="1783"/>
      <c r="AV1492" s="1783"/>
      <c r="AW1492" s="1783"/>
      <c r="AX1492" s="1783"/>
      <c r="AY1492" s="1783"/>
      <c r="AZ1492" s="1783"/>
      <c r="BA1492" s="1783"/>
      <c r="BB1492" s="1783"/>
      <c r="BC1492" s="1783"/>
      <c r="BD1492" s="1783"/>
      <c r="BE1492" s="1783"/>
      <c r="BF1492" s="1783"/>
      <c r="BG1492" s="1783"/>
      <c r="BH1492" s="1783"/>
      <c r="BI1492" s="1783"/>
    </row>
    <row r="1493" spans="1:61">
      <c r="A1493" s="1819"/>
      <c r="B1493" s="1818"/>
      <c r="C1493" s="1818"/>
      <c r="D1493" s="1818"/>
      <c r="E1493" s="1818"/>
      <c r="F1493" s="1818"/>
      <c r="G1493" s="1818"/>
      <c r="H1493" s="1783"/>
      <c r="I1493" s="1783"/>
      <c r="J1493" s="1783"/>
      <c r="K1493" s="1783"/>
      <c r="L1493" s="1783"/>
      <c r="M1493" s="1783"/>
      <c r="N1493" s="1783"/>
      <c r="O1493" s="1783"/>
      <c r="P1493" s="1783"/>
      <c r="Q1493" s="1783"/>
      <c r="R1493" s="1783"/>
      <c r="S1493" s="1783"/>
      <c r="T1493" s="1783"/>
      <c r="U1493" s="1783"/>
      <c r="V1493" s="1783"/>
      <c r="W1493" s="1783"/>
      <c r="X1493" s="1783"/>
      <c r="Y1493" s="1783"/>
      <c r="Z1493" s="1783"/>
      <c r="AA1493" s="1783"/>
      <c r="AB1493" s="1783"/>
      <c r="AC1493" s="1783"/>
      <c r="AD1493" s="1783"/>
      <c r="AE1493" s="1783"/>
      <c r="AF1493" s="1783"/>
      <c r="AG1493" s="1783"/>
      <c r="AH1493" s="1783"/>
      <c r="AI1493" s="1783"/>
      <c r="AJ1493" s="1783"/>
      <c r="AK1493" s="1783"/>
      <c r="AL1493" s="1783"/>
      <c r="AM1493" s="1783"/>
      <c r="AN1493" s="1783"/>
      <c r="AO1493" s="1783"/>
      <c r="AP1493" s="1783"/>
      <c r="AQ1493" s="1783"/>
      <c r="AR1493" s="1783"/>
      <c r="AS1493" s="1783"/>
      <c r="AT1493" s="1783"/>
      <c r="AU1493" s="1783"/>
      <c r="AV1493" s="1783"/>
      <c r="AW1493" s="1783"/>
      <c r="AX1493" s="1783"/>
      <c r="AY1493" s="1783"/>
      <c r="AZ1493" s="1783"/>
      <c r="BA1493" s="1783"/>
      <c r="BB1493" s="1783"/>
      <c r="BC1493" s="1783"/>
      <c r="BD1493" s="1783"/>
      <c r="BE1493" s="1783"/>
      <c r="BF1493" s="1783"/>
      <c r="BG1493" s="1783"/>
      <c r="BH1493" s="1783"/>
      <c r="BI1493" s="1783"/>
    </row>
    <row r="1494" spans="1:61">
      <c r="A1494" s="1819"/>
      <c r="B1494" s="1818"/>
      <c r="C1494" s="1818"/>
      <c r="D1494" s="1818"/>
      <c r="E1494" s="1818"/>
      <c r="F1494" s="1818"/>
      <c r="G1494" s="1818"/>
      <c r="H1494" s="1783"/>
      <c r="I1494" s="1783"/>
      <c r="J1494" s="1783"/>
      <c r="K1494" s="1783"/>
      <c r="L1494" s="1783"/>
      <c r="M1494" s="1783"/>
      <c r="N1494" s="1783"/>
      <c r="O1494" s="1783"/>
      <c r="P1494" s="1783"/>
      <c r="Q1494" s="1783"/>
      <c r="R1494" s="1783"/>
      <c r="S1494" s="1783"/>
      <c r="T1494" s="1783"/>
      <c r="U1494" s="1783"/>
      <c r="V1494" s="1783"/>
      <c r="W1494" s="1783"/>
      <c r="X1494" s="1783"/>
      <c r="Y1494" s="1783"/>
      <c r="Z1494" s="1783"/>
      <c r="AA1494" s="1783"/>
      <c r="AB1494" s="1783"/>
      <c r="AC1494" s="1783"/>
      <c r="AD1494" s="1783"/>
      <c r="AE1494" s="1783"/>
      <c r="AF1494" s="1783"/>
      <c r="AG1494" s="1783"/>
      <c r="AH1494" s="1783"/>
      <c r="AI1494" s="1783"/>
      <c r="AJ1494" s="1783"/>
      <c r="AK1494" s="1783"/>
      <c r="AL1494" s="1783"/>
      <c r="AM1494" s="1783"/>
      <c r="AN1494" s="1783"/>
      <c r="AO1494" s="1783"/>
      <c r="AP1494" s="1783"/>
      <c r="AQ1494" s="1783"/>
      <c r="AR1494" s="1783"/>
      <c r="AS1494" s="1783"/>
      <c r="AT1494" s="1783"/>
      <c r="AU1494" s="1783"/>
      <c r="AV1494" s="1783"/>
      <c r="AW1494" s="1783"/>
      <c r="AX1494" s="1783"/>
      <c r="AY1494" s="1783"/>
      <c r="AZ1494" s="1783"/>
      <c r="BA1494" s="1783"/>
      <c r="BB1494" s="1783"/>
      <c r="BC1494" s="1783"/>
      <c r="BD1494" s="1783"/>
      <c r="BE1494" s="1783"/>
      <c r="BF1494" s="1783"/>
      <c r="BG1494" s="1783"/>
      <c r="BH1494" s="1783"/>
      <c r="BI1494" s="1783"/>
    </row>
    <row r="1495" spans="1:61">
      <c r="A1495" s="1819"/>
      <c r="B1495" s="1818"/>
      <c r="C1495" s="1818"/>
      <c r="D1495" s="1818"/>
      <c r="E1495" s="1818"/>
      <c r="F1495" s="1818"/>
      <c r="G1495" s="1818"/>
      <c r="H1495" s="1783"/>
      <c r="I1495" s="1783"/>
      <c r="J1495" s="1783"/>
      <c r="K1495" s="1783"/>
      <c r="L1495" s="1783"/>
      <c r="M1495" s="1783"/>
      <c r="N1495" s="1783"/>
      <c r="O1495" s="1783"/>
      <c r="P1495" s="1783"/>
      <c r="Q1495" s="1783"/>
      <c r="R1495" s="1783"/>
      <c r="S1495" s="1783"/>
      <c r="T1495" s="1783"/>
      <c r="U1495" s="1783"/>
      <c r="V1495" s="1783"/>
      <c r="W1495" s="1783"/>
      <c r="X1495" s="1783"/>
      <c r="Y1495" s="1783"/>
      <c r="Z1495" s="1783"/>
      <c r="AA1495" s="1783"/>
      <c r="AB1495" s="1783"/>
      <c r="AC1495" s="1783"/>
      <c r="AD1495" s="1783"/>
      <c r="AE1495" s="1783"/>
      <c r="AF1495" s="1783"/>
      <c r="AG1495" s="1783"/>
      <c r="AH1495" s="1783"/>
      <c r="AI1495" s="1783"/>
      <c r="AJ1495" s="1783"/>
      <c r="AK1495" s="1783"/>
      <c r="AL1495" s="1783"/>
      <c r="AM1495" s="1783"/>
      <c r="AN1495" s="1783"/>
      <c r="AO1495" s="1783"/>
      <c r="AP1495" s="1783"/>
      <c r="AQ1495" s="1783"/>
      <c r="AR1495" s="1783"/>
      <c r="AS1495" s="1783"/>
      <c r="AT1495" s="1783"/>
      <c r="AU1495" s="1783"/>
      <c r="AV1495" s="1783"/>
      <c r="AW1495" s="1783"/>
      <c r="AX1495" s="1783"/>
      <c r="AY1495" s="1783"/>
      <c r="AZ1495" s="1783"/>
      <c r="BA1495" s="1783"/>
      <c r="BB1495" s="1783"/>
      <c r="BC1495" s="1783"/>
      <c r="BD1495" s="1783"/>
      <c r="BE1495" s="1783"/>
      <c r="BF1495" s="1783"/>
      <c r="BG1495" s="1783"/>
      <c r="BH1495" s="1783"/>
      <c r="BI1495" s="1783"/>
    </row>
    <row r="1496" spans="1:61">
      <c r="A1496" s="1819"/>
      <c r="B1496" s="1818"/>
      <c r="C1496" s="1818"/>
      <c r="D1496" s="1818"/>
      <c r="E1496" s="1818"/>
      <c r="F1496" s="1818"/>
      <c r="G1496" s="1818"/>
      <c r="H1496" s="1783"/>
      <c r="I1496" s="1783"/>
      <c r="J1496" s="1783"/>
      <c r="K1496" s="1783"/>
      <c r="L1496" s="1783"/>
      <c r="M1496" s="1783"/>
      <c r="N1496" s="1783"/>
      <c r="O1496" s="1783"/>
      <c r="P1496" s="1783"/>
      <c r="Q1496" s="1783"/>
      <c r="R1496" s="1783"/>
      <c r="S1496" s="1783"/>
      <c r="T1496" s="1783"/>
      <c r="U1496" s="1783"/>
      <c r="V1496" s="1783"/>
      <c r="W1496" s="1783"/>
      <c r="X1496" s="1783"/>
      <c r="Y1496" s="1783"/>
      <c r="Z1496" s="1783"/>
      <c r="AA1496" s="1783"/>
      <c r="AB1496" s="1783"/>
      <c r="AC1496" s="1783"/>
      <c r="AD1496" s="1783"/>
      <c r="AE1496" s="1783"/>
      <c r="AF1496" s="1783"/>
      <c r="AG1496" s="1783"/>
      <c r="AH1496" s="1783"/>
      <c r="AI1496" s="1783"/>
      <c r="AJ1496" s="1783"/>
      <c r="AK1496" s="1783"/>
      <c r="AL1496" s="1783"/>
      <c r="AM1496" s="1783"/>
      <c r="AN1496" s="1783"/>
      <c r="AO1496" s="1783"/>
      <c r="AP1496" s="1783"/>
      <c r="AQ1496" s="1783"/>
      <c r="AR1496" s="1783"/>
      <c r="AS1496" s="1783"/>
      <c r="AT1496" s="1783"/>
      <c r="AU1496" s="1783"/>
      <c r="AV1496" s="1783"/>
      <c r="AW1496" s="1783"/>
      <c r="AX1496" s="1783"/>
      <c r="AY1496" s="1783"/>
      <c r="AZ1496" s="1783"/>
      <c r="BA1496" s="1783"/>
      <c r="BB1496" s="1783"/>
      <c r="BC1496" s="1783"/>
      <c r="BD1496" s="1783"/>
      <c r="BE1496" s="1783"/>
      <c r="BF1496" s="1783"/>
      <c r="BG1496" s="1783"/>
      <c r="BH1496" s="1783"/>
      <c r="BI1496" s="1783"/>
    </row>
    <row r="1497" spans="1:61">
      <c r="A1497" s="1819"/>
      <c r="B1497" s="1818"/>
      <c r="C1497" s="1818"/>
      <c r="D1497" s="1818"/>
      <c r="E1497" s="1818"/>
      <c r="F1497" s="1818"/>
      <c r="G1497" s="1818"/>
      <c r="H1497" s="1783"/>
      <c r="I1497" s="1783"/>
      <c r="J1497" s="1783"/>
      <c r="K1497" s="1783"/>
      <c r="L1497" s="1783"/>
      <c r="M1497" s="1783"/>
      <c r="N1497" s="1783"/>
      <c r="O1497" s="1783"/>
      <c r="P1497" s="1783"/>
      <c r="Q1497" s="1783"/>
      <c r="R1497" s="1783"/>
      <c r="S1497" s="1783"/>
      <c r="T1497" s="1783"/>
      <c r="U1497" s="1783"/>
      <c r="V1497" s="1783"/>
      <c r="W1497" s="1783"/>
      <c r="X1497" s="1783"/>
      <c r="Y1497" s="1783"/>
      <c r="Z1497" s="1783"/>
      <c r="AA1497" s="1783"/>
      <c r="AB1497" s="1783"/>
      <c r="AC1497" s="1783"/>
      <c r="AD1497" s="1783"/>
      <c r="AE1497" s="1783"/>
      <c r="AF1497" s="1783"/>
      <c r="AG1497" s="1783"/>
      <c r="AH1497" s="1783"/>
      <c r="AI1497" s="1783"/>
      <c r="AJ1497" s="1783"/>
      <c r="AK1497" s="1783"/>
      <c r="AL1497" s="1783"/>
      <c r="AM1497" s="1783"/>
      <c r="AN1497" s="1783"/>
      <c r="AO1497" s="1783"/>
      <c r="AP1497" s="1783"/>
      <c r="AQ1497" s="1783"/>
      <c r="AR1497" s="1783"/>
      <c r="AS1497" s="1783"/>
      <c r="AT1497" s="1783"/>
      <c r="AU1497" s="1783"/>
      <c r="AV1497" s="1783"/>
      <c r="AW1497" s="1783"/>
      <c r="AX1497" s="1783"/>
      <c r="AY1497" s="1783"/>
      <c r="AZ1497" s="1783"/>
      <c r="BA1497" s="1783"/>
      <c r="BB1497" s="1783"/>
      <c r="BC1497" s="1783"/>
      <c r="BD1497" s="1783"/>
      <c r="BE1497" s="1783"/>
      <c r="BF1497" s="1783"/>
      <c r="BG1497" s="1783"/>
      <c r="BH1497" s="1783"/>
      <c r="BI1497" s="1783"/>
    </row>
    <row r="1498" spans="1:61">
      <c r="A1498" s="1819"/>
      <c r="B1498" s="1818"/>
      <c r="C1498" s="1818"/>
      <c r="D1498" s="1818"/>
      <c r="E1498" s="1818"/>
      <c r="F1498" s="1818"/>
      <c r="G1498" s="1818"/>
      <c r="H1498" s="1783"/>
      <c r="I1498" s="1783"/>
      <c r="J1498" s="1783"/>
      <c r="K1498" s="1783"/>
      <c r="L1498" s="1783"/>
      <c r="M1498" s="1783"/>
      <c r="N1498" s="1783"/>
      <c r="O1498" s="1783"/>
      <c r="P1498" s="1783"/>
      <c r="Q1498" s="1783"/>
      <c r="R1498" s="1783"/>
      <c r="S1498" s="1783"/>
      <c r="T1498" s="1783"/>
      <c r="U1498" s="1783"/>
      <c r="V1498" s="1783"/>
      <c r="W1498" s="1783"/>
      <c r="X1498" s="1783"/>
      <c r="Y1498" s="1783"/>
      <c r="Z1498" s="1783"/>
      <c r="AA1498" s="1783"/>
      <c r="AB1498" s="1783"/>
      <c r="AC1498" s="1783"/>
      <c r="AD1498" s="1783"/>
      <c r="AE1498" s="1783"/>
      <c r="AF1498" s="1783"/>
      <c r="AG1498" s="1783"/>
      <c r="AH1498" s="1783"/>
      <c r="AI1498" s="1783"/>
      <c r="AJ1498" s="1783"/>
      <c r="AK1498" s="1783"/>
      <c r="AL1498" s="1783"/>
      <c r="AM1498" s="1783"/>
      <c r="AN1498" s="1783"/>
      <c r="AO1498" s="1783"/>
      <c r="AP1498" s="1783"/>
      <c r="AQ1498" s="1783"/>
      <c r="AR1498" s="1783"/>
      <c r="AS1498" s="1783"/>
      <c r="AT1498" s="1783"/>
      <c r="AU1498" s="1783"/>
      <c r="AV1498" s="1783"/>
      <c r="AW1498" s="1783"/>
      <c r="AX1498" s="1783"/>
      <c r="AY1498" s="1783"/>
      <c r="AZ1498" s="1783"/>
      <c r="BA1498" s="1783"/>
      <c r="BB1498" s="1783"/>
      <c r="BC1498" s="1783"/>
      <c r="BD1498" s="1783"/>
      <c r="BE1498" s="1783"/>
      <c r="BF1498" s="1783"/>
      <c r="BG1498" s="1783"/>
      <c r="BH1498" s="1783"/>
      <c r="BI1498" s="1783"/>
    </row>
    <row r="1499" spans="1:61">
      <c r="A1499" s="1819"/>
      <c r="B1499" s="1818"/>
      <c r="C1499" s="1818"/>
      <c r="D1499" s="1818"/>
      <c r="E1499" s="1818"/>
      <c r="F1499" s="1818"/>
      <c r="G1499" s="1818"/>
      <c r="H1499" s="1783"/>
      <c r="I1499" s="1783"/>
      <c r="J1499" s="1783"/>
      <c r="K1499" s="1783"/>
      <c r="L1499" s="1783"/>
      <c r="M1499" s="1783"/>
      <c r="N1499" s="1783"/>
      <c r="O1499" s="1783"/>
      <c r="P1499" s="1783"/>
      <c r="Q1499" s="1783"/>
      <c r="R1499" s="1783"/>
      <c r="S1499" s="1783"/>
      <c r="T1499" s="1783"/>
      <c r="U1499" s="1783"/>
      <c r="V1499" s="1783"/>
      <c r="W1499" s="1783"/>
      <c r="X1499" s="1783"/>
      <c r="Y1499" s="1783"/>
      <c r="Z1499" s="1783"/>
      <c r="AA1499" s="1783"/>
      <c r="AB1499" s="1783"/>
      <c r="AC1499" s="1783"/>
      <c r="AD1499" s="1783"/>
      <c r="AE1499" s="1783"/>
      <c r="AF1499" s="1783"/>
      <c r="AG1499" s="1783"/>
      <c r="AH1499" s="1783"/>
      <c r="AI1499" s="1783"/>
      <c r="AJ1499" s="1783"/>
      <c r="AK1499" s="1783"/>
      <c r="AL1499" s="1783"/>
      <c r="AM1499" s="1783"/>
      <c r="AN1499" s="1783"/>
      <c r="AO1499" s="1783"/>
      <c r="AP1499" s="1783"/>
      <c r="AQ1499" s="1783"/>
      <c r="AR1499" s="1783"/>
      <c r="AS1499" s="1783"/>
      <c r="AT1499" s="1783"/>
      <c r="AU1499" s="1783"/>
      <c r="AV1499" s="1783"/>
      <c r="AW1499" s="1783"/>
      <c r="AX1499" s="1783"/>
      <c r="AY1499" s="1783"/>
      <c r="AZ1499" s="1783"/>
      <c r="BA1499" s="1783"/>
      <c r="BB1499" s="1783"/>
      <c r="BC1499" s="1783"/>
      <c r="BD1499" s="1783"/>
      <c r="BE1499" s="1783"/>
      <c r="BF1499" s="1783"/>
      <c r="BG1499" s="1783"/>
      <c r="BH1499" s="1783"/>
      <c r="BI1499" s="1783"/>
    </row>
    <row r="1500" spans="1:61">
      <c r="A1500" s="1819"/>
      <c r="B1500" s="1818"/>
      <c r="C1500" s="1818"/>
      <c r="D1500" s="1818"/>
      <c r="E1500" s="1818"/>
      <c r="F1500" s="1818"/>
      <c r="G1500" s="1818"/>
      <c r="H1500" s="1783"/>
      <c r="I1500" s="1783"/>
      <c r="J1500" s="1783"/>
      <c r="K1500" s="1783"/>
      <c r="L1500" s="1783"/>
      <c r="M1500" s="1783"/>
      <c r="N1500" s="1783"/>
      <c r="O1500" s="1783"/>
      <c r="P1500" s="1783"/>
      <c r="Q1500" s="1783"/>
      <c r="R1500" s="1783"/>
      <c r="S1500" s="1783"/>
      <c r="T1500" s="1783"/>
      <c r="U1500" s="1783"/>
      <c r="V1500" s="1783"/>
      <c r="W1500" s="1783"/>
      <c r="X1500" s="1783"/>
      <c r="Y1500" s="1783"/>
      <c r="Z1500" s="1783"/>
      <c r="AA1500" s="1783"/>
      <c r="AB1500" s="1783"/>
      <c r="AC1500" s="1783"/>
      <c r="AD1500" s="1783"/>
      <c r="AE1500" s="1783"/>
      <c r="AF1500" s="1783"/>
      <c r="AG1500" s="1783"/>
      <c r="AH1500" s="1783"/>
      <c r="AI1500" s="1783"/>
      <c r="AJ1500" s="1783"/>
      <c r="AK1500" s="1783"/>
      <c r="AL1500" s="1783"/>
      <c r="AM1500" s="1783"/>
      <c r="AN1500" s="1783"/>
      <c r="AO1500" s="1783"/>
      <c r="AP1500" s="1783"/>
      <c r="AQ1500" s="1783"/>
      <c r="AR1500" s="1783"/>
      <c r="AS1500" s="1783"/>
      <c r="AT1500" s="1783"/>
      <c r="AU1500" s="1783"/>
      <c r="AV1500" s="1783"/>
      <c r="AW1500" s="1783"/>
      <c r="AX1500" s="1783"/>
      <c r="AY1500" s="1783"/>
      <c r="AZ1500" s="1783"/>
      <c r="BA1500" s="1783"/>
      <c r="BB1500" s="1783"/>
      <c r="BC1500" s="1783"/>
      <c r="BD1500" s="1783"/>
      <c r="BE1500" s="1783"/>
      <c r="BF1500" s="1783"/>
      <c r="BG1500" s="1783"/>
      <c r="BH1500" s="1783"/>
      <c r="BI1500" s="1783"/>
    </row>
    <row r="1501" spans="1:61">
      <c r="A1501" s="1819"/>
      <c r="B1501" s="1818"/>
      <c r="C1501" s="1818"/>
      <c r="D1501" s="1818"/>
      <c r="E1501" s="1818"/>
      <c r="F1501" s="1818"/>
      <c r="G1501" s="1818"/>
      <c r="H1501" s="1783"/>
      <c r="I1501" s="1783"/>
      <c r="J1501" s="1783"/>
      <c r="K1501" s="1783"/>
      <c r="L1501" s="1783"/>
      <c r="M1501" s="1783"/>
      <c r="N1501" s="1783"/>
      <c r="O1501" s="1783"/>
      <c r="P1501" s="1783"/>
      <c r="Q1501" s="1783"/>
      <c r="R1501" s="1783"/>
      <c r="S1501" s="1783"/>
      <c r="T1501" s="1783"/>
      <c r="U1501" s="1783"/>
      <c r="V1501" s="1783"/>
      <c r="W1501" s="1783"/>
      <c r="X1501" s="1783"/>
      <c r="Y1501" s="1783"/>
      <c r="Z1501" s="1783"/>
      <c r="AA1501" s="1783"/>
      <c r="AB1501" s="1783"/>
      <c r="AC1501" s="1783"/>
      <c r="AD1501" s="1783"/>
      <c r="AE1501" s="1783"/>
      <c r="AF1501" s="1783"/>
      <c r="AG1501" s="1783"/>
      <c r="AH1501" s="1783"/>
      <c r="AI1501" s="1783"/>
      <c r="AJ1501" s="1783"/>
      <c r="AK1501" s="1783"/>
      <c r="AL1501" s="1783"/>
      <c r="AM1501" s="1783"/>
      <c r="AN1501" s="1783"/>
      <c r="AO1501" s="1783"/>
      <c r="AP1501" s="1783"/>
      <c r="AQ1501" s="1783"/>
      <c r="AR1501" s="1783"/>
      <c r="AS1501" s="1783"/>
      <c r="AT1501" s="1783"/>
      <c r="AU1501" s="1783"/>
      <c r="AV1501" s="1783"/>
      <c r="AW1501" s="1783"/>
      <c r="AX1501" s="1783"/>
      <c r="AY1501" s="1783"/>
      <c r="AZ1501" s="1783"/>
      <c r="BA1501" s="1783"/>
      <c r="BB1501" s="1783"/>
      <c r="BC1501" s="1783"/>
      <c r="BD1501" s="1783"/>
      <c r="BE1501" s="1783"/>
      <c r="BF1501" s="1783"/>
      <c r="BG1501" s="1783"/>
      <c r="BH1501" s="1783"/>
      <c r="BI1501" s="1783"/>
    </row>
    <row r="1502" spans="1:61">
      <c r="A1502" s="1819"/>
      <c r="B1502" s="1818"/>
      <c r="C1502" s="1818"/>
      <c r="D1502" s="1818"/>
      <c r="E1502" s="1818"/>
      <c r="F1502" s="1818"/>
      <c r="G1502" s="1818"/>
      <c r="H1502" s="1783"/>
      <c r="I1502" s="1783"/>
      <c r="J1502" s="1783"/>
      <c r="K1502" s="1783"/>
      <c r="L1502" s="1783"/>
      <c r="M1502" s="1783"/>
      <c r="N1502" s="1783"/>
      <c r="O1502" s="1783"/>
      <c r="P1502" s="1783"/>
      <c r="Q1502" s="1783"/>
      <c r="R1502" s="1783"/>
      <c r="S1502" s="1783"/>
      <c r="T1502" s="1783"/>
      <c r="U1502" s="1783"/>
      <c r="V1502" s="1783"/>
      <c r="W1502" s="1783"/>
      <c r="X1502" s="1783"/>
      <c r="Y1502" s="1783"/>
      <c r="Z1502" s="1783"/>
      <c r="AA1502" s="1783"/>
      <c r="AB1502" s="1783"/>
      <c r="AC1502" s="1783"/>
      <c r="AD1502" s="1783"/>
      <c r="AE1502" s="1783"/>
      <c r="AF1502" s="1783"/>
      <c r="AG1502" s="1783"/>
      <c r="AH1502" s="1783"/>
      <c r="AI1502" s="1783"/>
      <c r="AJ1502" s="1783"/>
      <c r="AK1502" s="1783"/>
      <c r="AL1502" s="1783"/>
      <c r="AM1502" s="1783"/>
      <c r="AN1502" s="1783"/>
      <c r="AO1502" s="1783"/>
      <c r="AP1502" s="1783"/>
      <c r="AQ1502" s="1783"/>
      <c r="AR1502" s="1783"/>
      <c r="AS1502" s="1783"/>
      <c r="AT1502" s="1783"/>
      <c r="AU1502" s="1783"/>
      <c r="AV1502" s="1783"/>
      <c r="AW1502" s="1783"/>
      <c r="AX1502" s="1783"/>
      <c r="AY1502" s="1783"/>
      <c r="AZ1502" s="1783"/>
      <c r="BA1502" s="1783"/>
      <c r="BB1502" s="1783"/>
      <c r="BC1502" s="1783"/>
      <c r="BD1502" s="1783"/>
      <c r="BE1502" s="1783"/>
      <c r="BF1502" s="1783"/>
      <c r="BG1502" s="1783"/>
      <c r="BH1502" s="1783"/>
      <c r="BI1502" s="1783"/>
    </row>
    <row r="1503" spans="1:61">
      <c r="A1503" s="1819"/>
      <c r="B1503" s="1818"/>
      <c r="C1503" s="1818"/>
      <c r="D1503" s="1818"/>
      <c r="E1503" s="1818"/>
      <c r="F1503" s="1818"/>
      <c r="G1503" s="1818"/>
      <c r="H1503" s="1783"/>
      <c r="I1503" s="1783"/>
      <c r="J1503" s="1783"/>
      <c r="K1503" s="1783"/>
      <c r="L1503" s="1783"/>
      <c r="M1503" s="1783"/>
      <c r="N1503" s="1783"/>
      <c r="O1503" s="1783"/>
      <c r="P1503" s="1783"/>
      <c r="Q1503" s="1783"/>
      <c r="R1503" s="1783"/>
      <c r="S1503" s="1783"/>
      <c r="T1503" s="1783"/>
      <c r="U1503" s="1783"/>
      <c r="V1503" s="1783"/>
      <c r="W1503" s="1783"/>
      <c r="X1503" s="1783"/>
      <c r="Y1503" s="1783"/>
      <c r="Z1503" s="1783"/>
      <c r="AA1503" s="1783"/>
      <c r="AB1503" s="1783"/>
      <c r="AC1503" s="1783"/>
      <c r="AD1503" s="1783"/>
      <c r="AE1503" s="1783"/>
      <c r="AF1503" s="1783"/>
      <c r="AG1503" s="1783"/>
      <c r="AH1503" s="1783"/>
      <c r="AI1503" s="1783"/>
      <c r="AJ1503" s="1783"/>
      <c r="AK1503" s="1783"/>
      <c r="AL1503" s="1783"/>
      <c r="AM1503" s="1783"/>
      <c r="AN1503" s="1783"/>
      <c r="AO1503" s="1783"/>
      <c r="AP1503" s="1783"/>
      <c r="AQ1503" s="1783"/>
      <c r="AR1503" s="1783"/>
      <c r="AS1503" s="1783"/>
      <c r="AT1503" s="1783"/>
      <c r="AU1503" s="1783"/>
      <c r="AV1503" s="1783"/>
      <c r="AW1503" s="1783"/>
      <c r="AX1503" s="1783"/>
      <c r="AY1503" s="1783"/>
      <c r="AZ1503" s="1783"/>
      <c r="BA1503" s="1783"/>
      <c r="BB1503" s="1783"/>
      <c r="BC1503" s="1783"/>
      <c r="BD1503" s="1783"/>
      <c r="BE1503" s="1783"/>
      <c r="BF1503" s="1783"/>
      <c r="BG1503" s="1783"/>
      <c r="BH1503" s="1783"/>
      <c r="BI1503" s="1783"/>
    </row>
    <row r="1504" spans="1:61">
      <c r="A1504" s="1819"/>
      <c r="B1504" s="1818"/>
      <c r="C1504" s="1818"/>
      <c r="D1504" s="1818"/>
      <c r="E1504" s="1818"/>
      <c r="F1504" s="1818"/>
      <c r="G1504" s="1818"/>
      <c r="H1504" s="1783"/>
      <c r="I1504" s="1783"/>
      <c r="J1504" s="1783"/>
      <c r="K1504" s="1783"/>
      <c r="L1504" s="1783"/>
      <c r="M1504" s="1783"/>
      <c r="N1504" s="1783"/>
      <c r="O1504" s="1783"/>
      <c r="P1504" s="1783"/>
      <c r="Q1504" s="1783"/>
      <c r="R1504" s="1783"/>
      <c r="S1504" s="1783"/>
      <c r="T1504" s="1783"/>
      <c r="U1504" s="1783"/>
      <c r="V1504" s="1783"/>
      <c r="W1504" s="1783"/>
      <c r="X1504" s="1783"/>
      <c r="Y1504" s="1783"/>
      <c r="Z1504" s="1783"/>
      <c r="AA1504" s="1783"/>
      <c r="AB1504" s="1783"/>
      <c r="AC1504" s="1783"/>
      <c r="AD1504" s="1783"/>
      <c r="AE1504" s="1783"/>
      <c r="AF1504" s="1783"/>
      <c r="AG1504" s="1783"/>
      <c r="AH1504" s="1783"/>
      <c r="AI1504" s="1783"/>
      <c r="AJ1504" s="1783"/>
      <c r="AK1504" s="1783"/>
      <c r="AL1504" s="1783"/>
      <c r="AM1504" s="1783"/>
      <c r="AN1504" s="1783"/>
      <c r="AO1504" s="1783"/>
      <c r="AP1504" s="1783"/>
      <c r="AQ1504" s="1783"/>
      <c r="AR1504" s="1783"/>
      <c r="AS1504" s="1783"/>
      <c r="AT1504" s="1783"/>
      <c r="AU1504" s="1783"/>
      <c r="AV1504" s="1783"/>
      <c r="AW1504" s="1783"/>
      <c r="AX1504" s="1783"/>
      <c r="AY1504" s="1783"/>
      <c r="AZ1504" s="1783"/>
      <c r="BA1504" s="1783"/>
      <c r="BB1504" s="1783"/>
      <c r="BC1504" s="1783"/>
      <c r="BD1504" s="1783"/>
      <c r="BE1504" s="1783"/>
      <c r="BF1504" s="1783"/>
      <c r="BG1504" s="1783"/>
      <c r="BH1504" s="1783"/>
      <c r="BI1504" s="1783"/>
    </row>
    <row r="1505" spans="1:61">
      <c r="A1505" s="1819"/>
      <c r="B1505" s="1818"/>
      <c r="C1505" s="1818"/>
      <c r="D1505" s="1818"/>
      <c r="E1505" s="1818"/>
      <c r="F1505" s="1818"/>
      <c r="G1505" s="1818"/>
      <c r="H1505" s="1783"/>
      <c r="I1505" s="1783"/>
      <c r="J1505" s="1783"/>
      <c r="K1505" s="1783"/>
      <c r="L1505" s="1783"/>
      <c r="M1505" s="1783"/>
      <c r="N1505" s="1783"/>
      <c r="O1505" s="1783"/>
      <c r="P1505" s="1783"/>
      <c r="Q1505" s="1783"/>
      <c r="R1505" s="1783"/>
      <c r="S1505" s="1783"/>
      <c r="T1505" s="1783"/>
      <c r="U1505" s="1783"/>
      <c r="V1505" s="1783"/>
      <c r="W1505" s="1783"/>
      <c r="X1505" s="1783"/>
      <c r="Y1505" s="1783"/>
      <c r="Z1505" s="1783"/>
      <c r="AA1505" s="1783"/>
      <c r="AB1505" s="1783"/>
      <c r="AC1505" s="1783"/>
      <c r="AD1505" s="1783"/>
      <c r="AE1505" s="1783"/>
      <c r="AF1505" s="1783"/>
      <c r="AG1505" s="1783"/>
      <c r="AH1505" s="1783"/>
      <c r="AI1505" s="1783"/>
      <c r="AJ1505" s="1783"/>
      <c r="AK1505" s="1783"/>
      <c r="AL1505" s="1783"/>
      <c r="AM1505" s="1783"/>
      <c r="AN1505" s="1783"/>
      <c r="AO1505" s="1783"/>
      <c r="AP1505" s="1783"/>
      <c r="AQ1505" s="1783"/>
      <c r="AR1505" s="1783"/>
      <c r="AS1505" s="1783"/>
      <c r="AT1505" s="1783"/>
      <c r="AU1505" s="1783"/>
      <c r="AV1505" s="1783"/>
      <c r="AW1505" s="1783"/>
      <c r="AX1505" s="1783"/>
      <c r="AY1505" s="1783"/>
      <c r="AZ1505" s="1783"/>
      <c r="BA1505" s="1783"/>
      <c r="BB1505" s="1783"/>
      <c r="BC1505" s="1783"/>
      <c r="BD1505" s="1783"/>
      <c r="BE1505" s="1783"/>
      <c r="BF1505" s="1783"/>
      <c r="BG1505" s="1783"/>
      <c r="BH1505" s="1783"/>
      <c r="BI1505" s="1783"/>
    </row>
    <row r="1506" spans="1:61">
      <c r="A1506" s="1819"/>
      <c r="B1506" s="1818"/>
      <c r="C1506" s="1818"/>
      <c r="D1506" s="1818"/>
      <c r="E1506" s="1818"/>
      <c r="F1506" s="1818"/>
      <c r="G1506" s="1818"/>
      <c r="H1506" s="1783"/>
      <c r="I1506" s="1783"/>
      <c r="J1506" s="1783"/>
      <c r="K1506" s="1783"/>
      <c r="L1506" s="1783"/>
      <c r="M1506" s="1783"/>
      <c r="N1506" s="1783"/>
      <c r="O1506" s="1783"/>
      <c r="P1506" s="1783"/>
      <c r="Q1506" s="1783"/>
      <c r="R1506" s="1783"/>
      <c r="S1506" s="1783"/>
      <c r="T1506" s="1783"/>
      <c r="U1506" s="1783"/>
      <c r="V1506" s="1783"/>
      <c r="W1506" s="1783"/>
      <c r="X1506" s="1783"/>
      <c r="Y1506" s="1783"/>
      <c r="Z1506" s="1783"/>
      <c r="AA1506" s="1783"/>
      <c r="AB1506" s="1783"/>
      <c r="AC1506" s="1783"/>
      <c r="AD1506" s="1783"/>
      <c r="AE1506" s="1783"/>
      <c r="AF1506" s="1783"/>
      <c r="AG1506" s="1783"/>
      <c r="AH1506" s="1783"/>
      <c r="AI1506" s="1783"/>
      <c r="AJ1506" s="1783"/>
      <c r="AK1506" s="1783"/>
      <c r="AL1506" s="1783"/>
      <c r="AM1506" s="1783"/>
      <c r="AN1506" s="1783"/>
      <c r="AO1506" s="1783"/>
      <c r="AP1506" s="1783"/>
      <c r="AQ1506" s="1783"/>
      <c r="AR1506" s="1783"/>
      <c r="AS1506" s="1783"/>
      <c r="AT1506" s="1783"/>
      <c r="AU1506" s="1783"/>
      <c r="AV1506" s="1783"/>
      <c r="AW1506" s="1783"/>
      <c r="AX1506" s="1783"/>
      <c r="AY1506" s="1783"/>
      <c r="AZ1506" s="1783"/>
      <c r="BA1506" s="1783"/>
      <c r="BB1506" s="1783"/>
      <c r="BC1506" s="1783"/>
      <c r="BD1506" s="1783"/>
      <c r="BE1506" s="1783"/>
      <c r="BF1506" s="1783"/>
      <c r="BG1506" s="1783"/>
      <c r="BH1506" s="1783"/>
      <c r="BI1506" s="1783"/>
    </row>
    <row r="1507" spans="1:61">
      <c r="A1507" s="1819"/>
      <c r="B1507" s="1818"/>
      <c r="C1507" s="1818"/>
      <c r="D1507" s="1818"/>
      <c r="E1507" s="1818"/>
      <c r="F1507" s="1818"/>
      <c r="G1507" s="1818"/>
      <c r="H1507" s="1783"/>
      <c r="I1507" s="1783"/>
      <c r="J1507" s="1783"/>
      <c r="K1507" s="1783"/>
      <c r="L1507" s="1783"/>
      <c r="M1507" s="1783"/>
      <c r="N1507" s="1783"/>
      <c r="O1507" s="1783"/>
      <c r="P1507" s="1783"/>
      <c r="Q1507" s="1783"/>
      <c r="R1507" s="1783"/>
      <c r="S1507" s="1783"/>
      <c r="T1507" s="1783"/>
      <c r="U1507" s="1783"/>
      <c r="V1507" s="1783"/>
      <c r="W1507" s="1783"/>
      <c r="X1507" s="1783"/>
      <c r="Y1507" s="1783"/>
      <c r="Z1507" s="1783"/>
      <c r="AA1507" s="1783"/>
      <c r="AB1507" s="1783"/>
      <c r="AC1507" s="1783"/>
      <c r="AD1507" s="1783"/>
      <c r="AE1507" s="1783"/>
      <c r="AF1507" s="1783"/>
      <c r="AG1507" s="1783"/>
      <c r="AH1507" s="1783"/>
      <c r="AI1507" s="1783"/>
      <c r="AJ1507" s="1783"/>
      <c r="AK1507" s="1783"/>
      <c r="AL1507" s="1783"/>
      <c r="AM1507" s="1783"/>
      <c r="AN1507" s="1783"/>
      <c r="AO1507" s="1783"/>
      <c r="AP1507" s="1783"/>
      <c r="AQ1507" s="1783"/>
      <c r="AR1507" s="1783"/>
      <c r="AS1507" s="1783"/>
      <c r="AT1507" s="1783"/>
      <c r="AU1507" s="1783"/>
      <c r="AV1507" s="1783"/>
      <c r="AW1507" s="1783"/>
      <c r="AX1507" s="1783"/>
      <c r="AY1507" s="1783"/>
      <c r="AZ1507" s="1783"/>
      <c r="BA1507" s="1783"/>
      <c r="BB1507" s="1783"/>
      <c r="BC1507" s="1783"/>
      <c r="BD1507" s="1783"/>
      <c r="BE1507" s="1783"/>
      <c r="BF1507" s="1783"/>
      <c r="BG1507" s="1783"/>
      <c r="BH1507" s="1783"/>
      <c r="BI1507" s="1783"/>
    </row>
    <row r="1508" spans="1:61">
      <c r="A1508" s="1819"/>
      <c r="B1508" s="1818"/>
      <c r="C1508" s="1818"/>
      <c r="D1508" s="1818"/>
      <c r="E1508" s="1818"/>
      <c r="F1508" s="1818"/>
      <c r="G1508" s="1818"/>
      <c r="H1508" s="1783"/>
      <c r="I1508" s="1783"/>
      <c r="J1508" s="1783"/>
      <c r="K1508" s="1783"/>
      <c r="L1508" s="1783"/>
      <c r="M1508" s="1783"/>
      <c r="N1508" s="1783"/>
      <c r="O1508" s="1783"/>
      <c r="P1508" s="1783"/>
      <c r="Q1508" s="1783"/>
      <c r="R1508" s="1783"/>
      <c r="S1508" s="1783"/>
      <c r="T1508" s="1783"/>
      <c r="U1508" s="1783"/>
      <c r="V1508" s="1783"/>
      <c r="W1508" s="1783"/>
      <c r="X1508" s="1783"/>
      <c r="Y1508" s="1783"/>
      <c r="Z1508" s="1783"/>
      <c r="AA1508" s="1783"/>
      <c r="AB1508" s="1783"/>
      <c r="AC1508" s="1783"/>
      <c r="AD1508" s="1783"/>
      <c r="AE1508" s="1783"/>
      <c r="AF1508" s="1783"/>
      <c r="AG1508" s="1783"/>
      <c r="AH1508" s="1783"/>
      <c r="AI1508" s="1783"/>
      <c r="AJ1508" s="1783"/>
      <c r="AK1508" s="1783"/>
      <c r="AL1508" s="1783"/>
      <c r="AM1508" s="1783"/>
      <c r="AN1508" s="1783"/>
      <c r="AO1508" s="1783"/>
      <c r="AP1508" s="1783"/>
      <c r="AQ1508" s="1783"/>
      <c r="AR1508" s="1783"/>
      <c r="AS1508" s="1783"/>
      <c r="AT1508" s="1783"/>
      <c r="AU1508" s="1783"/>
      <c r="AV1508" s="1783"/>
      <c r="AW1508" s="1783"/>
      <c r="AX1508" s="1783"/>
      <c r="AY1508" s="1783"/>
      <c r="AZ1508" s="1783"/>
      <c r="BA1508" s="1783"/>
      <c r="BB1508" s="1783"/>
      <c r="BC1508" s="1783"/>
      <c r="BD1508" s="1783"/>
      <c r="BE1508" s="1783"/>
      <c r="BF1508" s="1783"/>
      <c r="BG1508" s="1783"/>
      <c r="BH1508" s="1783"/>
      <c r="BI1508" s="1783"/>
    </row>
    <row r="1509" spans="1:61">
      <c r="A1509" s="1819"/>
      <c r="B1509" s="1818"/>
      <c r="C1509" s="1818"/>
      <c r="D1509" s="1818"/>
      <c r="E1509" s="1818"/>
      <c r="F1509" s="1818"/>
      <c r="G1509" s="1818"/>
      <c r="H1509" s="1783"/>
      <c r="I1509" s="1783"/>
      <c r="J1509" s="1783"/>
      <c r="K1509" s="1783"/>
      <c r="L1509" s="1783"/>
      <c r="M1509" s="1783"/>
      <c r="N1509" s="1783"/>
      <c r="O1509" s="1783"/>
      <c r="P1509" s="1783"/>
      <c r="Q1509" s="1783"/>
      <c r="R1509" s="1783"/>
      <c r="S1509" s="1783"/>
      <c r="T1509" s="1783"/>
      <c r="U1509" s="1783"/>
      <c r="V1509" s="1783"/>
      <c r="W1509" s="1783"/>
      <c r="X1509" s="1783"/>
      <c r="Y1509" s="1783"/>
      <c r="Z1509" s="1783"/>
      <c r="AA1509" s="1783"/>
      <c r="AB1509" s="1783"/>
      <c r="AC1509" s="1783"/>
      <c r="AD1509" s="1783"/>
      <c r="AE1509" s="1783"/>
      <c r="AF1509" s="1783"/>
      <c r="AG1509" s="1783"/>
      <c r="AH1509" s="1783"/>
      <c r="AI1509" s="1783"/>
      <c r="AJ1509" s="1783"/>
      <c r="AK1509" s="1783"/>
      <c r="AL1509" s="1783"/>
      <c r="AM1509" s="1783"/>
      <c r="AN1509" s="1783"/>
      <c r="AO1509" s="1783"/>
      <c r="AP1509" s="1783"/>
      <c r="AQ1509" s="1783"/>
      <c r="AR1509" s="1783"/>
      <c r="AS1509" s="1783"/>
      <c r="AT1509" s="1783"/>
      <c r="AU1509" s="1783"/>
      <c r="AV1509" s="1783"/>
      <c r="AW1509" s="1783"/>
      <c r="AX1509" s="1783"/>
      <c r="AY1509" s="1783"/>
      <c r="AZ1509" s="1783"/>
      <c r="BA1509" s="1783"/>
      <c r="BB1509" s="1783"/>
      <c r="BC1509" s="1783"/>
      <c r="BD1509" s="1783"/>
      <c r="BE1509" s="1783"/>
      <c r="BF1509" s="1783"/>
      <c r="BG1509" s="1783"/>
      <c r="BH1509" s="1783"/>
      <c r="BI1509" s="1783"/>
    </row>
    <row r="1510" spans="1:61">
      <c r="A1510" s="1819"/>
      <c r="B1510" s="1818"/>
      <c r="C1510" s="1818"/>
      <c r="D1510" s="1818"/>
      <c r="E1510" s="1818"/>
      <c r="F1510" s="1818"/>
      <c r="G1510" s="1818"/>
      <c r="H1510" s="1783"/>
      <c r="I1510" s="1783"/>
      <c r="J1510" s="1783"/>
      <c r="K1510" s="1783"/>
      <c r="L1510" s="1783"/>
      <c r="M1510" s="1783"/>
      <c r="N1510" s="1783"/>
      <c r="O1510" s="1783"/>
      <c r="P1510" s="1783"/>
      <c r="Q1510" s="1783"/>
      <c r="R1510" s="1783"/>
      <c r="S1510" s="1783"/>
      <c r="T1510" s="1783"/>
      <c r="U1510" s="1783"/>
      <c r="V1510" s="1783"/>
      <c r="W1510" s="1783"/>
      <c r="X1510" s="1783"/>
      <c r="Y1510" s="1783"/>
      <c r="Z1510" s="1783"/>
      <c r="AA1510" s="1783"/>
      <c r="AB1510" s="1783"/>
      <c r="AC1510" s="1783"/>
      <c r="AD1510" s="1783"/>
      <c r="AE1510" s="1783"/>
      <c r="AF1510" s="1783"/>
      <c r="AG1510" s="1783"/>
      <c r="AH1510" s="1783"/>
      <c r="AI1510" s="1783"/>
      <c r="AJ1510" s="1783"/>
      <c r="AK1510" s="1783"/>
      <c r="AL1510" s="1783"/>
      <c r="AM1510" s="1783"/>
      <c r="AN1510" s="1783"/>
      <c r="AO1510" s="1783"/>
      <c r="AP1510" s="1783"/>
      <c r="AQ1510" s="1783"/>
      <c r="AR1510" s="1783"/>
      <c r="AS1510" s="1783"/>
      <c r="AT1510" s="1783"/>
      <c r="AU1510" s="1783"/>
      <c r="AV1510" s="1783"/>
      <c r="AW1510" s="1783"/>
      <c r="AX1510" s="1783"/>
      <c r="AY1510" s="1783"/>
      <c r="AZ1510" s="1783"/>
      <c r="BA1510" s="1783"/>
      <c r="BB1510" s="1783"/>
      <c r="BC1510" s="1783"/>
      <c r="BD1510" s="1783"/>
      <c r="BE1510" s="1783"/>
      <c r="BF1510" s="1783"/>
      <c r="BG1510" s="1783"/>
      <c r="BH1510" s="1783"/>
      <c r="BI1510" s="1783"/>
    </row>
    <row r="1511" spans="1:61">
      <c r="A1511" s="1819"/>
      <c r="B1511" s="1818"/>
      <c r="C1511" s="1818"/>
      <c r="D1511" s="1818"/>
      <c r="E1511" s="1818"/>
      <c r="F1511" s="1818"/>
      <c r="G1511" s="1818"/>
      <c r="H1511" s="1783"/>
      <c r="I1511" s="1783"/>
      <c r="J1511" s="1783"/>
      <c r="K1511" s="1783"/>
      <c r="L1511" s="1783"/>
      <c r="M1511" s="1783"/>
      <c r="N1511" s="1783"/>
      <c r="O1511" s="1783"/>
      <c r="P1511" s="1783"/>
      <c r="Q1511" s="1783"/>
      <c r="R1511" s="1783"/>
      <c r="S1511" s="1783"/>
      <c r="T1511" s="1783"/>
      <c r="U1511" s="1783"/>
      <c r="V1511" s="1783"/>
      <c r="W1511" s="1783"/>
      <c r="X1511" s="1783"/>
      <c r="Y1511" s="1783"/>
      <c r="Z1511" s="1783"/>
      <c r="AA1511" s="1783"/>
      <c r="AB1511" s="1783"/>
      <c r="AC1511" s="1783"/>
      <c r="AD1511" s="1783"/>
      <c r="AE1511" s="1783"/>
      <c r="AF1511" s="1783"/>
      <c r="AG1511" s="1783"/>
      <c r="AH1511" s="1783"/>
      <c r="AI1511" s="1783"/>
      <c r="AJ1511" s="1783"/>
      <c r="AK1511" s="1783"/>
      <c r="AL1511" s="1783"/>
      <c r="AM1511" s="1783"/>
      <c r="AN1511" s="1783"/>
      <c r="AO1511" s="1783"/>
      <c r="AP1511" s="1783"/>
      <c r="AQ1511" s="1783"/>
      <c r="AR1511" s="1783"/>
      <c r="AS1511" s="1783"/>
      <c r="AT1511" s="1783"/>
      <c r="AU1511" s="1783"/>
      <c r="AV1511" s="1783"/>
      <c r="AW1511" s="1783"/>
      <c r="AX1511" s="1783"/>
      <c r="AY1511" s="1783"/>
      <c r="AZ1511" s="1783"/>
      <c r="BA1511" s="1783"/>
      <c r="BB1511" s="1783"/>
      <c r="BC1511" s="1783"/>
      <c r="BD1511" s="1783"/>
      <c r="BE1511" s="1783"/>
      <c r="BF1511" s="1783"/>
      <c r="BG1511" s="1783"/>
      <c r="BH1511" s="1783"/>
      <c r="BI1511" s="1783"/>
    </row>
    <row r="1512" spans="1:61">
      <c r="A1512" s="1819"/>
      <c r="B1512" s="1818"/>
      <c r="C1512" s="1818"/>
      <c r="D1512" s="1818"/>
      <c r="E1512" s="1818"/>
      <c r="F1512" s="1818"/>
      <c r="G1512" s="1818"/>
      <c r="H1512" s="1783"/>
      <c r="I1512" s="1783"/>
      <c r="J1512" s="1783"/>
      <c r="K1512" s="1783"/>
      <c r="L1512" s="1783"/>
      <c r="M1512" s="1783"/>
      <c r="N1512" s="1783"/>
      <c r="O1512" s="1783"/>
      <c r="P1512" s="1783"/>
      <c r="Q1512" s="1783"/>
      <c r="R1512" s="1783"/>
      <c r="S1512" s="1783"/>
      <c r="T1512" s="1783"/>
      <c r="U1512" s="1783"/>
      <c r="V1512" s="1783"/>
      <c r="W1512" s="1783"/>
      <c r="X1512" s="1783"/>
      <c r="Y1512" s="1783"/>
      <c r="Z1512" s="1783"/>
      <c r="AA1512" s="1783"/>
      <c r="AB1512" s="1783"/>
      <c r="AC1512" s="1783"/>
      <c r="AD1512" s="1783"/>
      <c r="AE1512" s="1783"/>
      <c r="AF1512" s="1783"/>
      <c r="AG1512" s="1783"/>
      <c r="AH1512" s="1783"/>
      <c r="AI1512" s="1783"/>
      <c r="AJ1512" s="1783"/>
      <c r="AK1512" s="1783"/>
      <c r="AL1512" s="1783"/>
      <c r="AM1512" s="1783"/>
      <c r="AN1512" s="1783"/>
      <c r="AO1512" s="1783"/>
      <c r="AP1512" s="1783"/>
      <c r="AQ1512" s="1783"/>
      <c r="AR1512" s="1783"/>
      <c r="AS1512" s="1783"/>
      <c r="AT1512" s="1783"/>
      <c r="AU1512" s="1783"/>
      <c r="AV1512" s="1783"/>
      <c r="AW1512" s="1783"/>
      <c r="AX1512" s="1783"/>
      <c r="AY1512" s="1783"/>
      <c r="AZ1512" s="1783"/>
      <c r="BA1512" s="1783"/>
      <c r="BB1512" s="1783"/>
      <c r="BC1512" s="1783"/>
      <c r="BD1512" s="1783"/>
      <c r="BE1512" s="1783"/>
      <c r="BF1512" s="1783"/>
      <c r="BG1512" s="1783"/>
      <c r="BH1512" s="1783"/>
      <c r="BI1512" s="1783"/>
    </row>
    <row r="1513" spans="1:61">
      <c r="A1513" s="1819"/>
      <c r="B1513" s="1818"/>
      <c r="C1513" s="1818"/>
      <c r="D1513" s="1818"/>
      <c r="E1513" s="1818"/>
      <c r="F1513" s="1818"/>
      <c r="G1513" s="1818"/>
      <c r="H1513" s="1783"/>
      <c r="I1513" s="1783"/>
      <c r="J1513" s="1783"/>
      <c r="K1513" s="1783"/>
      <c r="L1513" s="1783"/>
      <c r="M1513" s="1783"/>
      <c r="N1513" s="1783"/>
      <c r="O1513" s="1783"/>
      <c r="P1513" s="1783"/>
      <c r="Q1513" s="1783"/>
      <c r="R1513" s="1783"/>
      <c r="S1513" s="1783"/>
      <c r="T1513" s="1783"/>
      <c r="U1513" s="1783"/>
      <c r="V1513" s="1783"/>
      <c r="W1513" s="1783"/>
      <c r="X1513" s="1783"/>
      <c r="Y1513" s="1783"/>
      <c r="Z1513" s="1783"/>
      <c r="AA1513" s="1783"/>
      <c r="AB1513" s="1783"/>
      <c r="AC1513" s="1783"/>
      <c r="AD1513" s="1783"/>
      <c r="AE1513" s="1783"/>
      <c r="AF1513" s="1783"/>
      <c r="AG1513" s="1783"/>
      <c r="AH1513" s="1783"/>
      <c r="AI1513" s="1783"/>
      <c r="AJ1513" s="1783"/>
      <c r="AK1513" s="1783"/>
      <c r="AL1513" s="1783"/>
      <c r="AM1513" s="1783"/>
      <c r="AN1513" s="1783"/>
      <c r="AO1513" s="1783"/>
      <c r="AP1513" s="1783"/>
      <c r="AQ1513" s="1783"/>
      <c r="AR1513" s="1783"/>
      <c r="AS1513" s="1783"/>
      <c r="AT1513" s="1783"/>
      <c r="AU1513" s="1783"/>
      <c r="AV1513" s="1783"/>
      <c r="AW1513" s="1783"/>
      <c r="AX1513" s="1783"/>
      <c r="AY1513" s="1783"/>
      <c r="AZ1513" s="1783"/>
      <c r="BA1513" s="1783"/>
      <c r="BB1513" s="1783"/>
      <c r="BC1513" s="1783"/>
      <c r="BD1513" s="1783"/>
      <c r="BE1513" s="1783"/>
      <c r="BF1513" s="1783"/>
      <c r="BG1513" s="1783"/>
      <c r="BH1513" s="1783"/>
      <c r="BI1513" s="1783"/>
    </row>
    <row r="1514" spans="1:61">
      <c r="A1514" s="1819"/>
      <c r="B1514" s="1818"/>
      <c r="C1514" s="1818"/>
      <c r="D1514" s="1818"/>
      <c r="E1514" s="1818"/>
      <c r="F1514" s="1818"/>
      <c r="G1514" s="1818"/>
      <c r="H1514" s="1783"/>
      <c r="I1514" s="1783"/>
      <c r="J1514" s="1783"/>
      <c r="K1514" s="1783"/>
      <c r="L1514" s="1783"/>
      <c r="M1514" s="1783"/>
      <c r="N1514" s="1783"/>
      <c r="O1514" s="1783"/>
      <c r="P1514" s="1783"/>
      <c r="Q1514" s="1783"/>
      <c r="R1514" s="1783"/>
      <c r="S1514" s="1783"/>
      <c r="T1514" s="1783"/>
      <c r="U1514" s="1783"/>
      <c r="V1514" s="1783"/>
      <c r="W1514" s="1783"/>
      <c r="X1514" s="1783"/>
      <c r="Y1514" s="1783"/>
      <c r="Z1514" s="1783"/>
      <c r="AA1514" s="1783"/>
      <c r="AB1514" s="1783"/>
      <c r="AC1514" s="1783"/>
      <c r="AD1514" s="1783"/>
      <c r="AE1514" s="1783"/>
      <c r="AF1514" s="1783"/>
      <c r="AG1514" s="1783"/>
      <c r="AH1514" s="1783"/>
      <c r="AI1514" s="1783"/>
      <c r="AJ1514" s="1783"/>
      <c r="AK1514" s="1783"/>
      <c r="AL1514" s="1783"/>
      <c r="AM1514" s="1783"/>
      <c r="AN1514" s="1783"/>
      <c r="AO1514" s="1783"/>
      <c r="AP1514" s="1783"/>
      <c r="AQ1514" s="1783"/>
      <c r="AR1514" s="1783"/>
      <c r="AS1514" s="1783"/>
      <c r="AT1514" s="1783"/>
      <c r="AU1514" s="1783"/>
      <c r="AV1514" s="1783"/>
      <c r="AW1514" s="1783"/>
      <c r="AX1514" s="1783"/>
      <c r="AY1514" s="1783"/>
      <c r="AZ1514" s="1783"/>
      <c r="BA1514" s="1783"/>
      <c r="BB1514" s="1783"/>
      <c r="BC1514" s="1783"/>
      <c r="BD1514" s="1783"/>
      <c r="BE1514" s="1783"/>
      <c r="BF1514" s="1783"/>
      <c r="BG1514" s="1783"/>
      <c r="BH1514" s="1783"/>
      <c r="BI1514" s="1783"/>
    </row>
    <row r="1515" spans="1:61">
      <c r="A1515" s="1819"/>
      <c r="B1515" s="1818"/>
      <c r="C1515" s="1818"/>
      <c r="D1515" s="1818"/>
      <c r="E1515" s="1818"/>
      <c r="F1515" s="1818"/>
      <c r="G1515" s="1818"/>
      <c r="H1515" s="1783"/>
      <c r="I1515" s="1783"/>
      <c r="J1515" s="1783"/>
      <c r="K1515" s="1783"/>
      <c r="L1515" s="1783"/>
      <c r="M1515" s="1783"/>
      <c r="N1515" s="1783"/>
      <c r="O1515" s="1783"/>
      <c r="P1515" s="1783"/>
      <c r="Q1515" s="1783"/>
      <c r="R1515" s="1783"/>
      <c r="S1515" s="1783"/>
      <c r="T1515" s="1783"/>
      <c r="U1515" s="1783"/>
      <c r="V1515" s="1783"/>
      <c r="W1515" s="1783"/>
      <c r="X1515" s="1783"/>
      <c r="Y1515" s="1783"/>
      <c r="Z1515" s="1783"/>
      <c r="AA1515" s="1783"/>
      <c r="AB1515" s="1783"/>
      <c r="AC1515" s="1783"/>
      <c r="AD1515" s="1783"/>
      <c r="AE1515" s="1783"/>
      <c r="AF1515" s="1783"/>
      <c r="AG1515" s="1783"/>
      <c r="AH1515" s="1783"/>
      <c r="AI1515" s="1783"/>
      <c r="AJ1515" s="1783"/>
      <c r="AK1515" s="1783"/>
      <c r="AL1515" s="1783"/>
      <c r="AM1515" s="1783"/>
      <c r="AN1515" s="1783"/>
      <c r="AO1515" s="1783"/>
      <c r="AP1515" s="1783"/>
      <c r="AQ1515" s="1783"/>
      <c r="AR1515" s="1783"/>
      <c r="AS1515" s="1783"/>
      <c r="AT1515" s="1783"/>
      <c r="AU1515" s="1783"/>
      <c r="AV1515" s="1783"/>
      <c r="AW1515" s="1783"/>
      <c r="AX1515" s="1783"/>
      <c r="AY1515" s="1783"/>
      <c r="AZ1515" s="1783"/>
      <c r="BA1515" s="1783"/>
      <c r="BB1515" s="1783"/>
      <c r="BC1515" s="1783"/>
      <c r="BD1515" s="1783"/>
      <c r="BE1515" s="1783"/>
      <c r="BF1515" s="1783"/>
      <c r="BG1515" s="1783"/>
      <c r="BH1515" s="1783"/>
      <c r="BI1515" s="1783"/>
    </row>
    <row r="1516" spans="1:61">
      <c r="A1516" s="1819"/>
      <c r="B1516" s="1818"/>
      <c r="C1516" s="1818"/>
      <c r="D1516" s="1818"/>
      <c r="E1516" s="1818"/>
      <c r="F1516" s="1818"/>
      <c r="G1516" s="1818"/>
      <c r="H1516" s="1783"/>
      <c r="I1516" s="1783"/>
      <c r="J1516" s="1783"/>
      <c r="K1516" s="1783"/>
      <c r="L1516" s="1783"/>
      <c r="M1516" s="1783"/>
      <c r="N1516" s="1783"/>
      <c r="O1516" s="1783"/>
      <c r="P1516" s="1783"/>
      <c r="Q1516" s="1783"/>
      <c r="R1516" s="1783"/>
      <c r="S1516" s="1783"/>
      <c r="T1516" s="1783"/>
      <c r="U1516" s="1783"/>
      <c r="V1516" s="1783"/>
      <c r="W1516" s="1783"/>
      <c r="X1516" s="1783"/>
      <c r="Y1516" s="1783"/>
      <c r="Z1516" s="1783"/>
      <c r="AA1516" s="1783"/>
      <c r="AB1516" s="1783"/>
      <c r="AC1516" s="1783"/>
      <c r="AD1516" s="1783"/>
      <c r="AE1516" s="1783"/>
      <c r="AF1516" s="1783"/>
      <c r="AG1516" s="1783"/>
      <c r="AH1516" s="1783"/>
      <c r="AI1516" s="1783"/>
      <c r="AJ1516" s="1783"/>
      <c r="AK1516" s="1783"/>
      <c r="AL1516" s="1783"/>
      <c r="AM1516" s="1783"/>
      <c r="AN1516" s="1783"/>
      <c r="AO1516" s="1783"/>
      <c r="AP1516" s="1783"/>
      <c r="AQ1516" s="1783"/>
      <c r="AR1516" s="1783"/>
      <c r="AS1516" s="1783"/>
      <c r="AT1516" s="1783"/>
      <c r="AU1516" s="1783"/>
      <c r="AV1516" s="1783"/>
      <c r="AW1516" s="1783"/>
      <c r="AX1516" s="1783"/>
      <c r="AY1516" s="1783"/>
      <c r="AZ1516" s="1783"/>
      <c r="BA1516" s="1783"/>
      <c r="BB1516" s="1783"/>
      <c r="BC1516" s="1783"/>
      <c r="BD1516" s="1783"/>
      <c r="BE1516" s="1783"/>
      <c r="BF1516" s="1783"/>
      <c r="BG1516" s="1783"/>
      <c r="BH1516" s="1783"/>
      <c r="BI1516" s="1783"/>
    </row>
    <row r="1517" spans="1:61">
      <c r="A1517" s="1819"/>
      <c r="B1517" s="1818"/>
      <c r="C1517" s="1818"/>
      <c r="D1517" s="1818"/>
      <c r="E1517" s="1818"/>
      <c r="F1517" s="1818"/>
      <c r="G1517" s="1818"/>
      <c r="H1517" s="1783"/>
      <c r="I1517" s="1783"/>
      <c r="J1517" s="1783"/>
      <c r="K1517" s="1783"/>
      <c r="L1517" s="1783"/>
      <c r="M1517" s="1783"/>
      <c r="N1517" s="1783"/>
      <c r="O1517" s="1783"/>
      <c r="P1517" s="1783"/>
      <c r="Q1517" s="1783"/>
      <c r="R1517" s="1783"/>
      <c r="S1517" s="1783"/>
      <c r="T1517" s="1783"/>
      <c r="U1517" s="1783"/>
      <c r="V1517" s="1783"/>
      <c r="W1517" s="1783"/>
      <c r="X1517" s="1783"/>
      <c r="Y1517" s="1783"/>
      <c r="Z1517" s="1783"/>
      <c r="AA1517" s="1783"/>
      <c r="AB1517" s="1783"/>
      <c r="AC1517" s="1783"/>
      <c r="AD1517" s="1783"/>
      <c r="AE1517" s="1783"/>
      <c r="AF1517" s="1783"/>
      <c r="AG1517" s="1783"/>
      <c r="AH1517" s="1783"/>
      <c r="AI1517" s="1783"/>
      <c r="AJ1517" s="1783"/>
      <c r="AK1517" s="1783"/>
      <c r="AL1517" s="1783"/>
      <c r="AM1517" s="1783"/>
      <c r="AN1517" s="1783"/>
      <c r="AO1517" s="1783"/>
      <c r="AP1517" s="1783"/>
      <c r="AQ1517" s="1783"/>
      <c r="AR1517" s="1783"/>
      <c r="AS1517" s="1783"/>
      <c r="AT1517" s="1783"/>
      <c r="AU1517" s="1783"/>
      <c r="AV1517" s="1783"/>
      <c r="AW1517" s="1783"/>
      <c r="AX1517" s="1783"/>
      <c r="AY1517" s="1783"/>
      <c r="AZ1517" s="1783"/>
      <c r="BA1517" s="1783"/>
      <c r="BB1517" s="1783"/>
      <c r="BC1517" s="1783"/>
      <c r="BD1517" s="1783"/>
      <c r="BE1517" s="1783"/>
      <c r="BF1517" s="1783"/>
      <c r="BG1517" s="1783"/>
      <c r="BH1517" s="1783"/>
      <c r="BI1517" s="1783"/>
    </row>
    <row r="1518" spans="1:61">
      <c r="A1518" s="1819"/>
      <c r="B1518" s="1818"/>
      <c r="C1518" s="1818"/>
      <c r="D1518" s="1818"/>
      <c r="E1518" s="1818"/>
      <c r="F1518" s="1818"/>
      <c r="G1518" s="1818"/>
      <c r="H1518" s="1783"/>
      <c r="I1518" s="1783"/>
      <c r="J1518" s="1783"/>
      <c r="K1518" s="1783"/>
      <c r="L1518" s="1783"/>
      <c r="M1518" s="1783"/>
      <c r="N1518" s="1783"/>
      <c r="O1518" s="1783"/>
      <c r="P1518" s="1783"/>
      <c r="Q1518" s="1783"/>
      <c r="R1518" s="1783"/>
      <c r="S1518" s="1783"/>
      <c r="T1518" s="1783"/>
      <c r="U1518" s="1783"/>
      <c r="V1518" s="1783"/>
      <c r="W1518" s="1783"/>
      <c r="X1518" s="1783"/>
      <c r="Y1518" s="1783"/>
      <c r="Z1518" s="1783"/>
      <c r="AA1518" s="1783"/>
      <c r="AB1518" s="1783"/>
      <c r="AC1518" s="1783"/>
      <c r="AD1518" s="1783"/>
      <c r="AE1518" s="1783"/>
      <c r="AF1518" s="1783"/>
      <c r="AG1518" s="1783"/>
      <c r="AH1518" s="1783"/>
      <c r="AI1518" s="1783"/>
      <c r="AJ1518" s="1783"/>
      <c r="AK1518" s="1783"/>
      <c r="AL1518" s="1783"/>
      <c r="AM1518" s="1783"/>
      <c r="AN1518" s="1783"/>
      <c r="AO1518" s="1783"/>
      <c r="AP1518" s="1783"/>
      <c r="AQ1518" s="1783"/>
      <c r="AR1518" s="1783"/>
      <c r="AS1518" s="1783"/>
      <c r="AT1518" s="1783"/>
      <c r="AU1518" s="1783"/>
      <c r="AV1518" s="1783"/>
      <c r="AW1518" s="1783"/>
      <c r="AX1518" s="1783"/>
      <c r="AY1518" s="1783"/>
      <c r="AZ1518" s="1783"/>
      <c r="BA1518" s="1783"/>
      <c r="BB1518" s="1783"/>
      <c r="BC1518" s="1783"/>
      <c r="BD1518" s="1783"/>
      <c r="BE1518" s="1783"/>
      <c r="BF1518" s="1783"/>
      <c r="BG1518" s="1783"/>
      <c r="BH1518" s="1783"/>
      <c r="BI1518" s="1783"/>
    </row>
    <row r="1519" spans="1:61">
      <c r="A1519" s="1819"/>
      <c r="B1519" s="1818"/>
      <c r="C1519" s="1818"/>
      <c r="D1519" s="1818"/>
      <c r="E1519" s="1818"/>
      <c r="F1519" s="1818"/>
      <c r="G1519" s="1818"/>
      <c r="H1519" s="1783"/>
      <c r="I1519" s="1783"/>
      <c r="J1519" s="1783"/>
      <c r="K1519" s="1783"/>
      <c r="L1519" s="1783"/>
      <c r="M1519" s="1783"/>
      <c r="N1519" s="1783"/>
      <c r="O1519" s="1783"/>
      <c r="P1519" s="1783"/>
      <c r="Q1519" s="1783"/>
      <c r="R1519" s="1783"/>
      <c r="S1519" s="1783"/>
      <c r="T1519" s="1783"/>
      <c r="U1519" s="1783"/>
      <c r="V1519" s="1783"/>
      <c r="W1519" s="1783"/>
      <c r="X1519" s="1783"/>
      <c r="Y1519" s="1783"/>
      <c r="Z1519" s="1783"/>
      <c r="AA1519" s="1783"/>
      <c r="AB1519" s="1783"/>
      <c r="AC1519" s="1783"/>
      <c r="AD1519" s="1783"/>
      <c r="AE1519" s="1783"/>
      <c r="AF1519" s="1783"/>
      <c r="AG1519" s="1783"/>
      <c r="AH1519" s="1783"/>
      <c r="AI1519" s="1783"/>
      <c r="AJ1519" s="1783"/>
      <c r="AK1519" s="1783"/>
      <c r="AL1519" s="1783"/>
      <c r="AM1519" s="1783"/>
      <c r="AN1519" s="1783"/>
      <c r="AO1519" s="1783"/>
      <c r="AP1519" s="1783"/>
      <c r="AQ1519" s="1783"/>
      <c r="AR1519" s="1783"/>
      <c r="AS1519" s="1783"/>
      <c r="AT1519" s="1783"/>
      <c r="AU1519" s="1783"/>
      <c r="AV1519" s="1783"/>
      <c r="AW1519" s="1783"/>
      <c r="AX1519" s="1783"/>
      <c r="AY1519" s="1783"/>
      <c r="AZ1519" s="1783"/>
      <c r="BA1519" s="1783"/>
      <c r="BB1519" s="1783"/>
      <c r="BC1519" s="1783"/>
      <c r="BD1519" s="1783"/>
      <c r="BE1519" s="1783"/>
      <c r="BF1519" s="1783"/>
      <c r="BG1519" s="1783"/>
      <c r="BH1519" s="1783"/>
      <c r="BI1519" s="1783"/>
    </row>
    <row r="1520" spans="1:61">
      <c r="A1520" s="1819"/>
      <c r="B1520" s="1818"/>
      <c r="C1520" s="1818"/>
      <c r="D1520" s="1818"/>
      <c r="E1520" s="1818"/>
      <c r="F1520" s="1818"/>
      <c r="G1520" s="1818"/>
      <c r="H1520" s="1783"/>
      <c r="I1520" s="1783"/>
      <c r="J1520" s="1783"/>
      <c r="K1520" s="1783"/>
      <c r="L1520" s="1783"/>
      <c r="M1520" s="1783"/>
      <c r="N1520" s="1783"/>
      <c r="O1520" s="1783"/>
      <c r="P1520" s="1783"/>
      <c r="Q1520" s="1783"/>
      <c r="R1520" s="1783"/>
      <c r="S1520" s="1783"/>
      <c r="T1520" s="1783"/>
      <c r="U1520" s="1783"/>
      <c r="V1520" s="1783"/>
      <c r="W1520" s="1783"/>
      <c r="X1520" s="1783"/>
      <c r="Y1520" s="1783"/>
      <c r="Z1520" s="1783"/>
      <c r="AA1520" s="1783"/>
      <c r="AB1520" s="1783"/>
      <c r="AC1520" s="1783"/>
      <c r="AD1520" s="1783"/>
      <c r="AE1520" s="1783"/>
      <c r="AF1520" s="1783"/>
      <c r="AG1520" s="1783"/>
      <c r="AH1520" s="1783"/>
      <c r="AI1520" s="1783"/>
      <c r="AJ1520" s="1783"/>
      <c r="AK1520" s="1783"/>
      <c r="AL1520" s="1783"/>
      <c r="AM1520" s="1783"/>
      <c r="AN1520" s="1783"/>
      <c r="AO1520" s="1783"/>
      <c r="AP1520" s="1783"/>
      <c r="AQ1520" s="1783"/>
      <c r="AR1520" s="1783"/>
      <c r="AS1520" s="1783"/>
      <c r="AT1520" s="1783"/>
      <c r="AU1520" s="1783"/>
      <c r="AV1520" s="1783"/>
      <c r="AW1520" s="1783"/>
      <c r="AX1520" s="1783"/>
      <c r="AY1520" s="1783"/>
      <c r="AZ1520" s="1783"/>
      <c r="BA1520" s="1783"/>
      <c r="BB1520" s="1783"/>
      <c r="BC1520" s="1783"/>
      <c r="BD1520" s="1783"/>
      <c r="BE1520" s="1783"/>
      <c r="BF1520" s="1783"/>
      <c r="BG1520" s="1783"/>
      <c r="BH1520" s="1783"/>
      <c r="BI1520" s="1783"/>
    </row>
    <row r="1521" spans="1:61">
      <c r="A1521" s="1819"/>
      <c r="B1521" s="1818"/>
      <c r="C1521" s="1818"/>
      <c r="D1521" s="1818"/>
      <c r="E1521" s="1818"/>
      <c r="F1521" s="1818"/>
      <c r="G1521" s="1818"/>
      <c r="H1521" s="1783"/>
      <c r="I1521" s="1783"/>
      <c r="J1521" s="1783"/>
      <c r="K1521" s="1783"/>
      <c r="L1521" s="1783"/>
      <c r="M1521" s="1783"/>
      <c r="N1521" s="1783"/>
      <c r="O1521" s="1783"/>
      <c r="P1521" s="1783"/>
      <c r="Q1521" s="1783"/>
      <c r="R1521" s="1783"/>
      <c r="S1521" s="1783"/>
      <c r="T1521" s="1783"/>
      <c r="U1521" s="1783"/>
      <c r="V1521" s="1783"/>
      <c r="W1521" s="1783"/>
      <c r="X1521" s="1783"/>
      <c r="Y1521" s="1783"/>
      <c r="Z1521" s="1783"/>
      <c r="AA1521" s="1783"/>
      <c r="AB1521" s="1783"/>
      <c r="AC1521" s="1783"/>
      <c r="AD1521" s="1783"/>
      <c r="AE1521" s="1783"/>
      <c r="AF1521" s="1783"/>
      <c r="AG1521" s="1783"/>
      <c r="AH1521" s="1783"/>
      <c r="AI1521" s="1783"/>
      <c r="AJ1521" s="1783"/>
      <c r="AK1521" s="1783"/>
      <c r="AL1521" s="1783"/>
      <c r="AM1521" s="1783"/>
      <c r="AN1521" s="1783"/>
      <c r="AO1521" s="1783"/>
      <c r="AP1521" s="1783"/>
      <c r="AQ1521" s="1783"/>
      <c r="AR1521" s="1783"/>
      <c r="AS1521" s="1783"/>
      <c r="AT1521" s="1783"/>
      <c r="AU1521" s="1783"/>
      <c r="AV1521" s="1783"/>
      <c r="AW1521" s="1783"/>
      <c r="AX1521" s="1783"/>
      <c r="AY1521" s="1783"/>
      <c r="AZ1521" s="1783"/>
      <c r="BA1521" s="1783"/>
      <c r="BB1521" s="1783"/>
      <c r="BC1521" s="1783"/>
      <c r="BD1521" s="1783"/>
      <c r="BE1521" s="1783"/>
      <c r="BF1521" s="1783"/>
      <c r="BG1521" s="1783"/>
      <c r="BH1521" s="1783"/>
      <c r="BI1521" s="1783"/>
    </row>
    <row r="1522" spans="1:61">
      <c r="A1522" s="1819"/>
      <c r="B1522" s="1818"/>
      <c r="C1522" s="1818"/>
      <c r="D1522" s="1818"/>
      <c r="E1522" s="1818"/>
      <c r="F1522" s="1818"/>
      <c r="G1522" s="1818"/>
      <c r="H1522" s="1783"/>
      <c r="I1522" s="1783"/>
      <c r="J1522" s="1783"/>
      <c r="K1522" s="1783"/>
      <c r="L1522" s="1783"/>
      <c r="M1522" s="1783"/>
      <c r="N1522" s="1783"/>
      <c r="O1522" s="1783"/>
      <c r="P1522" s="1783"/>
      <c r="Q1522" s="1783"/>
      <c r="R1522" s="1783"/>
      <c r="S1522" s="1783"/>
      <c r="T1522" s="1783"/>
      <c r="U1522" s="1783"/>
      <c r="V1522" s="1783"/>
      <c r="W1522" s="1783"/>
      <c r="X1522" s="1783"/>
      <c r="Y1522" s="1783"/>
      <c r="Z1522" s="1783"/>
      <c r="AA1522" s="1783"/>
      <c r="AB1522" s="1783"/>
      <c r="AC1522" s="1783"/>
      <c r="AD1522" s="1783"/>
      <c r="AE1522" s="1783"/>
      <c r="AF1522" s="1783"/>
      <c r="AG1522" s="1783"/>
      <c r="AH1522" s="1783"/>
      <c r="AI1522" s="1783"/>
      <c r="AJ1522" s="1783"/>
      <c r="AK1522" s="1783"/>
      <c r="AL1522" s="1783"/>
      <c r="AM1522" s="1783"/>
      <c r="AN1522" s="1783"/>
      <c r="AO1522" s="1783"/>
      <c r="AP1522" s="1783"/>
      <c r="AQ1522" s="1783"/>
      <c r="AR1522" s="1783"/>
      <c r="AS1522" s="1783"/>
      <c r="AT1522" s="1783"/>
      <c r="AU1522" s="1783"/>
      <c r="AV1522" s="1783"/>
      <c r="AW1522" s="1783"/>
      <c r="AX1522" s="1783"/>
      <c r="AY1522" s="1783"/>
      <c r="AZ1522" s="1783"/>
      <c r="BA1522" s="1783"/>
      <c r="BB1522" s="1783"/>
      <c r="BC1522" s="1783"/>
      <c r="BD1522" s="1783"/>
      <c r="BE1522" s="1783"/>
      <c r="BF1522" s="1783"/>
      <c r="BG1522" s="1783"/>
      <c r="BH1522" s="1783"/>
      <c r="BI1522" s="1783"/>
    </row>
    <row r="1523" spans="1:61">
      <c r="A1523" s="1819"/>
      <c r="B1523" s="1818"/>
      <c r="C1523" s="1818"/>
      <c r="D1523" s="1818"/>
      <c r="E1523" s="1818"/>
      <c r="F1523" s="1818"/>
      <c r="G1523" s="1818"/>
      <c r="H1523" s="1783"/>
      <c r="I1523" s="1783"/>
      <c r="J1523" s="1783"/>
      <c r="K1523" s="1783"/>
      <c r="L1523" s="1783"/>
      <c r="M1523" s="1783"/>
      <c r="N1523" s="1783"/>
      <c r="O1523" s="1783"/>
      <c r="P1523" s="1783"/>
      <c r="Q1523" s="1783"/>
      <c r="R1523" s="1783"/>
      <c r="S1523" s="1783"/>
      <c r="T1523" s="1783"/>
      <c r="U1523" s="1783"/>
      <c r="V1523" s="1783"/>
      <c r="W1523" s="1783"/>
      <c r="X1523" s="1783"/>
      <c r="Y1523" s="1783"/>
      <c r="Z1523" s="1783"/>
      <c r="AA1523" s="1783"/>
      <c r="AB1523" s="1783"/>
      <c r="AC1523" s="1783"/>
      <c r="AD1523" s="1783"/>
      <c r="AE1523" s="1783"/>
      <c r="AF1523" s="1783"/>
      <c r="AG1523" s="1783"/>
      <c r="AH1523" s="1783"/>
      <c r="AI1523" s="1783"/>
      <c r="AJ1523" s="1783"/>
      <c r="AK1523" s="1783"/>
      <c r="AL1523" s="1783"/>
      <c r="AM1523" s="1783"/>
      <c r="AN1523" s="1783"/>
      <c r="AO1523" s="1783"/>
      <c r="AP1523" s="1783"/>
      <c r="AQ1523" s="1783"/>
      <c r="AR1523" s="1783"/>
      <c r="AS1523" s="1783"/>
      <c r="AT1523" s="1783"/>
      <c r="AU1523" s="1783"/>
      <c r="AV1523" s="1783"/>
      <c r="AW1523" s="1783"/>
      <c r="AX1523" s="1783"/>
      <c r="AY1523" s="1783"/>
      <c r="AZ1523" s="1783"/>
      <c r="BA1523" s="1783"/>
      <c r="BB1523" s="1783"/>
      <c r="BC1523" s="1783"/>
      <c r="BD1523" s="1783"/>
      <c r="BE1523" s="1783"/>
      <c r="BF1523" s="1783"/>
      <c r="BG1523" s="1783"/>
      <c r="BH1523" s="1783"/>
      <c r="BI1523" s="1783"/>
    </row>
    <row r="1524" spans="1:61">
      <c r="A1524" s="1819"/>
      <c r="B1524" s="1818"/>
      <c r="C1524" s="1818"/>
      <c r="D1524" s="1818"/>
      <c r="E1524" s="1818"/>
      <c r="F1524" s="1818"/>
      <c r="G1524" s="1818"/>
      <c r="H1524" s="1783"/>
      <c r="I1524" s="1783"/>
      <c r="J1524" s="1783"/>
      <c r="K1524" s="1783"/>
      <c r="L1524" s="1783"/>
      <c r="M1524" s="1783"/>
      <c r="N1524" s="1783"/>
      <c r="O1524" s="1783"/>
      <c r="P1524" s="1783"/>
      <c r="Q1524" s="1783"/>
      <c r="R1524" s="1783"/>
      <c r="S1524" s="1783"/>
      <c r="T1524" s="1783"/>
      <c r="U1524" s="1783"/>
      <c r="V1524" s="1783"/>
      <c r="W1524" s="1783"/>
      <c r="X1524" s="1783"/>
      <c r="Y1524" s="1783"/>
      <c r="Z1524" s="1783"/>
      <c r="AA1524" s="1783"/>
      <c r="AB1524" s="1783"/>
      <c r="AC1524" s="1783"/>
      <c r="AD1524" s="1783"/>
      <c r="AE1524" s="1783"/>
      <c r="AF1524" s="1783"/>
      <c r="AG1524" s="1783"/>
      <c r="AH1524" s="1783"/>
      <c r="AI1524" s="1783"/>
      <c r="AJ1524" s="1783"/>
      <c r="AK1524" s="1783"/>
      <c r="AL1524" s="1783"/>
      <c r="AM1524" s="1783"/>
      <c r="AN1524" s="1783"/>
      <c r="AO1524" s="1783"/>
      <c r="AP1524" s="1783"/>
      <c r="AQ1524" s="1783"/>
      <c r="AR1524" s="1783"/>
      <c r="AS1524" s="1783"/>
      <c r="AT1524" s="1783"/>
      <c r="AU1524" s="1783"/>
      <c r="AV1524" s="1783"/>
      <c r="AW1524" s="1783"/>
      <c r="AX1524" s="1783"/>
      <c r="AY1524" s="1783"/>
      <c r="AZ1524" s="1783"/>
      <c r="BA1524" s="1783"/>
      <c r="BB1524" s="1783"/>
      <c r="BC1524" s="1783"/>
      <c r="BD1524" s="1783"/>
      <c r="BE1524" s="1783"/>
      <c r="BF1524" s="1783"/>
      <c r="BG1524" s="1783"/>
      <c r="BH1524" s="1783"/>
      <c r="BI1524" s="1783"/>
    </row>
    <row r="1525" spans="1:61">
      <c r="A1525" s="1819"/>
      <c r="B1525" s="1818"/>
      <c r="C1525" s="1818"/>
      <c r="D1525" s="1818"/>
      <c r="E1525" s="1818"/>
      <c r="F1525" s="1818"/>
      <c r="G1525" s="1818"/>
      <c r="H1525" s="1783"/>
      <c r="I1525" s="1783"/>
      <c r="J1525" s="1783"/>
      <c r="K1525" s="1783"/>
      <c r="L1525" s="1783"/>
      <c r="M1525" s="1783"/>
      <c r="N1525" s="1783"/>
      <c r="O1525" s="1783"/>
      <c r="P1525" s="1783"/>
      <c r="Q1525" s="1783"/>
      <c r="R1525" s="1783"/>
      <c r="S1525" s="1783"/>
      <c r="T1525" s="1783"/>
      <c r="U1525" s="1783"/>
      <c r="V1525" s="1783"/>
      <c r="W1525" s="1783"/>
      <c r="X1525" s="1783"/>
      <c r="Y1525" s="1783"/>
      <c r="Z1525" s="1783"/>
      <c r="AA1525" s="1783"/>
      <c r="AB1525" s="1783"/>
      <c r="AC1525" s="1783"/>
      <c r="AD1525" s="1783"/>
      <c r="AE1525" s="1783"/>
      <c r="AF1525" s="1783"/>
      <c r="AG1525" s="1783"/>
      <c r="AH1525" s="1783"/>
      <c r="AI1525" s="1783"/>
      <c r="AJ1525" s="1783"/>
      <c r="AK1525" s="1783"/>
      <c r="AL1525" s="1783"/>
      <c r="AM1525" s="1783"/>
      <c r="AN1525" s="1783"/>
      <c r="AO1525" s="1783"/>
      <c r="AP1525" s="1783"/>
      <c r="AQ1525" s="1783"/>
      <c r="AR1525" s="1783"/>
      <c r="AS1525" s="1783"/>
      <c r="AT1525" s="1783"/>
      <c r="AU1525" s="1783"/>
      <c r="AV1525" s="1783"/>
      <c r="AW1525" s="1783"/>
      <c r="AX1525" s="1783"/>
      <c r="AY1525" s="1783"/>
      <c r="AZ1525" s="1783"/>
      <c r="BA1525" s="1783"/>
      <c r="BB1525" s="1783"/>
      <c r="BC1525" s="1783"/>
      <c r="BD1525" s="1783"/>
      <c r="BE1525" s="1783"/>
      <c r="BF1525" s="1783"/>
      <c r="BG1525" s="1783"/>
      <c r="BH1525" s="1783"/>
      <c r="BI1525" s="1783"/>
    </row>
    <row r="1526" spans="1:61">
      <c r="A1526" s="1819"/>
      <c r="B1526" s="1818"/>
      <c r="C1526" s="1818"/>
      <c r="D1526" s="1818"/>
      <c r="E1526" s="1818"/>
      <c r="F1526" s="1818"/>
      <c r="G1526" s="1818"/>
      <c r="H1526" s="1783"/>
      <c r="I1526" s="1783"/>
      <c r="J1526" s="1783"/>
      <c r="K1526" s="1783"/>
      <c r="L1526" s="1783"/>
      <c r="M1526" s="1783"/>
      <c r="N1526" s="1783"/>
      <c r="O1526" s="1783"/>
      <c r="P1526" s="1783"/>
      <c r="Q1526" s="1783"/>
      <c r="R1526" s="1783"/>
      <c r="S1526" s="1783"/>
      <c r="T1526" s="1783"/>
      <c r="U1526" s="1783"/>
      <c r="V1526" s="1783"/>
      <c r="W1526" s="1783"/>
      <c r="X1526" s="1783"/>
      <c r="Y1526" s="1783"/>
      <c r="Z1526" s="1783"/>
      <c r="AA1526" s="1783"/>
      <c r="AB1526" s="1783"/>
      <c r="AC1526" s="1783"/>
      <c r="AD1526" s="1783"/>
      <c r="AE1526" s="1783"/>
      <c r="AF1526" s="1783"/>
      <c r="AG1526" s="1783"/>
      <c r="AH1526" s="1783"/>
      <c r="AI1526" s="1783"/>
      <c r="AJ1526" s="1783"/>
      <c r="AK1526" s="1783"/>
      <c r="AL1526" s="1783"/>
      <c r="AM1526" s="1783"/>
      <c r="AN1526" s="1783"/>
      <c r="AO1526" s="1783"/>
      <c r="AP1526" s="1783"/>
      <c r="AQ1526" s="1783"/>
      <c r="AR1526" s="1783"/>
      <c r="AS1526" s="1783"/>
      <c r="AT1526" s="1783"/>
      <c r="AU1526" s="1783"/>
      <c r="AV1526" s="1783"/>
      <c r="AW1526" s="1783"/>
      <c r="AX1526" s="1783"/>
      <c r="AY1526" s="1783"/>
      <c r="AZ1526" s="1783"/>
      <c r="BA1526" s="1783"/>
      <c r="BB1526" s="1783"/>
      <c r="BC1526" s="1783"/>
      <c r="BD1526" s="1783"/>
      <c r="BE1526" s="1783"/>
      <c r="BF1526" s="1783"/>
      <c r="BG1526" s="1783"/>
      <c r="BH1526" s="1783"/>
      <c r="BI1526" s="1783"/>
    </row>
    <row r="1527" spans="1:61">
      <c r="A1527" s="1819"/>
      <c r="B1527" s="1818"/>
      <c r="C1527" s="1818"/>
      <c r="D1527" s="1818"/>
      <c r="E1527" s="1818"/>
      <c r="F1527" s="1818"/>
      <c r="G1527" s="1818"/>
      <c r="H1527" s="1783"/>
      <c r="I1527" s="1783"/>
      <c r="J1527" s="1783"/>
      <c r="K1527" s="1783"/>
      <c r="L1527" s="1783"/>
      <c r="M1527" s="1783"/>
      <c r="N1527" s="1783"/>
      <c r="O1527" s="1783"/>
      <c r="P1527" s="1783"/>
      <c r="Q1527" s="1783"/>
      <c r="R1527" s="1783"/>
      <c r="S1527" s="1783"/>
      <c r="T1527" s="1783"/>
      <c r="U1527" s="1783"/>
      <c r="V1527" s="1783"/>
      <c r="W1527" s="1783"/>
      <c r="X1527" s="1783"/>
      <c r="Y1527" s="1783"/>
      <c r="Z1527" s="1783"/>
      <c r="AA1527" s="1783"/>
      <c r="AB1527" s="1783"/>
      <c r="AC1527" s="1783"/>
      <c r="AD1527" s="1783"/>
      <c r="AE1527" s="1783"/>
      <c r="AF1527" s="1783"/>
      <c r="AG1527" s="1783"/>
      <c r="AH1527" s="1783"/>
      <c r="AI1527" s="1783"/>
      <c r="AJ1527" s="1783"/>
      <c r="AK1527" s="1783"/>
      <c r="AL1527" s="1783"/>
      <c r="AM1527" s="1783"/>
      <c r="AN1527" s="1783"/>
      <c r="AO1527" s="1783"/>
      <c r="AP1527" s="1783"/>
      <c r="AQ1527" s="1783"/>
      <c r="AR1527" s="1783"/>
      <c r="AS1527" s="1783"/>
      <c r="AT1527" s="1783"/>
      <c r="AU1527" s="1783"/>
      <c r="AV1527" s="1783"/>
      <c r="AW1527" s="1783"/>
      <c r="AX1527" s="1783"/>
      <c r="AY1527" s="1783"/>
      <c r="AZ1527" s="1783"/>
      <c r="BA1527" s="1783"/>
      <c r="BB1527" s="1783"/>
      <c r="BC1527" s="1783"/>
      <c r="BD1527" s="1783"/>
      <c r="BE1527" s="1783"/>
      <c r="BF1527" s="1783"/>
      <c r="BG1527" s="1783"/>
      <c r="BH1527" s="1783"/>
      <c r="BI1527" s="1783"/>
    </row>
    <row r="1528" spans="1:61">
      <c r="A1528" s="1819"/>
      <c r="B1528" s="1818"/>
      <c r="C1528" s="1818"/>
      <c r="D1528" s="1818"/>
      <c r="E1528" s="1818"/>
      <c r="F1528" s="1818"/>
      <c r="G1528" s="1818"/>
      <c r="H1528" s="1783"/>
      <c r="I1528" s="1783"/>
      <c r="J1528" s="1783"/>
      <c r="K1528" s="1783"/>
      <c r="L1528" s="1783"/>
      <c r="M1528" s="1783"/>
      <c r="N1528" s="1783"/>
      <c r="O1528" s="1783"/>
      <c r="P1528" s="1783"/>
      <c r="Q1528" s="1783"/>
      <c r="R1528" s="1783"/>
      <c r="S1528" s="1783"/>
      <c r="T1528" s="1783"/>
      <c r="U1528" s="1783"/>
      <c r="V1528" s="1783"/>
      <c r="W1528" s="1783"/>
      <c r="X1528" s="1783"/>
      <c r="Y1528" s="1783"/>
      <c r="Z1528" s="1783"/>
      <c r="AA1528" s="1783"/>
      <c r="AB1528" s="1783"/>
      <c r="AC1528" s="1783"/>
      <c r="AD1528" s="1783"/>
      <c r="AE1528" s="1783"/>
      <c r="AF1528" s="1783"/>
      <c r="AG1528" s="1783"/>
      <c r="AH1528" s="1783"/>
      <c r="AI1528" s="1783"/>
      <c r="AJ1528" s="1783"/>
      <c r="AK1528" s="1783"/>
      <c r="AL1528" s="1783"/>
      <c r="AM1528" s="1783"/>
      <c r="AN1528" s="1783"/>
      <c r="AO1528" s="1783"/>
      <c r="AP1528" s="1783"/>
      <c r="AQ1528" s="1783"/>
      <c r="AR1528" s="1783"/>
      <c r="AS1528" s="1783"/>
      <c r="AT1528" s="1783"/>
      <c r="AU1528" s="1783"/>
      <c r="AV1528" s="1783"/>
      <c r="AW1528" s="1783"/>
      <c r="AX1528" s="1783"/>
      <c r="AY1528" s="1783"/>
      <c r="AZ1528" s="1783"/>
      <c r="BA1528" s="1783"/>
      <c r="BB1528" s="1783"/>
      <c r="BC1528" s="1783"/>
      <c r="BD1528" s="1783"/>
      <c r="BE1528" s="1783"/>
      <c r="BF1528" s="1783"/>
      <c r="BG1528" s="1783"/>
      <c r="BH1528" s="1783"/>
      <c r="BI1528" s="1783"/>
    </row>
    <row r="1529" spans="1:61">
      <c r="A1529" s="1819"/>
      <c r="B1529" s="1818"/>
      <c r="C1529" s="1818"/>
      <c r="D1529" s="1818"/>
      <c r="E1529" s="1818"/>
      <c r="F1529" s="1818"/>
      <c r="G1529" s="1818"/>
      <c r="H1529" s="1783"/>
      <c r="I1529" s="1783"/>
      <c r="J1529" s="1783"/>
      <c r="K1529" s="1783"/>
      <c r="L1529" s="1783"/>
      <c r="M1529" s="1783"/>
      <c r="N1529" s="1783"/>
      <c r="O1529" s="1783"/>
      <c r="P1529" s="1783"/>
      <c r="Q1529" s="1783"/>
      <c r="R1529" s="1783"/>
      <c r="S1529" s="1783"/>
      <c r="T1529" s="1783"/>
      <c r="U1529" s="1783"/>
      <c r="V1529" s="1783"/>
      <c r="W1529" s="1783"/>
      <c r="X1529" s="1783"/>
      <c r="Y1529" s="1783"/>
      <c r="Z1529" s="1783"/>
      <c r="AA1529" s="1783"/>
      <c r="AB1529" s="1783"/>
      <c r="AC1529" s="1783"/>
      <c r="AD1529" s="1783"/>
      <c r="AE1529" s="1783"/>
      <c r="AF1529" s="1783"/>
      <c r="AG1529" s="1783"/>
      <c r="AH1529" s="1783"/>
      <c r="AI1529" s="1783"/>
      <c r="AJ1529" s="1783"/>
      <c r="AK1529" s="1783"/>
      <c r="AL1529" s="1783"/>
      <c r="AM1529" s="1783"/>
      <c r="AN1529" s="1783"/>
      <c r="AO1529" s="1783"/>
      <c r="AP1529" s="1783"/>
      <c r="AQ1529" s="1783"/>
      <c r="AR1529" s="1783"/>
      <c r="AS1529" s="1783"/>
      <c r="AT1529" s="1783"/>
      <c r="AU1529" s="1783"/>
      <c r="AV1529" s="1783"/>
      <c r="AW1529" s="1783"/>
      <c r="AX1529" s="1783"/>
      <c r="AY1529" s="1783"/>
      <c r="AZ1529" s="1783"/>
      <c r="BA1529" s="1783"/>
      <c r="BB1529" s="1783"/>
      <c r="BC1529" s="1783"/>
      <c r="BD1529" s="1783"/>
      <c r="BE1529" s="1783"/>
      <c r="BF1529" s="1783"/>
      <c r="BG1529" s="1783"/>
      <c r="BH1529" s="1783"/>
      <c r="BI1529" s="1783"/>
    </row>
    <row r="1530" spans="1:61">
      <c r="A1530" s="1819"/>
      <c r="B1530" s="1818"/>
      <c r="C1530" s="1818"/>
      <c r="D1530" s="1818"/>
      <c r="E1530" s="1818"/>
      <c r="F1530" s="1818"/>
      <c r="G1530" s="1818"/>
      <c r="H1530" s="1783"/>
      <c r="I1530" s="1783"/>
      <c r="J1530" s="1783"/>
      <c r="K1530" s="1783"/>
      <c r="L1530" s="1783"/>
      <c r="M1530" s="1783"/>
      <c r="N1530" s="1783"/>
      <c r="O1530" s="1783"/>
      <c r="P1530" s="1783"/>
      <c r="Q1530" s="1783"/>
      <c r="R1530" s="1783"/>
      <c r="S1530" s="1783"/>
      <c r="T1530" s="1783"/>
      <c r="U1530" s="1783"/>
      <c r="V1530" s="1783"/>
      <c r="W1530" s="1783"/>
      <c r="X1530" s="1783"/>
      <c r="Y1530" s="1783"/>
      <c r="Z1530" s="1783"/>
      <c r="AA1530" s="1783"/>
      <c r="AB1530" s="1783"/>
      <c r="AC1530" s="1783"/>
      <c r="AD1530" s="1783"/>
      <c r="AE1530" s="1783"/>
      <c r="AF1530" s="1783"/>
      <c r="AG1530" s="1783"/>
      <c r="AH1530" s="1783"/>
      <c r="AI1530" s="1783"/>
      <c r="AJ1530" s="1783"/>
      <c r="AK1530" s="1783"/>
      <c r="AL1530" s="1783"/>
      <c r="AM1530" s="1783"/>
      <c r="AN1530" s="1783"/>
      <c r="AO1530" s="1783"/>
      <c r="AP1530" s="1783"/>
      <c r="AQ1530" s="1783"/>
      <c r="AR1530" s="1783"/>
      <c r="AS1530" s="1783"/>
      <c r="AT1530" s="1783"/>
      <c r="AU1530" s="1783"/>
      <c r="AV1530" s="1783"/>
      <c r="AW1530" s="1783"/>
      <c r="AX1530" s="1783"/>
      <c r="AY1530" s="1783"/>
      <c r="AZ1530" s="1783"/>
      <c r="BA1530" s="1783"/>
      <c r="BB1530" s="1783"/>
      <c r="BC1530" s="1783"/>
      <c r="BD1530" s="1783"/>
      <c r="BE1530" s="1783"/>
      <c r="BF1530" s="1783"/>
      <c r="BG1530" s="1783"/>
      <c r="BH1530" s="1783"/>
      <c r="BI1530" s="1783"/>
    </row>
    <row r="1531" spans="1:61">
      <c r="A1531" s="1819"/>
      <c r="B1531" s="1818"/>
      <c r="C1531" s="1818"/>
      <c r="D1531" s="1818"/>
      <c r="E1531" s="1818"/>
      <c r="F1531" s="1818"/>
      <c r="G1531" s="1818"/>
      <c r="H1531" s="1783"/>
      <c r="I1531" s="1783"/>
      <c r="J1531" s="1783"/>
      <c r="K1531" s="1783"/>
      <c r="L1531" s="1783"/>
      <c r="M1531" s="1783"/>
      <c r="N1531" s="1783"/>
      <c r="O1531" s="1783"/>
      <c r="P1531" s="1783"/>
      <c r="Q1531" s="1783"/>
      <c r="R1531" s="1783"/>
      <c r="S1531" s="1783"/>
      <c r="T1531" s="1783"/>
      <c r="U1531" s="1783"/>
      <c r="V1531" s="1783"/>
      <c r="W1531" s="1783"/>
      <c r="X1531" s="1783"/>
      <c r="Y1531" s="1783"/>
      <c r="Z1531" s="1783"/>
      <c r="AA1531" s="1783"/>
      <c r="AB1531" s="1783"/>
      <c r="AC1531" s="1783"/>
      <c r="AD1531" s="1783"/>
      <c r="AE1531" s="1783"/>
      <c r="AF1531" s="1783"/>
      <c r="AG1531" s="1783"/>
      <c r="AH1531" s="1783"/>
      <c r="AI1531" s="1783"/>
      <c r="AJ1531" s="1783"/>
      <c r="AK1531" s="1783"/>
      <c r="AL1531" s="1783"/>
      <c r="AM1531" s="1783"/>
      <c r="AN1531" s="1783"/>
      <c r="AO1531" s="1783"/>
      <c r="AP1531" s="1783"/>
      <c r="AQ1531" s="1783"/>
      <c r="AR1531" s="1783"/>
      <c r="AS1531" s="1783"/>
      <c r="AT1531" s="1783"/>
      <c r="AU1531" s="1783"/>
      <c r="AV1531" s="1783"/>
      <c r="AW1531" s="1783"/>
      <c r="AX1531" s="1783"/>
      <c r="AY1531" s="1783"/>
      <c r="AZ1531" s="1783"/>
      <c r="BA1531" s="1783"/>
      <c r="BB1531" s="1783"/>
      <c r="BC1531" s="1783"/>
      <c r="BD1531" s="1783"/>
      <c r="BE1531" s="1783"/>
      <c r="BF1531" s="1783"/>
      <c r="BG1531" s="1783"/>
      <c r="BH1531" s="1783"/>
      <c r="BI1531" s="1783"/>
    </row>
    <row r="1532" spans="1:61">
      <c r="A1532" s="1819"/>
      <c r="B1532" s="1818"/>
      <c r="C1532" s="1818"/>
      <c r="D1532" s="1818"/>
      <c r="E1532" s="1818"/>
      <c r="F1532" s="1818"/>
      <c r="G1532" s="1818"/>
      <c r="H1532" s="1783"/>
      <c r="I1532" s="1783"/>
      <c r="J1532" s="1783"/>
      <c r="K1532" s="1783"/>
      <c r="L1532" s="1783"/>
      <c r="M1532" s="1783"/>
      <c r="N1532" s="1783"/>
      <c r="O1532" s="1783"/>
      <c r="P1532" s="1783"/>
      <c r="Q1532" s="1783"/>
      <c r="R1532" s="1783"/>
      <c r="S1532" s="1783"/>
      <c r="T1532" s="1783"/>
      <c r="U1532" s="1783"/>
      <c r="V1532" s="1783"/>
      <c r="W1532" s="1783"/>
      <c r="X1532" s="1783"/>
      <c r="Y1532" s="1783"/>
      <c r="Z1532" s="1783"/>
      <c r="AA1532" s="1783"/>
      <c r="AB1532" s="1783"/>
      <c r="AC1532" s="1783"/>
      <c r="AD1532" s="1783"/>
      <c r="AE1532" s="1783"/>
      <c r="AF1532" s="1783"/>
      <c r="AG1532" s="1783"/>
      <c r="AH1532" s="1783"/>
      <c r="AI1532" s="1783"/>
      <c r="AJ1532" s="1783"/>
      <c r="AK1532" s="1783"/>
      <c r="AL1532" s="1783"/>
      <c r="AM1532" s="1783"/>
      <c r="AN1532" s="1783"/>
      <c r="AO1532" s="1783"/>
      <c r="AP1532" s="1783"/>
      <c r="AQ1532" s="1783"/>
      <c r="AR1532" s="1783"/>
      <c r="AS1532" s="1783"/>
      <c r="AT1532" s="1783"/>
      <c r="AU1532" s="1783"/>
      <c r="AV1532" s="1783"/>
      <c r="AW1532" s="1783"/>
      <c r="AX1532" s="1783"/>
      <c r="AY1532" s="1783"/>
      <c r="AZ1532" s="1783"/>
      <c r="BA1532" s="1783"/>
      <c r="BB1532" s="1783"/>
      <c r="BC1532" s="1783"/>
      <c r="BD1532" s="1783"/>
      <c r="BE1532" s="1783"/>
      <c r="BF1532" s="1783"/>
      <c r="BG1532" s="1783"/>
      <c r="BH1532" s="1783"/>
      <c r="BI1532" s="1783"/>
    </row>
    <row r="1533" spans="1:61">
      <c r="A1533" s="1819"/>
      <c r="B1533" s="1818"/>
      <c r="C1533" s="1818"/>
      <c r="D1533" s="1818"/>
      <c r="E1533" s="1818"/>
      <c r="F1533" s="1818"/>
      <c r="G1533" s="1818"/>
      <c r="H1533" s="1783"/>
      <c r="I1533" s="1783"/>
      <c r="J1533" s="1783"/>
      <c r="K1533" s="1783"/>
      <c r="L1533" s="1783"/>
      <c r="M1533" s="1783"/>
      <c r="N1533" s="1783"/>
      <c r="O1533" s="1783"/>
      <c r="P1533" s="1783"/>
      <c r="Q1533" s="1783"/>
      <c r="R1533" s="1783"/>
      <c r="S1533" s="1783"/>
      <c r="T1533" s="1783"/>
      <c r="U1533" s="1783"/>
      <c r="V1533" s="1783"/>
      <c r="W1533" s="1783"/>
      <c r="X1533" s="1783"/>
      <c r="Y1533" s="1783"/>
      <c r="Z1533" s="1783"/>
      <c r="AA1533" s="1783"/>
      <c r="AB1533" s="1783"/>
      <c r="AC1533" s="1783"/>
      <c r="AD1533" s="1783"/>
      <c r="AE1533" s="1783"/>
      <c r="AF1533" s="1783"/>
      <c r="AG1533" s="1783"/>
      <c r="AH1533" s="1783"/>
      <c r="AI1533" s="1783"/>
      <c r="AJ1533" s="1783"/>
      <c r="AK1533" s="1783"/>
      <c r="AL1533" s="1783"/>
      <c r="AM1533" s="1783"/>
      <c r="AN1533" s="1783"/>
      <c r="AO1533" s="1783"/>
      <c r="AP1533" s="1783"/>
      <c r="AQ1533" s="1783"/>
      <c r="AR1533" s="1783"/>
      <c r="AS1533" s="1783"/>
      <c r="AT1533" s="1783"/>
      <c r="AU1533" s="1783"/>
      <c r="AV1533" s="1783"/>
      <c r="AW1533" s="1783"/>
      <c r="AX1533" s="1783"/>
      <c r="AY1533" s="1783"/>
      <c r="AZ1533" s="1783"/>
      <c r="BA1533" s="1783"/>
      <c r="BB1533" s="1783"/>
      <c r="BC1533" s="1783"/>
      <c r="BD1533" s="1783"/>
      <c r="BE1533" s="1783"/>
      <c r="BF1533" s="1783"/>
      <c r="BG1533" s="1783"/>
      <c r="BH1533" s="1783"/>
      <c r="BI1533" s="1783"/>
    </row>
    <row r="1534" spans="1:61">
      <c r="A1534" s="1819"/>
      <c r="B1534" s="1818"/>
      <c r="C1534" s="1818"/>
      <c r="D1534" s="1818"/>
      <c r="E1534" s="1818"/>
      <c r="F1534" s="1818"/>
      <c r="G1534" s="1818"/>
      <c r="H1534" s="1783"/>
      <c r="I1534" s="1783"/>
      <c r="J1534" s="1783"/>
      <c r="K1534" s="1783"/>
      <c r="L1534" s="1783"/>
      <c r="M1534" s="1783"/>
      <c r="N1534" s="1783"/>
      <c r="O1534" s="1783"/>
      <c r="P1534" s="1783"/>
      <c r="Q1534" s="1783"/>
      <c r="R1534" s="1783"/>
      <c r="S1534" s="1783"/>
      <c r="T1534" s="1783"/>
      <c r="U1534" s="1783"/>
      <c r="V1534" s="1783"/>
      <c r="W1534" s="1783"/>
      <c r="X1534" s="1783"/>
      <c r="Y1534" s="1783"/>
      <c r="Z1534" s="1783"/>
      <c r="AA1534" s="1783"/>
      <c r="AB1534" s="1783"/>
      <c r="AC1534" s="1783"/>
      <c r="AD1534" s="1783"/>
      <c r="AE1534" s="1783"/>
      <c r="AF1534" s="1783"/>
      <c r="AG1534" s="1783"/>
      <c r="AH1534" s="1783"/>
      <c r="AI1534" s="1783"/>
      <c r="AJ1534" s="1783"/>
      <c r="AK1534" s="1783"/>
      <c r="AL1534" s="1783"/>
      <c r="AM1534" s="1783"/>
      <c r="AN1534" s="1783"/>
      <c r="AO1534" s="1783"/>
      <c r="AP1534" s="1783"/>
      <c r="AQ1534" s="1783"/>
      <c r="AR1534" s="1783"/>
      <c r="AS1534" s="1783"/>
      <c r="AT1534" s="1783"/>
      <c r="AU1534" s="1783"/>
      <c r="AV1534" s="1783"/>
      <c r="AW1534" s="1783"/>
      <c r="AX1534" s="1783"/>
      <c r="AY1534" s="1783"/>
      <c r="AZ1534" s="1783"/>
      <c r="BA1534" s="1783"/>
      <c r="BB1534" s="1783"/>
      <c r="BC1534" s="1783"/>
      <c r="BD1534" s="1783"/>
      <c r="BE1534" s="1783"/>
      <c r="BF1534" s="1783"/>
      <c r="BG1534" s="1783"/>
      <c r="BH1534" s="1783"/>
      <c r="BI1534" s="1783"/>
    </row>
    <row r="1535" spans="1:61">
      <c r="A1535" s="1819"/>
      <c r="B1535" s="1818"/>
      <c r="C1535" s="1818"/>
      <c r="D1535" s="1818"/>
      <c r="E1535" s="1818"/>
      <c r="F1535" s="1818"/>
      <c r="G1535" s="1818"/>
      <c r="H1535" s="1783"/>
      <c r="I1535" s="1783"/>
      <c r="J1535" s="1783"/>
      <c r="K1535" s="1783"/>
      <c r="L1535" s="1783"/>
      <c r="M1535" s="1783"/>
      <c r="N1535" s="1783"/>
      <c r="O1535" s="1783"/>
      <c r="P1535" s="1783"/>
      <c r="Q1535" s="1783"/>
      <c r="R1535" s="1783"/>
      <c r="S1535" s="1783"/>
      <c r="T1535" s="1783"/>
      <c r="U1535" s="1783"/>
      <c r="V1535" s="1783"/>
      <c r="W1535" s="1783"/>
      <c r="X1535" s="1783"/>
      <c r="Y1535" s="1783"/>
      <c r="Z1535" s="1783"/>
      <c r="AA1535" s="1783"/>
      <c r="AB1535" s="1783"/>
      <c r="AC1535" s="1783"/>
      <c r="AD1535" s="1783"/>
      <c r="AE1535" s="1783"/>
      <c r="AF1535" s="1783"/>
      <c r="AG1535" s="1783"/>
      <c r="AH1535" s="1783"/>
      <c r="AI1535" s="1783"/>
      <c r="AJ1535" s="1783"/>
      <c r="AK1535" s="1783"/>
      <c r="AL1535" s="1783"/>
      <c r="AM1535" s="1783"/>
      <c r="AN1535" s="1783"/>
      <c r="AO1535" s="1783"/>
      <c r="AP1535" s="1783"/>
      <c r="AQ1535" s="1783"/>
      <c r="AR1535" s="1783"/>
      <c r="AS1535" s="1783"/>
      <c r="AT1535" s="1783"/>
      <c r="AU1535" s="1783"/>
      <c r="AV1535" s="1783"/>
      <c r="AW1535" s="1783"/>
      <c r="AX1535" s="1783"/>
      <c r="AY1535" s="1783"/>
      <c r="AZ1535" s="1783"/>
      <c r="BA1535" s="1783"/>
      <c r="BB1535" s="1783"/>
      <c r="BC1535" s="1783"/>
      <c r="BD1535" s="1783"/>
      <c r="BE1535" s="1783"/>
      <c r="BF1535" s="1783"/>
      <c r="BG1535" s="1783"/>
      <c r="BH1535" s="1783"/>
      <c r="BI1535" s="1783"/>
    </row>
    <row r="1536" spans="1:61">
      <c r="A1536" s="1819"/>
      <c r="B1536" s="1818"/>
      <c r="C1536" s="1818"/>
      <c r="D1536" s="1818"/>
      <c r="E1536" s="1818"/>
      <c r="F1536" s="1818"/>
      <c r="G1536" s="1818"/>
      <c r="H1536" s="1783"/>
      <c r="I1536" s="1783"/>
      <c r="J1536" s="1783"/>
      <c r="K1536" s="1783"/>
      <c r="L1536" s="1783"/>
      <c r="M1536" s="1783"/>
      <c r="N1536" s="1783"/>
      <c r="O1536" s="1783"/>
      <c r="P1536" s="1783"/>
      <c r="Q1536" s="1783"/>
      <c r="R1536" s="1783"/>
      <c r="S1536" s="1783"/>
      <c r="T1536" s="1783"/>
      <c r="U1536" s="1783"/>
      <c r="V1536" s="1783"/>
      <c r="W1536" s="1783"/>
      <c r="X1536" s="1783"/>
      <c r="Y1536" s="1783"/>
      <c r="Z1536" s="1783"/>
      <c r="AA1536" s="1783"/>
      <c r="AB1536" s="1783"/>
      <c r="AC1536" s="1783"/>
      <c r="AD1536" s="1783"/>
      <c r="AE1536" s="1783"/>
      <c r="AF1536" s="1783"/>
      <c r="AG1536" s="1783"/>
      <c r="AH1536" s="1783"/>
      <c r="AI1536" s="1783"/>
      <c r="AJ1536" s="1783"/>
      <c r="AK1536" s="1783"/>
      <c r="AL1536" s="1783"/>
      <c r="AM1536" s="1783"/>
      <c r="AN1536" s="1783"/>
      <c r="AO1536" s="1783"/>
      <c r="AP1536" s="1783"/>
      <c r="AQ1536" s="1783"/>
      <c r="AR1536" s="1783"/>
      <c r="AS1536" s="1783"/>
      <c r="AT1536" s="1783"/>
      <c r="AU1536" s="1783"/>
      <c r="AV1536" s="1783"/>
      <c r="AW1536" s="1783"/>
      <c r="AX1536" s="1783"/>
      <c r="AY1536" s="1783"/>
      <c r="AZ1536" s="1783"/>
      <c r="BA1536" s="1783"/>
      <c r="BB1536" s="1783"/>
      <c r="BC1536" s="1783"/>
      <c r="BD1536" s="1783"/>
      <c r="BE1536" s="1783"/>
      <c r="BF1536" s="1783"/>
      <c r="BG1536" s="1783"/>
      <c r="BH1536" s="1783"/>
      <c r="BI1536" s="1783"/>
    </row>
    <row r="1537" spans="1:61">
      <c r="A1537" s="1819"/>
      <c r="B1537" s="1818"/>
      <c r="C1537" s="1818"/>
      <c r="D1537" s="1818"/>
      <c r="E1537" s="1818"/>
      <c r="F1537" s="1818"/>
      <c r="G1537" s="1818"/>
      <c r="H1537" s="1783"/>
      <c r="I1537" s="1783"/>
      <c r="J1537" s="1783"/>
      <c r="K1537" s="1783"/>
      <c r="L1537" s="1783"/>
      <c r="M1537" s="1783"/>
      <c r="N1537" s="1783"/>
      <c r="O1537" s="1783"/>
      <c r="P1537" s="1783"/>
      <c r="Q1537" s="1783"/>
      <c r="R1537" s="1783"/>
      <c r="S1537" s="1783"/>
      <c r="T1537" s="1783"/>
      <c r="U1537" s="1783"/>
      <c r="V1537" s="1783"/>
      <c r="W1537" s="1783"/>
      <c r="X1537" s="1783"/>
      <c r="Y1537" s="1783"/>
      <c r="Z1537" s="1783"/>
      <c r="AA1537" s="1783"/>
      <c r="AB1537" s="1783"/>
      <c r="AC1537" s="1783"/>
      <c r="AD1537" s="1783"/>
      <c r="AE1537" s="1783"/>
      <c r="AF1537" s="1783"/>
      <c r="AG1537" s="1783"/>
      <c r="AH1537" s="1783"/>
      <c r="AI1537" s="1783"/>
      <c r="AJ1537" s="1783"/>
      <c r="AK1537" s="1783"/>
      <c r="AL1537" s="1783"/>
      <c r="AM1537" s="1783"/>
      <c r="AN1537" s="1783"/>
      <c r="AO1537" s="1783"/>
      <c r="AP1537" s="1783"/>
      <c r="AQ1537" s="1783"/>
      <c r="AR1537" s="1783"/>
      <c r="AS1537" s="1783"/>
      <c r="AT1537" s="1783"/>
      <c r="AU1537" s="1783"/>
      <c r="AV1537" s="1783"/>
      <c r="AW1537" s="1783"/>
      <c r="AX1537" s="1783"/>
      <c r="AY1537" s="1783"/>
      <c r="AZ1537" s="1783"/>
      <c r="BA1537" s="1783"/>
      <c r="BB1537" s="1783"/>
      <c r="BC1537" s="1783"/>
      <c r="BD1537" s="1783"/>
      <c r="BE1537" s="1783"/>
      <c r="BF1537" s="1783"/>
      <c r="BG1537" s="1783"/>
      <c r="BH1537" s="1783"/>
      <c r="BI1537" s="1783"/>
    </row>
    <row r="1538" spans="1:61">
      <c r="A1538" s="1819"/>
      <c r="B1538" s="1818"/>
      <c r="C1538" s="1818"/>
      <c r="D1538" s="1818"/>
      <c r="E1538" s="1818"/>
      <c r="F1538" s="1818"/>
      <c r="G1538" s="1818"/>
      <c r="H1538" s="1783"/>
      <c r="I1538" s="1783"/>
      <c r="J1538" s="1783"/>
      <c r="K1538" s="1783"/>
      <c r="L1538" s="1783"/>
      <c r="M1538" s="1783"/>
      <c r="N1538" s="1783"/>
      <c r="O1538" s="1783"/>
      <c r="P1538" s="1783"/>
      <c r="Q1538" s="1783"/>
      <c r="R1538" s="1783"/>
      <c r="S1538" s="1783"/>
      <c r="T1538" s="1783"/>
      <c r="U1538" s="1783"/>
      <c r="V1538" s="1783"/>
      <c r="W1538" s="1783"/>
      <c r="X1538" s="1783"/>
      <c r="Y1538" s="1783"/>
      <c r="Z1538" s="1783"/>
      <c r="AA1538" s="1783"/>
      <c r="AB1538" s="1783"/>
      <c r="AC1538" s="1783"/>
      <c r="AD1538" s="1783"/>
      <c r="AE1538" s="1783"/>
      <c r="AF1538" s="1783"/>
      <c r="AG1538" s="1783"/>
      <c r="AH1538" s="1783"/>
      <c r="AI1538" s="1783"/>
      <c r="AJ1538" s="1783"/>
      <c r="AK1538" s="1783"/>
      <c r="AL1538" s="1783"/>
      <c r="AM1538" s="1783"/>
      <c r="AN1538" s="1783"/>
      <c r="AO1538" s="1783"/>
      <c r="AP1538" s="1783"/>
      <c r="AQ1538" s="1783"/>
      <c r="AR1538" s="1783"/>
      <c r="AS1538" s="1783"/>
      <c r="AT1538" s="1783"/>
      <c r="AU1538" s="1783"/>
      <c r="AV1538" s="1783"/>
      <c r="AW1538" s="1783"/>
      <c r="AX1538" s="1783"/>
      <c r="AY1538" s="1783"/>
      <c r="AZ1538" s="1783"/>
      <c r="BA1538" s="1783"/>
      <c r="BB1538" s="1783"/>
      <c r="BC1538" s="1783"/>
      <c r="BD1538" s="1783"/>
      <c r="BE1538" s="1783"/>
      <c r="BF1538" s="1783"/>
      <c r="BG1538" s="1783"/>
      <c r="BH1538" s="1783"/>
      <c r="BI1538" s="1783"/>
    </row>
    <row r="1539" spans="1:61">
      <c r="A1539" s="1819"/>
      <c r="B1539" s="1818"/>
      <c r="C1539" s="1818"/>
      <c r="D1539" s="1818"/>
      <c r="E1539" s="1818"/>
      <c r="F1539" s="1818"/>
      <c r="G1539" s="1818"/>
      <c r="H1539" s="1783"/>
      <c r="I1539" s="1783"/>
      <c r="J1539" s="1783"/>
      <c r="K1539" s="1783"/>
      <c r="L1539" s="1783"/>
      <c r="M1539" s="1783"/>
      <c r="N1539" s="1783"/>
      <c r="O1539" s="1783"/>
      <c r="P1539" s="1783"/>
      <c r="Q1539" s="1783"/>
      <c r="R1539" s="1783"/>
      <c r="S1539" s="1783"/>
      <c r="T1539" s="1783"/>
      <c r="U1539" s="1783"/>
      <c r="V1539" s="1783"/>
      <c r="W1539" s="1783"/>
      <c r="X1539" s="1783"/>
      <c r="Y1539" s="1783"/>
      <c r="Z1539" s="1783"/>
      <c r="AA1539" s="1783"/>
      <c r="AB1539" s="1783"/>
      <c r="AC1539" s="1783"/>
      <c r="AD1539" s="1783"/>
      <c r="AE1539" s="1783"/>
      <c r="AF1539" s="1783"/>
      <c r="AG1539" s="1783"/>
      <c r="AH1539" s="1783"/>
      <c r="AI1539" s="1783"/>
      <c r="AJ1539" s="1783"/>
      <c r="AK1539" s="1783"/>
      <c r="AL1539" s="1783"/>
      <c r="AM1539" s="1783"/>
      <c r="AN1539" s="1783"/>
      <c r="AO1539" s="1783"/>
      <c r="AP1539" s="1783"/>
      <c r="AQ1539" s="1783"/>
      <c r="AR1539" s="1783"/>
      <c r="AS1539" s="1783"/>
      <c r="AT1539" s="1783"/>
      <c r="AU1539" s="1783"/>
      <c r="AV1539" s="1783"/>
      <c r="AW1539" s="1783"/>
      <c r="AX1539" s="1783"/>
      <c r="AY1539" s="1783"/>
      <c r="AZ1539" s="1783"/>
      <c r="BA1539" s="1783"/>
      <c r="BB1539" s="1783"/>
      <c r="BC1539" s="1783"/>
      <c r="BD1539" s="1783"/>
      <c r="BE1539" s="1783"/>
      <c r="BF1539" s="1783"/>
      <c r="BG1539" s="1783"/>
      <c r="BH1539" s="1783"/>
      <c r="BI1539" s="1783"/>
    </row>
    <row r="1540" spans="1:61">
      <c r="A1540" s="1819"/>
      <c r="B1540" s="1818"/>
      <c r="C1540" s="1818"/>
      <c r="D1540" s="1818"/>
      <c r="E1540" s="1818"/>
      <c r="F1540" s="1818"/>
      <c r="G1540" s="1818"/>
      <c r="H1540" s="1783"/>
      <c r="I1540" s="1783"/>
      <c r="J1540" s="1783"/>
      <c r="K1540" s="1783"/>
      <c r="L1540" s="1783"/>
      <c r="M1540" s="1783"/>
      <c r="N1540" s="1783"/>
      <c r="O1540" s="1783"/>
      <c r="P1540" s="1783"/>
      <c r="Q1540" s="1783"/>
      <c r="R1540" s="1783"/>
      <c r="S1540" s="1783"/>
      <c r="T1540" s="1783"/>
      <c r="U1540" s="1783"/>
      <c r="V1540" s="1783"/>
      <c r="W1540" s="1783"/>
      <c r="X1540" s="1783"/>
      <c r="Y1540" s="1783"/>
      <c r="Z1540" s="1783"/>
      <c r="AA1540" s="1783"/>
      <c r="AB1540" s="1783"/>
      <c r="AC1540" s="1783"/>
      <c r="AD1540" s="1783"/>
      <c r="AE1540" s="1783"/>
      <c r="AF1540" s="1783"/>
      <c r="AG1540" s="1783"/>
      <c r="AH1540" s="1783"/>
      <c r="AI1540" s="1783"/>
      <c r="AJ1540" s="1783"/>
      <c r="AK1540" s="1783"/>
      <c r="AL1540" s="1783"/>
      <c r="AM1540" s="1783"/>
      <c r="AN1540" s="1783"/>
      <c r="AO1540" s="1783"/>
      <c r="AP1540" s="1783"/>
      <c r="AQ1540" s="1783"/>
      <c r="AR1540" s="1783"/>
      <c r="AS1540" s="1783"/>
      <c r="AT1540" s="1783"/>
      <c r="AU1540" s="1783"/>
      <c r="AV1540" s="1783"/>
      <c r="AW1540" s="1783"/>
      <c r="AX1540" s="1783"/>
      <c r="AY1540" s="1783"/>
      <c r="AZ1540" s="1783"/>
      <c r="BA1540" s="1783"/>
      <c r="BB1540" s="1783"/>
      <c r="BC1540" s="1783"/>
      <c r="BD1540" s="1783"/>
      <c r="BE1540" s="1783"/>
      <c r="BF1540" s="1783"/>
      <c r="BG1540" s="1783"/>
      <c r="BH1540" s="1783"/>
      <c r="BI1540" s="1783"/>
    </row>
    <row r="1541" spans="1:61">
      <c r="A1541" s="1819"/>
      <c r="B1541" s="1818"/>
      <c r="C1541" s="1818"/>
      <c r="D1541" s="1818"/>
      <c r="E1541" s="1818"/>
      <c r="F1541" s="1818"/>
      <c r="G1541" s="1818"/>
      <c r="H1541" s="1783"/>
      <c r="I1541" s="1783"/>
      <c r="J1541" s="1783"/>
      <c r="K1541" s="1783"/>
      <c r="L1541" s="1783"/>
      <c r="M1541" s="1783"/>
      <c r="N1541" s="1783"/>
      <c r="O1541" s="1783"/>
      <c r="P1541" s="1783"/>
      <c r="Q1541" s="1783"/>
      <c r="R1541" s="1783"/>
      <c r="S1541" s="1783"/>
      <c r="T1541" s="1783"/>
      <c r="U1541" s="1783"/>
      <c r="V1541" s="1783"/>
      <c r="W1541" s="1783"/>
      <c r="X1541" s="1783"/>
      <c r="Y1541" s="1783"/>
      <c r="Z1541" s="1783"/>
      <c r="AA1541" s="1783"/>
      <c r="AB1541" s="1783"/>
      <c r="AC1541" s="1783"/>
      <c r="AD1541" s="1783"/>
      <c r="AE1541" s="1783"/>
      <c r="AF1541" s="1783"/>
      <c r="AG1541" s="1783"/>
      <c r="AH1541" s="1783"/>
      <c r="AI1541" s="1783"/>
      <c r="AJ1541" s="1783"/>
      <c r="AK1541" s="1783"/>
      <c r="AL1541" s="1783"/>
      <c r="AM1541" s="1783"/>
      <c r="AN1541" s="1783"/>
      <c r="AO1541" s="1783"/>
      <c r="AP1541" s="1783"/>
      <c r="AQ1541" s="1783"/>
      <c r="AR1541" s="1783"/>
      <c r="AS1541" s="1783"/>
      <c r="AT1541" s="1783"/>
      <c r="AU1541" s="1783"/>
      <c r="AV1541" s="1783"/>
      <c r="AW1541" s="1783"/>
      <c r="AX1541" s="1783"/>
      <c r="AY1541" s="1783"/>
      <c r="AZ1541" s="1783"/>
      <c r="BA1541" s="1783"/>
      <c r="BB1541" s="1783"/>
      <c r="BC1541" s="1783"/>
      <c r="BD1541" s="1783"/>
      <c r="BE1541" s="1783"/>
      <c r="BF1541" s="1783"/>
      <c r="BG1541" s="1783"/>
      <c r="BH1541" s="1783"/>
      <c r="BI1541" s="1783"/>
    </row>
    <row r="1542" spans="1:61">
      <c r="A1542" s="1819"/>
      <c r="B1542" s="1818"/>
      <c r="C1542" s="1818"/>
      <c r="D1542" s="1818"/>
      <c r="E1542" s="1818"/>
      <c r="F1542" s="1818"/>
      <c r="G1542" s="1818"/>
      <c r="H1542" s="1783"/>
      <c r="I1542" s="1783"/>
      <c r="J1542" s="1783"/>
      <c r="K1542" s="1783"/>
      <c r="L1542" s="1783"/>
      <c r="M1542" s="1783"/>
      <c r="N1542" s="1783"/>
      <c r="O1542" s="1783"/>
      <c r="P1542" s="1783"/>
      <c r="Q1542" s="1783"/>
      <c r="R1542" s="1783"/>
      <c r="S1542" s="1783"/>
      <c r="T1542" s="1783"/>
      <c r="U1542" s="1783"/>
      <c r="V1542" s="1783"/>
      <c r="W1542" s="1783"/>
      <c r="X1542" s="1783"/>
      <c r="Y1542" s="1783"/>
      <c r="Z1542" s="1783"/>
      <c r="AA1542" s="1783"/>
      <c r="AB1542" s="1783"/>
      <c r="AC1542" s="1783"/>
      <c r="AD1542" s="1783"/>
      <c r="AE1542" s="1783"/>
      <c r="AF1542" s="1783"/>
      <c r="AG1542" s="1783"/>
      <c r="AH1542" s="1783"/>
      <c r="AI1542" s="1783"/>
      <c r="AJ1542" s="1783"/>
      <c r="AK1542" s="1783"/>
      <c r="AL1542" s="1783"/>
      <c r="AM1542" s="1783"/>
      <c r="AN1542" s="1783"/>
      <c r="AO1542" s="1783"/>
      <c r="AP1542" s="1783"/>
      <c r="AQ1542" s="1783"/>
      <c r="AR1542" s="1783"/>
      <c r="AS1542" s="1783"/>
      <c r="AT1542" s="1783"/>
      <c r="AU1542" s="1783"/>
      <c r="AV1542" s="1783"/>
      <c r="AW1542" s="1783"/>
      <c r="AX1542" s="1783"/>
      <c r="AY1542" s="1783"/>
      <c r="AZ1542" s="1783"/>
      <c r="BA1542" s="1783"/>
      <c r="BB1542" s="1783"/>
      <c r="BC1542" s="1783"/>
      <c r="BD1542" s="1783"/>
      <c r="BE1542" s="1783"/>
      <c r="BF1542" s="1783"/>
      <c r="BG1542" s="1783"/>
      <c r="BH1542" s="1783"/>
      <c r="BI1542" s="1783"/>
    </row>
    <row r="1543" spans="1:61">
      <c r="A1543" s="1819"/>
      <c r="B1543" s="1818"/>
      <c r="C1543" s="1818"/>
      <c r="D1543" s="1818"/>
      <c r="E1543" s="1818"/>
      <c r="F1543" s="1818"/>
      <c r="G1543" s="1818"/>
      <c r="H1543" s="1783"/>
      <c r="I1543" s="1783"/>
      <c r="J1543" s="1783"/>
      <c r="K1543" s="1783"/>
      <c r="L1543" s="1783"/>
      <c r="M1543" s="1783"/>
      <c r="N1543" s="1783"/>
      <c r="O1543" s="1783"/>
      <c r="P1543" s="1783"/>
      <c r="Q1543" s="1783"/>
      <c r="R1543" s="1783"/>
      <c r="S1543" s="1783"/>
      <c r="T1543" s="1783"/>
      <c r="U1543" s="1783"/>
      <c r="V1543" s="1783"/>
      <c r="W1543" s="1783"/>
      <c r="X1543" s="1783"/>
      <c r="Y1543" s="1783"/>
      <c r="Z1543" s="1783"/>
      <c r="AA1543" s="1783"/>
      <c r="AB1543" s="1783"/>
      <c r="AC1543" s="1783"/>
      <c r="AD1543" s="1783"/>
      <c r="AE1543" s="1783"/>
      <c r="AF1543" s="1783"/>
      <c r="AG1543" s="1783"/>
      <c r="AH1543" s="1783"/>
      <c r="AI1543" s="1783"/>
      <c r="AJ1543" s="1783"/>
      <c r="AK1543" s="1783"/>
      <c r="AL1543" s="1783"/>
      <c r="AM1543" s="1783"/>
      <c r="AN1543" s="1783"/>
      <c r="AO1543" s="1783"/>
      <c r="AP1543" s="1783"/>
      <c r="AQ1543" s="1783"/>
      <c r="AR1543" s="1783"/>
      <c r="AS1543" s="1783"/>
      <c r="AT1543" s="1783"/>
      <c r="AU1543" s="1783"/>
      <c r="AV1543" s="1783"/>
      <c r="AW1543" s="1783"/>
      <c r="AX1543" s="1783"/>
      <c r="AY1543" s="1783"/>
      <c r="AZ1543" s="1783"/>
      <c r="BA1543" s="1783"/>
      <c r="BB1543" s="1783"/>
      <c r="BC1543" s="1783"/>
      <c r="BD1543" s="1783"/>
      <c r="BE1543" s="1783"/>
      <c r="BF1543" s="1783"/>
      <c r="BG1543" s="1783"/>
      <c r="BH1543" s="1783"/>
      <c r="BI1543" s="1783"/>
    </row>
    <row r="1544" spans="1:61">
      <c r="A1544" s="1819"/>
      <c r="B1544" s="1818"/>
      <c r="C1544" s="1818"/>
      <c r="D1544" s="1818"/>
      <c r="E1544" s="1818"/>
      <c r="F1544" s="1818"/>
      <c r="G1544" s="1818"/>
      <c r="H1544" s="1783"/>
      <c r="I1544" s="1783"/>
      <c r="J1544" s="1783"/>
      <c r="K1544" s="1783"/>
      <c r="L1544" s="1783"/>
      <c r="M1544" s="1783"/>
      <c r="N1544" s="1783"/>
      <c r="O1544" s="1783"/>
      <c r="P1544" s="1783"/>
      <c r="Q1544" s="1783"/>
      <c r="R1544" s="1783"/>
      <c r="S1544" s="1783"/>
      <c r="T1544" s="1783"/>
      <c r="U1544" s="1783"/>
      <c r="V1544" s="1783"/>
      <c r="W1544" s="1783"/>
      <c r="X1544" s="1783"/>
      <c r="Y1544" s="1783"/>
      <c r="Z1544" s="1783"/>
      <c r="AA1544" s="1783"/>
      <c r="AB1544" s="1783"/>
      <c r="AC1544" s="1783"/>
      <c r="AD1544" s="1783"/>
      <c r="AE1544" s="1783"/>
      <c r="AF1544" s="1783"/>
      <c r="AG1544" s="1783"/>
      <c r="AH1544" s="1783"/>
      <c r="AI1544" s="1783"/>
      <c r="AJ1544" s="1783"/>
      <c r="AK1544" s="1783"/>
      <c r="AL1544" s="1783"/>
      <c r="AM1544" s="1783"/>
      <c r="AN1544" s="1783"/>
      <c r="AO1544" s="1783"/>
      <c r="AP1544" s="1783"/>
      <c r="AQ1544" s="1783"/>
      <c r="AR1544" s="1783"/>
      <c r="AS1544" s="1783"/>
      <c r="AT1544" s="1783"/>
      <c r="AU1544" s="1783"/>
      <c r="AV1544" s="1783"/>
      <c r="AW1544" s="1783"/>
      <c r="AX1544" s="1783"/>
      <c r="AY1544" s="1783"/>
      <c r="AZ1544" s="1783"/>
      <c r="BA1544" s="1783"/>
      <c r="BB1544" s="1783"/>
      <c r="BC1544" s="1783"/>
      <c r="BD1544" s="1783"/>
      <c r="BE1544" s="1783"/>
      <c r="BF1544" s="1783"/>
      <c r="BG1544" s="1783"/>
      <c r="BH1544" s="1783"/>
      <c r="BI1544" s="1783"/>
    </row>
    <row r="1545" spans="1:61">
      <c r="A1545" s="1819"/>
      <c r="B1545" s="1818"/>
      <c r="C1545" s="1818"/>
      <c r="D1545" s="1818"/>
      <c r="E1545" s="1818"/>
      <c r="F1545" s="1818"/>
      <c r="G1545" s="1818"/>
      <c r="H1545" s="1783"/>
      <c r="I1545" s="1783"/>
      <c r="J1545" s="1783"/>
      <c r="K1545" s="1783"/>
      <c r="L1545" s="1783"/>
      <c r="M1545" s="1783"/>
      <c r="N1545" s="1783"/>
      <c r="O1545" s="1783"/>
      <c r="P1545" s="1783"/>
      <c r="Q1545" s="1783"/>
      <c r="R1545" s="1783"/>
      <c r="S1545" s="1783"/>
      <c r="T1545" s="1783"/>
      <c r="U1545" s="1783"/>
      <c r="V1545" s="1783"/>
      <c r="W1545" s="1783"/>
      <c r="X1545" s="1783"/>
      <c r="Y1545" s="1783"/>
      <c r="Z1545" s="1783"/>
      <c r="AA1545" s="1783"/>
      <c r="AB1545" s="1783"/>
      <c r="AC1545" s="1783"/>
      <c r="AD1545" s="1783"/>
      <c r="AE1545" s="1783"/>
      <c r="AF1545" s="1783"/>
      <c r="AG1545" s="1783"/>
      <c r="AH1545" s="1783"/>
      <c r="AI1545" s="1783"/>
      <c r="AJ1545" s="1783"/>
      <c r="AK1545" s="1783"/>
      <c r="AL1545" s="1783"/>
      <c r="AM1545" s="1783"/>
      <c r="AN1545" s="1783"/>
      <c r="AO1545" s="1783"/>
      <c r="AP1545" s="1783"/>
      <c r="AQ1545" s="1783"/>
      <c r="AR1545" s="1783"/>
      <c r="AS1545" s="1783"/>
      <c r="AT1545" s="1783"/>
      <c r="AU1545" s="1783"/>
      <c r="AV1545" s="1783"/>
      <c r="AW1545" s="1783"/>
      <c r="AX1545" s="1783"/>
      <c r="AY1545" s="1783"/>
      <c r="AZ1545" s="1783"/>
      <c r="BA1545" s="1783"/>
      <c r="BB1545" s="1783"/>
      <c r="BC1545" s="1783"/>
      <c r="BD1545" s="1783"/>
      <c r="BE1545" s="1783"/>
      <c r="BF1545" s="1783"/>
      <c r="BG1545" s="1783"/>
      <c r="BH1545" s="1783"/>
      <c r="BI1545" s="1783"/>
    </row>
    <row r="1546" spans="1:61">
      <c r="A1546" s="1819"/>
      <c r="B1546" s="1818"/>
      <c r="C1546" s="1818"/>
      <c r="D1546" s="1818"/>
      <c r="E1546" s="1818"/>
      <c r="F1546" s="1818"/>
      <c r="G1546" s="1818"/>
      <c r="H1546" s="1783"/>
      <c r="I1546" s="1783"/>
      <c r="J1546" s="1783"/>
      <c r="K1546" s="1783"/>
      <c r="L1546" s="1783"/>
      <c r="M1546" s="1783"/>
      <c r="N1546" s="1783"/>
      <c r="O1546" s="1783"/>
      <c r="P1546" s="1783"/>
      <c r="Q1546" s="1783"/>
      <c r="R1546" s="1783"/>
      <c r="S1546" s="1783"/>
      <c r="T1546" s="1783"/>
      <c r="U1546" s="1783"/>
      <c r="V1546" s="1783"/>
      <c r="W1546" s="1783"/>
      <c r="X1546" s="1783"/>
      <c r="Y1546" s="1783"/>
      <c r="Z1546" s="1783"/>
      <c r="AA1546" s="1783"/>
      <c r="AB1546" s="1783"/>
      <c r="AC1546" s="1783"/>
      <c r="AD1546" s="1783"/>
      <c r="AE1546" s="1783"/>
      <c r="AF1546" s="1783"/>
      <c r="AG1546" s="1783"/>
      <c r="AH1546" s="1783"/>
      <c r="AI1546" s="1783"/>
      <c r="AJ1546" s="1783"/>
      <c r="AK1546" s="1783"/>
      <c r="AL1546" s="1783"/>
      <c r="AM1546" s="1783"/>
      <c r="AN1546" s="1783"/>
      <c r="AO1546" s="1783"/>
      <c r="AP1546" s="1783"/>
      <c r="AQ1546" s="1783"/>
      <c r="AR1546" s="1783"/>
      <c r="AS1546" s="1783"/>
      <c r="AT1546" s="1783"/>
      <c r="AU1546" s="1783"/>
      <c r="AV1546" s="1783"/>
      <c r="AW1546" s="1783"/>
      <c r="AX1546" s="1783"/>
      <c r="AY1546" s="1783"/>
      <c r="AZ1546" s="1783"/>
      <c r="BA1546" s="1783"/>
      <c r="BB1546" s="1783"/>
      <c r="BC1546" s="1783"/>
      <c r="BD1546" s="1783"/>
      <c r="BE1546" s="1783"/>
      <c r="BF1546" s="1783"/>
      <c r="BG1546" s="1783"/>
      <c r="BH1546" s="1783"/>
      <c r="BI1546" s="1783"/>
    </row>
    <row r="1547" spans="1:61">
      <c r="A1547" s="1819"/>
      <c r="B1547" s="1818"/>
      <c r="C1547" s="1818"/>
      <c r="D1547" s="1818"/>
      <c r="E1547" s="1818"/>
      <c r="F1547" s="1818"/>
      <c r="G1547" s="1818"/>
      <c r="H1547" s="1783"/>
      <c r="I1547" s="1783"/>
      <c r="J1547" s="1783"/>
      <c r="K1547" s="1783"/>
      <c r="L1547" s="1783"/>
      <c r="M1547" s="1783"/>
      <c r="N1547" s="1783"/>
      <c r="O1547" s="1783"/>
      <c r="P1547" s="1783"/>
      <c r="Q1547" s="1783"/>
      <c r="R1547" s="1783"/>
      <c r="S1547" s="1783"/>
      <c r="T1547" s="1783"/>
      <c r="U1547" s="1783"/>
      <c r="V1547" s="1783"/>
      <c r="W1547" s="1783"/>
      <c r="X1547" s="1783"/>
      <c r="Y1547" s="1783"/>
      <c r="Z1547" s="1783"/>
      <c r="AA1547" s="1783"/>
      <c r="AB1547" s="1783"/>
      <c r="AC1547" s="1783"/>
      <c r="AD1547" s="1783"/>
      <c r="AE1547" s="1783"/>
      <c r="AF1547" s="1783"/>
      <c r="AG1547" s="1783"/>
      <c r="AH1547" s="1783"/>
      <c r="AI1547" s="1783"/>
      <c r="AJ1547" s="1783"/>
      <c r="AK1547" s="1783"/>
      <c r="AL1547" s="1783"/>
      <c r="AM1547" s="1783"/>
      <c r="AN1547" s="1783"/>
      <c r="AO1547" s="1783"/>
      <c r="AP1547" s="1783"/>
      <c r="AQ1547" s="1783"/>
      <c r="AR1547" s="1783"/>
      <c r="AS1547" s="1783"/>
      <c r="AT1547" s="1783"/>
      <c r="AU1547" s="1783"/>
      <c r="AV1547" s="1783"/>
      <c r="AW1547" s="1783"/>
      <c r="AX1547" s="1783"/>
      <c r="AY1547" s="1783"/>
      <c r="AZ1547" s="1783"/>
      <c r="BA1547" s="1783"/>
      <c r="BB1547" s="1783"/>
      <c r="BC1547" s="1783"/>
      <c r="BD1547" s="1783"/>
      <c r="BE1547" s="1783"/>
      <c r="BF1547" s="1783"/>
      <c r="BG1547" s="1783"/>
      <c r="BH1547" s="1783"/>
      <c r="BI1547" s="1783"/>
    </row>
    <row r="1548" spans="1:61">
      <c r="A1548" s="1819"/>
      <c r="B1548" s="1818"/>
      <c r="C1548" s="1818"/>
      <c r="D1548" s="1818"/>
      <c r="E1548" s="1818"/>
      <c r="F1548" s="1818"/>
      <c r="G1548" s="1818"/>
      <c r="H1548" s="1783"/>
      <c r="I1548" s="1783"/>
      <c r="J1548" s="1783"/>
      <c r="K1548" s="1783"/>
      <c r="L1548" s="1783"/>
      <c r="M1548" s="1783"/>
      <c r="N1548" s="1783"/>
      <c r="O1548" s="1783"/>
      <c r="P1548" s="1783"/>
      <c r="Q1548" s="1783"/>
      <c r="R1548" s="1783"/>
      <c r="S1548" s="1783"/>
      <c r="T1548" s="1783"/>
      <c r="U1548" s="1783"/>
      <c r="V1548" s="1783"/>
      <c r="W1548" s="1783"/>
      <c r="X1548" s="1783"/>
      <c r="Y1548" s="1783"/>
      <c r="Z1548" s="1783"/>
      <c r="AA1548" s="1783"/>
      <c r="AB1548" s="1783"/>
      <c r="AC1548" s="1783"/>
      <c r="AD1548" s="1783"/>
      <c r="AE1548" s="1783"/>
      <c r="AF1548" s="1783"/>
      <c r="AG1548" s="1783"/>
      <c r="AH1548" s="1783"/>
      <c r="AI1548" s="1783"/>
      <c r="AJ1548" s="1783"/>
      <c r="AK1548" s="1783"/>
      <c r="AL1548" s="1783"/>
      <c r="AM1548" s="1783"/>
      <c r="AN1548" s="1783"/>
      <c r="AO1548" s="1783"/>
      <c r="AP1548" s="1783"/>
      <c r="AQ1548" s="1783"/>
      <c r="AR1548" s="1783"/>
      <c r="AS1548" s="1783"/>
      <c r="AT1548" s="1783"/>
      <c r="AU1548" s="1783"/>
      <c r="AV1548" s="1783"/>
      <c r="AW1548" s="1783"/>
      <c r="AX1548" s="1783"/>
      <c r="AY1548" s="1783"/>
      <c r="AZ1548" s="1783"/>
      <c r="BA1548" s="1783"/>
      <c r="BB1548" s="1783"/>
      <c r="BC1548" s="1783"/>
      <c r="BD1548" s="1783"/>
      <c r="BE1548" s="1783"/>
      <c r="BF1548" s="1783"/>
      <c r="BG1548" s="1783"/>
      <c r="BH1548" s="1783"/>
      <c r="BI1548" s="1783"/>
    </row>
    <row r="1549" spans="1:61">
      <c r="A1549" s="1819"/>
      <c r="B1549" s="1818"/>
      <c r="C1549" s="1818"/>
      <c r="D1549" s="1818"/>
      <c r="E1549" s="1818"/>
      <c r="F1549" s="1818"/>
      <c r="G1549" s="1818"/>
      <c r="H1549" s="1783"/>
      <c r="I1549" s="1783"/>
      <c r="J1549" s="1783"/>
      <c r="K1549" s="1783"/>
      <c r="L1549" s="1783"/>
      <c r="M1549" s="1783"/>
      <c r="N1549" s="1783"/>
      <c r="O1549" s="1783"/>
      <c r="P1549" s="1783"/>
      <c r="Q1549" s="1783"/>
      <c r="R1549" s="1783"/>
      <c r="S1549" s="1783"/>
      <c r="T1549" s="1783"/>
      <c r="U1549" s="1783"/>
      <c r="V1549" s="1783"/>
      <c r="W1549" s="1783"/>
      <c r="X1549" s="1783"/>
      <c r="Y1549" s="1783"/>
      <c r="Z1549" s="1783"/>
      <c r="AA1549" s="1783"/>
      <c r="AB1549" s="1783"/>
      <c r="AC1549" s="1783"/>
      <c r="AD1549" s="1783"/>
      <c r="AE1549" s="1783"/>
      <c r="AF1549" s="1783"/>
      <c r="AG1549" s="1783"/>
      <c r="AH1549" s="1783"/>
      <c r="AI1549" s="1783"/>
      <c r="AJ1549" s="1783"/>
      <c r="AK1549" s="1783"/>
      <c r="AL1549" s="1783"/>
      <c r="AM1549" s="1783"/>
      <c r="AN1549" s="1783"/>
      <c r="AO1549" s="1783"/>
      <c r="AP1549" s="1783"/>
      <c r="AQ1549" s="1783"/>
      <c r="AR1549" s="1783"/>
      <c r="AS1549" s="1783"/>
      <c r="AT1549" s="1783"/>
      <c r="AU1549" s="1783"/>
      <c r="AV1549" s="1783"/>
      <c r="AW1549" s="1783"/>
      <c r="AX1549" s="1783"/>
      <c r="AY1549" s="1783"/>
      <c r="AZ1549" s="1783"/>
      <c r="BA1549" s="1783"/>
      <c r="BB1549" s="1783"/>
      <c r="BC1549" s="1783"/>
      <c r="BD1549" s="1783"/>
      <c r="BE1549" s="1783"/>
      <c r="BF1549" s="1783"/>
      <c r="BG1549" s="1783"/>
      <c r="BH1549" s="1783"/>
      <c r="BI1549" s="1783"/>
    </row>
    <row r="1550" spans="1:61">
      <c r="A1550" s="1819"/>
      <c r="B1550" s="1818"/>
      <c r="C1550" s="1818"/>
      <c r="D1550" s="1818"/>
      <c r="E1550" s="1818"/>
      <c r="F1550" s="1818"/>
      <c r="G1550" s="1818"/>
      <c r="H1550" s="1783"/>
      <c r="I1550" s="1783"/>
      <c r="J1550" s="1783"/>
      <c r="K1550" s="1783"/>
      <c r="L1550" s="1783"/>
      <c r="M1550" s="1783"/>
      <c r="N1550" s="1783"/>
      <c r="O1550" s="1783"/>
      <c r="P1550" s="1783"/>
      <c r="Q1550" s="1783"/>
      <c r="R1550" s="1783"/>
      <c r="S1550" s="1783"/>
      <c r="T1550" s="1783"/>
      <c r="U1550" s="1783"/>
      <c r="V1550" s="1783"/>
      <c r="W1550" s="1783"/>
      <c r="X1550" s="1783"/>
      <c r="Y1550" s="1783"/>
      <c r="Z1550" s="1783"/>
      <c r="AA1550" s="1783"/>
      <c r="AB1550" s="1783"/>
      <c r="AC1550" s="1783"/>
      <c r="AD1550" s="1783"/>
      <c r="AE1550" s="1783"/>
      <c r="AF1550" s="1783"/>
      <c r="AG1550" s="1783"/>
      <c r="AH1550" s="1783"/>
      <c r="AI1550" s="1783"/>
      <c r="AJ1550" s="1783"/>
      <c r="AK1550" s="1783"/>
      <c r="AL1550" s="1783"/>
      <c r="AM1550" s="1783"/>
      <c r="AN1550" s="1783"/>
      <c r="AO1550" s="1783"/>
      <c r="AP1550" s="1783"/>
      <c r="AQ1550" s="1783"/>
      <c r="AR1550" s="1783"/>
      <c r="AS1550" s="1783"/>
      <c r="AT1550" s="1783"/>
      <c r="AU1550" s="1783"/>
      <c r="AV1550" s="1783"/>
      <c r="AW1550" s="1783"/>
      <c r="AX1550" s="1783"/>
      <c r="AY1550" s="1783"/>
      <c r="AZ1550" s="1783"/>
      <c r="BA1550" s="1783"/>
      <c r="BB1550" s="1783"/>
      <c r="BC1550" s="1783"/>
      <c r="BD1550" s="1783"/>
      <c r="BE1550" s="1783"/>
      <c r="BF1550" s="1783"/>
      <c r="BG1550" s="1783"/>
      <c r="BH1550" s="1783"/>
      <c r="BI1550" s="1783"/>
    </row>
    <row r="1551" spans="1:61">
      <c r="A1551" s="1819"/>
      <c r="B1551" s="1818"/>
      <c r="C1551" s="1818"/>
      <c r="D1551" s="1818"/>
      <c r="E1551" s="1818"/>
      <c r="F1551" s="1818"/>
      <c r="G1551" s="1818"/>
      <c r="H1551" s="1783"/>
      <c r="I1551" s="1783"/>
      <c r="J1551" s="1783"/>
      <c r="K1551" s="1783"/>
      <c r="L1551" s="1783"/>
      <c r="M1551" s="1783"/>
      <c r="N1551" s="1783"/>
      <c r="O1551" s="1783"/>
      <c r="P1551" s="1783"/>
      <c r="Q1551" s="1783"/>
      <c r="R1551" s="1783"/>
      <c r="S1551" s="1783"/>
      <c r="T1551" s="1783"/>
      <c r="U1551" s="1783"/>
      <c r="V1551" s="1783"/>
      <c r="W1551" s="1783"/>
      <c r="X1551" s="1783"/>
      <c r="Y1551" s="1783"/>
      <c r="Z1551" s="1783"/>
      <c r="AA1551" s="1783"/>
      <c r="AB1551" s="1783"/>
      <c r="AC1551" s="1783"/>
      <c r="AD1551" s="1783"/>
      <c r="AE1551" s="1783"/>
      <c r="AF1551" s="1783"/>
      <c r="AG1551" s="1783"/>
      <c r="AH1551" s="1783"/>
      <c r="AI1551" s="1783"/>
      <c r="AJ1551" s="1783"/>
      <c r="AK1551" s="1783"/>
      <c r="AL1551" s="1783"/>
      <c r="AM1551" s="1783"/>
      <c r="AN1551" s="1783"/>
      <c r="AO1551" s="1783"/>
      <c r="AP1551" s="1783"/>
      <c r="AQ1551" s="1783"/>
      <c r="AR1551" s="1783"/>
      <c r="AS1551" s="1783"/>
      <c r="AT1551" s="1783"/>
      <c r="AU1551" s="1783"/>
      <c r="AV1551" s="1783"/>
      <c r="AW1551" s="1783"/>
      <c r="AX1551" s="1783"/>
      <c r="AY1551" s="1783"/>
      <c r="AZ1551" s="1783"/>
      <c r="BA1551" s="1783"/>
      <c r="BB1551" s="1783"/>
      <c r="BC1551" s="1783"/>
      <c r="BD1551" s="1783"/>
      <c r="BE1551" s="1783"/>
      <c r="BF1551" s="1783"/>
      <c r="BG1551" s="1783"/>
      <c r="BH1551" s="1783"/>
      <c r="BI1551" s="1783"/>
    </row>
    <row r="1552" spans="1:61">
      <c r="A1552" s="1819"/>
      <c r="B1552" s="1818"/>
      <c r="C1552" s="1818"/>
      <c r="D1552" s="1818"/>
      <c r="E1552" s="1818"/>
      <c r="F1552" s="1818"/>
      <c r="G1552" s="1818"/>
      <c r="H1552" s="1783"/>
      <c r="I1552" s="1783"/>
      <c r="J1552" s="1783"/>
      <c r="K1552" s="1783"/>
      <c r="L1552" s="1783"/>
      <c r="M1552" s="1783"/>
      <c r="N1552" s="1783"/>
      <c r="O1552" s="1783"/>
      <c r="P1552" s="1783"/>
      <c r="Q1552" s="1783"/>
      <c r="R1552" s="1783"/>
      <c r="S1552" s="1783"/>
      <c r="T1552" s="1783"/>
      <c r="U1552" s="1783"/>
      <c r="V1552" s="1783"/>
      <c r="W1552" s="1783"/>
      <c r="X1552" s="1783"/>
      <c r="Y1552" s="1783"/>
      <c r="Z1552" s="1783"/>
      <c r="AA1552" s="1783"/>
      <c r="AB1552" s="1783"/>
      <c r="AC1552" s="1783"/>
      <c r="AD1552" s="1783"/>
      <c r="AE1552" s="1783"/>
      <c r="AF1552" s="1783"/>
      <c r="AG1552" s="1783"/>
      <c r="AH1552" s="1783"/>
      <c r="AI1552" s="1783"/>
      <c r="AJ1552" s="1783"/>
      <c r="AK1552" s="1783"/>
      <c r="AL1552" s="1783"/>
      <c r="AM1552" s="1783"/>
      <c r="AN1552" s="1783"/>
      <c r="AO1552" s="1783"/>
      <c r="AP1552" s="1783"/>
      <c r="AQ1552" s="1783"/>
      <c r="AR1552" s="1783"/>
      <c r="AS1552" s="1783"/>
      <c r="AT1552" s="1783"/>
      <c r="AU1552" s="1783"/>
      <c r="AV1552" s="1783"/>
      <c r="AW1552" s="1783"/>
      <c r="AX1552" s="1783"/>
      <c r="AY1552" s="1783"/>
      <c r="AZ1552" s="1783"/>
      <c r="BA1552" s="1783"/>
      <c r="BB1552" s="1783"/>
      <c r="BC1552" s="1783"/>
      <c r="BD1552" s="1783"/>
      <c r="BE1552" s="1783"/>
      <c r="BF1552" s="1783"/>
      <c r="BG1552" s="1783"/>
      <c r="BH1552" s="1783"/>
      <c r="BI1552" s="1783"/>
    </row>
    <row r="1553" spans="1:61">
      <c r="A1553" s="1819"/>
      <c r="B1553" s="1818"/>
      <c r="C1553" s="1818"/>
      <c r="D1553" s="1818"/>
      <c r="E1553" s="1818"/>
      <c r="F1553" s="1818"/>
      <c r="G1553" s="1818"/>
      <c r="H1553" s="1783"/>
      <c r="I1553" s="1783"/>
      <c r="J1553" s="1783"/>
      <c r="K1553" s="1783"/>
      <c r="L1553" s="1783"/>
      <c r="M1553" s="1783"/>
      <c r="N1553" s="1783"/>
      <c r="O1553" s="1783"/>
      <c r="P1553" s="1783"/>
      <c r="Q1553" s="1783"/>
      <c r="R1553" s="1783"/>
      <c r="S1553" s="1783"/>
      <c r="T1553" s="1783"/>
      <c r="U1553" s="1783"/>
      <c r="V1553" s="1783"/>
      <c r="W1553" s="1783"/>
      <c r="X1553" s="1783"/>
      <c r="Y1553" s="1783"/>
      <c r="Z1553" s="1783"/>
      <c r="AA1553" s="1783"/>
      <c r="AB1553" s="1783"/>
      <c r="AC1553" s="1783"/>
      <c r="AD1553" s="1783"/>
      <c r="AE1553" s="1783"/>
      <c r="AF1553" s="1783"/>
      <c r="AG1553" s="1783"/>
      <c r="AH1553" s="1783"/>
      <c r="AI1553" s="1783"/>
      <c r="AJ1553" s="1783"/>
      <c r="AK1553" s="1783"/>
      <c r="AL1553" s="1783"/>
      <c r="AM1553" s="1783"/>
      <c r="AN1553" s="1783"/>
      <c r="AO1553" s="1783"/>
      <c r="AP1553" s="1783"/>
      <c r="AQ1553" s="1783"/>
      <c r="AR1553" s="1783"/>
      <c r="AS1553" s="1783"/>
      <c r="AT1553" s="1783"/>
      <c r="AU1553" s="1783"/>
      <c r="AV1553" s="1783"/>
      <c r="AW1553" s="1783"/>
      <c r="AX1553" s="1783"/>
      <c r="AY1553" s="1783"/>
      <c r="AZ1553" s="1783"/>
      <c r="BA1553" s="1783"/>
      <c r="BB1553" s="1783"/>
      <c r="BC1553" s="1783"/>
      <c r="BD1553" s="1783"/>
      <c r="BE1553" s="1783"/>
      <c r="BF1553" s="1783"/>
      <c r="BG1553" s="1783"/>
      <c r="BH1553" s="1783"/>
      <c r="BI1553" s="1783"/>
    </row>
    <row r="1554" spans="1:61">
      <c r="A1554" s="1819"/>
      <c r="B1554" s="1818"/>
      <c r="C1554" s="1818"/>
      <c r="D1554" s="1818"/>
      <c r="E1554" s="1818"/>
      <c r="F1554" s="1818"/>
      <c r="G1554" s="1818"/>
      <c r="H1554" s="1783"/>
      <c r="I1554" s="1783"/>
      <c r="J1554" s="1783"/>
      <c r="K1554" s="1783"/>
      <c r="L1554" s="1783"/>
      <c r="M1554" s="1783"/>
      <c r="N1554" s="1783"/>
      <c r="O1554" s="1783"/>
      <c r="P1554" s="1783"/>
      <c r="Q1554" s="1783"/>
      <c r="R1554" s="1783"/>
      <c r="S1554" s="1783"/>
      <c r="T1554" s="1783"/>
      <c r="U1554" s="1783"/>
      <c r="V1554" s="1783"/>
      <c r="W1554" s="1783"/>
      <c r="X1554" s="1783"/>
      <c r="Y1554" s="1783"/>
      <c r="Z1554" s="1783"/>
      <c r="AA1554" s="1783"/>
      <c r="AB1554" s="1783"/>
      <c r="AC1554" s="1783"/>
      <c r="AD1554" s="1783"/>
      <c r="AE1554" s="1783"/>
      <c r="AF1554" s="1783"/>
      <c r="AG1554" s="1783"/>
      <c r="AH1554" s="1783"/>
      <c r="AI1554" s="1783"/>
      <c r="AJ1554" s="1783"/>
      <c r="AK1554" s="1783"/>
      <c r="AL1554" s="1783"/>
      <c r="AM1554" s="1783"/>
      <c r="AN1554" s="1783"/>
      <c r="AO1554" s="1783"/>
      <c r="AP1554" s="1783"/>
      <c r="AQ1554" s="1783"/>
      <c r="AR1554" s="1783"/>
      <c r="AS1554" s="1783"/>
      <c r="AT1554" s="1783"/>
      <c r="AU1554" s="1783"/>
      <c r="AV1554" s="1783"/>
      <c r="AW1554" s="1783"/>
      <c r="AX1554" s="1783"/>
      <c r="AY1554" s="1783"/>
      <c r="AZ1554" s="1783"/>
      <c r="BA1554" s="1783"/>
      <c r="BB1554" s="1783"/>
      <c r="BC1554" s="1783"/>
      <c r="BD1554" s="1783"/>
      <c r="BE1554" s="1783"/>
      <c r="BF1554" s="1783"/>
      <c r="BG1554" s="1783"/>
      <c r="BH1554" s="1783"/>
      <c r="BI1554" s="1783"/>
    </row>
    <row r="1555" spans="1:61">
      <c r="A1555" s="1819"/>
      <c r="B1555" s="1818"/>
      <c r="C1555" s="1818"/>
      <c r="D1555" s="1818"/>
      <c r="E1555" s="1818"/>
      <c r="F1555" s="1818"/>
      <c r="G1555" s="1818"/>
      <c r="H1555" s="1783"/>
      <c r="I1555" s="1783"/>
      <c r="J1555" s="1783"/>
      <c r="K1555" s="1783"/>
      <c r="L1555" s="1783"/>
      <c r="M1555" s="1783"/>
      <c r="N1555" s="1783"/>
      <c r="O1555" s="1783"/>
      <c r="P1555" s="1783"/>
      <c r="Q1555" s="1783"/>
      <c r="R1555" s="1783"/>
      <c r="S1555" s="1783"/>
      <c r="T1555" s="1783"/>
      <c r="U1555" s="1783"/>
      <c r="V1555" s="1783"/>
      <c r="W1555" s="1783"/>
      <c r="X1555" s="1783"/>
      <c r="Y1555" s="1783"/>
      <c r="Z1555" s="1783"/>
      <c r="AA1555" s="1783"/>
      <c r="AB1555" s="1783"/>
      <c r="AC1555" s="1783"/>
      <c r="AD1555" s="1783"/>
      <c r="AE1555" s="1783"/>
      <c r="AF1555" s="1783"/>
      <c r="AG1555" s="1783"/>
      <c r="AH1555" s="1783"/>
      <c r="AI1555" s="1783"/>
      <c r="AJ1555" s="1783"/>
      <c r="AK1555" s="1783"/>
      <c r="AL1555" s="1783"/>
      <c r="AM1555" s="1783"/>
      <c r="AN1555" s="1783"/>
      <c r="AO1555" s="1783"/>
      <c r="AP1555" s="1783"/>
      <c r="AQ1555" s="1783"/>
      <c r="AR1555" s="1783"/>
      <c r="AS1555" s="1783"/>
      <c r="AT1555" s="1783"/>
      <c r="AU1555" s="1783"/>
      <c r="AV1555" s="1783"/>
      <c r="AW1555" s="1783"/>
      <c r="AX1555" s="1783"/>
      <c r="AY1555" s="1783"/>
      <c r="AZ1555" s="1783"/>
      <c r="BA1555" s="1783"/>
      <c r="BB1555" s="1783"/>
      <c r="BC1555" s="1783"/>
      <c r="BD1555" s="1783"/>
      <c r="BE1555" s="1783"/>
      <c r="BF1555" s="1783"/>
      <c r="BG1555" s="1783"/>
      <c r="BH1555" s="1783"/>
      <c r="BI1555" s="1783"/>
    </row>
    <row r="1556" spans="1:61">
      <c r="A1556" s="1819"/>
      <c r="B1556" s="1818"/>
      <c r="C1556" s="1818"/>
      <c r="D1556" s="1818"/>
      <c r="E1556" s="1818"/>
      <c r="F1556" s="1818"/>
      <c r="G1556" s="1818"/>
      <c r="H1556" s="1783"/>
      <c r="I1556" s="1783"/>
      <c r="J1556" s="1783"/>
      <c r="K1556" s="1783"/>
      <c r="L1556" s="1783"/>
      <c r="M1556" s="1783"/>
      <c r="N1556" s="1783"/>
      <c r="O1556" s="1783"/>
      <c r="P1556" s="1783"/>
      <c r="Q1556" s="1783"/>
      <c r="R1556" s="1783"/>
      <c r="S1556" s="1783"/>
      <c r="T1556" s="1783"/>
      <c r="U1556" s="1783"/>
      <c r="V1556" s="1783"/>
      <c r="W1556" s="1783"/>
      <c r="X1556" s="1783"/>
      <c r="Y1556" s="1783"/>
      <c r="Z1556" s="1783"/>
      <c r="AA1556" s="1783"/>
      <c r="AB1556" s="1783"/>
      <c r="AC1556" s="1783"/>
      <c r="AD1556" s="1783"/>
      <c r="AE1556" s="1783"/>
      <c r="AF1556" s="1783"/>
      <c r="AG1556" s="1783"/>
      <c r="AH1556" s="1783"/>
      <c r="AI1556" s="1783"/>
      <c r="AJ1556" s="1783"/>
      <c r="AK1556" s="1783"/>
      <c r="AL1556" s="1783"/>
      <c r="AM1556" s="1783"/>
      <c r="AN1556" s="1783"/>
      <c r="AO1556" s="1783"/>
      <c r="AP1556" s="1783"/>
      <c r="AQ1556" s="1783"/>
      <c r="AR1556" s="1783"/>
      <c r="AS1556" s="1783"/>
      <c r="AT1556" s="1783"/>
      <c r="AU1556" s="1783"/>
      <c r="AV1556" s="1783"/>
      <c r="AW1556" s="1783"/>
      <c r="AX1556" s="1783"/>
      <c r="AY1556" s="1783"/>
      <c r="AZ1556" s="1783"/>
      <c r="BA1556" s="1783"/>
      <c r="BB1556" s="1783"/>
      <c r="BC1556" s="1783"/>
      <c r="BD1556" s="1783"/>
      <c r="BE1556" s="1783"/>
      <c r="BF1556" s="1783"/>
      <c r="BG1556" s="1783"/>
      <c r="BH1556" s="1783"/>
      <c r="BI1556" s="1783"/>
    </row>
    <row r="1557" spans="1:61">
      <c r="A1557" s="1819"/>
      <c r="B1557" s="1818"/>
      <c r="C1557" s="1818"/>
      <c r="D1557" s="1818"/>
      <c r="E1557" s="1818"/>
      <c r="F1557" s="1818"/>
      <c r="G1557" s="1818"/>
      <c r="H1557" s="1783"/>
      <c r="I1557" s="1783"/>
      <c r="J1557" s="1783"/>
      <c r="K1557" s="1783"/>
      <c r="L1557" s="1783"/>
      <c r="M1557" s="1783"/>
      <c r="N1557" s="1783"/>
      <c r="O1557" s="1783"/>
      <c r="P1557" s="1783"/>
      <c r="Q1557" s="1783"/>
      <c r="R1557" s="1783"/>
      <c r="S1557" s="1783"/>
      <c r="T1557" s="1783"/>
      <c r="U1557" s="1783"/>
      <c r="V1557" s="1783"/>
      <c r="W1557" s="1783"/>
      <c r="X1557" s="1783"/>
      <c r="Y1557" s="1783"/>
      <c r="Z1557" s="1783"/>
      <c r="AA1557" s="1783"/>
      <c r="AB1557" s="1783"/>
      <c r="AC1557" s="1783"/>
      <c r="AD1557" s="1783"/>
      <c r="AE1557" s="1783"/>
      <c r="AF1557" s="1783"/>
      <c r="AG1557" s="1783"/>
      <c r="AH1557" s="1783"/>
      <c r="AI1557" s="1783"/>
      <c r="AJ1557" s="1783"/>
      <c r="AK1557" s="1783"/>
      <c r="AL1557" s="1783"/>
      <c r="AM1557" s="1783"/>
      <c r="AN1557" s="1783"/>
      <c r="AO1557" s="1783"/>
      <c r="AP1557" s="1783"/>
      <c r="AQ1557" s="1783"/>
      <c r="AR1557" s="1783"/>
      <c r="AS1557" s="1783"/>
      <c r="AT1557" s="1783"/>
      <c r="AU1557" s="1783"/>
      <c r="AV1557" s="1783"/>
      <c r="AW1557" s="1783"/>
      <c r="AX1557" s="1783"/>
      <c r="AY1557" s="1783"/>
      <c r="AZ1557" s="1783"/>
      <c r="BA1557" s="1783"/>
      <c r="BB1557" s="1783"/>
      <c r="BC1557" s="1783"/>
      <c r="BD1557" s="1783"/>
      <c r="BE1557" s="1783"/>
      <c r="BF1557" s="1783"/>
      <c r="BG1557" s="1783"/>
      <c r="BH1557" s="1783"/>
      <c r="BI1557" s="1783"/>
    </row>
    <row r="1558" spans="1:61">
      <c r="A1558" s="1819"/>
      <c r="B1558" s="1818"/>
      <c r="C1558" s="1818"/>
      <c r="D1558" s="1818"/>
      <c r="E1558" s="1818"/>
      <c r="F1558" s="1818"/>
      <c r="G1558" s="1818"/>
      <c r="H1558" s="1783"/>
      <c r="I1558" s="1783"/>
      <c r="J1558" s="1783"/>
      <c r="K1558" s="1783"/>
      <c r="L1558" s="1783"/>
      <c r="M1558" s="1783"/>
      <c r="N1558" s="1783"/>
      <c r="O1558" s="1783"/>
      <c r="P1558" s="1783"/>
      <c r="Q1558" s="1783"/>
      <c r="R1558" s="1783"/>
      <c r="S1558" s="1783"/>
      <c r="T1558" s="1783"/>
      <c r="U1558" s="1783"/>
      <c r="V1558" s="1783"/>
      <c r="W1558" s="1783"/>
      <c r="X1558" s="1783"/>
      <c r="Y1558" s="1783"/>
      <c r="Z1558" s="1783"/>
      <c r="AA1558" s="1783"/>
      <c r="AB1558" s="1783"/>
      <c r="AC1558" s="1783"/>
      <c r="AD1558" s="1783"/>
      <c r="AE1558" s="1783"/>
      <c r="AF1558" s="1783"/>
      <c r="AG1558" s="1783"/>
      <c r="AH1558" s="1783"/>
      <c r="AI1558" s="1783"/>
      <c r="AJ1558" s="1783"/>
      <c r="AK1558" s="1783"/>
      <c r="AL1558" s="1783"/>
      <c r="AM1558" s="1783"/>
      <c r="AN1558" s="1783"/>
      <c r="AO1558" s="1783"/>
      <c r="AP1558" s="1783"/>
      <c r="AQ1558" s="1783"/>
      <c r="AR1558" s="1783"/>
      <c r="AS1558" s="1783"/>
      <c r="AT1558" s="1783"/>
      <c r="AU1558" s="1783"/>
      <c r="AV1558" s="1783"/>
      <c r="AW1558" s="1783"/>
      <c r="AX1558" s="1783"/>
      <c r="AY1558" s="1783"/>
      <c r="AZ1558" s="1783"/>
      <c r="BA1558" s="1783"/>
      <c r="BB1558" s="1783"/>
      <c r="BC1558" s="1783"/>
      <c r="BD1558" s="1783"/>
      <c r="BE1558" s="1783"/>
      <c r="BF1558" s="1783"/>
      <c r="BG1558" s="1783"/>
      <c r="BH1558" s="1783"/>
      <c r="BI1558" s="1783"/>
    </row>
    <row r="1559" spans="1:61">
      <c r="A1559" s="1819"/>
      <c r="B1559" s="1818"/>
      <c r="C1559" s="1818"/>
      <c r="D1559" s="1818"/>
      <c r="E1559" s="1818"/>
      <c r="F1559" s="1818"/>
      <c r="G1559" s="1818"/>
      <c r="H1559" s="1783"/>
      <c r="I1559" s="1783"/>
      <c r="J1559" s="1783"/>
      <c r="K1559" s="1783"/>
      <c r="L1559" s="1783"/>
      <c r="M1559" s="1783"/>
      <c r="N1559" s="1783"/>
      <c r="O1559" s="1783"/>
      <c r="P1559" s="1783"/>
      <c r="Q1559" s="1783"/>
      <c r="R1559" s="1783"/>
      <c r="S1559" s="1783"/>
      <c r="T1559" s="1783"/>
      <c r="U1559" s="1783"/>
      <c r="V1559" s="1783"/>
      <c r="W1559" s="1783"/>
      <c r="X1559" s="1783"/>
      <c r="Y1559" s="1783"/>
      <c r="Z1559" s="1783"/>
      <c r="AA1559" s="1783"/>
      <c r="AB1559" s="1783"/>
      <c r="AC1559" s="1783"/>
      <c r="AD1559" s="1783"/>
      <c r="AE1559" s="1783"/>
      <c r="AF1559" s="1783"/>
      <c r="AG1559" s="1783"/>
      <c r="AH1559" s="1783"/>
      <c r="AI1559" s="1783"/>
      <c r="AJ1559" s="1783"/>
      <c r="AK1559" s="1783"/>
      <c r="AL1559" s="1783"/>
      <c r="AM1559" s="1783"/>
      <c r="AN1559" s="1783"/>
      <c r="AO1559" s="1783"/>
      <c r="AP1559" s="1783"/>
      <c r="AQ1559" s="1783"/>
      <c r="AR1559" s="1783"/>
      <c r="AS1559" s="1783"/>
      <c r="AT1559" s="1783"/>
      <c r="AU1559" s="1783"/>
      <c r="AV1559" s="1783"/>
      <c r="AW1559" s="1783"/>
      <c r="AX1559" s="1783"/>
      <c r="AY1559" s="1783"/>
      <c r="AZ1559" s="1783"/>
      <c r="BA1559" s="1783"/>
      <c r="BB1559" s="1783"/>
      <c r="BC1559" s="1783"/>
      <c r="BD1559" s="1783"/>
      <c r="BE1559" s="1783"/>
      <c r="BF1559" s="1783"/>
      <c r="BG1559" s="1783"/>
      <c r="BH1559" s="1783"/>
      <c r="BI1559" s="1783"/>
    </row>
    <row r="1560" spans="1:61">
      <c r="A1560" s="1819"/>
      <c r="B1560" s="1818"/>
      <c r="C1560" s="1818"/>
      <c r="D1560" s="1818"/>
      <c r="E1560" s="1818"/>
      <c r="F1560" s="1818"/>
      <c r="G1560" s="1818"/>
      <c r="H1560" s="1783"/>
      <c r="I1560" s="1783"/>
      <c r="J1560" s="1783"/>
      <c r="K1560" s="1783"/>
      <c r="L1560" s="1783"/>
      <c r="M1560" s="1783"/>
      <c r="N1560" s="1783"/>
      <c r="O1560" s="1783"/>
      <c r="P1560" s="1783"/>
      <c r="Q1560" s="1783"/>
      <c r="R1560" s="1783"/>
      <c r="S1560" s="1783"/>
      <c r="T1560" s="1783"/>
      <c r="U1560" s="1783"/>
      <c r="V1560" s="1783"/>
      <c r="W1560" s="1783"/>
      <c r="X1560" s="1783"/>
      <c r="Y1560" s="1783"/>
      <c r="Z1560" s="1783"/>
      <c r="AA1560" s="1783"/>
      <c r="AB1560" s="1783"/>
      <c r="AC1560" s="1783"/>
      <c r="AD1560" s="1783"/>
      <c r="AE1560" s="1783"/>
      <c r="AF1560" s="1783"/>
      <c r="AG1560" s="1783"/>
      <c r="AH1560" s="1783"/>
      <c r="AI1560" s="1783"/>
      <c r="AJ1560" s="1783"/>
      <c r="AK1560" s="1783"/>
      <c r="AL1560" s="1783"/>
      <c r="AM1560" s="1783"/>
      <c r="AN1560" s="1783"/>
      <c r="AO1560" s="1783"/>
      <c r="AP1560" s="1783"/>
      <c r="AQ1560" s="1783"/>
      <c r="AR1560" s="1783"/>
      <c r="AS1560" s="1783"/>
      <c r="AT1560" s="1783"/>
      <c r="AU1560" s="1783"/>
      <c r="AV1560" s="1783"/>
      <c r="AW1560" s="1783"/>
      <c r="AX1560" s="1783"/>
      <c r="AY1560" s="1783"/>
      <c r="AZ1560" s="1783"/>
      <c r="BA1560" s="1783"/>
      <c r="BB1560" s="1783"/>
      <c r="BC1560" s="1783"/>
      <c r="BD1560" s="1783"/>
      <c r="BE1560" s="1783"/>
      <c r="BF1560" s="1783"/>
      <c r="BG1560" s="1783"/>
      <c r="BH1560" s="1783"/>
      <c r="BI1560" s="1783"/>
    </row>
    <row r="1561" spans="1:61">
      <c r="A1561" s="1819"/>
      <c r="B1561" s="1818"/>
      <c r="C1561" s="1818"/>
      <c r="D1561" s="1818"/>
      <c r="E1561" s="1818"/>
      <c r="F1561" s="1818"/>
      <c r="G1561" s="1818"/>
      <c r="H1561" s="1783"/>
      <c r="I1561" s="1783"/>
      <c r="J1561" s="1783"/>
      <c r="K1561" s="1783"/>
      <c r="L1561" s="1783"/>
      <c r="M1561" s="1783"/>
      <c r="N1561" s="1783"/>
      <c r="O1561" s="1783"/>
      <c r="P1561" s="1783"/>
      <c r="Q1561" s="1783"/>
      <c r="R1561" s="1783"/>
      <c r="S1561" s="1783"/>
      <c r="T1561" s="1783"/>
      <c r="U1561" s="1783"/>
      <c r="V1561" s="1783"/>
      <c r="W1561" s="1783"/>
      <c r="X1561" s="1783"/>
      <c r="Y1561" s="1783"/>
      <c r="Z1561" s="1783"/>
      <c r="AA1561" s="1783"/>
      <c r="AB1561" s="1783"/>
      <c r="AC1561" s="1783"/>
      <c r="AD1561" s="1783"/>
      <c r="AE1561" s="1783"/>
      <c r="AF1561" s="1783"/>
      <c r="AG1561" s="1783"/>
      <c r="AH1561" s="1783"/>
      <c r="AI1561" s="1783"/>
      <c r="AJ1561" s="1783"/>
      <c r="AK1561" s="1783"/>
      <c r="AL1561" s="1783"/>
      <c r="AM1561" s="1783"/>
      <c r="AN1561" s="1783"/>
      <c r="AO1561" s="1783"/>
      <c r="AP1561" s="1783"/>
      <c r="AQ1561" s="1783"/>
      <c r="AR1561" s="1783"/>
      <c r="AS1561" s="1783"/>
      <c r="AT1561" s="1783"/>
      <c r="AU1561" s="1783"/>
      <c r="AV1561" s="1783"/>
      <c r="AW1561" s="1783"/>
      <c r="AX1561" s="1783"/>
      <c r="AY1561" s="1783"/>
      <c r="AZ1561" s="1783"/>
      <c r="BA1561" s="1783"/>
      <c r="BB1561" s="1783"/>
      <c r="BC1561" s="1783"/>
      <c r="BD1561" s="1783"/>
      <c r="BE1561" s="1783"/>
      <c r="BF1561" s="1783"/>
      <c r="BG1561" s="1783"/>
      <c r="BH1561" s="1783"/>
      <c r="BI1561" s="1783"/>
    </row>
    <row r="1562" spans="1:61">
      <c r="A1562" s="1819"/>
      <c r="B1562" s="1818"/>
      <c r="C1562" s="1818"/>
      <c r="D1562" s="1818"/>
      <c r="E1562" s="1818"/>
      <c r="F1562" s="1818"/>
      <c r="G1562" s="1818"/>
      <c r="H1562" s="1783"/>
      <c r="I1562" s="1783"/>
      <c r="J1562" s="1783"/>
      <c r="K1562" s="1783"/>
      <c r="L1562" s="1783"/>
      <c r="M1562" s="1783"/>
      <c r="N1562" s="1783"/>
      <c r="O1562" s="1783"/>
      <c r="P1562" s="1783"/>
      <c r="Q1562" s="1783"/>
      <c r="R1562" s="1783"/>
      <c r="S1562" s="1783"/>
      <c r="T1562" s="1783"/>
      <c r="U1562" s="1783"/>
      <c r="V1562" s="1783"/>
      <c r="W1562" s="1783"/>
      <c r="X1562" s="1783"/>
      <c r="Y1562" s="1783"/>
      <c r="Z1562" s="1783"/>
      <c r="AA1562" s="1783"/>
      <c r="AB1562" s="1783"/>
      <c r="AC1562" s="1783"/>
      <c r="AD1562" s="1783"/>
      <c r="AE1562" s="1783"/>
      <c r="AF1562" s="1783"/>
      <c r="AG1562" s="1783"/>
      <c r="AH1562" s="1783"/>
      <c r="AI1562" s="1783"/>
      <c r="AJ1562" s="1783"/>
      <c r="AK1562" s="1783"/>
      <c r="AL1562" s="1783"/>
      <c r="AM1562" s="1783"/>
      <c r="AN1562" s="1783"/>
      <c r="AO1562" s="1783"/>
      <c r="AP1562" s="1783"/>
      <c r="AQ1562" s="1783"/>
      <c r="AR1562" s="1783"/>
      <c r="AS1562" s="1783"/>
      <c r="AT1562" s="1783"/>
      <c r="AU1562" s="1783"/>
      <c r="AV1562" s="1783"/>
      <c r="AW1562" s="1783"/>
      <c r="AX1562" s="1783"/>
      <c r="AY1562" s="1783"/>
      <c r="AZ1562" s="1783"/>
      <c r="BA1562" s="1783"/>
      <c r="BB1562" s="1783"/>
      <c r="BC1562" s="1783"/>
      <c r="BD1562" s="1783"/>
      <c r="BE1562" s="1783"/>
      <c r="BF1562" s="1783"/>
      <c r="BG1562" s="1783"/>
      <c r="BH1562" s="1783"/>
      <c r="BI1562" s="1783"/>
    </row>
    <row r="1563" spans="1:61">
      <c r="A1563" s="1819"/>
      <c r="B1563" s="1818"/>
      <c r="C1563" s="1818"/>
      <c r="D1563" s="1818"/>
      <c r="E1563" s="1818"/>
      <c r="F1563" s="1818"/>
      <c r="G1563" s="1818"/>
      <c r="H1563" s="1783"/>
      <c r="I1563" s="1783"/>
      <c r="J1563" s="1783"/>
      <c r="K1563" s="1783"/>
      <c r="L1563" s="1783"/>
      <c r="M1563" s="1783"/>
      <c r="N1563" s="1783"/>
      <c r="O1563" s="1783"/>
      <c r="P1563" s="1783"/>
      <c r="Q1563" s="1783"/>
      <c r="R1563" s="1783"/>
      <c r="S1563" s="1783"/>
      <c r="T1563" s="1783"/>
      <c r="U1563" s="1783"/>
      <c r="V1563" s="1783"/>
      <c r="W1563" s="1783"/>
      <c r="X1563" s="1783"/>
      <c r="Y1563" s="1783"/>
      <c r="Z1563" s="1783"/>
      <c r="AA1563" s="1783"/>
      <c r="AB1563" s="1783"/>
      <c r="AC1563" s="1783"/>
      <c r="AD1563" s="1783"/>
      <c r="AE1563" s="1783"/>
      <c r="AF1563" s="1783"/>
      <c r="AG1563" s="1783"/>
      <c r="AH1563" s="1783"/>
      <c r="AI1563" s="1783"/>
      <c r="AJ1563" s="1783"/>
      <c r="AK1563" s="1783"/>
      <c r="AL1563" s="1783"/>
      <c r="AM1563" s="1783"/>
      <c r="AN1563" s="1783"/>
      <c r="AO1563" s="1783"/>
      <c r="AP1563" s="1783"/>
      <c r="AQ1563" s="1783"/>
      <c r="AR1563" s="1783"/>
      <c r="AS1563" s="1783"/>
      <c r="AT1563" s="1783"/>
      <c r="AU1563" s="1783"/>
      <c r="AV1563" s="1783"/>
      <c r="AW1563" s="1783"/>
      <c r="AX1563" s="1783"/>
      <c r="AY1563" s="1783"/>
      <c r="AZ1563" s="1783"/>
      <c r="BA1563" s="1783"/>
      <c r="BB1563" s="1783"/>
      <c r="BC1563" s="1783"/>
      <c r="BD1563" s="1783"/>
      <c r="BE1563" s="1783"/>
      <c r="BF1563" s="1783"/>
      <c r="BG1563" s="1783"/>
      <c r="BH1563" s="1783"/>
      <c r="BI1563" s="1783"/>
    </row>
    <row r="1564" spans="1:61">
      <c r="A1564" s="1819"/>
      <c r="B1564" s="1818"/>
      <c r="C1564" s="1818"/>
      <c r="D1564" s="1818"/>
      <c r="E1564" s="1818"/>
      <c r="F1564" s="1818"/>
      <c r="G1564" s="1818"/>
      <c r="H1564" s="1783"/>
      <c r="I1564" s="1783"/>
      <c r="J1564" s="1783"/>
      <c r="K1564" s="1783"/>
      <c r="L1564" s="1783"/>
      <c r="M1564" s="1783"/>
      <c r="N1564" s="1783"/>
      <c r="O1564" s="1783"/>
      <c r="P1564" s="1783"/>
      <c r="Q1564" s="1783"/>
      <c r="R1564" s="1783"/>
      <c r="S1564" s="1783"/>
      <c r="T1564" s="1783"/>
      <c r="U1564" s="1783"/>
      <c r="V1564" s="1783"/>
      <c r="W1564" s="1783"/>
      <c r="X1564" s="1783"/>
      <c r="Y1564" s="1783"/>
      <c r="Z1564" s="1783"/>
      <c r="AA1564" s="1783"/>
      <c r="AB1564" s="1783"/>
      <c r="AC1564" s="1783"/>
      <c r="AD1564" s="1783"/>
      <c r="AE1564" s="1783"/>
      <c r="AF1564" s="1783"/>
      <c r="AG1564" s="1783"/>
      <c r="AH1564" s="1783"/>
      <c r="AI1564" s="1783"/>
      <c r="AJ1564" s="1783"/>
      <c r="AK1564" s="1783"/>
      <c r="AL1564" s="1783"/>
      <c r="AM1564" s="1783"/>
      <c r="AN1564" s="1783"/>
      <c r="AO1564" s="1783"/>
      <c r="AP1564" s="1783"/>
      <c r="AQ1564" s="1783"/>
      <c r="AR1564" s="1783"/>
      <c r="AS1564" s="1783"/>
      <c r="AT1564" s="1783"/>
      <c r="AU1564" s="1783"/>
      <c r="AV1564" s="1783"/>
      <c r="AW1564" s="1783"/>
      <c r="AX1564" s="1783"/>
      <c r="AY1564" s="1783"/>
      <c r="AZ1564" s="1783"/>
      <c r="BA1564" s="1783"/>
      <c r="BB1564" s="1783"/>
      <c r="BC1564" s="1783"/>
      <c r="BD1564" s="1783"/>
      <c r="BE1564" s="1783"/>
      <c r="BF1564" s="1783"/>
      <c r="BG1564" s="1783"/>
      <c r="BH1564" s="1783"/>
      <c r="BI1564" s="1783"/>
    </row>
    <row r="1565" spans="1:61">
      <c r="A1565" s="1819"/>
      <c r="B1565" s="1818"/>
      <c r="C1565" s="1818"/>
      <c r="D1565" s="1818"/>
      <c r="E1565" s="1818"/>
      <c r="F1565" s="1818"/>
      <c r="G1565" s="1818"/>
      <c r="H1565" s="1783"/>
      <c r="I1565" s="1783"/>
      <c r="J1565" s="1783"/>
      <c r="K1565" s="1783"/>
      <c r="L1565" s="1783"/>
      <c r="M1565" s="1783"/>
      <c r="N1565" s="1783"/>
      <c r="O1565" s="1783"/>
      <c r="P1565" s="1783"/>
      <c r="Q1565" s="1783"/>
      <c r="R1565" s="1783"/>
      <c r="S1565" s="1783"/>
      <c r="T1565" s="1783"/>
      <c r="U1565" s="1783"/>
      <c r="V1565" s="1783"/>
      <c r="W1565" s="1783"/>
      <c r="X1565" s="1783"/>
      <c r="Y1565" s="1783"/>
      <c r="Z1565" s="1783"/>
      <c r="AA1565" s="1783"/>
      <c r="AB1565" s="1783"/>
      <c r="AC1565" s="1783"/>
      <c r="AD1565" s="1783"/>
      <c r="AE1565" s="1783"/>
      <c r="AF1565" s="1783"/>
      <c r="AG1565" s="1783"/>
      <c r="AH1565" s="1783"/>
      <c r="AI1565" s="1783"/>
      <c r="AJ1565" s="1783"/>
      <c r="AK1565" s="1783"/>
      <c r="AL1565" s="1783"/>
      <c r="AM1565" s="1783"/>
      <c r="AN1565" s="1783"/>
      <c r="AO1565" s="1783"/>
      <c r="AP1565" s="1783"/>
      <c r="AQ1565" s="1783"/>
      <c r="AR1565" s="1783"/>
      <c r="AS1565" s="1783"/>
      <c r="AT1565" s="1783"/>
      <c r="AU1565" s="1783"/>
      <c r="AV1565" s="1783"/>
      <c r="AW1565" s="1783"/>
      <c r="AX1565" s="1783"/>
      <c r="AY1565" s="1783"/>
      <c r="AZ1565" s="1783"/>
      <c r="BA1565" s="1783"/>
      <c r="BB1565" s="1783"/>
      <c r="BC1565" s="1783"/>
      <c r="BD1565" s="1783"/>
      <c r="BE1565" s="1783"/>
      <c r="BF1565" s="1783"/>
      <c r="BG1565" s="1783"/>
      <c r="BH1565" s="1783"/>
      <c r="BI1565" s="1783"/>
    </row>
    <row r="1566" spans="1:61">
      <c r="A1566" s="1819"/>
      <c r="B1566" s="1818"/>
      <c r="C1566" s="1818"/>
      <c r="D1566" s="1818"/>
      <c r="E1566" s="1818"/>
      <c r="F1566" s="1818"/>
      <c r="G1566" s="1818"/>
      <c r="H1566" s="1783"/>
      <c r="I1566" s="1783"/>
      <c r="J1566" s="1783"/>
      <c r="K1566" s="1783"/>
      <c r="L1566" s="1783"/>
      <c r="M1566" s="1783"/>
      <c r="N1566" s="1783"/>
      <c r="O1566" s="1783"/>
      <c r="P1566" s="1783"/>
      <c r="Q1566" s="1783"/>
      <c r="R1566" s="1783"/>
      <c r="S1566" s="1783"/>
      <c r="T1566" s="1783"/>
      <c r="U1566" s="1783"/>
      <c r="V1566" s="1783"/>
      <c r="W1566" s="1783"/>
      <c r="X1566" s="1783"/>
      <c r="Y1566" s="1783"/>
      <c r="Z1566" s="1783"/>
      <c r="AA1566" s="1783"/>
      <c r="AB1566" s="1783"/>
      <c r="AC1566" s="1783"/>
      <c r="AD1566" s="1783"/>
      <c r="AE1566" s="1783"/>
      <c r="AF1566" s="1783"/>
      <c r="AG1566" s="1783"/>
      <c r="AH1566" s="1783"/>
      <c r="AI1566" s="1783"/>
      <c r="AJ1566" s="1783"/>
      <c r="AK1566" s="1783"/>
      <c r="AL1566" s="1783"/>
      <c r="AM1566" s="1783"/>
      <c r="AN1566" s="1783"/>
      <c r="AO1566" s="1783"/>
      <c r="AP1566" s="1783"/>
      <c r="AQ1566" s="1783"/>
      <c r="AR1566" s="1783"/>
      <c r="AS1566" s="1783"/>
      <c r="AT1566" s="1783"/>
      <c r="AU1566" s="1783"/>
      <c r="AV1566" s="1783"/>
      <c r="AW1566" s="1783"/>
      <c r="AX1566" s="1783"/>
      <c r="AY1566" s="1783"/>
      <c r="AZ1566" s="1783"/>
      <c r="BA1566" s="1783"/>
      <c r="BB1566" s="1783"/>
      <c r="BC1566" s="1783"/>
      <c r="BD1566" s="1783"/>
      <c r="BE1566" s="1783"/>
      <c r="BF1566" s="1783"/>
      <c r="BG1566" s="1783"/>
      <c r="BH1566" s="1783"/>
      <c r="BI1566" s="1783"/>
    </row>
    <row r="1567" spans="1:61">
      <c r="A1567" s="1819"/>
      <c r="B1567" s="1818"/>
      <c r="C1567" s="1818"/>
      <c r="D1567" s="1818"/>
      <c r="E1567" s="1818"/>
      <c r="F1567" s="1818"/>
      <c r="G1567" s="1818"/>
      <c r="H1567" s="1783"/>
      <c r="I1567" s="1783"/>
      <c r="J1567" s="1783"/>
      <c r="K1567" s="1783"/>
      <c r="L1567" s="1783"/>
      <c r="M1567" s="1783"/>
      <c r="N1567" s="1783"/>
      <c r="O1567" s="1783"/>
      <c r="P1567" s="1783"/>
      <c r="Q1567" s="1783"/>
      <c r="R1567" s="1783"/>
      <c r="S1567" s="1783"/>
      <c r="T1567" s="1783"/>
      <c r="U1567" s="1783"/>
      <c r="V1567" s="1783"/>
      <c r="W1567" s="1783"/>
      <c r="X1567" s="1783"/>
      <c r="Y1567" s="1783"/>
      <c r="Z1567" s="1783"/>
      <c r="AA1567" s="1783"/>
      <c r="AB1567" s="1783"/>
      <c r="AC1567" s="1783"/>
      <c r="AD1567" s="1783"/>
      <c r="AE1567" s="1783"/>
      <c r="AF1567" s="1783"/>
      <c r="AG1567" s="1783"/>
      <c r="AH1567" s="1783"/>
      <c r="AI1567" s="1783"/>
      <c r="AJ1567" s="1783"/>
      <c r="AK1567" s="1783"/>
      <c r="AL1567" s="1783"/>
      <c r="AM1567" s="1783"/>
      <c r="AN1567" s="1783"/>
      <c r="AO1567" s="1783"/>
      <c r="AP1567" s="1783"/>
      <c r="AQ1567" s="1783"/>
      <c r="AR1567" s="1783"/>
      <c r="AS1567" s="1783"/>
      <c r="AT1567" s="1783"/>
      <c r="AU1567" s="1783"/>
      <c r="AV1567" s="1783"/>
      <c r="AW1567" s="1783"/>
      <c r="AX1567" s="1783"/>
      <c r="AY1567" s="1783"/>
      <c r="AZ1567" s="1783"/>
      <c r="BA1567" s="1783"/>
      <c r="BB1567" s="1783"/>
      <c r="BC1567" s="1783"/>
      <c r="BD1567" s="1783"/>
      <c r="BE1567" s="1783"/>
      <c r="BF1567" s="1783"/>
      <c r="BG1567" s="1783"/>
      <c r="BH1567" s="1783"/>
      <c r="BI1567" s="1783"/>
    </row>
    <row r="1568" spans="1:61">
      <c r="A1568" s="1819"/>
      <c r="B1568" s="1818"/>
      <c r="C1568" s="1818"/>
      <c r="D1568" s="1818"/>
      <c r="E1568" s="1818"/>
      <c r="F1568" s="1818"/>
      <c r="G1568" s="1818"/>
      <c r="H1568" s="1783"/>
      <c r="I1568" s="1783"/>
      <c r="J1568" s="1783"/>
      <c r="K1568" s="1783"/>
      <c r="L1568" s="1783"/>
      <c r="M1568" s="1783"/>
      <c r="N1568" s="1783"/>
      <c r="O1568" s="1783"/>
      <c r="P1568" s="1783"/>
      <c r="Q1568" s="1783"/>
      <c r="R1568" s="1783"/>
      <c r="S1568" s="1783"/>
      <c r="T1568" s="1783"/>
      <c r="U1568" s="1783"/>
      <c r="V1568" s="1783"/>
      <c r="W1568" s="1783"/>
      <c r="X1568" s="1783"/>
      <c r="Y1568" s="1783"/>
      <c r="Z1568" s="1783"/>
      <c r="AA1568" s="1783"/>
      <c r="AB1568" s="1783"/>
      <c r="AC1568" s="1783"/>
      <c r="AD1568" s="1783"/>
      <c r="AE1568" s="1783"/>
      <c r="AF1568" s="1783"/>
      <c r="AG1568" s="1783"/>
      <c r="AH1568" s="1783"/>
      <c r="AI1568" s="1783"/>
      <c r="AJ1568" s="1783"/>
      <c r="AK1568" s="1783"/>
      <c r="AL1568" s="1783"/>
      <c r="AM1568" s="1783"/>
      <c r="AN1568" s="1783"/>
      <c r="AO1568" s="1783"/>
      <c r="AP1568" s="1783"/>
      <c r="AQ1568" s="1783"/>
      <c r="AR1568" s="1783"/>
      <c r="AS1568" s="1783"/>
      <c r="AT1568" s="1783"/>
      <c r="AU1568" s="1783"/>
      <c r="AV1568" s="1783"/>
      <c r="AW1568" s="1783"/>
      <c r="AX1568" s="1783"/>
      <c r="AY1568" s="1783"/>
      <c r="AZ1568" s="1783"/>
      <c r="BA1568" s="1783"/>
      <c r="BB1568" s="1783"/>
      <c r="BC1568" s="1783"/>
      <c r="BD1568" s="1783"/>
      <c r="BE1568" s="1783"/>
      <c r="BF1568" s="1783"/>
      <c r="BG1568" s="1783"/>
      <c r="BH1568" s="1783"/>
      <c r="BI1568" s="1783"/>
    </row>
    <row r="1569" spans="1:61">
      <c r="A1569" s="1819"/>
      <c r="B1569" s="1818"/>
      <c r="C1569" s="1818"/>
      <c r="D1569" s="1818"/>
      <c r="E1569" s="1818"/>
      <c r="F1569" s="1818"/>
      <c r="G1569" s="1818"/>
      <c r="H1569" s="1783"/>
      <c r="I1569" s="1783"/>
      <c r="J1569" s="1783"/>
      <c r="K1569" s="1783"/>
      <c r="L1569" s="1783"/>
      <c r="M1569" s="1783"/>
      <c r="N1569" s="1783"/>
      <c r="O1569" s="1783"/>
      <c r="P1569" s="1783"/>
      <c r="Q1569" s="1783"/>
      <c r="R1569" s="1783"/>
      <c r="S1569" s="1783"/>
      <c r="T1569" s="1783"/>
      <c r="U1569" s="1783"/>
      <c r="V1569" s="1783"/>
      <c r="W1569" s="1783"/>
      <c r="X1569" s="1783"/>
      <c r="Y1569" s="1783"/>
      <c r="Z1569" s="1783"/>
      <c r="AA1569" s="1783"/>
      <c r="AB1569" s="1783"/>
      <c r="AC1569" s="1783"/>
      <c r="AD1569" s="1783"/>
      <c r="AE1569" s="1783"/>
      <c r="AF1569" s="1783"/>
      <c r="AG1569" s="1783"/>
      <c r="AH1569" s="1783"/>
      <c r="AI1569" s="1783"/>
      <c r="AJ1569" s="1783"/>
      <c r="AK1569" s="1783"/>
      <c r="AL1569" s="1783"/>
      <c r="AM1569" s="1783"/>
      <c r="AN1569" s="1783"/>
      <c r="AO1569" s="1783"/>
      <c r="AP1569" s="1783"/>
      <c r="AQ1569" s="1783"/>
      <c r="AR1569" s="1783"/>
      <c r="AS1569" s="1783"/>
      <c r="AT1569" s="1783"/>
      <c r="AU1569" s="1783"/>
      <c r="AV1569" s="1783"/>
      <c r="AW1569" s="1783"/>
      <c r="AX1569" s="1783"/>
      <c r="AY1569" s="1783"/>
      <c r="AZ1569" s="1783"/>
      <c r="BA1569" s="1783"/>
      <c r="BB1569" s="1783"/>
      <c r="BC1569" s="1783"/>
      <c r="BD1569" s="1783"/>
      <c r="BE1569" s="1783"/>
      <c r="BF1569" s="1783"/>
      <c r="BG1569" s="1783"/>
      <c r="BH1569" s="1783"/>
      <c r="BI1569" s="1783"/>
    </row>
    <row r="1570" spans="1:61">
      <c r="A1570" s="1819"/>
      <c r="B1570" s="1818"/>
      <c r="C1570" s="1818"/>
      <c r="D1570" s="1818"/>
      <c r="E1570" s="1818"/>
      <c r="F1570" s="1818"/>
      <c r="G1570" s="1818"/>
      <c r="H1570" s="1783"/>
      <c r="I1570" s="1783"/>
      <c r="J1570" s="1783"/>
      <c r="K1570" s="1783"/>
      <c r="L1570" s="1783"/>
      <c r="M1570" s="1783"/>
      <c r="N1570" s="1783"/>
      <c r="O1570" s="1783"/>
      <c r="P1570" s="1783"/>
      <c r="Q1570" s="1783"/>
      <c r="R1570" s="1783"/>
      <c r="S1570" s="1783"/>
      <c r="T1570" s="1783"/>
      <c r="U1570" s="1783"/>
      <c r="V1570" s="1783"/>
      <c r="W1570" s="1783"/>
      <c r="X1570" s="1783"/>
      <c r="Y1570" s="1783"/>
      <c r="Z1570" s="1783"/>
      <c r="AA1570" s="1783"/>
      <c r="AB1570" s="1783"/>
      <c r="AC1570" s="1783"/>
      <c r="AD1570" s="1783"/>
      <c r="AE1570" s="1783"/>
      <c r="AF1570" s="1783"/>
      <c r="AG1570" s="1783"/>
      <c r="AH1570" s="1783"/>
      <c r="AI1570" s="1783"/>
      <c r="AJ1570" s="1783"/>
      <c r="AK1570" s="1783"/>
      <c r="AL1570" s="1783"/>
      <c r="AM1570" s="1783"/>
      <c r="AN1570" s="1783"/>
      <c r="AO1570" s="1783"/>
      <c r="AP1570" s="1783"/>
      <c r="AQ1570" s="1783"/>
      <c r="AR1570" s="1783"/>
      <c r="AS1570" s="1783"/>
      <c r="AT1570" s="1783"/>
      <c r="AU1570" s="1783"/>
      <c r="AV1570" s="1783"/>
      <c r="AW1570" s="1783"/>
      <c r="AX1570" s="1783"/>
      <c r="AY1570" s="1783"/>
      <c r="AZ1570" s="1783"/>
      <c r="BA1570" s="1783"/>
      <c r="BB1570" s="1783"/>
      <c r="BC1570" s="1783"/>
      <c r="BD1570" s="1783"/>
      <c r="BE1570" s="1783"/>
      <c r="BF1570" s="1783"/>
      <c r="BG1570" s="1783"/>
      <c r="BH1570" s="1783"/>
      <c r="BI1570" s="1783"/>
    </row>
    <row r="1571" spans="1:61">
      <c r="A1571" s="1819"/>
      <c r="B1571" s="1818"/>
      <c r="C1571" s="1818"/>
      <c r="D1571" s="1818"/>
      <c r="E1571" s="1818"/>
      <c r="F1571" s="1818"/>
      <c r="G1571" s="1818"/>
      <c r="H1571" s="1783"/>
      <c r="I1571" s="1783"/>
      <c r="J1571" s="1783"/>
      <c r="K1571" s="1783"/>
      <c r="L1571" s="1783"/>
      <c r="M1571" s="1783"/>
      <c r="N1571" s="1783"/>
      <c r="O1571" s="1783"/>
      <c r="P1571" s="1783"/>
      <c r="Q1571" s="1783"/>
      <c r="R1571" s="1783"/>
      <c r="S1571" s="1783"/>
      <c r="T1571" s="1783"/>
      <c r="U1571" s="1783"/>
      <c r="V1571" s="1783"/>
      <c r="W1571" s="1783"/>
      <c r="X1571" s="1783"/>
      <c r="Y1571" s="1783"/>
      <c r="Z1571" s="1783"/>
      <c r="AA1571" s="1783"/>
      <c r="AB1571" s="1783"/>
      <c r="AC1571" s="1783"/>
      <c r="AD1571" s="1783"/>
      <c r="AE1571" s="1783"/>
      <c r="AF1571" s="1783"/>
      <c r="AG1571" s="1783"/>
      <c r="AH1571" s="1783"/>
      <c r="AI1571" s="1783"/>
      <c r="AJ1571" s="1783"/>
      <c r="AK1571" s="1783"/>
      <c r="AL1571" s="1783"/>
      <c r="AM1571" s="1783"/>
      <c r="AN1571" s="1783"/>
      <c r="AO1571" s="1783"/>
      <c r="AP1571" s="1783"/>
      <c r="AQ1571" s="1783"/>
      <c r="AR1571" s="1783"/>
      <c r="AS1571" s="1783"/>
      <c r="AT1571" s="1783"/>
      <c r="AU1571" s="1783"/>
      <c r="AV1571" s="1783"/>
      <c r="AW1571" s="1783"/>
      <c r="AX1571" s="1783"/>
      <c r="AY1571" s="1783"/>
      <c r="AZ1571" s="1783"/>
      <c r="BA1571" s="1783"/>
      <c r="BB1571" s="1783"/>
      <c r="BC1571" s="1783"/>
      <c r="BD1571" s="1783"/>
      <c r="BE1571" s="1783"/>
      <c r="BF1571" s="1783"/>
      <c r="BG1571" s="1783"/>
      <c r="BH1571" s="1783"/>
      <c r="BI1571" s="1783"/>
    </row>
    <row r="1572" spans="1:61">
      <c r="A1572" s="1819"/>
      <c r="B1572" s="1818"/>
      <c r="C1572" s="1818"/>
      <c r="D1572" s="1818"/>
      <c r="E1572" s="1818"/>
      <c r="F1572" s="1818"/>
      <c r="G1572" s="1818"/>
      <c r="H1572" s="1783"/>
      <c r="I1572" s="1783"/>
      <c r="J1572" s="1783"/>
      <c r="K1572" s="1783"/>
      <c r="L1572" s="1783"/>
      <c r="M1572" s="1783"/>
      <c r="N1572" s="1783"/>
      <c r="O1572" s="1783"/>
      <c r="P1572" s="1783"/>
      <c r="Q1572" s="1783"/>
      <c r="R1572" s="1783"/>
      <c r="S1572" s="1783"/>
      <c r="T1572" s="1783"/>
      <c r="U1572" s="1783"/>
      <c r="V1572" s="1783"/>
      <c r="W1572" s="1783"/>
      <c r="X1572" s="1783"/>
      <c r="Y1572" s="1783"/>
      <c r="Z1572" s="1783"/>
      <c r="AA1572" s="1783"/>
      <c r="AB1572" s="1783"/>
      <c r="AC1572" s="1783"/>
      <c r="AD1572" s="1783"/>
      <c r="AE1572" s="1783"/>
      <c r="AF1572" s="1783"/>
      <c r="AG1572" s="1783"/>
      <c r="AH1572" s="1783"/>
      <c r="AI1572" s="1783"/>
      <c r="AJ1572" s="1783"/>
      <c r="AK1572" s="1783"/>
      <c r="AL1572" s="1783"/>
      <c r="AM1572" s="1783"/>
      <c r="AN1572" s="1783"/>
      <c r="AO1572" s="1783"/>
      <c r="AP1572" s="1783"/>
      <c r="AQ1572" s="1783"/>
      <c r="AR1572" s="1783"/>
      <c r="AS1572" s="1783"/>
      <c r="AT1572" s="1783"/>
      <c r="AU1572" s="1783"/>
      <c r="AV1572" s="1783"/>
      <c r="AW1572" s="1783"/>
      <c r="AX1572" s="1783"/>
      <c r="AY1572" s="1783"/>
      <c r="AZ1572" s="1783"/>
      <c r="BA1572" s="1783"/>
      <c r="BB1572" s="1783"/>
      <c r="BC1572" s="1783"/>
      <c r="BD1572" s="1783"/>
      <c r="BE1572" s="1783"/>
      <c r="BF1572" s="1783"/>
      <c r="BG1572" s="1783"/>
      <c r="BH1572" s="1783"/>
      <c r="BI1572" s="1783"/>
    </row>
    <row r="1573" spans="1:61">
      <c r="A1573" s="1819"/>
      <c r="B1573" s="1818"/>
      <c r="C1573" s="1818"/>
      <c r="D1573" s="1818"/>
      <c r="E1573" s="1818"/>
      <c r="F1573" s="1818"/>
      <c r="G1573" s="1818"/>
      <c r="H1573" s="1783"/>
      <c r="I1573" s="1783"/>
      <c r="J1573" s="1783"/>
      <c r="K1573" s="1783"/>
      <c r="L1573" s="1783"/>
      <c r="M1573" s="1783"/>
      <c r="N1573" s="1783"/>
      <c r="O1573" s="1783"/>
      <c r="P1573" s="1783"/>
      <c r="Q1573" s="1783"/>
      <c r="R1573" s="1783"/>
      <c r="S1573" s="1783"/>
      <c r="T1573" s="1783"/>
      <c r="U1573" s="1783"/>
      <c r="V1573" s="1783"/>
      <c r="W1573" s="1783"/>
      <c r="X1573" s="1783"/>
      <c r="Y1573" s="1783"/>
      <c r="Z1573" s="1783"/>
      <c r="AA1573" s="1783"/>
      <c r="AB1573" s="1783"/>
      <c r="AC1573" s="1783"/>
      <c r="AD1573" s="1783"/>
      <c r="AE1573" s="1783"/>
      <c r="AF1573" s="1783"/>
      <c r="AG1573" s="1783"/>
      <c r="AH1573" s="1783"/>
      <c r="AI1573" s="1783"/>
      <c r="AJ1573" s="1783"/>
      <c r="AK1573" s="1783"/>
      <c r="AL1573" s="1783"/>
      <c r="AM1573" s="1783"/>
      <c r="AN1573" s="1783"/>
      <c r="AO1573" s="1783"/>
      <c r="AP1573" s="1783"/>
      <c r="AQ1573" s="1783"/>
      <c r="AR1573" s="1783"/>
      <c r="AS1573" s="1783"/>
      <c r="AT1573" s="1783"/>
      <c r="AU1573" s="1783"/>
      <c r="AV1573" s="1783"/>
      <c r="AW1573" s="1783"/>
      <c r="AX1573" s="1783"/>
      <c r="AY1573" s="1783"/>
      <c r="AZ1573" s="1783"/>
      <c r="BA1573" s="1783"/>
      <c r="BB1573" s="1783"/>
      <c r="BC1573" s="1783"/>
      <c r="BD1573" s="1783"/>
      <c r="BE1573" s="1783"/>
      <c r="BF1573" s="1783"/>
      <c r="BG1573" s="1783"/>
      <c r="BH1573" s="1783"/>
      <c r="BI1573" s="1783"/>
    </row>
    <row r="1574" spans="1:61">
      <c r="A1574" s="1819"/>
      <c r="B1574" s="1818"/>
      <c r="C1574" s="1818"/>
      <c r="D1574" s="1818"/>
      <c r="E1574" s="1818"/>
      <c r="F1574" s="1818"/>
      <c r="G1574" s="1818"/>
      <c r="H1574" s="1783"/>
      <c r="I1574" s="1783"/>
      <c r="J1574" s="1783"/>
      <c r="K1574" s="1783"/>
      <c r="L1574" s="1783"/>
      <c r="M1574" s="1783"/>
      <c r="N1574" s="1783"/>
      <c r="O1574" s="1783"/>
      <c r="P1574" s="1783"/>
      <c r="Q1574" s="1783"/>
      <c r="R1574" s="1783"/>
      <c r="S1574" s="1783"/>
      <c r="T1574" s="1783"/>
      <c r="U1574" s="1783"/>
      <c r="V1574" s="1783"/>
      <c r="W1574" s="1783"/>
      <c r="X1574" s="1783"/>
      <c r="Y1574" s="1783"/>
      <c r="Z1574" s="1783"/>
      <c r="AA1574" s="1783"/>
      <c r="AB1574" s="1783"/>
      <c r="AC1574" s="1783"/>
      <c r="AD1574" s="1783"/>
      <c r="AE1574" s="1783"/>
      <c r="AF1574" s="1783"/>
      <c r="AG1574" s="1783"/>
      <c r="AH1574" s="1783"/>
      <c r="AI1574" s="1783"/>
      <c r="AJ1574" s="1783"/>
      <c r="AK1574" s="1783"/>
      <c r="AL1574" s="1783"/>
      <c r="AM1574" s="1783"/>
      <c r="AN1574" s="1783"/>
      <c r="AO1574" s="1783"/>
      <c r="AP1574" s="1783"/>
      <c r="AQ1574" s="1783"/>
      <c r="AR1574" s="1783"/>
      <c r="AS1574" s="1783"/>
      <c r="AT1574" s="1783"/>
      <c r="AU1574" s="1783"/>
      <c r="AV1574" s="1783"/>
      <c r="AW1574" s="1783"/>
      <c r="AX1574" s="1783"/>
      <c r="AY1574" s="1783"/>
      <c r="AZ1574" s="1783"/>
      <c r="BA1574" s="1783"/>
      <c r="BB1574" s="1783"/>
      <c r="BC1574" s="1783"/>
      <c r="BD1574" s="1783"/>
      <c r="BE1574" s="1783"/>
      <c r="BF1574" s="1783"/>
      <c r="BG1574" s="1783"/>
      <c r="BH1574" s="1783"/>
      <c r="BI1574" s="1783"/>
    </row>
    <row r="1575" spans="1:61">
      <c r="A1575" s="1819"/>
      <c r="B1575" s="1818"/>
      <c r="C1575" s="1818"/>
      <c r="D1575" s="1818"/>
      <c r="E1575" s="1818"/>
      <c r="F1575" s="1818"/>
      <c r="G1575" s="1818"/>
      <c r="H1575" s="1783"/>
      <c r="I1575" s="1783"/>
      <c r="J1575" s="1783"/>
      <c r="K1575" s="1783"/>
      <c r="L1575" s="1783"/>
      <c r="M1575" s="1783"/>
      <c r="N1575" s="1783"/>
      <c r="O1575" s="1783"/>
      <c r="P1575" s="1783"/>
      <c r="Q1575" s="1783"/>
      <c r="R1575" s="1783"/>
      <c r="S1575" s="1783"/>
      <c r="T1575" s="1783"/>
      <c r="U1575" s="1783"/>
      <c r="V1575" s="1783"/>
      <c r="W1575" s="1783"/>
      <c r="X1575" s="1783"/>
      <c r="Y1575" s="1783"/>
      <c r="Z1575" s="1783"/>
      <c r="AA1575" s="1783"/>
      <c r="AB1575" s="1783"/>
      <c r="AC1575" s="1783"/>
      <c r="AD1575" s="1783"/>
      <c r="AE1575" s="1783"/>
      <c r="AF1575" s="1783"/>
      <c r="AG1575" s="1783"/>
      <c r="AH1575" s="1783"/>
      <c r="AI1575" s="1783"/>
      <c r="AJ1575" s="1783"/>
      <c r="AK1575" s="1783"/>
      <c r="AL1575" s="1783"/>
      <c r="AM1575" s="1783"/>
      <c r="AN1575" s="1783"/>
      <c r="AO1575" s="1783"/>
      <c r="AP1575" s="1783"/>
      <c r="AQ1575" s="1783"/>
      <c r="AR1575" s="1783"/>
      <c r="AS1575" s="1783"/>
      <c r="AT1575" s="1783"/>
      <c r="AU1575" s="1783"/>
      <c r="AV1575" s="1783"/>
      <c r="AW1575" s="1783"/>
      <c r="AX1575" s="1783"/>
      <c r="AY1575" s="1783"/>
      <c r="AZ1575" s="1783"/>
      <c r="BA1575" s="1783"/>
      <c r="BB1575" s="1783"/>
      <c r="BC1575" s="1783"/>
      <c r="BD1575" s="1783"/>
      <c r="BE1575" s="1783"/>
      <c r="BF1575" s="1783"/>
      <c r="BG1575" s="1783"/>
      <c r="BH1575" s="1783"/>
      <c r="BI1575" s="1783"/>
    </row>
  </sheetData>
  <protectedRanges>
    <protectedRange sqref="E12" name="Range2"/>
    <protectedRange sqref="E8:E10" name="Range1"/>
  </protectedRanges>
  <mergeCells count="4">
    <mergeCell ref="B9:B10"/>
    <mergeCell ref="E9:E10"/>
    <mergeCell ref="B12:B16"/>
    <mergeCell ref="E12:E1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651"/>
  <sheetViews>
    <sheetView workbookViewId="0">
      <selection activeCell="C5" sqref="C5"/>
    </sheetView>
  </sheetViews>
  <sheetFormatPr defaultRowHeight="12.75"/>
  <cols>
    <col min="1" max="1" width="3.28515625" customWidth="1"/>
    <col min="2" max="2" width="40.5703125" customWidth="1"/>
    <col min="3" max="6" width="18.7109375" customWidth="1"/>
    <col min="7" max="7" width="4.42578125" customWidth="1"/>
    <col min="8" max="8" width="3.85546875" customWidth="1"/>
  </cols>
  <sheetData>
    <row r="1" spans="1:66" ht="15.75">
      <c r="A1" s="3"/>
      <c r="B1" s="86" t="s">
        <v>622</v>
      </c>
      <c r="C1" s="3"/>
      <c r="D1" s="3"/>
      <c r="E1" s="3"/>
      <c r="F1" s="3"/>
      <c r="G1" s="3"/>
      <c r="H1" s="3"/>
      <c r="I1" s="1783"/>
      <c r="J1" s="1783"/>
      <c r="K1" s="1783"/>
      <c r="L1" s="1783"/>
      <c r="M1" s="1783"/>
      <c r="N1" s="1783"/>
      <c r="O1" s="1783"/>
      <c r="P1" s="1783"/>
      <c r="Q1" s="1783"/>
      <c r="R1" s="1783"/>
      <c r="S1" s="1783"/>
      <c r="T1" s="1783"/>
      <c r="U1" s="1783"/>
      <c r="V1" s="1783"/>
      <c r="W1" s="1783"/>
      <c r="X1" s="1783"/>
      <c r="Y1" s="1783"/>
      <c r="Z1" s="1783"/>
      <c r="AA1" s="1783"/>
      <c r="AB1" s="1783"/>
      <c r="AC1" s="1783"/>
      <c r="AD1" s="1783"/>
      <c r="AE1" s="1783"/>
      <c r="AF1" s="1783"/>
      <c r="AG1" s="1783"/>
      <c r="AH1" s="1783"/>
      <c r="AI1" s="1783"/>
      <c r="AJ1" s="1783"/>
      <c r="AK1" s="1783"/>
      <c r="AL1" s="1783"/>
      <c r="AM1" s="1783"/>
      <c r="AN1" s="1783"/>
      <c r="AO1" s="1783"/>
      <c r="AP1" s="1783"/>
      <c r="AQ1" s="1783"/>
      <c r="AR1" s="1783"/>
      <c r="AS1" s="1783"/>
      <c r="AT1" s="1783"/>
      <c r="AU1" s="1783"/>
      <c r="AV1" s="1783"/>
      <c r="AW1" s="1783"/>
      <c r="AX1" s="1783"/>
      <c r="AY1" s="1783"/>
      <c r="AZ1" s="1783"/>
      <c r="BA1" s="1783"/>
      <c r="BB1" s="1783"/>
      <c r="BC1" s="1783"/>
      <c r="BD1" s="1783"/>
      <c r="BE1" s="1783"/>
      <c r="BF1" s="1783"/>
      <c r="BG1" s="1783"/>
      <c r="BH1" s="1783"/>
      <c r="BI1" s="1783"/>
      <c r="BJ1" s="1783"/>
      <c r="BK1" s="1783"/>
      <c r="BL1" s="1783"/>
      <c r="BM1" s="1783"/>
      <c r="BN1" s="1783"/>
    </row>
    <row r="2" spans="1:66" ht="13.5" thickBot="1">
      <c r="A2" s="3"/>
      <c r="B2" s="3"/>
      <c r="C2" s="3"/>
      <c r="D2" s="3"/>
      <c r="E2" s="3"/>
      <c r="F2" s="3"/>
      <c r="G2" s="3"/>
      <c r="H2" s="3"/>
      <c r="I2" s="1783"/>
      <c r="J2" s="1783"/>
      <c r="K2" s="1783"/>
      <c r="L2" s="1783"/>
      <c r="M2" s="1783"/>
      <c r="N2" s="1783"/>
      <c r="O2" s="1783"/>
      <c r="P2" s="1783"/>
      <c r="Q2" s="1783"/>
      <c r="R2" s="1783"/>
      <c r="S2" s="1783"/>
      <c r="T2" s="1783"/>
      <c r="U2" s="1783"/>
      <c r="V2" s="1783"/>
      <c r="W2" s="1783"/>
      <c r="X2" s="1783"/>
      <c r="Y2" s="1783"/>
      <c r="Z2" s="1783"/>
      <c r="AA2" s="1783"/>
      <c r="AB2" s="1783"/>
      <c r="AC2" s="1783"/>
      <c r="AD2" s="1783"/>
      <c r="AE2" s="1783"/>
      <c r="AF2" s="1783"/>
      <c r="AG2" s="1783"/>
      <c r="AH2" s="1783"/>
      <c r="AI2" s="1783"/>
      <c r="AJ2" s="1783"/>
      <c r="AK2" s="1783"/>
      <c r="AL2" s="1783"/>
      <c r="AM2" s="1783"/>
      <c r="AN2" s="1783"/>
      <c r="AO2" s="1783"/>
      <c r="AP2" s="1783"/>
      <c r="AQ2" s="1783"/>
      <c r="AR2" s="1783"/>
      <c r="AS2" s="1783"/>
      <c r="AT2" s="1783"/>
      <c r="AU2" s="1783"/>
      <c r="AV2" s="1783"/>
      <c r="AW2" s="1783"/>
      <c r="AX2" s="1783"/>
      <c r="AY2" s="1783"/>
      <c r="AZ2" s="1783"/>
      <c r="BA2" s="1783"/>
      <c r="BB2" s="1783"/>
      <c r="BC2" s="1783"/>
      <c r="BD2" s="1783"/>
      <c r="BE2" s="1783"/>
      <c r="BF2" s="1783"/>
      <c r="BG2" s="1783"/>
      <c r="BH2" s="1783"/>
      <c r="BI2" s="1783"/>
      <c r="BJ2" s="1783"/>
      <c r="BK2" s="1783"/>
      <c r="BL2" s="1783"/>
      <c r="BM2" s="1783"/>
      <c r="BN2" s="1783"/>
    </row>
    <row r="3" spans="1:66" ht="13.5" thickBot="1">
      <c r="A3" s="3"/>
      <c r="B3" s="1753" t="s">
        <v>2608</v>
      </c>
      <c r="C3" s="1822"/>
      <c r="D3" s="1823" t="s">
        <v>163</v>
      </c>
      <c r="E3" s="1802" t="str">
        <f>'1 Summary'!$G$2</f>
        <v/>
      </c>
      <c r="F3" s="1824"/>
      <c r="G3" s="3"/>
      <c r="H3" s="1804"/>
      <c r="I3" s="1783"/>
      <c r="J3" s="1783"/>
      <c r="K3" s="1783"/>
      <c r="L3" s="1783"/>
      <c r="M3" s="1783"/>
      <c r="N3" s="1783"/>
      <c r="O3" s="1783"/>
      <c r="P3" s="1783"/>
      <c r="Q3" s="1783"/>
      <c r="R3" s="1783"/>
      <c r="S3" s="1783"/>
      <c r="T3" s="1783"/>
      <c r="U3" s="1783"/>
      <c r="V3" s="1783"/>
      <c r="W3" s="1783"/>
      <c r="X3" s="1783"/>
      <c r="Y3" s="1783"/>
      <c r="Z3" s="1783"/>
      <c r="AA3" s="1783"/>
      <c r="AB3" s="1783"/>
      <c r="AC3" s="1783"/>
      <c r="AD3" s="1783"/>
      <c r="AE3" s="1783"/>
      <c r="AF3" s="1783"/>
      <c r="AG3" s="1783"/>
      <c r="AH3" s="1783"/>
      <c r="AI3" s="1783"/>
      <c r="AJ3" s="1783"/>
      <c r="AK3" s="1783"/>
      <c r="AL3" s="1783"/>
      <c r="AM3" s="1783"/>
      <c r="AN3" s="1783"/>
      <c r="AO3" s="1783"/>
      <c r="AP3" s="1783"/>
      <c r="AQ3" s="1783"/>
      <c r="AR3" s="1783"/>
      <c r="AS3" s="1783"/>
      <c r="AT3" s="1783"/>
      <c r="AU3" s="1783"/>
      <c r="AV3" s="1783"/>
      <c r="AW3" s="1783"/>
      <c r="AX3" s="1783"/>
      <c r="AY3" s="1783"/>
      <c r="AZ3" s="1783"/>
      <c r="BA3" s="1783"/>
      <c r="BB3" s="1783"/>
      <c r="BC3" s="1783"/>
      <c r="BD3" s="1783"/>
      <c r="BE3" s="1783"/>
      <c r="BF3" s="1783"/>
      <c r="BG3" s="1783"/>
      <c r="BH3" s="1783"/>
      <c r="BI3" s="1783"/>
      <c r="BJ3" s="1783"/>
      <c r="BK3" s="1783"/>
      <c r="BL3" s="1783"/>
      <c r="BM3" s="1783"/>
      <c r="BN3" s="1783"/>
    </row>
    <row r="4" spans="1:66" ht="13.5" thickBot="1">
      <c r="A4" s="3"/>
      <c r="B4" s="1753" t="s">
        <v>2609</v>
      </c>
      <c r="C4" s="1825"/>
      <c r="D4" s="1826" t="s">
        <v>653</v>
      </c>
      <c r="E4" s="1805">
        <f>'1 Summary'!G3</f>
        <v>0</v>
      </c>
      <c r="F4" s="67"/>
      <c r="G4" s="3"/>
      <c r="H4" s="15"/>
      <c r="I4" s="1783"/>
      <c r="J4" s="1783"/>
      <c r="K4" s="1783"/>
      <c r="L4" s="1783"/>
      <c r="M4" s="1783"/>
      <c r="N4" s="1783"/>
      <c r="O4" s="1783"/>
      <c r="P4" s="1783"/>
      <c r="Q4" s="1783"/>
      <c r="R4" s="1783"/>
      <c r="S4" s="1783"/>
      <c r="T4" s="1783"/>
      <c r="U4" s="1783"/>
      <c r="V4" s="1783"/>
      <c r="W4" s="1783"/>
      <c r="X4" s="1783"/>
      <c r="Y4" s="1783"/>
      <c r="Z4" s="1783"/>
      <c r="AA4" s="1783"/>
      <c r="AB4" s="1783"/>
      <c r="AC4" s="1783"/>
      <c r="AD4" s="1783"/>
      <c r="AE4" s="1783"/>
      <c r="AF4" s="1783"/>
      <c r="AG4" s="1783"/>
      <c r="AH4" s="1783"/>
      <c r="AI4" s="1783"/>
      <c r="AJ4" s="1783"/>
      <c r="AK4" s="1783"/>
      <c r="AL4" s="1783"/>
      <c r="AM4" s="1783"/>
      <c r="AN4" s="1783"/>
      <c r="AO4" s="1783"/>
      <c r="AP4" s="1783"/>
      <c r="AQ4" s="1783"/>
      <c r="AR4" s="1783"/>
      <c r="AS4" s="1783"/>
      <c r="AT4" s="1783"/>
      <c r="AU4" s="1783"/>
      <c r="AV4" s="1783"/>
      <c r="AW4" s="1783"/>
      <c r="AX4" s="1783"/>
      <c r="AY4" s="1783"/>
      <c r="AZ4" s="1783"/>
      <c r="BA4" s="1783"/>
      <c r="BB4" s="1783"/>
      <c r="BC4" s="1783"/>
      <c r="BD4" s="1783"/>
      <c r="BE4" s="1783"/>
      <c r="BF4" s="1783"/>
      <c r="BG4" s="1783"/>
      <c r="BH4" s="1783"/>
      <c r="BI4" s="1783"/>
      <c r="BJ4" s="1783"/>
      <c r="BK4" s="1783"/>
      <c r="BL4" s="1783"/>
      <c r="BM4" s="1783"/>
      <c r="BN4" s="1783"/>
    </row>
    <row r="5" spans="1:66">
      <c r="A5" s="3"/>
      <c r="B5" s="1827"/>
      <c r="C5" s="1825"/>
      <c r="D5" s="1825"/>
      <c r="E5" s="3"/>
      <c r="F5" s="67"/>
      <c r="G5" s="67"/>
      <c r="H5" s="15"/>
      <c r="I5" s="1783"/>
      <c r="J5" s="1783"/>
      <c r="K5" s="1783"/>
      <c r="L5" s="1783"/>
      <c r="M5" s="1783"/>
      <c r="N5" s="1783"/>
      <c r="O5" s="1783"/>
      <c r="P5" s="1783"/>
      <c r="Q5" s="1783"/>
      <c r="R5" s="1783"/>
      <c r="S5" s="1783"/>
      <c r="T5" s="1783"/>
      <c r="U5" s="1783"/>
      <c r="V5" s="1783"/>
      <c r="W5" s="1783"/>
      <c r="X5" s="1783"/>
      <c r="Y5" s="1783"/>
      <c r="Z5" s="1783"/>
      <c r="AA5" s="1783"/>
      <c r="AB5" s="1783"/>
      <c r="AC5" s="1783"/>
      <c r="AD5" s="1783"/>
      <c r="AE5" s="1783"/>
      <c r="AF5" s="1783"/>
      <c r="AG5" s="1783"/>
      <c r="AH5" s="1783"/>
      <c r="AI5" s="1783"/>
      <c r="AJ5" s="1783"/>
      <c r="AK5" s="1783"/>
      <c r="AL5" s="1783"/>
      <c r="AM5" s="1783"/>
      <c r="AN5" s="1783"/>
      <c r="AO5" s="1783"/>
      <c r="AP5" s="1783"/>
      <c r="AQ5" s="1783"/>
      <c r="AR5" s="1783"/>
      <c r="AS5" s="1783"/>
      <c r="AT5" s="1783"/>
      <c r="AU5" s="1783"/>
      <c r="AV5" s="1783"/>
      <c r="AW5" s="1783"/>
      <c r="AX5" s="1783"/>
      <c r="AY5" s="1783"/>
      <c r="AZ5" s="1783"/>
      <c r="BA5" s="1783"/>
      <c r="BB5" s="1783"/>
      <c r="BC5" s="1783"/>
      <c r="BD5" s="1783"/>
      <c r="BE5" s="1783"/>
      <c r="BF5" s="1783"/>
      <c r="BG5" s="1783"/>
      <c r="BH5" s="1783"/>
      <c r="BI5" s="1783"/>
      <c r="BJ5" s="1783"/>
      <c r="BK5" s="1783"/>
      <c r="BL5" s="1783"/>
      <c r="BM5" s="1783"/>
      <c r="BN5" s="1783"/>
    </row>
    <row r="6" spans="1:66">
      <c r="A6" s="3"/>
      <c r="B6" s="1827" t="s">
        <v>2610</v>
      </c>
      <c r="C6" s="1825"/>
      <c r="D6" s="1825"/>
      <c r="E6" s="3"/>
      <c r="F6" s="67"/>
      <c r="G6" s="67"/>
      <c r="H6" s="15"/>
      <c r="I6" s="1783"/>
      <c r="J6" s="1783"/>
      <c r="K6" s="1783"/>
      <c r="L6" s="1783"/>
      <c r="M6" s="1783"/>
      <c r="N6" s="1783"/>
      <c r="O6" s="1783"/>
      <c r="P6" s="1783"/>
      <c r="Q6" s="1783"/>
      <c r="R6" s="1783"/>
      <c r="S6" s="1783"/>
      <c r="T6" s="1783"/>
      <c r="U6" s="1783"/>
      <c r="V6" s="1783"/>
      <c r="W6" s="1783"/>
      <c r="X6" s="1783"/>
      <c r="Y6" s="1783"/>
      <c r="Z6" s="1783"/>
      <c r="AA6" s="1783"/>
      <c r="AB6" s="1783"/>
      <c r="AC6" s="1783"/>
      <c r="AD6" s="1783"/>
      <c r="AE6" s="1783"/>
      <c r="AF6" s="1783"/>
      <c r="AG6" s="1783"/>
      <c r="AH6" s="1783"/>
      <c r="AI6" s="1783"/>
      <c r="AJ6" s="1783"/>
      <c r="AK6" s="1783"/>
      <c r="AL6" s="1783"/>
      <c r="AM6" s="1783"/>
      <c r="AN6" s="1783"/>
      <c r="AO6" s="1783"/>
      <c r="AP6" s="1783"/>
      <c r="AQ6" s="1783"/>
      <c r="AR6" s="1783"/>
      <c r="AS6" s="1783"/>
      <c r="AT6" s="1783"/>
      <c r="AU6" s="1783"/>
      <c r="AV6" s="1783"/>
      <c r="AW6" s="1783"/>
      <c r="AX6" s="1783"/>
      <c r="AY6" s="1783"/>
      <c r="AZ6" s="1783"/>
      <c r="BA6" s="1783"/>
      <c r="BB6" s="1783"/>
      <c r="BC6" s="1783"/>
      <c r="BD6" s="1783"/>
      <c r="BE6" s="1783"/>
      <c r="BF6" s="1783"/>
      <c r="BG6" s="1783"/>
      <c r="BH6" s="1783"/>
      <c r="BI6" s="1783"/>
      <c r="BJ6" s="1783"/>
      <c r="BK6" s="1783"/>
      <c r="BL6" s="1783"/>
      <c r="BM6" s="1783"/>
      <c r="BN6" s="1783"/>
    </row>
    <row r="7" spans="1:66">
      <c r="A7" s="3"/>
      <c r="B7" s="1828"/>
      <c r="C7" s="1825"/>
      <c r="D7" s="1825"/>
      <c r="E7" s="3"/>
      <c r="F7" s="67"/>
      <c r="G7" s="67"/>
      <c r="H7" s="15"/>
      <c r="I7" s="1783"/>
      <c r="J7" s="1783"/>
      <c r="K7" s="1783"/>
      <c r="L7" s="1783"/>
      <c r="M7" s="1783"/>
      <c r="N7" s="1783"/>
      <c r="O7" s="1783"/>
      <c r="P7" s="1783"/>
      <c r="Q7" s="1783"/>
      <c r="R7" s="1783"/>
      <c r="S7" s="1783"/>
      <c r="T7" s="1783"/>
      <c r="U7" s="1783"/>
      <c r="V7" s="1783"/>
      <c r="W7" s="1783"/>
      <c r="X7" s="1783"/>
      <c r="Y7" s="1783"/>
      <c r="Z7" s="1783"/>
      <c r="AA7" s="1783"/>
      <c r="AB7" s="1783"/>
      <c r="AC7" s="1783"/>
      <c r="AD7" s="1783"/>
      <c r="AE7" s="1783"/>
      <c r="AF7" s="1783"/>
      <c r="AG7" s="1783"/>
      <c r="AH7" s="1783"/>
      <c r="AI7" s="1783"/>
      <c r="AJ7" s="1783"/>
      <c r="AK7" s="1783"/>
      <c r="AL7" s="1783"/>
      <c r="AM7" s="1783"/>
      <c r="AN7" s="1783"/>
      <c r="AO7" s="1783"/>
      <c r="AP7" s="1783"/>
      <c r="AQ7" s="1783"/>
      <c r="AR7" s="1783"/>
      <c r="AS7" s="1783"/>
      <c r="AT7" s="1783"/>
      <c r="AU7" s="1783"/>
      <c r="AV7" s="1783"/>
      <c r="AW7" s="1783"/>
      <c r="AX7" s="1783"/>
      <c r="AY7" s="1783"/>
      <c r="AZ7" s="1783"/>
      <c r="BA7" s="1783"/>
      <c r="BB7" s="1783"/>
      <c r="BC7" s="1783"/>
      <c r="BD7" s="1783"/>
      <c r="BE7" s="1783"/>
      <c r="BF7" s="1783"/>
      <c r="BG7" s="1783"/>
      <c r="BH7" s="1783"/>
      <c r="BI7" s="1783"/>
      <c r="BJ7" s="1783"/>
      <c r="BK7" s="1783"/>
      <c r="BL7" s="1783"/>
      <c r="BM7" s="1783"/>
      <c r="BN7" s="1783"/>
    </row>
    <row r="8" spans="1:66">
      <c r="A8" s="3"/>
      <c r="B8" s="1829" t="s">
        <v>1289</v>
      </c>
      <c r="C8" s="1830"/>
      <c r="D8" s="1830"/>
      <c r="E8" s="30"/>
      <c r="F8" s="157"/>
      <c r="G8" s="67"/>
      <c r="H8" s="15"/>
      <c r="I8" s="1783"/>
      <c r="J8" s="1783"/>
      <c r="K8" s="1783"/>
      <c r="L8" s="1783"/>
      <c r="M8" s="1783"/>
      <c r="N8" s="1783"/>
      <c r="O8" s="1783"/>
      <c r="P8" s="1783"/>
      <c r="Q8" s="1783"/>
      <c r="R8" s="1783"/>
      <c r="S8" s="1783"/>
      <c r="T8" s="1783"/>
      <c r="U8" s="1783"/>
      <c r="V8" s="1783"/>
      <c r="W8" s="1783"/>
      <c r="X8" s="1783"/>
      <c r="Y8" s="1783"/>
      <c r="Z8" s="1783"/>
      <c r="AA8" s="1783"/>
      <c r="AB8" s="1783"/>
      <c r="AC8" s="1783"/>
      <c r="AD8" s="1783"/>
      <c r="AE8" s="1783"/>
      <c r="AF8" s="1783"/>
      <c r="AG8" s="1783"/>
      <c r="AH8" s="1783"/>
      <c r="AI8" s="1783"/>
      <c r="AJ8" s="1783"/>
      <c r="AK8" s="1783"/>
      <c r="AL8" s="1783"/>
      <c r="AM8" s="1783"/>
      <c r="AN8" s="1783"/>
      <c r="AO8" s="1783"/>
      <c r="AP8" s="1783"/>
      <c r="AQ8" s="1783"/>
      <c r="AR8" s="1783"/>
      <c r="AS8" s="1783"/>
      <c r="AT8" s="1783"/>
      <c r="AU8" s="1783"/>
      <c r="AV8" s="1783"/>
      <c r="AW8" s="1783"/>
      <c r="AX8" s="1783"/>
      <c r="AY8" s="1783"/>
      <c r="AZ8" s="1783"/>
      <c r="BA8" s="1783"/>
      <c r="BB8" s="1783"/>
      <c r="BC8" s="1783"/>
      <c r="BD8" s="1783"/>
      <c r="BE8" s="1783"/>
      <c r="BF8" s="1783"/>
      <c r="BG8" s="1783"/>
      <c r="BH8" s="1783"/>
      <c r="BI8" s="1783"/>
      <c r="BJ8" s="1783"/>
      <c r="BK8" s="1783"/>
      <c r="BL8" s="1783"/>
      <c r="BM8" s="1783"/>
      <c r="BN8" s="1783"/>
    </row>
    <row r="9" spans="1:66">
      <c r="A9" s="3"/>
      <c r="B9" s="1831" t="s">
        <v>2611</v>
      </c>
      <c r="C9" s="1832" t="s">
        <v>2612</v>
      </c>
      <c r="D9" s="1832" t="s">
        <v>543</v>
      </c>
      <c r="E9" s="1832" t="s">
        <v>2613</v>
      </c>
      <c r="F9" s="1832" t="s">
        <v>1001</v>
      </c>
      <c r="G9" s="67"/>
      <c r="H9" s="15"/>
      <c r="I9" s="1783"/>
      <c r="J9" s="1783"/>
      <c r="K9" s="1783"/>
      <c r="L9" s="1783"/>
      <c r="M9" s="1783"/>
      <c r="N9" s="1783"/>
      <c r="O9" s="1783"/>
      <c r="P9" s="1783"/>
      <c r="Q9" s="1783"/>
      <c r="R9" s="1783"/>
      <c r="S9" s="1783"/>
      <c r="T9" s="1783"/>
      <c r="U9" s="1783"/>
      <c r="V9" s="1783"/>
      <c r="W9" s="1783"/>
      <c r="X9" s="1783"/>
      <c r="Y9" s="1783"/>
      <c r="Z9" s="1783"/>
      <c r="AA9" s="1783"/>
      <c r="AB9" s="1783"/>
      <c r="AC9" s="1783"/>
      <c r="AD9" s="1783"/>
      <c r="AE9" s="1783"/>
      <c r="AF9" s="1783"/>
      <c r="AG9" s="1783"/>
      <c r="AH9" s="1783"/>
      <c r="AI9" s="1783"/>
      <c r="AJ9" s="1783"/>
      <c r="AK9" s="1783"/>
      <c r="AL9" s="1783"/>
      <c r="AM9" s="1783"/>
      <c r="AN9" s="1783"/>
      <c r="AO9" s="1783"/>
      <c r="AP9" s="1783"/>
      <c r="AQ9" s="1783"/>
      <c r="AR9" s="1783"/>
      <c r="AS9" s="1783"/>
      <c r="AT9" s="1783"/>
      <c r="AU9" s="1783"/>
      <c r="AV9" s="1783"/>
      <c r="AW9" s="1783"/>
      <c r="AX9" s="1783"/>
      <c r="AY9" s="1783"/>
      <c r="AZ9" s="1783"/>
      <c r="BA9" s="1783"/>
      <c r="BB9" s="1783"/>
      <c r="BC9" s="1783"/>
      <c r="BD9" s="1783"/>
      <c r="BE9" s="1783"/>
      <c r="BF9" s="1783"/>
      <c r="BG9" s="1783"/>
      <c r="BH9" s="1783"/>
      <c r="BI9" s="1783"/>
      <c r="BJ9" s="1783"/>
      <c r="BK9" s="1783"/>
      <c r="BL9" s="1783"/>
      <c r="BM9" s="1783"/>
      <c r="BN9" s="1783"/>
    </row>
    <row r="10" spans="1:66">
      <c r="A10" s="3"/>
      <c r="B10" s="171"/>
      <c r="C10" s="1833" t="s">
        <v>1286</v>
      </c>
      <c r="D10" s="1833" t="s">
        <v>1287</v>
      </c>
      <c r="E10" s="1833" t="s">
        <v>1288</v>
      </c>
      <c r="F10" s="1833" t="s">
        <v>842</v>
      </c>
      <c r="G10" s="67"/>
      <c r="H10" s="15"/>
      <c r="I10" s="1783"/>
      <c r="J10" s="1783"/>
      <c r="K10" s="1783"/>
      <c r="L10" s="1783"/>
      <c r="M10" s="1783"/>
      <c r="N10" s="1783"/>
      <c r="O10" s="1783"/>
      <c r="P10" s="1783"/>
      <c r="Q10" s="1783"/>
      <c r="R10" s="1783"/>
      <c r="S10" s="1783"/>
      <c r="T10" s="1783"/>
      <c r="U10" s="1783"/>
      <c r="V10" s="1783"/>
      <c r="W10" s="1783"/>
      <c r="X10" s="1783"/>
      <c r="Y10" s="1783"/>
      <c r="Z10" s="1783"/>
      <c r="AA10" s="1783"/>
      <c r="AB10" s="1783"/>
      <c r="AC10" s="1783"/>
      <c r="AD10" s="1783"/>
      <c r="AE10" s="1783"/>
      <c r="AF10" s="1783"/>
      <c r="AG10" s="1783"/>
      <c r="AH10" s="1783"/>
      <c r="AI10" s="1783"/>
      <c r="AJ10" s="1783"/>
      <c r="AK10" s="1783"/>
      <c r="AL10" s="1783"/>
      <c r="AM10" s="1783"/>
      <c r="AN10" s="1783"/>
      <c r="AO10" s="1783"/>
      <c r="AP10" s="1783"/>
      <c r="AQ10" s="1783"/>
      <c r="AR10" s="1783"/>
      <c r="AS10" s="1783"/>
      <c r="AT10" s="1783"/>
      <c r="AU10" s="1783"/>
      <c r="AV10" s="1783"/>
      <c r="AW10" s="1783"/>
      <c r="AX10" s="1783"/>
      <c r="AY10" s="1783"/>
      <c r="AZ10" s="1783"/>
      <c r="BA10" s="1783"/>
      <c r="BB10" s="1783"/>
      <c r="BC10" s="1783"/>
      <c r="BD10" s="1783"/>
      <c r="BE10" s="1783"/>
      <c r="BF10" s="1783"/>
      <c r="BG10" s="1783"/>
      <c r="BH10" s="1783"/>
      <c r="BI10" s="1783"/>
      <c r="BJ10" s="1783"/>
      <c r="BK10" s="1783"/>
      <c r="BL10" s="1783"/>
      <c r="BM10" s="1783"/>
      <c r="BN10" s="1783"/>
    </row>
    <row r="11" spans="1:66">
      <c r="A11" s="3"/>
      <c r="B11" s="1834" t="s">
        <v>2614</v>
      </c>
      <c r="C11" s="1835"/>
      <c r="D11" s="1835"/>
      <c r="E11" s="1835"/>
      <c r="F11" s="1836">
        <f>SUM(C11:E11)</f>
        <v>0</v>
      </c>
      <c r="G11" s="67"/>
      <c r="H11" s="15"/>
      <c r="I11" s="1783"/>
      <c r="J11" s="1783"/>
      <c r="K11" s="1783"/>
      <c r="L11" s="1783"/>
      <c r="M11" s="1783"/>
      <c r="N11" s="1783"/>
      <c r="O11" s="1783"/>
      <c r="P11" s="1783"/>
      <c r="Q11" s="1783"/>
      <c r="R11" s="1783"/>
      <c r="S11" s="1783"/>
      <c r="T11" s="1783"/>
      <c r="U11" s="1783"/>
      <c r="V11" s="1783"/>
      <c r="W11" s="1783"/>
      <c r="X11" s="1783"/>
      <c r="Y11" s="1783"/>
      <c r="Z11" s="1783"/>
      <c r="AA11" s="1783"/>
      <c r="AB11" s="1783"/>
      <c r="AC11" s="1783"/>
      <c r="AD11" s="1783"/>
      <c r="AE11" s="1783"/>
      <c r="AF11" s="1783"/>
      <c r="AG11" s="1783"/>
      <c r="AH11" s="1783"/>
      <c r="AI11" s="1783"/>
      <c r="AJ11" s="1783"/>
      <c r="AK11" s="1783"/>
      <c r="AL11" s="1783"/>
      <c r="AM11" s="1783"/>
      <c r="AN11" s="1783"/>
      <c r="AO11" s="1783"/>
      <c r="AP11" s="1783"/>
      <c r="AQ11" s="1783"/>
      <c r="AR11" s="1783"/>
      <c r="AS11" s="1783"/>
      <c r="AT11" s="1783"/>
      <c r="AU11" s="1783"/>
      <c r="AV11" s="1783"/>
      <c r="AW11" s="1783"/>
      <c r="AX11" s="1783"/>
      <c r="AY11" s="1783"/>
      <c r="AZ11" s="1783"/>
      <c r="BA11" s="1783"/>
      <c r="BB11" s="1783"/>
      <c r="BC11" s="1783"/>
      <c r="BD11" s="1783"/>
      <c r="BE11" s="1783"/>
      <c r="BF11" s="1783"/>
      <c r="BG11" s="1783"/>
      <c r="BH11" s="1783"/>
      <c r="BI11" s="1783"/>
      <c r="BJ11" s="1783"/>
      <c r="BK11" s="1783"/>
      <c r="BL11" s="1783"/>
      <c r="BM11" s="1783"/>
      <c r="BN11" s="1783"/>
    </row>
    <row r="12" spans="1:66">
      <c r="A12" s="3"/>
      <c r="B12" s="1834" t="s">
        <v>2615</v>
      </c>
      <c r="C12" s="1835"/>
      <c r="D12" s="1835"/>
      <c r="E12" s="1835"/>
      <c r="F12" s="1836">
        <f>SUM(C12:E12)</f>
        <v>0</v>
      </c>
      <c r="G12" s="67"/>
      <c r="H12" s="15"/>
      <c r="I12" s="1783"/>
      <c r="J12" s="1783"/>
      <c r="K12" s="1783"/>
      <c r="L12" s="1783"/>
      <c r="M12" s="1783"/>
      <c r="N12" s="1783"/>
      <c r="O12" s="1783"/>
      <c r="P12" s="1783"/>
      <c r="Q12" s="1783"/>
      <c r="R12" s="1783"/>
      <c r="S12" s="1783"/>
      <c r="T12" s="1783"/>
      <c r="U12" s="1783"/>
      <c r="V12" s="1783"/>
      <c r="W12" s="1783"/>
      <c r="X12" s="1783"/>
      <c r="Y12" s="1783"/>
      <c r="Z12" s="1783"/>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row>
    <row r="13" spans="1:66">
      <c r="A13" s="3"/>
      <c r="B13" s="1834" t="s">
        <v>2616</v>
      </c>
      <c r="C13" s="1836">
        <f>SUM(C11:C12)</f>
        <v>0</v>
      </c>
      <c r="D13" s="1836">
        <f>SUM(D11:D12)</f>
        <v>0</v>
      </c>
      <c r="E13" s="1836">
        <f>SUM(E11:E12)</f>
        <v>0</v>
      </c>
      <c r="F13" s="1836">
        <f>SUM(F11:F12)</f>
        <v>0</v>
      </c>
      <c r="G13" s="67"/>
      <c r="H13" s="15"/>
      <c r="I13" s="1783"/>
      <c r="J13" s="1783"/>
      <c r="K13" s="1783"/>
      <c r="L13" s="1783"/>
      <c r="M13" s="1783"/>
      <c r="N13" s="1783"/>
      <c r="O13" s="1783"/>
      <c r="P13" s="1783"/>
      <c r="Q13" s="1783"/>
      <c r="R13" s="1783"/>
      <c r="S13" s="1783"/>
      <c r="T13" s="1783"/>
      <c r="U13" s="1783"/>
      <c r="V13" s="1783"/>
      <c r="W13" s="1783"/>
      <c r="X13" s="1783"/>
      <c r="Y13" s="1783"/>
      <c r="Z13" s="1783"/>
      <c r="AA13" s="1783"/>
      <c r="AB13" s="1783"/>
      <c r="AC13" s="1783"/>
      <c r="AD13" s="1783"/>
      <c r="AE13" s="1783"/>
      <c r="AF13" s="1783"/>
      <c r="AG13" s="1783"/>
      <c r="AH13" s="1783"/>
      <c r="AI13" s="1783"/>
      <c r="AJ13" s="1783"/>
      <c r="AK13" s="1783"/>
      <c r="AL13" s="1783"/>
      <c r="AM13" s="1783"/>
      <c r="AN13" s="1783"/>
      <c r="AO13" s="1783"/>
      <c r="AP13" s="1783"/>
      <c r="AQ13" s="1783"/>
      <c r="AR13" s="1783"/>
      <c r="AS13" s="1783"/>
      <c r="AT13" s="1783"/>
      <c r="AU13" s="1783"/>
      <c r="AV13" s="1783"/>
      <c r="AW13" s="1783"/>
      <c r="AX13" s="1783"/>
      <c r="AY13" s="1783"/>
      <c r="AZ13" s="1783"/>
      <c r="BA13" s="1783"/>
      <c r="BB13" s="1783"/>
      <c r="BC13" s="1783"/>
      <c r="BD13" s="1783"/>
      <c r="BE13" s="1783"/>
      <c r="BF13" s="1783"/>
      <c r="BG13" s="1783"/>
      <c r="BH13" s="1783"/>
      <c r="BI13" s="1783"/>
      <c r="BJ13" s="1783"/>
      <c r="BK13" s="1783"/>
      <c r="BL13" s="1783"/>
      <c r="BM13" s="1783"/>
      <c r="BN13" s="1783"/>
    </row>
    <row r="14" spans="1:66">
      <c r="A14" s="3"/>
      <c r="B14" s="171"/>
      <c r="C14" s="1837"/>
      <c r="D14" s="1837"/>
      <c r="E14" s="1837"/>
      <c r="F14" s="1837"/>
      <c r="G14" s="67"/>
      <c r="H14" s="15"/>
      <c r="I14" s="1783"/>
      <c r="J14" s="1783"/>
      <c r="K14" s="1783"/>
      <c r="L14" s="1783"/>
      <c r="M14" s="1783"/>
      <c r="N14" s="1783"/>
      <c r="O14" s="1783"/>
      <c r="P14" s="1783"/>
      <c r="Q14" s="1783"/>
      <c r="R14" s="1783"/>
      <c r="S14" s="1783"/>
      <c r="T14" s="1783"/>
      <c r="U14" s="1783"/>
      <c r="V14" s="1783"/>
      <c r="W14" s="1783"/>
      <c r="X14" s="1783"/>
      <c r="Y14" s="1783"/>
      <c r="Z14" s="1783"/>
      <c r="AA14" s="1783"/>
      <c r="AB14" s="1783"/>
      <c r="AC14" s="1783"/>
      <c r="AD14" s="1783"/>
      <c r="AE14" s="1783"/>
      <c r="AF14" s="1783"/>
      <c r="AG14" s="1783"/>
      <c r="AH14" s="1783"/>
      <c r="AI14" s="1783"/>
      <c r="AJ14" s="1783"/>
      <c r="AK14" s="1783"/>
      <c r="AL14" s="1783"/>
      <c r="AM14" s="1783"/>
      <c r="AN14" s="1783"/>
      <c r="AO14" s="1783"/>
      <c r="AP14" s="1783"/>
      <c r="AQ14" s="1783"/>
      <c r="AR14" s="1783"/>
      <c r="AS14" s="1783"/>
      <c r="AT14" s="1783"/>
      <c r="AU14" s="1783"/>
      <c r="AV14" s="1783"/>
      <c r="AW14" s="1783"/>
      <c r="AX14" s="1783"/>
      <c r="AY14" s="1783"/>
      <c r="AZ14" s="1783"/>
      <c r="BA14" s="1783"/>
      <c r="BB14" s="1783"/>
      <c r="BC14" s="1783"/>
      <c r="BD14" s="1783"/>
      <c r="BE14" s="1783"/>
      <c r="BF14" s="1783"/>
      <c r="BG14" s="1783"/>
      <c r="BH14" s="1783"/>
      <c r="BI14" s="1783"/>
      <c r="BJ14" s="1783"/>
      <c r="BK14" s="1783"/>
      <c r="BL14" s="1783"/>
      <c r="BM14" s="1783"/>
      <c r="BN14" s="1783"/>
    </row>
    <row r="15" spans="1:66">
      <c r="A15" s="3"/>
      <c r="B15" s="1834" t="s">
        <v>2617</v>
      </c>
      <c r="C15" s="1835"/>
      <c r="D15" s="1835"/>
      <c r="E15" s="1835"/>
      <c r="F15" s="1836">
        <f>SUM(C15:E15)</f>
        <v>0</v>
      </c>
      <c r="G15" s="67"/>
      <c r="H15" s="15"/>
      <c r="I15" s="1783"/>
      <c r="J15" s="1783"/>
      <c r="K15" s="1783"/>
      <c r="L15" s="1783"/>
      <c r="M15" s="1783"/>
      <c r="N15" s="1783"/>
      <c r="O15" s="1783"/>
      <c r="P15" s="1783"/>
      <c r="Q15" s="1783"/>
      <c r="R15" s="1783"/>
      <c r="S15" s="1783"/>
      <c r="T15" s="1783"/>
      <c r="U15" s="1783"/>
      <c r="V15" s="1783"/>
      <c r="W15" s="1783"/>
      <c r="X15" s="1783"/>
      <c r="Y15" s="1783"/>
      <c r="Z15" s="1783"/>
      <c r="AA15" s="1783"/>
      <c r="AB15" s="1783"/>
      <c r="AC15" s="1783"/>
      <c r="AD15" s="1783"/>
      <c r="AE15" s="1783"/>
      <c r="AF15" s="1783"/>
      <c r="AG15" s="1783"/>
      <c r="AH15" s="1783"/>
      <c r="AI15" s="1783"/>
      <c r="AJ15" s="1783"/>
      <c r="AK15" s="1783"/>
      <c r="AL15" s="1783"/>
      <c r="AM15" s="1783"/>
      <c r="AN15" s="1783"/>
      <c r="AO15" s="1783"/>
      <c r="AP15" s="1783"/>
      <c r="AQ15" s="1783"/>
      <c r="AR15" s="1783"/>
      <c r="AS15" s="1783"/>
      <c r="AT15" s="1783"/>
      <c r="AU15" s="1783"/>
      <c r="AV15" s="1783"/>
      <c r="AW15" s="1783"/>
      <c r="AX15" s="1783"/>
      <c r="AY15" s="1783"/>
      <c r="AZ15" s="1783"/>
      <c r="BA15" s="1783"/>
      <c r="BB15" s="1783"/>
      <c r="BC15" s="1783"/>
      <c r="BD15" s="1783"/>
      <c r="BE15" s="1783"/>
      <c r="BF15" s="1783"/>
      <c r="BG15" s="1783"/>
      <c r="BH15" s="1783"/>
      <c r="BI15" s="1783"/>
      <c r="BJ15" s="1783"/>
      <c r="BK15" s="1783"/>
      <c r="BL15" s="1783"/>
      <c r="BM15" s="1783"/>
      <c r="BN15" s="1783"/>
    </row>
    <row r="16" spans="1:66">
      <c r="A16" s="3"/>
      <c r="B16" s="1834" t="s">
        <v>2618</v>
      </c>
      <c r="C16" s="1835"/>
      <c r="D16" s="1835"/>
      <c r="E16" s="1835"/>
      <c r="F16" s="1836">
        <f>SUM(C16:E16)</f>
        <v>0</v>
      </c>
      <c r="G16" s="67"/>
      <c r="H16" s="15"/>
      <c r="I16" s="1783"/>
      <c r="J16" s="1783"/>
      <c r="K16" s="1783"/>
      <c r="L16" s="1783"/>
      <c r="M16" s="1783"/>
      <c r="N16" s="1783"/>
      <c r="O16" s="1783"/>
      <c r="P16" s="1783"/>
      <c r="Q16" s="1783"/>
      <c r="R16" s="1783"/>
      <c r="S16" s="1783"/>
      <c r="T16" s="1783"/>
      <c r="U16" s="1783"/>
      <c r="V16" s="1783"/>
      <c r="W16" s="1783"/>
      <c r="X16" s="1783"/>
      <c r="Y16" s="1783"/>
      <c r="Z16" s="1783"/>
      <c r="AA16" s="1783"/>
      <c r="AB16" s="1783"/>
      <c r="AC16" s="1783"/>
      <c r="AD16" s="1783"/>
      <c r="AE16" s="1783"/>
      <c r="AF16" s="1783"/>
      <c r="AG16" s="1783"/>
      <c r="AH16" s="1783"/>
      <c r="AI16" s="1783"/>
      <c r="AJ16" s="1783"/>
      <c r="AK16" s="1783"/>
      <c r="AL16" s="1783"/>
      <c r="AM16" s="1783"/>
      <c r="AN16" s="1783"/>
      <c r="AO16" s="1783"/>
      <c r="AP16" s="1783"/>
      <c r="AQ16" s="1783"/>
      <c r="AR16" s="1783"/>
      <c r="AS16" s="1783"/>
      <c r="AT16" s="1783"/>
      <c r="AU16" s="1783"/>
      <c r="AV16" s="1783"/>
      <c r="AW16" s="1783"/>
      <c r="AX16" s="1783"/>
      <c r="AY16" s="1783"/>
      <c r="AZ16" s="1783"/>
      <c r="BA16" s="1783"/>
      <c r="BB16" s="1783"/>
      <c r="BC16" s="1783"/>
      <c r="BD16" s="1783"/>
      <c r="BE16" s="1783"/>
      <c r="BF16" s="1783"/>
      <c r="BG16" s="1783"/>
      <c r="BH16" s="1783"/>
      <c r="BI16" s="1783"/>
      <c r="BJ16" s="1783"/>
      <c r="BK16" s="1783"/>
      <c r="BL16" s="1783"/>
      <c r="BM16" s="1783"/>
      <c r="BN16" s="1783"/>
    </row>
    <row r="17" spans="1:66">
      <c r="A17" s="3"/>
      <c r="B17" s="1834" t="s">
        <v>2619</v>
      </c>
      <c r="C17" s="1836">
        <f>SUM(C15:C16)</f>
        <v>0</v>
      </c>
      <c r="D17" s="1836">
        <f>SUM(D15:D16)</f>
        <v>0</v>
      </c>
      <c r="E17" s="1836">
        <f>SUM(E15:E16)</f>
        <v>0</v>
      </c>
      <c r="F17" s="1836">
        <f>SUM(F15:F16)</f>
        <v>0</v>
      </c>
      <c r="G17" s="67"/>
      <c r="H17" s="15"/>
      <c r="I17" s="1783"/>
      <c r="J17" s="1783"/>
      <c r="K17" s="1783"/>
      <c r="L17" s="1783"/>
      <c r="M17" s="1783"/>
      <c r="N17" s="1783"/>
      <c r="O17" s="1783"/>
      <c r="P17" s="1783"/>
      <c r="Q17" s="1783"/>
      <c r="R17" s="1783"/>
      <c r="S17" s="1783"/>
      <c r="T17" s="1783"/>
      <c r="U17" s="1783"/>
      <c r="V17" s="1783"/>
      <c r="W17" s="1783"/>
      <c r="X17" s="1783"/>
      <c r="Y17" s="1783"/>
      <c r="Z17" s="1783"/>
      <c r="AA17" s="1783"/>
      <c r="AB17" s="1783"/>
      <c r="AC17" s="1783"/>
      <c r="AD17" s="1783"/>
      <c r="AE17" s="1783"/>
      <c r="AF17" s="1783"/>
      <c r="AG17" s="1783"/>
      <c r="AH17" s="1783"/>
      <c r="AI17" s="1783"/>
      <c r="AJ17" s="1783"/>
      <c r="AK17" s="1783"/>
      <c r="AL17" s="1783"/>
      <c r="AM17" s="1783"/>
      <c r="AN17" s="1783"/>
      <c r="AO17" s="1783"/>
      <c r="AP17" s="1783"/>
      <c r="AQ17" s="1783"/>
      <c r="AR17" s="1783"/>
      <c r="AS17" s="1783"/>
      <c r="AT17" s="1783"/>
      <c r="AU17" s="1783"/>
      <c r="AV17" s="1783"/>
      <c r="AW17" s="1783"/>
      <c r="AX17" s="1783"/>
      <c r="AY17" s="1783"/>
      <c r="AZ17" s="1783"/>
      <c r="BA17" s="1783"/>
      <c r="BB17" s="1783"/>
      <c r="BC17" s="1783"/>
      <c r="BD17" s="1783"/>
      <c r="BE17" s="1783"/>
      <c r="BF17" s="1783"/>
      <c r="BG17" s="1783"/>
      <c r="BH17" s="1783"/>
      <c r="BI17" s="1783"/>
      <c r="BJ17" s="1783"/>
      <c r="BK17" s="1783"/>
      <c r="BL17" s="1783"/>
      <c r="BM17" s="1783"/>
      <c r="BN17" s="1783"/>
    </row>
    <row r="18" spans="1:66">
      <c r="A18" s="3"/>
      <c r="B18" s="171"/>
      <c r="C18" s="1837"/>
      <c r="D18" s="1837"/>
      <c r="E18" s="1837"/>
      <c r="F18" s="1837"/>
      <c r="G18" s="67"/>
      <c r="H18" s="15"/>
      <c r="I18" s="1783"/>
      <c r="J18" s="1783"/>
      <c r="K18" s="1783"/>
      <c r="L18" s="1783"/>
      <c r="M18" s="1783"/>
      <c r="N18" s="1783"/>
      <c r="O18" s="1783"/>
      <c r="P18" s="1783"/>
      <c r="Q18" s="1783"/>
      <c r="R18" s="1783"/>
      <c r="S18" s="1783"/>
      <c r="T18" s="1783"/>
      <c r="U18" s="1783"/>
      <c r="V18" s="1783"/>
      <c r="W18" s="1783"/>
      <c r="X18" s="1783"/>
      <c r="Y18" s="1783"/>
      <c r="Z18" s="1783"/>
      <c r="AA18" s="1783"/>
      <c r="AB18" s="1783"/>
      <c r="AC18" s="1783"/>
      <c r="AD18" s="1783"/>
      <c r="AE18" s="1783"/>
      <c r="AF18" s="1783"/>
      <c r="AG18" s="1783"/>
      <c r="AH18" s="1783"/>
      <c r="AI18" s="1783"/>
      <c r="AJ18" s="1783"/>
      <c r="AK18" s="1783"/>
      <c r="AL18" s="1783"/>
      <c r="AM18" s="1783"/>
      <c r="AN18" s="1783"/>
      <c r="AO18" s="1783"/>
      <c r="AP18" s="1783"/>
      <c r="AQ18" s="1783"/>
      <c r="AR18" s="1783"/>
      <c r="AS18" s="1783"/>
      <c r="AT18" s="1783"/>
      <c r="AU18" s="1783"/>
      <c r="AV18" s="1783"/>
      <c r="AW18" s="1783"/>
      <c r="AX18" s="1783"/>
      <c r="AY18" s="1783"/>
      <c r="AZ18" s="1783"/>
      <c r="BA18" s="1783"/>
      <c r="BB18" s="1783"/>
      <c r="BC18" s="1783"/>
      <c r="BD18" s="1783"/>
      <c r="BE18" s="1783"/>
      <c r="BF18" s="1783"/>
      <c r="BG18" s="1783"/>
      <c r="BH18" s="1783"/>
      <c r="BI18" s="1783"/>
      <c r="BJ18" s="1783"/>
      <c r="BK18" s="1783"/>
      <c r="BL18" s="1783"/>
      <c r="BM18" s="1783"/>
      <c r="BN18" s="1783"/>
    </row>
    <row r="19" spans="1:66">
      <c r="A19" s="3"/>
      <c r="B19" s="1834" t="s">
        <v>2620</v>
      </c>
      <c r="C19" s="1836">
        <f>+C17+C13</f>
        <v>0</v>
      </c>
      <c r="D19" s="1836">
        <f>+D17+D13</f>
        <v>0</v>
      </c>
      <c r="E19" s="1836">
        <f>+E17+E13</f>
        <v>0</v>
      </c>
      <c r="F19" s="1836">
        <f>+F17+F13</f>
        <v>0</v>
      </c>
      <c r="G19" s="67"/>
      <c r="H19" s="15"/>
      <c r="I19" s="1783"/>
      <c r="J19" s="1783"/>
      <c r="K19" s="1783"/>
      <c r="L19" s="1783"/>
      <c r="M19" s="1783"/>
      <c r="N19" s="1783"/>
      <c r="O19" s="1783"/>
      <c r="P19" s="1783"/>
      <c r="Q19" s="1783"/>
      <c r="R19" s="1783"/>
      <c r="S19" s="1783"/>
      <c r="T19" s="1783"/>
      <c r="U19" s="1783"/>
      <c r="V19" s="1783"/>
      <c r="W19" s="1783"/>
      <c r="X19" s="1783"/>
      <c r="Y19" s="1783"/>
      <c r="Z19" s="1783"/>
      <c r="AA19" s="1783"/>
      <c r="AB19" s="1783"/>
      <c r="AC19" s="1783"/>
      <c r="AD19" s="1783"/>
      <c r="AE19" s="1783"/>
      <c r="AF19" s="1783"/>
      <c r="AG19" s="1783"/>
      <c r="AH19" s="1783"/>
      <c r="AI19" s="1783"/>
      <c r="AJ19" s="1783"/>
      <c r="AK19" s="1783"/>
      <c r="AL19" s="1783"/>
      <c r="AM19" s="1783"/>
      <c r="AN19" s="1783"/>
      <c r="AO19" s="1783"/>
      <c r="AP19" s="1783"/>
      <c r="AQ19" s="1783"/>
      <c r="AR19" s="1783"/>
      <c r="AS19" s="1783"/>
      <c r="AT19" s="1783"/>
      <c r="AU19" s="1783"/>
      <c r="AV19" s="1783"/>
      <c r="AW19" s="1783"/>
      <c r="AX19" s="1783"/>
      <c r="AY19" s="1783"/>
      <c r="AZ19" s="1783"/>
      <c r="BA19" s="1783"/>
      <c r="BB19" s="1783"/>
      <c r="BC19" s="1783"/>
      <c r="BD19" s="1783"/>
      <c r="BE19" s="1783"/>
      <c r="BF19" s="1783"/>
      <c r="BG19" s="1783"/>
      <c r="BH19" s="1783"/>
      <c r="BI19" s="1783"/>
      <c r="BJ19" s="1783"/>
      <c r="BK19" s="1783"/>
      <c r="BL19" s="1783"/>
      <c r="BM19" s="1783"/>
      <c r="BN19" s="1783"/>
    </row>
    <row r="20" spans="1:66">
      <c r="A20" s="3"/>
      <c r="B20" s="1838"/>
      <c r="C20" s="1839"/>
      <c r="D20" s="1839"/>
      <c r="E20" s="1839"/>
      <c r="F20" s="1839"/>
      <c r="G20" s="67"/>
      <c r="H20" s="15"/>
      <c r="I20" s="1783"/>
      <c r="J20" s="1783"/>
      <c r="K20" s="1783"/>
      <c r="L20" s="1783"/>
      <c r="M20" s="1783"/>
      <c r="N20" s="1783"/>
      <c r="O20" s="1783"/>
      <c r="P20" s="1783"/>
      <c r="Q20" s="1783"/>
      <c r="R20" s="1783"/>
      <c r="S20" s="1783"/>
      <c r="T20" s="1783"/>
      <c r="U20" s="1783"/>
      <c r="V20" s="1783"/>
      <c r="W20" s="1783"/>
      <c r="X20" s="1783"/>
      <c r="Y20" s="1783"/>
      <c r="Z20" s="1783"/>
      <c r="AA20" s="1783"/>
      <c r="AB20" s="1783"/>
      <c r="AC20" s="1783"/>
      <c r="AD20" s="1783"/>
      <c r="AE20" s="1783"/>
      <c r="AF20" s="1783"/>
      <c r="AG20" s="1783"/>
      <c r="AH20" s="1783"/>
      <c r="AI20" s="1783"/>
      <c r="AJ20" s="1783"/>
      <c r="AK20" s="1783"/>
      <c r="AL20" s="1783"/>
      <c r="AM20" s="1783"/>
      <c r="AN20" s="1783"/>
      <c r="AO20" s="1783"/>
      <c r="AP20" s="1783"/>
      <c r="AQ20" s="1783"/>
      <c r="AR20" s="1783"/>
      <c r="AS20" s="1783"/>
      <c r="AT20" s="1783"/>
      <c r="AU20" s="1783"/>
      <c r="AV20" s="1783"/>
      <c r="AW20" s="1783"/>
      <c r="AX20" s="1783"/>
      <c r="AY20" s="1783"/>
      <c r="AZ20" s="1783"/>
      <c r="BA20" s="1783"/>
      <c r="BB20" s="1783"/>
      <c r="BC20" s="1783"/>
      <c r="BD20" s="1783"/>
      <c r="BE20" s="1783"/>
      <c r="BF20" s="1783"/>
      <c r="BG20" s="1783"/>
      <c r="BH20" s="1783"/>
      <c r="BI20" s="1783"/>
      <c r="BJ20" s="1783"/>
      <c r="BK20" s="1783"/>
      <c r="BL20" s="1783"/>
      <c r="BM20" s="1783"/>
      <c r="BN20" s="1783"/>
    </row>
    <row r="21" spans="1:66">
      <c r="A21" s="3"/>
      <c r="B21" s="1838"/>
      <c r="C21" s="1839"/>
      <c r="D21" s="1839"/>
      <c r="E21" s="1839"/>
      <c r="F21" s="1839"/>
      <c r="G21" s="67"/>
      <c r="H21" s="15"/>
      <c r="I21" s="1783"/>
      <c r="J21" s="1783"/>
      <c r="K21" s="1783"/>
      <c r="L21" s="1783"/>
      <c r="M21" s="1783"/>
      <c r="N21" s="1783"/>
      <c r="O21" s="1783"/>
      <c r="P21" s="1783"/>
      <c r="Q21" s="1783"/>
      <c r="R21" s="1783"/>
      <c r="S21" s="1783"/>
      <c r="T21" s="1783"/>
      <c r="U21" s="1783"/>
      <c r="V21" s="1783"/>
      <c r="W21" s="1783"/>
      <c r="X21" s="1783"/>
      <c r="Y21" s="1783"/>
      <c r="Z21" s="1783"/>
      <c r="AA21" s="1783"/>
      <c r="AB21" s="1783"/>
      <c r="AC21" s="1783"/>
      <c r="AD21" s="1783"/>
      <c r="AE21" s="1783"/>
      <c r="AF21" s="1783"/>
      <c r="AG21" s="1783"/>
      <c r="AH21" s="1783"/>
      <c r="AI21" s="1783"/>
      <c r="AJ21" s="1783"/>
      <c r="AK21" s="1783"/>
      <c r="AL21" s="1783"/>
      <c r="AM21" s="1783"/>
      <c r="AN21" s="1783"/>
      <c r="AO21" s="1783"/>
      <c r="AP21" s="1783"/>
      <c r="AQ21" s="1783"/>
      <c r="AR21" s="1783"/>
      <c r="AS21" s="1783"/>
      <c r="AT21" s="1783"/>
      <c r="AU21" s="1783"/>
      <c r="AV21" s="1783"/>
      <c r="AW21" s="1783"/>
      <c r="AX21" s="1783"/>
      <c r="AY21" s="1783"/>
      <c r="AZ21" s="1783"/>
      <c r="BA21" s="1783"/>
      <c r="BB21" s="1783"/>
      <c r="BC21" s="1783"/>
      <c r="BD21" s="1783"/>
      <c r="BE21" s="1783"/>
      <c r="BF21" s="1783"/>
      <c r="BG21" s="1783"/>
      <c r="BH21" s="1783"/>
      <c r="BI21" s="1783"/>
      <c r="BJ21" s="1783"/>
      <c r="BK21" s="1783"/>
      <c r="BL21" s="1783"/>
      <c r="BM21" s="1783"/>
      <c r="BN21" s="1783"/>
    </row>
    <row r="22" spans="1:66">
      <c r="A22" s="3"/>
      <c r="B22" s="1831" t="s">
        <v>2621</v>
      </c>
      <c r="C22" s="1832" t="s">
        <v>2612</v>
      </c>
      <c r="D22" s="1832" t="s">
        <v>543</v>
      </c>
      <c r="E22" s="1832" t="s">
        <v>1001</v>
      </c>
      <c r="F22" s="30"/>
      <c r="G22" s="67"/>
      <c r="H22" s="15"/>
      <c r="I22" s="1783"/>
      <c r="J22" s="1783"/>
      <c r="K22" s="1783"/>
      <c r="L22" s="1783"/>
      <c r="M22" s="1783"/>
      <c r="N22" s="1783"/>
      <c r="O22" s="1783"/>
      <c r="P22" s="1783"/>
      <c r="Q22" s="1783"/>
      <c r="R22" s="1783"/>
      <c r="S22" s="1783"/>
      <c r="T22" s="1783"/>
      <c r="U22" s="1783"/>
      <c r="V22" s="1783"/>
      <c r="W22" s="1783"/>
      <c r="X22" s="1783"/>
      <c r="Y22" s="1783"/>
      <c r="Z22" s="1783"/>
      <c r="AA22" s="1783"/>
      <c r="AB22" s="1783"/>
      <c r="AC22" s="1783"/>
      <c r="AD22" s="1783"/>
      <c r="AE22" s="1783"/>
      <c r="AF22" s="1783"/>
      <c r="AG22" s="1783"/>
      <c r="AH22" s="1783"/>
      <c r="AI22" s="1783"/>
      <c r="AJ22" s="1783"/>
      <c r="AK22" s="1783"/>
      <c r="AL22" s="1783"/>
      <c r="AM22" s="1783"/>
      <c r="AN22" s="1783"/>
      <c r="AO22" s="1783"/>
      <c r="AP22" s="1783"/>
      <c r="AQ22" s="1783"/>
      <c r="AR22" s="1783"/>
      <c r="AS22" s="1783"/>
      <c r="AT22" s="1783"/>
      <c r="AU22" s="1783"/>
      <c r="AV22" s="1783"/>
      <c r="AW22" s="1783"/>
      <c r="AX22" s="1783"/>
      <c r="AY22" s="1783"/>
      <c r="AZ22" s="1783"/>
      <c r="BA22" s="1783"/>
      <c r="BB22" s="1783"/>
      <c r="BC22" s="1783"/>
      <c r="BD22" s="1783"/>
      <c r="BE22" s="1783"/>
      <c r="BF22" s="1783"/>
      <c r="BG22" s="1783"/>
      <c r="BH22" s="1783"/>
      <c r="BI22" s="1783"/>
      <c r="BJ22" s="1783"/>
      <c r="BK22" s="1783"/>
      <c r="BL22" s="1783"/>
      <c r="BM22" s="1783"/>
      <c r="BN22" s="1783"/>
    </row>
    <row r="23" spans="1:66">
      <c r="A23" s="3"/>
      <c r="B23" s="171"/>
      <c r="C23" s="1833" t="s">
        <v>1286</v>
      </c>
      <c r="D23" s="1833" t="s">
        <v>1287</v>
      </c>
      <c r="E23" s="1833" t="s">
        <v>1288</v>
      </c>
      <c r="F23" s="30"/>
      <c r="G23" s="67"/>
      <c r="H23" s="15"/>
      <c r="I23" s="1783"/>
      <c r="J23" s="1783"/>
      <c r="K23" s="1783"/>
      <c r="L23" s="1783"/>
      <c r="M23" s="1783"/>
      <c r="N23" s="1783"/>
      <c r="O23" s="1783"/>
      <c r="P23" s="1783"/>
      <c r="Q23" s="1783"/>
      <c r="R23" s="1783"/>
      <c r="S23" s="1783"/>
      <c r="T23" s="1783"/>
      <c r="U23" s="1783"/>
      <c r="V23" s="1783"/>
      <c r="W23" s="1783"/>
      <c r="X23" s="1783"/>
      <c r="Y23" s="1783"/>
      <c r="Z23" s="1783"/>
      <c r="AA23" s="1783"/>
      <c r="AB23" s="1783"/>
      <c r="AC23" s="1783"/>
      <c r="AD23" s="1783"/>
      <c r="AE23" s="1783"/>
      <c r="AF23" s="1783"/>
      <c r="AG23" s="1783"/>
      <c r="AH23" s="1783"/>
      <c r="AI23" s="1783"/>
      <c r="AJ23" s="1783"/>
      <c r="AK23" s="1783"/>
      <c r="AL23" s="1783"/>
      <c r="AM23" s="1783"/>
      <c r="AN23" s="1783"/>
      <c r="AO23" s="1783"/>
      <c r="AP23" s="1783"/>
      <c r="AQ23" s="1783"/>
      <c r="AR23" s="1783"/>
      <c r="AS23" s="1783"/>
      <c r="AT23" s="1783"/>
      <c r="AU23" s="1783"/>
      <c r="AV23" s="1783"/>
      <c r="AW23" s="1783"/>
      <c r="AX23" s="1783"/>
      <c r="AY23" s="1783"/>
      <c r="AZ23" s="1783"/>
      <c r="BA23" s="1783"/>
      <c r="BB23" s="1783"/>
      <c r="BC23" s="1783"/>
      <c r="BD23" s="1783"/>
      <c r="BE23" s="1783"/>
      <c r="BF23" s="1783"/>
      <c r="BG23" s="1783"/>
      <c r="BH23" s="1783"/>
      <c r="BI23" s="1783"/>
      <c r="BJ23" s="1783"/>
      <c r="BK23" s="1783"/>
      <c r="BL23" s="1783"/>
      <c r="BM23" s="1783"/>
      <c r="BN23" s="1783"/>
    </row>
    <row r="24" spans="1:66">
      <c r="A24" s="3"/>
      <c r="B24" s="1834" t="s">
        <v>2622</v>
      </c>
      <c r="C24" s="1835"/>
      <c r="D24" s="1835"/>
      <c r="E24" s="1836">
        <f>SUM(C24:D24)</f>
        <v>0</v>
      </c>
      <c r="F24" s="30"/>
      <c r="G24" s="67"/>
      <c r="H24" s="15"/>
      <c r="I24" s="1783"/>
      <c r="J24" s="1783"/>
      <c r="K24" s="1783"/>
      <c r="L24" s="1783"/>
      <c r="M24" s="1783"/>
      <c r="N24" s="1783"/>
      <c r="O24" s="1783"/>
      <c r="P24" s="1783"/>
      <c r="Q24" s="1783"/>
      <c r="R24" s="1783"/>
      <c r="S24" s="1783"/>
      <c r="T24" s="1783"/>
      <c r="U24" s="1783"/>
      <c r="V24" s="1783"/>
      <c r="W24" s="1783"/>
      <c r="X24" s="1783"/>
      <c r="Y24" s="1783"/>
      <c r="Z24" s="1783"/>
      <c r="AA24" s="1783"/>
      <c r="AB24" s="1783"/>
      <c r="AC24" s="1783"/>
      <c r="AD24" s="1783"/>
      <c r="AE24" s="1783"/>
      <c r="AF24" s="1783"/>
      <c r="AG24" s="1783"/>
      <c r="AH24" s="1783"/>
      <c r="AI24" s="1783"/>
      <c r="AJ24" s="1783"/>
      <c r="AK24" s="1783"/>
      <c r="AL24" s="1783"/>
      <c r="AM24" s="1783"/>
      <c r="AN24" s="1783"/>
      <c r="AO24" s="1783"/>
      <c r="AP24" s="1783"/>
      <c r="AQ24" s="1783"/>
      <c r="AR24" s="1783"/>
      <c r="AS24" s="1783"/>
      <c r="AT24" s="1783"/>
      <c r="AU24" s="1783"/>
      <c r="AV24" s="1783"/>
      <c r="AW24" s="1783"/>
      <c r="AX24" s="1783"/>
      <c r="AY24" s="1783"/>
      <c r="AZ24" s="1783"/>
      <c r="BA24" s="1783"/>
      <c r="BB24" s="1783"/>
      <c r="BC24" s="1783"/>
      <c r="BD24" s="1783"/>
      <c r="BE24" s="1783"/>
      <c r="BF24" s="1783"/>
      <c r="BG24" s="1783"/>
      <c r="BH24" s="1783"/>
      <c r="BI24" s="1783"/>
      <c r="BJ24" s="1783"/>
      <c r="BK24" s="1783"/>
      <c r="BL24" s="1783"/>
      <c r="BM24" s="1783"/>
      <c r="BN24" s="1783"/>
    </row>
    <row r="25" spans="1:66">
      <c r="A25" s="3"/>
      <c r="B25" s="1834" t="s">
        <v>2623</v>
      </c>
      <c r="C25" s="1835"/>
      <c r="D25" s="1835"/>
      <c r="E25" s="1836">
        <f>SUM(C25:D25)</f>
        <v>0</v>
      </c>
      <c r="F25" s="30"/>
      <c r="G25" s="67"/>
      <c r="H25" s="15"/>
      <c r="I25" s="1783"/>
      <c r="J25" s="1783"/>
      <c r="K25" s="1783"/>
      <c r="L25" s="1783"/>
      <c r="M25" s="1783"/>
      <c r="N25" s="1783"/>
      <c r="O25" s="1783"/>
      <c r="P25" s="1783"/>
      <c r="Q25" s="1783"/>
      <c r="R25" s="1783"/>
      <c r="S25" s="1783"/>
      <c r="T25" s="1783"/>
      <c r="U25" s="1783"/>
      <c r="V25" s="1783"/>
      <c r="W25" s="1783"/>
      <c r="X25" s="1783"/>
      <c r="Y25" s="1783"/>
      <c r="Z25" s="1783"/>
      <c r="AA25" s="1783"/>
      <c r="AB25" s="1783"/>
      <c r="AC25" s="1783"/>
      <c r="AD25" s="1783"/>
      <c r="AE25" s="1783"/>
      <c r="AF25" s="1783"/>
      <c r="AG25" s="1783"/>
      <c r="AH25" s="1783"/>
      <c r="AI25" s="1783"/>
      <c r="AJ25" s="1783"/>
      <c r="AK25" s="1783"/>
      <c r="AL25" s="1783"/>
      <c r="AM25" s="1783"/>
      <c r="AN25" s="1783"/>
      <c r="AO25" s="1783"/>
      <c r="AP25" s="1783"/>
      <c r="AQ25" s="1783"/>
      <c r="AR25" s="1783"/>
      <c r="AS25" s="1783"/>
      <c r="AT25" s="1783"/>
      <c r="AU25" s="1783"/>
      <c r="AV25" s="1783"/>
      <c r="AW25" s="1783"/>
      <c r="AX25" s="1783"/>
      <c r="AY25" s="1783"/>
      <c r="AZ25" s="1783"/>
      <c r="BA25" s="1783"/>
      <c r="BB25" s="1783"/>
      <c r="BC25" s="1783"/>
      <c r="BD25" s="1783"/>
      <c r="BE25" s="1783"/>
      <c r="BF25" s="1783"/>
      <c r="BG25" s="1783"/>
      <c r="BH25" s="1783"/>
      <c r="BI25" s="1783"/>
      <c r="BJ25" s="1783"/>
      <c r="BK25" s="1783"/>
      <c r="BL25" s="1783"/>
      <c r="BM25" s="1783"/>
      <c r="BN25" s="1783"/>
    </row>
    <row r="26" spans="1:66">
      <c r="A26" s="3"/>
      <c r="B26" s="1834" t="s">
        <v>2624</v>
      </c>
      <c r="C26" s="1835"/>
      <c r="D26" s="1835"/>
      <c r="E26" s="1836">
        <f>SUM(C26:D26)</f>
        <v>0</v>
      </c>
      <c r="F26" s="30"/>
      <c r="G26" s="67"/>
      <c r="H26" s="15"/>
      <c r="I26" s="1783"/>
      <c r="J26" s="1783"/>
      <c r="K26" s="1783"/>
      <c r="L26" s="1783"/>
      <c r="M26" s="1783"/>
      <c r="N26" s="1783"/>
      <c r="O26" s="1783"/>
      <c r="P26" s="1783"/>
      <c r="Q26" s="1783"/>
      <c r="R26" s="1783"/>
      <c r="S26" s="1783"/>
      <c r="T26" s="1783"/>
      <c r="U26" s="1783"/>
      <c r="V26" s="1783"/>
      <c r="W26" s="1783"/>
      <c r="X26" s="1783"/>
      <c r="Y26" s="1783"/>
      <c r="Z26" s="1783"/>
      <c r="AA26" s="1783"/>
      <c r="AB26" s="1783"/>
      <c r="AC26" s="1783"/>
      <c r="AD26" s="1783"/>
      <c r="AE26" s="1783"/>
      <c r="AF26" s="1783"/>
      <c r="AG26" s="1783"/>
      <c r="AH26" s="1783"/>
      <c r="AI26" s="1783"/>
      <c r="AJ26" s="1783"/>
      <c r="AK26" s="1783"/>
      <c r="AL26" s="1783"/>
      <c r="AM26" s="1783"/>
      <c r="AN26" s="1783"/>
      <c r="AO26" s="1783"/>
      <c r="AP26" s="1783"/>
      <c r="AQ26" s="1783"/>
      <c r="AR26" s="1783"/>
      <c r="AS26" s="1783"/>
      <c r="AT26" s="1783"/>
      <c r="AU26" s="1783"/>
      <c r="AV26" s="1783"/>
      <c r="AW26" s="1783"/>
      <c r="AX26" s="1783"/>
      <c r="AY26" s="1783"/>
      <c r="AZ26" s="1783"/>
      <c r="BA26" s="1783"/>
      <c r="BB26" s="1783"/>
      <c r="BC26" s="1783"/>
      <c r="BD26" s="1783"/>
      <c r="BE26" s="1783"/>
      <c r="BF26" s="1783"/>
      <c r="BG26" s="1783"/>
      <c r="BH26" s="1783"/>
      <c r="BI26" s="1783"/>
      <c r="BJ26" s="1783"/>
      <c r="BK26" s="1783"/>
      <c r="BL26" s="1783"/>
      <c r="BM26" s="1783"/>
      <c r="BN26" s="1783"/>
    </row>
    <row r="27" spans="1:66">
      <c r="A27" s="3"/>
      <c r="B27" s="171"/>
      <c r="C27" s="1837"/>
      <c r="D27" s="1837"/>
      <c r="E27" s="1837"/>
      <c r="F27" s="30"/>
      <c r="G27" s="67"/>
      <c r="H27" s="15"/>
      <c r="I27" s="1783"/>
      <c r="J27" s="1783"/>
      <c r="K27" s="1783"/>
      <c r="L27" s="1783"/>
      <c r="M27" s="1783"/>
      <c r="N27" s="1783"/>
      <c r="O27" s="1783"/>
      <c r="P27" s="1783"/>
      <c r="Q27" s="1783"/>
      <c r="R27" s="1783"/>
      <c r="S27" s="1783"/>
      <c r="T27" s="1783"/>
      <c r="U27" s="1783"/>
      <c r="V27" s="1783"/>
      <c r="W27" s="1783"/>
      <c r="X27" s="1783"/>
      <c r="Y27" s="1783"/>
      <c r="Z27" s="1783"/>
      <c r="AA27" s="1783"/>
      <c r="AB27" s="1783"/>
      <c r="AC27" s="1783"/>
      <c r="AD27" s="1783"/>
      <c r="AE27" s="1783"/>
      <c r="AF27" s="1783"/>
      <c r="AG27" s="1783"/>
      <c r="AH27" s="1783"/>
      <c r="AI27" s="1783"/>
      <c r="AJ27" s="1783"/>
      <c r="AK27" s="1783"/>
      <c r="AL27" s="1783"/>
      <c r="AM27" s="1783"/>
      <c r="AN27" s="1783"/>
      <c r="AO27" s="1783"/>
      <c r="AP27" s="1783"/>
      <c r="AQ27" s="1783"/>
      <c r="AR27" s="1783"/>
      <c r="AS27" s="1783"/>
      <c r="AT27" s="1783"/>
      <c r="AU27" s="1783"/>
      <c r="AV27" s="1783"/>
      <c r="AW27" s="1783"/>
      <c r="AX27" s="1783"/>
      <c r="AY27" s="1783"/>
      <c r="AZ27" s="1783"/>
      <c r="BA27" s="1783"/>
      <c r="BB27" s="1783"/>
      <c r="BC27" s="1783"/>
      <c r="BD27" s="1783"/>
      <c r="BE27" s="1783"/>
      <c r="BF27" s="1783"/>
      <c r="BG27" s="1783"/>
      <c r="BH27" s="1783"/>
      <c r="BI27" s="1783"/>
      <c r="BJ27" s="1783"/>
      <c r="BK27" s="1783"/>
      <c r="BL27" s="1783"/>
      <c r="BM27" s="1783"/>
      <c r="BN27" s="1783"/>
    </row>
    <row r="28" spans="1:66" ht="25.5">
      <c r="A28" s="3"/>
      <c r="B28" s="1834" t="s">
        <v>2625</v>
      </c>
      <c r="C28" s="1840">
        <f>SUM(C24:C26)</f>
        <v>0</v>
      </c>
      <c r="D28" s="1840">
        <f>SUM(D24:D26)</f>
        <v>0</v>
      </c>
      <c r="E28" s="1840">
        <f>SUM(E24:E26)</f>
        <v>0</v>
      </c>
      <c r="F28" s="30"/>
      <c r="G28" s="67"/>
      <c r="H28" s="15"/>
      <c r="I28" s="1783"/>
      <c r="J28" s="1783"/>
      <c r="K28" s="1783"/>
      <c r="L28" s="1783"/>
      <c r="M28" s="1783"/>
      <c r="N28" s="1783"/>
      <c r="O28" s="1783"/>
      <c r="P28" s="1783"/>
      <c r="Q28" s="1783"/>
      <c r="R28" s="1783"/>
      <c r="S28" s="1783"/>
      <c r="T28" s="1783"/>
      <c r="U28" s="1783"/>
      <c r="V28" s="1783"/>
      <c r="W28" s="1783"/>
      <c r="X28" s="1783"/>
      <c r="Y28" s="1783"/>
      <c r="Z28" s="1783"/>
      <c r="AA28" s="1783"/>
      <c r="AB28" s="1783"/>
      <c r="AC28" s="1783"/>
      <c r="AD28" s="1783"/>
      <c r="AE28" s="1783"/>
      <c r="AF28" s="1783"/>
      <c r="AG28" s="1783"/>
      <c r="AH28" s="1783"/>
      <c r="AI28" s="1783"/>
      <c r="AJ28" s="1783"/>
      <c r="AK28" s="1783"/>
      <c r="AL28" s="1783"/>
      <c r="AM28" s="1783"/>
      <c r="AN28" s="1783"/>
      <c r="AO28" s="1783"/>
      <c r="AP28" s="1783"/>
      <c r="AQ28" s="1783"/>
      <c r="AR28" s="1783"/>
      <c r="AS28" s="1783"/>
      <c r="AT28" s="1783"/>
      <c r="AU28" s="1783"/>
      <c r="AV28" s="1783"/>
      <c r="AW28" s="1783"/>
      <c r="AX28" s="1783"/>
      <c r="AY28" s="1783"/>
      <c r="AZ28" s="1783"/>
      <c r="BA28" s="1783"/>
      <c r="BB28" s="1783"/>
      <c r="BC28" s="1783"/>
      <c r="BD28" s="1783"/>
      <c r="BE28" s="1783"/>
      <c r="BF28" s="1783"/>
      <c r="BG28" s="1783"/>
      <c r="BH28" s="1783"/>
      <c r="BI28" s="1783"/>
      <c r="BJ28" s="1783"/>
      <c r="BK28" s="1783"/>
      <c r="BL28" s="1783"/>
      <c r="BM28" s="1783"/>
      <c r="BN28" s="1783"/>
    </row>
    <row r="29" spans="1:66">
      <c r="A29" s="3"/>
      <c r="B29" s="1827"/>
      <c r="C29" s="1830"/>
      <c r="D29" s="1830"/>
      <c r="E29" s="30"/>
      <c r="F29" s="157"/>
      <c r="G29" s="67"/>
      <c r="H29" s="15"/>
      <c r="I29" s="1783"/>
      <c r="J29" s="1783"/>
      <c r="K29" s="1783"/>
      <c r="L29" s="1783"/>
      <c r="M29" s="1783"/>
      <c r="N29" s="1783"/>
      <c r="O29" s="1783"/>
      <c r="P29" s="1783"/>
      <c r="Q29" s="1783"/>
      <c r="R29" s="1783"/>
      <c r="S29" s="1783"/>
      <c r="T29" s="1783"/>
      <c r="U29" s="1783"/>
      <c r="V29" s="1783"/>
      <c r="W29" s="1783"/>
      <c r="X29" s="1783"/>
      <c r="Y29" s="1783"/>
      <c r="Z29" s="1783"/>
      <c r="AA29" s="1783"/>
      <c r="AB29" s="1783"/>
      <c r="AC29" s="1783"/>
      <c r="AD29" s="1783"/>
      <c r="AE29" s="1783"/>
      <c r="AF29" s="1783"/>
      <c r="AG29" s="1783"/>
      <c r="AH29" s="1783"/>
      <c r="AI29" s="1783"/>
      <c r="AJ29" s="1783"/>
      <c r="AK29" s="1783"/>
      <c r="AL29" s="1783"/>
      <c r="AM29" s="1783"/>
      <c r="AN29" s="1783"/>
      <c r="AO29" s="1783"/>
      <c r="AP29" s="1783"/>
      <c r="AQ29" s="1783"/>
      <c r="AR29" s="1783"/>
      <c r="AS29" s="1783"/>
      <c r="AT29" s="1783"/>
      <c r="AU29" s="1783"/>
      <c r="AV29" s="1783"/>
      <c r="AW29" s="1783"/>
      <c r="AX29" s="1783"/>
      <c r="AY29" s="1783"/>
      <c r="AZ29" s="1783"/>
      <c r="BA29" s="1783"/>
      <c r="BB29" s="1783"/>
      <c r="BC29" s="1783"/>
      <c r="BD29" s="1783"/>
      <c r="BE29" s="1783"/>
      <c r="BF29" s="1783"/>
      <c r="BG29" s="1783"/>
      <c r="BH29" s="1783"/>
      <c r="BI29" s="1783"/>
      <c r="BJ29" s="1783"/>
      <c r="BK29" s="1783"/>
      <c r="BL29" s="1783"/>
      <c r="BM29" s="1783"/>
      <c r="BN29" s="1783"/>
    </row>
    <row r="30" spans="1:66">
      <c r="A30" s="3"/>
      <c r="B30" s="1827"/>
      <c r="C30" s="1830"/>
      <c r="D30" s="1830"/>
      <c r="E30" s="30"/>
      <c r="F30" s="157"/>
      <c r="G30" s="67"/>
      <c r="H30" s="15"/>
      <c r="I30" s="1783"/>
      <c r="J30" s="1783"/>
      <c r="K30" s="1783"/>
      <c r="L30" s="1783"/>
      <c r="M30" s="1783"/>
      <c r="N30" s="1783"/>
      <c r="O30" s="1783"/>
      <c r="P30" s="1783"/>
      <c r="Q30" s="1783"/>
      <c r="R30" s="1783"/>
      <c r="S30" s="1783"/>
      <c r="T30" s="1783"/>
      <c r="U30" s="1783"/>
      <c r="V30" s="1783"/>
      <c r="W30" s="1783"/>
      <c r="X30" s="1783"/>
      <c r="Y30" s="1783"/>
      <c r="Z30" s="1783"/>
      <c r="AA30" s="1783"/>
      <c r="AB30" s="1783"/>
      <c r="AC30" s="1783"/>
      <c r="AD30" s="1783"/>
      <c r="AE30" s="1783"/>
      <c r="AF30" s="1783"/>
      <c r="AG30" s="1783"/>
      <c r="AH30" s="1783"/>
      <c r="AI30" s="1783"/>
      <c r="AJ30" s="1783"/>
      <c r="AK30" s="1783"/>
      <c r="AL30" s="1783"/>
      <c r="AM30" s="1783"/>
      <c r="AN30" s="1783"/>
      <c r="AO30" s="1783"/>
      <c r="AP30" s="1783"/>
      <c r="AQ30" s="1783"/>
      <c r="AR30" s="1783"/>
      <c r="AS30" s="1783"/>
      <c r="AT30" s="1783"/>
      <c r="AU30" s="1783"/>
      <c r="AV30" s="1783"/>
      <c r="AW30" s="1783"/>
      <c r="AX30" s="1783"/>
      <c r="AY30" s="1783"/>
      <c r="AZ30" s="1783"/>
      <c r="BA30" s="1783"/>
      <c r="BB30" s="1783"/>
      <c r="BC30" s="1783"/>
      <c r="BD30" s="1783"/>
      <c r="BE30" s="1783"/>
      <c r="BF30" s="1783"/>
      <c r="BG30" s="1783"/>
      <c r="BH30" s="1783"/>
      <c r="BI30" s="1783"/>
      <c r="BJ30" s="1783"/>
      <c r="BK30" s="1783"/>
      <c r="BL30" s="1783"/>
      <c r="BM30" s="1783"/>
      <c r="BN30" s="1783"/>
    </row>
    <row r="31" spans="1:66">
      <c r="A31" s="3"/>
      <c r="B31" s="1829" t="s">
        <v>1000</v>
      </c>
      <c r="C31" s="1830"/>
      <c r="D31" s="1830"/>
      <c r="E31" s="30"/>
      <c r="F31" s="157"/>
      <c r="G31" s="67"/>
      <c r="H31" s="15"/>
      <c r="I31" s="1783"/>
      <c r="J31" s="1783"/>
      <c r="K31" s="1783"/>
      <c r="L31" s="1783"/>
      <c r="M31" s="1783"/>
      <c r="N31" s="1783"/>
      <c r="O31" s="1783"/>
      <c r="P31" s="1783"/>
      <c r="Q31" s="1783"/>
      <c r="R31" s="1783"/>
      <c r="S31" s="1783"/>
      <c r="T31" s="1783"/>
      <c r="U31" s="1783"/>
      <c r="V31" s="1783"/>
      <c r="W31" s="1783"/>
      <c r="X31" s="1783"/>
      <c r="Y31" s="1783"/>
      <c r="Z31" s="1783"/>
      <c r="AA31" s="1783"/>
      <c r="AB31" s="1783"/>
      <c r="AC31" s="1783"/>
      <c r="AD31" s="1783"/>
      <c r="AE31" s="1783"/>
      <c r="AF31" s="1783"/>
      <c r="AG31" s="1783"/>
      <c r="AH31" s="1783"/>
      <c r="AI31" s="1783"/>
      <c r="AJ31" s="1783"/>
      <c r="AK31" s="1783"/>
      <c r="AL31" s="1783"/>
      <c r="AM31" s="1783"/>
      <c r="AN31" s="1783"/>
      <c r="AO31" s="1783"/>
      <c r="AP31" s="1783"/>
      <c r="AQ31" s="1783"/>
      <c r="AR31" s="1783"/>
      <c r="AS31" s="1783"/>
      <c r="AT31" s="1783"/>
      <c r="AU31" s="1783"/>
      <c r="AV31" s="1783"/>
      <c r="AW31" s="1783"/>
      <c r="AX31" s="1783"/>
      <c r="AY31" s="1783"/>
      <c r="AZ31" s="1783"/>
      <c r="BA31" s="1783"/>
      <c r="BB31" s="1783"/>
      <c r="BC31" s="1783"/>
      <c r="BD31" s="1783"/>
      <c r="BE31" s="1783"/>
      <c r="BF31" s="1783"/>
      <c r="BG31" s="1783"/>
      <c r="BH31" s="1783"/>
      <c r="BI31" s="1783"/>
      <c r="BJ31" s="1783"/>
      <c r="BK31" s="1783"/>
      <c r="BL31" s="1783"/>
      <c r="BM31" s="1783"/>
      <c r="BN31" s="1783"/>
    </row>
    <row r="32" spans="1:66">
      <c r="A32" s="3"/>
      <c r="B32" s="1831" t="s">
        <v>2611</v>
      </c>
      <c r="C32" s="1832" t="s">
        <v>2612</v>
      </c>
      <c r="D32" s="1832" t="s">
        <v>543</v>
      </c>
      <c r="E32" s="1832" t="s">
        <v>2613</v>
      </c>
      <c r="F32" s="1832" t="s">
        <v>1001</v>
      </c>
      <c r="G32" s="67"/>
      <c r="H32" s="15"/>
      <c r="I32" s="1783"/>
      <c r="J32" s="1783"/>
      <c r="K32" s="1783"/>
      <c r="L32" s="1783"/>
      <c r="M32" s="1783"/>
      <c r="N32" s="1783"/>
      <c r="O32" s="1783"/>
      <c r="P32" s="1783"/>
      <c r="Q32" s="1783"/>
      <c r="R32" s="1783"/>
      <c r="S32" s="1783"/>
      <c r="T32" s="1783"/>
      <c r="U32" s="1783"/>
      <c r="V32" s="1783"/>
      <c r="W32" s="1783"/>
      <c r="X32" s="1783"/>
      <c r="Y32" s="1783"/>
      <c r="Z32" s="1783"/>
      <c r="AA32" s="1783"/>
      <c r="AB32" s="1783"/>
      <c r="AC32" s="1783"/>
      <c r="AD32" s="1783"/>
      <c r="AE32" s="1783"/>
      <c r="AF32" s="1783"/>
      <c r="AG32" s="1783"/>
      <c r="AH32" s="1783"/>
      <c r="AI32" s="1783"/>
      <c r="AJ32" s="1783"/>
      <c r="AK32" s="1783"/>
      <c r="AL32" s="1783"/>
      <c r="AM32" s="1783"/>
      <c r="AN32" s="1783"/>
      <c r="AO32" s="1783"/>
      <c r="AP32" s="1783"/>
      <c r="AQ32" s="1783"/>
      <c r="AR32" s="1783"/>
      <c r="AS32" s="1783"/>
      <c r="AT32" s="1783"/>
      <c r="AU32" s="1783"/>
      <c r="AV32" s="1783"/>
      <c r="AW32" s="1783"/>
      <c r="AX32" s="1783"/>
      <c r="AY32" s="1783"/>
      <c r="AZ32" s="1783"/>
      <c r="BA32" s="1783"/>
      <c r="BB32" s="1783"/>
      <c r="BC32" s="1783"/>
      <c r="BD32" s="1783"/>
      <c r="BE32" s="1783"/>
      <c r="BF32" s="1783"/>
      <c r="BG32" s="1783"/>
      <c r="BH32" s="1783"/>
      <c r="BI32" s="1783"/>
      <c r="BJ32" s="1783"/>
      <c r="BK32" s="1783"/>
      <c r="BL32" s="1783"/>
      <c r="BM32" s="1783"/>
      <c r="BN32" s="1783"/>
    </row>
    <row r="33" spans="1:66">
      <c r="A33" s="3"/>
      <c r="B33" s="171"/>
      <c r="C33" s="1833" t="s">
        <v>1286</v>
      </c>
      <c r="D33" s="1833" t="s">
        <v>1287</v>
      </c>
      <c r="E33" s="1833" t="s">
        <v>1288</v>
      </c>
      <c r="F33" s="1833" t="s">
        <v>842</v>
      </c>
      <c r="G33" s="67"/>
      <c r="H33" s="15"/>
      <c r="I33" s="1783"/>
      <c r="J33" s="1783"/>
      <c r="K33" s="1783"/>
      <c r="L33" s="1783"/>
      <c r="M33" s="1783"/>
      <c r="N33" s="1783"/>
      <c r="O33" s="1783"/>
      <c r="P33" s="1783"/>
      <c r="Q33" s="1783"/>
      <c r="R33" s="1783"/>
      <c r="S33" s="1783"/>
      <c r="T33" s="1783"/>
      <c r="U33" s="1783"/>
      <c r="V33" s="1783"/>
      <c r="W33" s="1783"/>
      <c r="X33" s="1783"/>
      <c r="Y33" s="1783"/>
      <c r="Z33" s="1783"/>
      <c r="AA33" s="1783"/>
      <c r="AB33" s="1783"/>
      <c r="AC33" s="1783"/>
      <c r="AD33" s="1783"/>
      <c r="AE33" s="1783"/>
      <c r="AF33" s="1783"/>
      <c r="AG33" s="1783"/>
      <c r="AH33" s="1783"/>
      <c r="AI33" s="1783"/>
      <c r="AJ33" s="1783"/>
      <c r="AK33" s="1783"/>
      <c r="AL33" s="1783"/>
      <c r="AM33" s="1783"/>
      <c r="AN33" s="1783"/>
      <c r="AO33" s="1783"/>
      <c r="AP33" s="1783"/>
      <c r="AQ33" s="1783"/>
      <c r="AR33" s="1783"/>
      <c r="AS33" s="1783"/>
      <c r="AT33" s="1783"/>
      <c r="AU33" s="1783"/>
      <c r="AV33" s="1783"/>
      <c r="AW33" s="1783"/>
      <c r="AX33" s="1783"/>
      <c r="AY33" s="1783"/>
      <c r="AZ33" s="1783"/>
      <c r="BA33" s="1783"/>
      <c r="BB33" s="1783"/>
      <c r="BC33" s="1783"/>
      <c r="BD33" s="1783"/>
      <c r="BE33" s="1783"/>
      <c r="BF33" s="1783"/>
      <c r="BG33" s="1783"/>
      <c r="BH33" s="1783"/>
      <c r="BI33" s="1783"/>
      <c r="BJ33" s="1783"/>
      <c r="BK33" s="1783"/>
      <c r="BL33" s="1783"/>
      <c r="BM33" s="1783"/>
      <c r="BN33" s="1783"/>
    </row>
    <row r="34" spans="1:66">
      <c r="A34" s="3"/>
      <c r="B34" s="1834" t="s">
        <v>2626</v>
      </c>
      <c r="C34" s="1835"/>
      <c r="D34" s="1835"/>
      <c r="E34" s="1835"/>
      <c r="F34" s="1836">
        <f>SUM(C34:E34)</f>
        <v>0</v>
      </c>
      <c r="G34" s="67"/>
      <c r="H34" s="15"/>
      <c r="I34" s="1783"/>
      <c r="J34" s="1783"/>
      <c r="K34" s="1783"/>
      <c r="L34" s="1783"/>
      <c r="M34" s="1783"/>
      <c r="N34" s="1783"/>
      <c r="O34" s="1783"/>
      <c r="P34" s="1783"/>
      <c r="Q34" s="1783"/>
      <c r="R34" s="1783"/>
      <c r="S34" s="1783"/>
      <c r="T34" s="1783"/>
      <c r="U34" s="1783"/>
      <c r="V34" s="1783"/>
      <c r="W34" s="1783"/>
      <c r="X34" s="1783"/>
      <c r="Y34" s="1783"/>
      <c r="Z34" s="1783"/>
      <c r="AA34" s="1783"/>
      <c r="AB34" s="1783"/>
      <c r="AC34" s="1783"/>
      <c r="AD34" s="1783"/>
      <c r="AE34" s="1783"/>
      <c r="AF34" s="1783"/>
      <c r="AG34" s="1783"/>
      <c r="AH34" s="1783"/>
      <c r="AI34" s="1783"/>
      <c r="AJ34" s="1783"/>
      <c r="AK34" s="1783"/>
      <c r="AL34" s="1783"/>
      <c r="AM34" s="1783"/>
      <c r="AN34" s="1783"/>
      <c r="AO34" s="1783"/>
      <c r="AP34" s="1783"/>
      <c r="AQ34" s="1783"/>
      <c r="AR34" s="1783"/>
      <c r="AS34" s="1783"/>
      <c r="AT34" s="1783"/>
      <c r="AU34" s="1783"/>
      <c r="AV34" s="1783"/>
      <c r="AW34" s="1783"/>
      <c r="AX34" s="1783"/>
      <c r="AY34" s="1783"/>
      <c r="AZ34" s="1783"/>
      <c r="BA34" s="1783"/>
      <c r="BB34" s="1783"/>
      <c r="BC34" s="1783"/>
      <c r="BD34" s="1783"/>
      <c r="BE34" s="1783"/>
      <c r="BF34" s="1783"/>
      <c r="BG34" s="1783"/>
      <c r="BH34" s="1783"/>
      <c r="BI34" s="1783"/>
      <c r="BJ34" s="1783"/>
      <c r="BK34" s="1783"/>
      <c r="BL34" s="1783"/>
      <c r="BM34" s="1783"/>
      <c r="BN34" s="1783"/>
    </row>
    <row r="35" spans="1:66">
      <c r="A35" s="3"/>
      <c r="B35" s="1834" t="s">
        <v>2627</v>
      </c>
      <c r="C35" s="1835"/>
      <c r="D35" s="1835"/>
      <c r="E35" s="1835"/>
      <c r="F35" s="1836">
        <f>SUM(C35:E35)</f>
        <v>0</v>
      </c>
      <c r="G35" s="67"/>
      <c r="H35" s="15"/>
      <c r="I35" s="1783"/>
      <c r="J35" s="1783"/>
      <c r="K35" s="1783"/>
      <c r="L35" s="1783"/>
      <c r="M35" s="1783"/>
      <c r="N35" s="1783"/>
      <c r="O35" s="1783"/>
      <c r="P35" s="1783"/>
      <c r="Q35" s="1783"/>
      <c r="R35" s="1783"/>
      <c r="S35" s="1783"/>
      <c r="T35" s="1783"/>
      <c r="U35" s="1783"/>
      <c r="V35" s="1783"/>
      <c r="W35" s="1783"/>
      <c r="X35" s="1783"/>
      <c r="Y35" s="1783"/>
      <c r="Z35" s="1783"/>
      <c r="AA35" s="1783"/>
      <c r="AB35" s="1783"/>
      <c r="AC35" s="1783"/>
      <c r="AD35" s="1783"/>
      <c r="AE35" s="1783"/>
      <c r="AF35" s="1783"/>
      <c r="AG35" s="1783"/>
      <c r="AH35" s="1783"/>
      <c r="AI35" s="1783"/>
      <c r="AJ35" s="1783"/>
      <c r="AK35" s="1783"/>
      <c r="AL35" s="1783"/>
      <c r="AM35" s="1783"/>
      <c r="AN35" s="1783"/>
      <c r="AO35" s="1783"/>
      <c r="AP35" s="1783"/>
      <c r="AQ35" s="1783"/>
      <c r="AR35" s="1783"/>
      <c r="AS35" s="1783"/>
      <c r="AT35" s="1783"/>
      <c r="AU35" s="1783"/>
      <c r="AV35" s="1783"/>
      <c r="AW35" s="1783"/>
      <c r="AX35" s="1783"/>
      <c r="AY35" s="1783"/>
      <c r="AZ35" s="1783"/>
      <c r="BA35" s="1783"/>
      <c r="BB35" s="1783"/>
      <c r="BC35" s="1783"/>
      <c r="BD35" s="1783"/>
      <c r="BE35" s="1783"/>
      <c r="BF35" s="1783"/>
      <c r="BG35" s="1783"/>
      <c r="BH35" s="1783"/>
      <c r="BI35" s="1783"/>
      <c r="BJ35" s="1783"/>
      <c r="BK35" s="1783"/>
      <c r="BL35" s="1783"/>
      <c r="BM35" s="1783"/>
      <c r="BN35" s="1783"/>
    </row>
    <row r="36" spans="1:66">
      <c r="A36" s="3"/>
      <c r="B36" s="1834" t="s">
        <v>2628</v>
      </c>
      <c r="C36" s="1836">
        <f>SUM(C34:C35)</f>
        <v>0</v>
      </c>
      <c r="D36" s="1836">
        <f>SUM(D34:D35)</f>
        <v>0</v>
      </c>
      <c r="E36" s="1836">
        <f>SUM(E34:E35)</f>
        <v>0</v>
      </c>
      <c r="F36" s="1836">
        <f>SUM(F34:F35)</f>
        <v>0</v>
      </c>
      <c r="G36" s="67"/>
      <c r="H36" s="15"/>
      <c r="I36" s="1783"/>
      <c r="J36" s="1783"/>
      <c r="K36" s="1783"/>
      <c r="L36" s="1783"/>
      <c r="M36" s="1783"/>
      <c r="N36" s="1783"/>
      <c r="O36" s="1783"/>
      <c r="P36" s="1783"/>
      <c r="Q36" s="1783"/>
      <c r="R36" s="1783"/>
      <c r="S36" s="1783"/>
      <c r="T36" s="1783"/>
      <c r="U36" s="1783"/>
      <c r="V36" s="1783"/>
      <c r="W36" s="1783"/>
      <c r="X36" s="1783"/>
      <c r="Y36" s="1783"/>
      <c r="Z36" s="1783"/>
      <c r="AA36" s="1783"/>
      <c r="AB36" s="1783"/>
      <c r="AC36" s="1783"/>
      <c r="AD36" s="1783"/>
      <c r="AE36" s="1783"/>
      <c r="AF36" s="1783"/>
      <c r="AG36" s="1783"/>
      <c r="AH36" s="1783"/>
      <c r="AI36" s="1783"/>
      <c r="AJ36" s="1783"/>
      <c r="AK36" s="1783"/>
      <c r="AL36" s="1783"/>
      <c r="AM36" s="1783"/>
      <c r="AN36" s="1783"/>
      <c r="AO36" s="1783"/>
      <c r="AP36" s="1783"/>
      <c r="AQ36" s="1783"/>
      <c r="AR36" s="1783"/>
      <c r="AS36" s="1783"/>
      <c r="AT36" s="1783"/>
      <c r="AU36" s="1783"/>
      <c r="AV36" s="1783"/>
      <c r="AW36" s="1783"/>
      <c r="AX36" s="1783"/>
      <c r="AY36" s="1783"/>
      <c r="AZ36" s="1783"/>
      <c r="BA36" s="1783"/>
      <c r="BB36" s="1783"/>
      <c r="BC36" s="1783"/>
      <c r="BD36" s="1783"/>
      <c r="BE36" s="1783"/>
      <c r="BF36" s="1783"/>
      <c r="BG36" s="1783"/>
      <c r="BH36" s="1783"/>
      <c r="BI36" s="1783"/>
      <c r="BJ36" s="1783"/>
      <c r="BK36" s="1783"/>
      <c r="BL36" s="1783"/>
      <c r="BM36" s="1783"/>
      <c r="BN36" s="1783"/>
    </row>
    <row r="37" spans="1:66">
      <c r="A37" s="3"/>
      <c r="B37" s="171"/>
      <c r="C37" s="1837"/>
      <c r="D37" s="1837"/>
      <c r="E37" s="1837"/>
      <c r="F37" s="1837"/>
      <c r="G37" s="67"/>
      <c r="H37" s="15"/>
      <c r="I37" s="1783"/>
      <c r="J37" s="1783"/>
      <c r="K37" s="1783"/>
      <c r="L37" s="1783"/>
      <c r="M37" s="1783"/>
      <c r="N37" s="1783"/>
      <c r="O37" s="1783"/>
      <c r="P37" s="1783"/>
      <c r="Q37" s="1783"/>
      <c r="R37" s="1783"/>
      <c r="S37" s="1783"/>
      <c r="T37" s="1783"/>
      <c r="U37" s="1783"/>
      <c r="V37" s="1783"/>
      <c r="W37" s="1783"/>
      <c r="X37" s="1783"/>
      <c r="Y37" s="1783"/>
      <c r="Z37" s="1783"/>
      <c r="AA37" s="1783"/>
      <c r="AB37" s="1783"/>
      <c r="AC37" s="1783"/>
      <c r="AD37" s="1783"/>
      <c r="AE37" s="1783"/>
      <c r="AF37" s="1783"/>
      <c r="AG37" s="1783"/>
      <c r="AH37" s="1783"/>
      <c r="AI37" s="1783"/>
      <c r="AJ37" s="1783"/>
      <c r="AK37" s="1783"/>
      <c r="AL37" s="1783"/>
      <c r="AM37" s="1783"/>
      <c r="AN37" s="1783"/>
      <c r="AO37" s="1783"/>
      <c r="AP37" s="1783"/>
      <c r="AQ37" s="1783"/>
      <c r="AR37" s="1783"/>
      <c r="AS37" s="1783"/>
      <c r="AT37" s="1783"/>
      <c r="AU37" s="1783"/>
      <c r="AV37" s="1783"/>
      <c r="AW37" s="1783"/>
      <c r="AX37" s="1783"/>
      <c r="AY37" s="1783"/>
      <c r="AZ37" s="1783"/>
      <c r="BA37" s="1783"/>
      <c r="BB37" s="1783"/>
      <c r="BC37" s="1783"/>
      <c r="BD37" s="1783"/>
      <c r="BE37" s="1783"/>
      <c r="BF37" s="1783"/>
      <c r="BG37" s="1783"/>
      <c r="BH37" s="1783"/>
      <c r="BI37" s="1783"/>
      <c r="BJ37" s="1783"/>
      <c r="BK37" s="1783"/>
      <c r="BL37" s="1783"/>
      <c r="BM37" s="1783"/>
      <c r="BN37" s="1783"/>
    </row>
    <row r="38" spans="1:66">
      <c r="A38" s="3"/>
      <c r="B38" s="1834" t="s">
        <v>2629</v>
      </c>
      <c r="C38" s="1835"/>
      <c r="D38" s="1835"/>
      <c r="E38" s="1835"/>
      <c r="F38" s="1836">
        <f>SUM(C38:E38)</f>
        <v>0</v>
      </c>
      <c r="G38" s="67"/>
      <c r="H38" s="15"/>
      <c r="I38" s="1783"/>
      <c r="J38" s="1783"/>
      <c r="K38" s="1783"/>
      <c r="L38" s="1783"/>
      <c r="M38" s="1783"/>
      <c r="N38" s="1783"/>
      <c r="O38" s="1783"/>
      <c r="P38" s="1783"/>
      <c r="Q38" s="1783"/>
      <c r="R38" s="1783"/>
      <c r="S38" s="1783"/>
      <c r="T38" s="1783"/>
      <c r="U38" s="1783"/>
      <c r="V38" s="1783"/>
      <c r="W38" s="1783"/>
      <c r="X38" s="1783"/>
      <c r="Y38" s="1783"/>
      <c r="Z38" s="1783"/>
      <c r="AA38" s="1783"/>
      <c r="AB38" s="1783"/>
      <c r="AC38" s="1783"/>
      <c r="AD38" s="1783"/>
      <c r="AE38" s="1783"/>
      <c r="AF38" s="1783"/>
      <c r="AG38" s="1783"/>
      <c r="AH38" s="1783"/>
      <c r="AI38" s="1783"/>
      <c r="AJ38" s="1783"/>
      <c r="AK38" s="1783"/>
      <c r="AL38" s="1783"/>
      <c r="AM38" s="1783"/>
      <c r="AN38" s="1783"/>
      <c r="AO38" s="1783"/>
      <c r="AP38" s="1783"/>
      <c r="AQ38" s="1783"/>
      <c r="AR38" s="1783"/>
      <c r="AS38" s="1783"/>
      <c r="AT38" s="1783"/>
      <c r="AU38" s="1783"/>
      <c r="AV38" s="1783"/>
      <c r="AW38" s="1783"/>
      <c r="AX38" s="1783"/>
      <c r="AY38" s="1783"/>
      <c r="AZ38" s="1783"/>
      <c r="BA38" s="1783"/>
      <c r="BB38" s="1783"/>
      <c r="BC38" s="1783"/>
      <c r="BD38" s="1783"/>
      <c r="BE38" s="1783"/>
      <c r="BF38" s="1783"/>
      <c r="BG38" s="1783"/>
      <c r="BH38" s="1783"/>
      <c r="BI38" s="1783"/>
      <c r="BJ38" s="1783"/>
      <c r="BK38" s="1783"/>
      <c r="BL38" s="1783"/>
      <c r="BM38" s="1783"/>
      <c r="BN38" s="1783"/>
    </row>
    <row r="39" spans="1:66">
      <c r="A39" s="3"/>
      <c r="B39" s="1834" t="s">
        <v>2630</v>
      </c>
      <c r="C39" s="1835"/>
      <c r="D39" s="1835"/>
      <c r="E39" s="1835"/>
      <c r="F39" s="1836">
        <f>SUM(C39:E39)</f>
        <v>0</v>
      </c>
      <c r="G39" s="67"/>
      <c r="H39" s="15"/>
      <c r="I39" s="1783"/>
      <c r="J39" s="1783"/>
      <c r="K39" s="1783"/>
      <c r="L39" s="1783"/>
      <c r="M39" s="1783"/>
      <c r="N39" s="1783"/>
      <c r="O39" s="1783"/>
      <c r="P39" s="1783"/>
      <c r="Q39" s="1783"/>
      <c r="R39" s="1783"/>
      <c r="S39" s="1783"/>
      <c r="T39" s="1783"/>
      <c r="U39" s="1783"/>
      <c r="V39" s="1783"/>
      <c r="W39" s="1783"/>
      <c r="X39" s="1783"/>
      <c r="Y39" s="1783"/>
      <c r="Z39" s="1783"/>
      <c r="AA39" s="1783"/>
      <c r="AB39" s="1783"/>
      <c r="AC39" s="1783"/>
      <c r="AD39" s="1783"/>
      <c r="AE39" s="1783"/>
      <c r="AF39" s="1783"/>
      <c r="AG39" s="1783"/>
      <c r="AH39" s="1783"/>
      <c r="AI39" s="1783"/>
      <c r="AJ39" s="1783"/>
      <c r="AK39" s="1783"/>
      <c r="AL39" s="1783"/>
      <c r="AM39" s="1783"/>
      <c r="AN39" s="1783"/>
      <c r="AO39" s="1783"/>
      <c r="AP39" s="1783"/>
      <c r="AQ39" s="1783"/>
      <c r="AR39" s="1783"/>
      <c r="AS39" s="1783"/>
      <c r="AT39" s="1783"/>
      <c r="AU39" s="1783"/>
      <c r="AV39" s="1783"/>
      <c r="AW39" s="1783"/>
      <c r="AX39" s="1783"/>
      <c r="AY39" s="1783"/>
      <c r="AZ39" s="1783"/>
      <c r="BA39" s="1783"/>
      <c r="BB39" s="1783"/>
      <c r="BC39" s="1783"/>
      <c r="BD39" s="1783"/>
      <c r="BE39" s="1783"/>
      <c r="BF39" s="1783"/>
      <c r="BG39" s="1783"/>
      <c r="BH39" s="1783"/>
      <c r="BI39" s="1783"/>
      <c r="BJ39" s="1783"/>
      <c r="BK39" s="1783"/>
      <c r="BL39" s="1783"/>
      <c r="BM39" s="1783"/>
      <c r="BN39" s="1783"/>
    </row>
    <row r="40" spans="1:66">
      <c r="A40" s="3"/>
      <c r="B40" s="1834" t="s">
        <v>2631</v>
      </c>
      <c r="C40" s="1836">
        <f>SUM(C38:C39)</f>
        <v>0</v>
      </c>
      <c r="D40" s="1836">
        <f>SUM(D38:D39)</f>
        <v>0</v>
      </c>
      <c r="E40" s="1836">
        <f>SUM(E38:E39)</f>
        <v>0</v>
      </c>
      <c r="F40" s="1836">
        <f>SUM(F38:F39)</f>
        <v>0</v>
      </c>
      <c r="G40" s="67"/>
      <c r="H40" s="15"/>
      <c r="I40" s="1783"/>
      <c r="J40" s="1783"/>
      <c r="K40" s="1783"/>
      <c r="L40" s="1783"/>
      <c r="M40" s="1783"/>
      <c r="N40" s="1783"/>
      <c r="O40" s="1783"/>
      <c r="P40" s="1783"/>
      <c r="Q40" s="1783"/>
      <c r="R40" s="1783"/>
      <c r="S40" s="1783"/>
      <c r="T40" s="1783"/>
      <c r="U40" s="1783"/>
      <c r="V40" s="1783"/>
      <c r="W40" s="1783"/>
      <c r="X40" s="1783"/>
      <c r="Y40" s="1783"/>
      <c r="Z40" s="1783"/>
      <c r="AA40" s="1783"/>
      <c r="AB40" s="1783"/>
      <c r="AC40" s="1783"/>
      <c r="AD40" s="1783"/>
      <c r="AE40" s="1783"/>
      <c r="AF40" s="1783"/>
      <c r="AG40" s="1783"/>
      <c r="AH40" s="1783"/>
      <c r="AI40" s="1783"/>
      <c r="AJ40" s="1783"/>
      <c r="AK40" s="1783"/>
      <c r="AL40" s="1783"/>
      <c r="AM40" s="1783"/>
      <c r="AN40" s="1783"/>
      <c r="AO40" s="1783"/>
      <c r="AP40" s="1783"/>
      <c r="AQ40" s="1783"/>
      <c r="AR40" s="1783"/>
      <c r="AS40" s="1783"/>
      <c r="AT40" s="1783"/>
      <c r="AU40" s="1783"/>
      <c r="AV40" s="1783"/>
      <c r="AW40" s="1783"/>
      <c r="AX40" s="1783"/>
      <c r="AY40" s="1783"/>
      <c r="AZ40" s="1783"/>
      <c r="BA40" s="1783"/>
      <c r="BB40" s="1783"/>
      <c r="BC40" s="1783"/>
      <c r="BD40" s="1783"/>
      <c r="BE40" s="1783"/>
      <c r="BF40" s="1783"/>
      <c r="BG40" s="1783"/>
      <c r="BH40" s="1783"/>
      <c r="BI40" s="1783"/>
      <c r="BJ40" s="1783"/>
      <c r="BK40" s="1783"/>
      <c r="BL40" s="1783"/>
      <c r="BM40" s="1783"/>
      <c r="BN40" s="1783"/>
    </row>
    <row r="41" spans="1:66">
      <c r="A41" s="3"/>
      <c r="B41" s="171"/>
      <c r="C41" s="1837"/>
      <c r="D41" s="1837"/>
      <c r="E41" s="1837"/>
      <c r="F41" s="1837"/>
      <c r="G41" s="67"/>
      <c r="H41" s="15"/>
      <c r="I41" s="1783"/>
      <c r="J41" s="1783"/>
      <c r="K41" s="1783"/>
      <c r="L41" s="1783"/>
      <c r="M41" s="1783"/>
      <c r="N41" s="1783"/>
      <c r="O41" s="1783"/>
      <c r="P41" s="1783"/>
      <c r="Q41" s="1783"/>
      <c r="R41" s="1783"/>
      <c r="S41" s="1783"/>
      <c r="T41" s="1783"/>
      <c r="U41" s="1783"/>
      <c r="V41" s="1783"/>
      <c r="W41" s="1783"/>
      <c r="X41" s="1783"/>
      <c r="Y41" s="1783"/>
      <c r="Z41" s="1783"/>
      <c r="AA41" s="1783"/>
      <c r="AB41" s="1783"/>
      <c r="AC41" s="1783"/>
      <c r="AD41" s="1783"/>
      <c r="AE41" s="1783"/>
      <c r="AF41" s="1783"/>
      <c r="AG41" s="1783"/>
      <c r="AH41" s="1783"/>
      <c r="AI41" s="1783"/>
      <c r="AJ41" s="1783"/>
      <c r="AK41" s="1783"/>
      <c r="AL41" s="1783"/>
      <c r="AM41" s="1783"/>
      <c r="AN41" s="1783"/>
      <c r="AO41" s="1783"/>
      <c r="AP41" s="1783"/>
      <c r="AQ41" s="1783"/>
      <c r="AR41" s="1783"/>
      <c r="AS41" s="1783"/>
      <c r="AT41" s="1783"/>
      <c r="AU41" s="1783"/>
      <c r="AV41" s="1783"/>
      <c r="AW41" s="1783"/>
      <c r="AX41" s="1783"/>
      <c r="AY41" s="1783"/>
      <c r="AZ41" s="1783"/>
      <c r="BA41" s="1783"/>
      <c r="BB41" s="1783"/>
      <c r="BC41" s="1783"/>
      <c r="BD41" s="1783"/>
      <c r="BE41" s="1783"/>
      <c r="BF41" s="1783"/>
      <c r="BG41" s="1783"/>
      <c r="BH41" s="1783"/>
      <c r="BI41" s="1783"/>
      <c r="BJ41" s="1783"/>
      <c r="BK41" s="1783"/>
      <c r="BL41" s="1783"/>
      <c r="BM41" s="1783"/>
      <c r="BN41" s="1783"/>
    </row>
    <row r="42" spans="1:66">
      <c r="A42" s="3"/>
      <c r="B42" s="1834" t="s">
        <v>2632</v>
      </c>
      <c r="C42" s="1836">
        <f>+C40+C36</f>
        <v>0</v>
      </c>
      <c r="D42" s="1836">
        <f>+D40+D36</f>
        <v>0</v>
      </c>
      <c r="E42" s="1836">
        <f>+E40+E36</f>
        <v>0</v>
      </c>
      <c r="F42" s="1836">
        <f>+F40+F36</f>
        <v>0</v>
      </c>
      <c r="G42" s="67"/>
      <c r="H42" s="15"/>
      <c r="I42" s="1783"/>
      <c r="J42" s="1783"/>
      <c r="K42" s="1783"/>
      <c r="L42" s="1783"/>
      <c r="M42" s="1783"/>
      <c r="N42" s="1783"/>
      <c r="O42" s="1783"/>
      <c r="P42" s="1783"/>
      <c r="Q42" s="1783"/>
      <c r="R42" s="1783"/>
      <c r="S42" s="1783"/>
      <c r="T42" s="1783"/>
      <c r="U42" s="1783"/>
      <c r="V42" s="1783"/>
      <c r="W42" s="1783"/>
      <c r="X42" s="1783"/>
      <c r="Y42" s="1783"/>
      <c r="Z42" s="1783"/>
      <c r="AA42" s="1783"/>
      <c r="AB42" s="1783"/>
      <c r="AC42" s="1783"/>
      <c r="AD42" s="1783"/>
      <c r="AE42" s="1783"/>
      <c r="AF42" s="1783"/>
      <c r="AG42" s="1783"/>
      <c r="AH42" s="1783"/>
      <c r="AI42" s="1783"/>
      <c r="AJ42" s="1783"/>
      <c r="AK42" s="1783"/>
      <c r="AL42" s="1783"/>
      <c r="AM42" s="1783"/>
      <c r="AN42" s="1783"/>
      <c r="AO42" s="1783"/>
      <c r="AP42" s="1783"/>
      <c r="AQ42" s="1783"/>
      <c r="AR42" s="1783"/>
      <c r="AS42" s="1783"/>
      <c r="AT42" s="1783"/>
      <c r="AU42" s="1783"/>
      <c r="AV42" s="1783"/>
      <c r="AW42" s="1783"/>
      <c r="AX42" s="1783"/>
      <c r="AY42" s="1783"/>
      <c r="AZ42" s="1783"/>
      <c r="BA42" s="1783"/>
      <c r="BB42" s="1783"/>
      <c r="BC42" s="1783"/>
      <c r="BD42" s="1783"/>
      <c r="BE42" s="1783"/>
      <c r="BF42" s="1783"/>
      <c r="BG42" s="1783"/>
      <c r="BH42" s="1783"/>
      <c r="BI42" s="1783"/>
      <c r="BJ42" s="1783"/>
      <c r="BK42" s="1783"/>
      <c r="BL42" s="1783"/>
      <c r="BM42" s="1783"/>
      <c r="BN42" s="1783"/>
    </row>
    <row r="43" spans="1:66">
      <c r="A43" s="3"/>
      <c r="B43" s="1838"/>
      <c r="C43" s="1839"/>
      <c r="D43" s="1839"/>
      <c r="E43" s="1839"/>
      <c r="F43" s="1839"/>
      <c r="G43" s="67"/>
      <c r="H43" s="15"/>
      <c r="I43" s="1783"/>
      <c r="J43" s="1783"/>
      <c r="K43" s="1783"/>
      <c r="L43" s="1783"/>
      <c r="M43" s="1783"/>
      <c r="N43" s="1783"/>
      <c r="O43" s="1783"/>
      <c r="P43" s="1783"/>
      <c r="Q43" s="1783"/>
      <c r="R43" s="1783"/>
      <c r="S43" s="1783"/>
      <c r="T43" s="1783"/>
      <c r="U43" s="1783"/>
      <c r="V43" s="1783"/>
      <c r="W43" s="1783"/>
      <c r="X43" s="1783"/>
      <c r="Y43" s="1783"/>
      <c r="Z43" s="1783"/>
      <c r="AA43" s="1783"/>
      <c r="AB43" s="1783"/>
      <c r="AC43" s="1783"/>
      <c r="AD43" s="1783"/>
      <c r="AE43" s="1783"/>
      <c r="AF43" s="1783"/>
      <c r="AG43" s="1783"/>
      <c r="AH43" s="1783"/>
      <c r="AI43" s="1783"/>
      <c r="AJ43" s="1783"/>
      <c r="AK43" s="1783"/>
      <c r="AL43" s="1783"/>
      <c r="AM43" s="1783"/>
      <c r="AN43" s="1783"/>
      <c r="AO43" s="1783"/>
      <c r="AP43" s="1783"/>
      <c r="AQ43" s="1783"/>
      <c r="AR43" s="1783"/>
      <c r="AS43" s="1783"/>
      <c r="AT43" s="1783"/>
      <c r="AU43" s="1783"/>
      <c r="AV43" s="1783"/>
      <c r="AW43" s="1783"/>
      <c r="AX43" s="1783"/>
      <c r="AY43" s="1783"/>
      <c r="AZ43" s="1783"/>
      <c r="BA43" s="1783"/>
      <c r="BB43" s="1783"/>
      <c r="BC43" s="1783"/>
      <c r="BD43" s="1783"/>
      <c r="BE43" s="1783"/>
      <c r="BF43" s="1783"/>
      <c r="BG43" s="1783"/>
      <c r="BH43" s="1783"/>
      <c r="BI43" s="1783"/>
      <c r="BJ43" s="1783"/>
      <c r="BK43" s="1783"/>
      <c r="BL43" s="1783"/>
      <c r="BM43" s="1783"/>
      <c r="BN43" s="1783"/>
    </row>
    <row r="44" spans="1:66">
      <c r="A44" s="3"/>
      <c r="B44" s="1838"/>
      <c r="C44" s="1839"/>
      <c r="D44" s="1839"/>
      <c r="E44" s="1839"/>
      <c r="F44" s="1839"/>
      <c r="G44" s="67"/>
      <c r="H44" s="15"/>
      <c r="I44" s="1783"/>
      <c r="J44" s="1783"/>
      <c r="K44" s="1783"/>
      <c r="L44" s="1783"/>
      <c r="M44" s="1783"/>
      <c r="N44" s="1783"/>
      <c r="O44" s="1783"/>
      <c r="P44" s="1783"/>
      <c r="Q44" s="1783"/>
      <c r="R44" s="1783"/>
      <c r="S44" s="1783"/>
      <c r="T44" s="1783"/>
      <c r="U44" s="1783"/>
      <c r="V44" s="1783"/>
      <c r="W44" s="1783"/>
      <c r="X44" s="1783"/>
      <c r="Y44" s="1783"/>
      <c r="Z44" s="1783"/>
      <c r="AA44" s="1783"/>
      <c r="AB44" s="1783"/>
      <c r="AC44" s="1783"/>
      <c r="AD44" s="1783"/>
      <c r="AE44" s="1783"/>
      <c r="AF44" s="1783"/>
      <c r="AG44" s="1783"/>
      <c r="AH44" s="1783"/>
      <c r="AI44" s="1783"/>
      <c r="AJ44" s="1783"/>
      <c r="AK44" s="1783"/>
      <c r="AL44" s="1783"/>
      <c r="AM44" s="1783"/>
      <c r="AN44" s="1783"/>
      <c r="AO44" s="1783"/>
      <c r="AP44" s="1783"/>
      <c r="AQ44" s="1783"/>
      <c r="AR44" s="1783"/>
      <c r="AS44" s="1783"/>
      <c r="AT44" s="1783"/>
      <c r="AU44" s="1783"/>
      <c r="AV44" s="1783"/>
      <c r="AW44" s="1783"/>
      <c r="AX44" s="1783"/>
      <c r="AY44" s="1783"/>
      <c r="AZ44" s="1783"/>
      <c r="BA44" s="1783"/>
      <c r="BB44" s="1783"/>
      <c r="BC44" s="1783"/>
      <c r="BD44" s="1783"/>
      <c r="BE44" s="1783"/>
      <c r="BF44" s="1783"/>
      <c r="BG44" s="1783"/>
      <c r="BH44" s="1783"/>
      <c r="BI44" s="1783"/>
      <c r="BJ44" s="1783"/>
      <c r="BK44" s="1783"/>
      <c r="BL44" s="1783"/>
      <c r="BM44" s="1783"/>
      <c r="BN44" s="1783"/>
    </row>
    <row r="45" spans="1:66">
      <c r="A45" s="3"/>
      <c r="B45" s="1831" t="s">
        <v>2621</v>
      </c>
      <c r="C45" s="1832" t="s">
        <v>2612</v>
      </c>
      <c r="D45" s="1832" t="s">
        <v>543</v>
      </c>
      <c r="E45" s="1832" t="s">
        <v>1001</v>
      </c>
      <c r="F45" s="30"/>
      <c r="G45" s="67"/>
      <c r="H45" s="15"/>
      <c r="I45" s="1783"/>
      <c r="J45" s="1783"/>
      <c r="K45" s="1783"/>
      <c r="L45" s="1783"/>
      <c r="M45" s="1783"/>
      <c r="N45" s="1783"/>
      <c r="O45" s="1783"/>
      <c r="P45" s="1783"/>
      <c r="Q45" s="1783"/>
      <c r="R45" s="1783"/>
      <c r="S45" s="1783"/>
      <c r="T45" s="1783"/>
      <c r="U45" s="1783"/>
      <c r="V45" s="1783"/>
      <c r="W45" s="1783"/>
      <c r="X45" s="1783"/>
      <c r="Y45" s="1783"/>
      <c r="Z45" s="1783"/>
      <c r="AA45" s="1783"/>
      <c r="AB45" s="1783"/>
      <c r="AC45" s="1783"/>
      <c r="AD45" s="1783"/>
      <c r="AE45" s="1783"/>
      <c r="AF45" s="1783"/>
      <c r="AG45" s="1783"/>
      <c r="AH45" s="1783"/>
      <c r="AI45" s="1783"/>
      <c r="AJ45" s="1783"/>
      <c r="AK45" s="1783"/>
      <c r="AL45" s="1783"/>
      <c r="AM45" s="1783"/>
      <c r="AN45" s="1783"/>
      <c r="AO45" s="1783"/>
      <c r="AP45" s="1783"/>
      <c r="AQ45" s="1783"/>
      <c r="AR45" s="1783"/>
      <c r="AS45" s="1783"/>
      <c r="AT45" s="1783"/>
      <c r="AU45" s="1783"/>
      <c r="AV45" s="1783"/>
      <c r="AW45" s="1783"/>
      <c r="AX45" s="1783"/>
      <c r="AY45" s="1783"/>
      <c r="AZ45" s="1783"/>
      <c r="BA45" s="1783"/>
      <c r="BB45" s="1783"/>
      <c r="BC45" s="1783"/>
      <c r="BD45" s="1783"/>
      <c r="BE45" s="1783"/>
      <c r="BF45" s="1783"/>
      <c r="BG45" s="1783"/>
      <c r="BH45" s="1783"/>
      <c r="BI45" s="1783"/>
      <c r="BJ45" s="1783"/>
      <c r="BK45" s="1783"/>
      <c r="BL45" s="1783"/>
      <c r="BM45" s="1783"/>
      <c r="BN45" s="1783"/>
    </row>
    <row r="46" spans="1:66">
      <c r="A46" s="3"/>
      <c r="B46" s="171"/>
      <c r="C46" s="1833" t="s">
        <v>1286</v>
      </c>
      <c r="D46" s="1833" t="s">
        <v>1287</v>
      </c>
      <c r="E46" s="1833" t="s">
        <v>1288</v>
      </c>
      <c r="F46" s="30"/>
      <c r="G46" s="67"/>
      <c r="H46" s="15"/>
      <c r="I46" s="1783"/>
      <c r="J46" s="1783"/>
      <c r="K46" s="1783"/>
      <c r="L46" s="1783"/>
      <c r="M46" s="1783"/>
      <c r="N46" s="1783"/>
      <c r="O46" s="1783"/>
      <c r="P46" s="1783"/>
      <c r="Q46" s="1783"/>
      <c r="R46" s="1783"/>
      <c r="S46" s="1783"/>
      <c r="T46" s="1783"/>
      <c r="U46" s="1783"/>
      <c r="V46" s="1783"/>
      <c r="W46" s="1783"/>
      <c r="X46" s="1783"/>
      <c r="Y46" s="1783"/>
      <c r="Z46" s="1783"/>
      <c r="AA46" s="1783"/>
      <c r="AB46" s="1783"/>
      <c r="AC46" s="1783"/>
      <c r="AD46" s="1783"/>
      <c r="AE46" s="1783"/>
      <c r="AF46" s="1783"/>
      <c r="AG46" s="1783"/>
      <c r="AH46" s="1783"/>
      <c r="AI46" s="1783"/>
      <c r="AJ46" s="1783"/>
      <c r="AK46" s="1783"/>
      <c r="AL46" s="1783"/>
      <c r="AM46" s="1783"/>
      <c r="AN46" s="1783"/>
      <c r="AO46" s="1783"/>
      <c r="AP46" s="1783"/>
      <c r="AQ46" s="1783"/>
      <c r="AR46" s="1783"/>
      <c r="AS46" s="1783"/>
      <c r="AT46" s="1783"/>
      <c r="AU46" s="1783"/>
      <c r="AV46" s="1783"/>
      <c r="AW46" s="1783"/>
      <c r="AX46" s="1783"/>
      <c r="AY46" s="1783"/>
      <c r="AZ46" s="1783"/>
      <c r="BA46" s="1783"/>
      <c r="BB46" s="1783"/>
      <c r="BC46" s="1783"/>
      <c r="BD46" s="1783"/>
      <c r="BE46" s="1783"/>
      <c r="BF46" s="1783"/>
      <c r="BG46" s="1783"/>
      <c r="BH46" s="1783"/>
      <c r="BI46" s="1783"/>
      <c r="BJ46" s="1783"/>
      <c r="BK46" s="1783"/>
      <c r="BL46" s="1783"/>
      <c r="BM46" s="1783"/>
      <c r="BN46" s="1783"/>
    </row>
    <row r="47" spans="1:66">
      <c r="A47" s="3"/>
      <c r="B47" s="1834" t="s">
        <v>2633</v>
      </c>
      <c r="C47" s="1835"/>
      <c r="D47" s="1835"/>
      <c r="E47" s="1836">
        <f>SUM(C47:D47)</f>
        <v>0</v>
      </c>
      <c r="F47" s="30"/>
      <c r="G47" s="67"/>
      <c r="H47" s="15"/>
      <c r="I47" s="1783"/>
      <c r="J47" s="1783"/>
      <c r="K47" s="1783"/>
      <c r="L47" s="1783"/>
      <c r="M47" s="1783"/>
      <c r="N47" s="1783"/>
      <c r="O47" s="1783"/>
      <c r="P47" s="1783"/>
      <c r="Q47" s="1783"/>
      <c r="R47" s="1783"/>
      <c r="S47" s="1783"/>
      <c r="T47" s="1783"/>
      <c r="U47" s="1783"/>
      <c r="V47" s="1783"/>
      <c r="W47" s="1783"/>
      <c r="X47" s="1783"/>
      <c r="Y47" s="1783"/>
      <c r="Z47" s="1783"/>
      <c r="AA47" s="1783"/>
      <c r="AB47" s="1783"/>
      <c r="AC47" s="1783"/>
      <c r="AD47" s="1783"/>
      <c r="AE47" s="1783"/>
      <c r="AF47" s="1783"/>
      <c r="AG47" s="1783"/>
      <c r="AH47" s="1783"/>
      <c r="AI47" s="1783"/>
      <c r="AJ47" s="1783"/>
      <c r="AK47" s="1783"/>
      <c r="AL47" s="1783"/>
      <c r="AM47" s="1783"/>
      <c r="AN47" s="1783"/>
      <c r="AO47" s="1783"/>
      <c r="AP47" s="1783"/>
      <c r="AQ47" s="1783"/>
      <c r="AR47" s="1783"/>
      <c r="AS47" s="1783"/>
      <c r="AT47" s="1783"/>
      <c r="AU47" s="1783"/>
      <c r="AV47" s="1783"/>
      <c r="AW47" s="1783"/>
      <c r="AX47" s="1783"/>
      <c r="AY47" s="1783"/>
      <c r="AZ47" s="1783"/>
      <c r="BA47" s="1783"/>
      <c r="BB47" s="1783"/>
      <c r="BC47" s="1783"/>
      <c r="BD47" s="1783"/>
      <c r="BE47" s="1783"/>
      <c r="BF47" s="1783"/>
      <c r="BG47" s="1783"/>
      <c r="BH47" s="1783"/>
      <c r="BI47" s="1783"/>
      <c r="BJ47" s="1783"/>
      <c r="BK47" s="1783"/>
      <c r="BL47" s="1783"/>
      <c r="BM47" s="1783"/>
      <c r="BN47" s="1783"/>
    </row>
    <row r="48" spans="1:66">
      <c r="A48" s="3"/>
      <c r="B48" s="1834" t="s">
        <v>2634</v>
      </c>
      <c r="C48" s="1835"/>
      <c r="D48" s="1835"/>
      <c r="E48" s="1836">
        <f>SUM(C48:D48)</f>
        <v>0</v>
      </c>
      <c r="F48" s="30"/>
      <c r="G48" s="67"/>
      <c r="H48" s="15"/>
      <c r="I48" s="1783"/>
      <c r="J48" s="1783"/>
      <c r="K48" s="1783"/>
      <c r="L48" s="1783"/>
      <c r="M48" s="1783"/>
      <c r="N48" s="1783"/>
      <c r="O48" s="1783"/>
      <c r="P48" s="1783"/>
      <c r="Q48" s="1783"/>
      <c r="R48" s="1783"/>
      <c r="S48" s="1783"/>
      <c r="T48" s="1783"/>
      <c r="U48" s="1783"/>
      <c r="V48" s="1783"/>
      <c r="W48" s="1783"/>
      <c r="X48" s="1783"/>
      <c r="Y48" s="1783"/>
      <c r="Z48" s="1783"/>
      <c r="AA48" s="1783"/>
      <c r="AB48" s="1783"/>
      <c r="AC48" s="1783"/>
      <c r="AD48" s="1783"/>
      <c r="AE48" s="1783"/>
      <c r="AF48" s="1783"/>
      <c r="AG48" s="1783"/>
      <c r="AH48" s="1783"/>
      <c r="AI48" s="1783"/>
      <c r="AJ48" s="1783"/>
      <c r="AK48" s="1783"/>
      <c r="AL48" s="1783"/>
      <c r="AM48" s="1783"/>
      <c r="AN48" s="1783"/>
      <c r="AO48" s="1783"/>
      <c r="AP48" s="1783"/>
      <c r="AQ48" s="1783"/>
      <c r="AR48" s="1783"/>
      <c r="AS48" s="1783"/>
      <c r="AT48" s="1783"/>
      <c r="AU48" s="1783"/>
      <c r="AV48" s="1783"/>
      <c r="AW48" s="1783"/>
      <c r="AX48" s="1783"/>
      <c r="AY48" s="1783"/>
      <c r="AZ48" s="1783"/>
      <c r="BA48" s="1783"/>
      <c r="BB48" s="1783"/>
      <c r="BC48" s="1783"/>
      <c r="BD48" s="1783"/>
      <c r="BE48" s="1783"/>
      <c r="BF48" s="1783"/>
      <c r="BG48" s="1783"/>
      <c r="BH48" s="1783"/>
      <c r="BI48" s="1783"/>
      <c r="BJ48" s="1783"/>
      <c r="BK48" s="1783"/>
      <c r="BL48" s="1783"/>
      <c r="BM48" s="1783"/>
      <c r="BN48" s="1783"/>
    </row>
    <row r="49" spans="1:66">
      <c r="A49" s="3"/>
      <c r="B49" s="1834" t="s">
        <v>2635</v>
      </c>
      <c r="C49" s="1835"/>
      <c r="D49" s="1835"/>
      <c r="E49" s="1836">
        <f>SUM(C49:D49)</f>
        <v>0</v>
      </c>
      <c r="F49" s="30"/>
      <c r="G49" s="67"/>
      <c r="H49" s="15"/>
      <c r="I49" s="1783"/>
      <c r="J49" s="1783"/>
      <c r="K49" s="1783"/>
      <c r="L49" s="1783"/>
      <c r="M49" s="1783"/>
      <c r="N49" s="1783"/>
      <c r="O49" s="1783"/>
      <c r="P49" s="1783"/>
      <c r="Q49" s="1783"/>
      <c r="R49" s="1783"/>
      <c r="S49" s="1783"/>
      <c r="T49" s="1783"/>
      <c r="U49" s="1783"/>
      <c r="V49" s="1783"/>
      <c r="W49" s="1783"/>
      <c r="X49" s="1783"/>
      <c r="Y49" s="1783"/>
      <c r="Z49" s="1783"/>
      <c r="AA49" s="1783"/>
      <c r="AB49" s="1783"/>
      <c r="AC49" s="1783"/>
      <c r="AD49" s="1783"/>
      <c r="AE49" s="1783"/>
      <c r="AF49" s="1783"/>
      <c r="AG49" s="1783"/>
      <c r="AH49" s="1783"/>
      <c r="AI49" s="1783"/>
      <c r="AJ49" s="1783"/>
      <c r="AK49" s="1783"/>
      <c r="AL49" s="1783"/>
      <c r="AM49" s="1783"/>
      <c r="AN49" s="1783"/>
      <c r="AO49" s="1783"/>
      <c r="AP49" s="1783"/>
      <c r="AQ49" s="1783"/>
      <c r="AR49" s="1783"/>
      <c r="AS49" s="1783"/>
      <c r="AT49" s="1783"/>
      <c r="AU49" s="1783"/>
      <c r="AV49" s="1783"/>
      <c r="AW49" s="1783"/>
      <c r="AX49" s="1783"/>
      <c r="AY49" s="1783"/>
      <c r="AZ49" s="1783"/>
      <c r="BA49" s="1783"/>
      <c r="BB49" s="1783"/>
      <c r="BC49" s="1783"/>
      <c r="BD49" s="1783"/>
      <c r="BE49" s="1783"/>
      <c r="BF49" s="1783"/>
      <c r="BG49" s="1783"/>
      <c r="BH49" s="1783"/>
      <c r="BI49" s="1783"/>
      <c r="BJ49" s="1783"/>
      <c r="BK49" s="1783"/>
      <c r="BL49" s="1783"/>
      <c r="BM49" s="1783"/>
      <c r="BN49" s="1783"/>
    </row>
    <row r="50" spans="1:66">
      <c r="A50" s="3"/>
      <c r="B50" s="171"/>
      <c r="C50" s="1837"/>
      <c r="D50" s="1837"/>
      <c r="E50" s="1837"/>
      <c r="F50" s="30"/>
      <c r="G50" s="67"/>
      <c r="H50" s="15"/>
      <c r="I50" s="1783"/>
      <c r="J50" s="1783"/>
      <c r="K50" s="1783"/>
      <c r="L50" s="1783"/>
      <c r="M50" s="1783"/>
      <c r="N50" s="1783"/>
      <c r="O50" s="1783"/>
      <c r="P50" s="1783"/>
      <c r="Q50" s="1783"/>
      <c r="R50" s="1783"/>
      <c r="S50" s="1783"/>
      <c r="T50" s="1783"/>
      <c r="U50" s="1783"/>
      <c r="V50" s="1783"/>
      <c r="W50" s="1783"/>
      <c r="X50" s="1783"/>
      <c r="Y50" s="1783"/>
      <c r="Z50" s="1783"/>
      <c r="AA50" s="1783"/>
      <c r="AB50" s="1783"/>
      <c r="AC50" s="1783"/>
      <c r="AD50" s="1783"/>
      <c r="AE50" s="1783"/>
      <c r="AF50" s="1783"/>
      <c r="AG50" s="1783"/>
      <c r="AH50" s="1783"/>
      <c r="AI50" s="1783"/>
      <c r="AJ50" s="1783"/>
      <c r="AK50" s="1783"/>
      <c r="AL50" s="1783"/>
      <c r="AM50" s="1783"/>
      <c r="AN50" s="1783"/>
      <c r="AO50" s="1783"/>
      <c r="AP50" s="1783"/>
      <c r="AQ50" s="1783"/>
      <c r="AR50" s="1783"/>
      <c r="AS50" s="1783"/>
      <c r="AT50" s="1783"/>
      <c r="AU50" s="1783"/>
      <c r="AV50" s="1783"/>
      <c r="AW50" s="1783"/>
      <c r="AX50" s="1783"/>
      <c r="AY50" s="1783"/>
      <c r="AZ50" s="1783"/>
      <c r="BA50" s="1783"/>
      <c r="BB50" s="1783"/>
      <c r="BC50" s="1783"/>
      <c r="BD50" s="1783"/>
      <c r="BE50" s="1783"/>
      <c r="BF50" s="1783"/>
      <c r="BG50" s="1783"/>
      <c r="BH50" s="1783"/>
      <c r="BI50" s="1783"/>
      <c r="BJ50" s="1783"/>
      <c r="BK50" s="1783"/>
      <c r="BL50" s="1783"/>
      <c r="BM50" s="1783"/>
      <c r="BN50" s="1783"/>
    </row>
    <row r="51" spans="1:66" ht="25.5">
      <c r="A51" s="3"/>
      <c r="B51" s="1834" t="s">
        <v>2636</v>
      </c>
      <c r="C51" s="1840">
        <f>SUM(C47:C49)</f>
        <v>0</v>
      </c>
      <c r="D51" s="1840">
        <f>SUM(D47:D49)</f>
        <v>0</v>
      </c>
      <c r="E51" s="1840">
        <f>SUM(E47:E49)</f>
        <v>0</v>
      </c>
      <c r="F51" s="30"/>
      <c r="G51" s="67"/>
      <c r="H51" s="15"/>
      <c r="I51" s="1783"/>
      <c r="J51" s="1783"/>
      <c r="K51" s="1783"/>
      <c r="L51" s="1783"/>
      <c r="M51" s="1783"/>
      <c r="N51" s="1783"/>
      <c r="O51" s="1783"/>
      <c r="P51" s="1783"/>
      <c r="Q51" s="1783"/>
      <c r="R51" s="1783"/>
      <c r="S51" s="1783"/>
      <c r="T51" s="1783"/>
      <c r="U51" s="1783"/>
      <c r="V51" s="1783"/>
      <c r="W51" s="1783"/>
      <c r="X51" s="1783"/>
      <c r="Y51" s="1783"/>
      <c r="Z51" s="1783"/>
      <c r="AA51" s="1783"/>
      <c r="AB51" s="1783"/>
      <c r="AC51" s="1783"/>
      <c r="AD51" s="1783"/>
      <c r="AE51" s="1783"/>
      <c r="AF51" s="1783"/>
      <c r="AG51" s="1783"/>
      <c r="AH51" s="1783"/>
      <c r="AI51" s="1783"/>
      <c r="AJ51" s="1783"/>
      <c r="AK51" s="1783"/>
      <c r="AL51" s="1783"/>
      <c r="AM51" s="1783"/>
      <c r="AN51" s="1783"/>
      <c r="AO51" s="1783"/>
      <c r="AP51" s="1783"/>
      <c r="AQ51" s="1783"/>
      <c r="AR51" s="1783"/>
      <c r="AS51" s="1783"/>
      <c r="AT51" s="1783"/>
      <c r="AU51" s="1783"/>
      <c r="AV51" s="1783"/>
      <c r="AW51" s="1783"/>
      <c r="AX51" s="1783"/>
      <c r="AY51" s="1783"/>
      <c r="AZ51" s="1783"/>
      <c r="BA51" s="1783"/>
      <c r="BB51" s="1783"/>
      <c r="BC51" s="1783"/>
      <c r="BD51" s="1783"/>
      <c r="BE51" s="1783"/>
      <c r="BF51" s="1783"/>
      <c r="BG51" s="1783"/>
      <c r="BH51" s="1783"/>
      <c r="BI51" s="1783"/>
      <c r="BJ51" s="1783"/>
      <c r="BK51" s="1783"/>
      <c r="BL51" s="1783"/>
      <c r="BM51" s="1783"/>
      <c r="BN51" s="1783"/>
    </row>
    <row r="52" spans="1:66">
      <c r="A52" s="3"/>
      <c r="B52" s="1828"/>
      <c r="C52" s="1825"/>
      <c r="D52" s="1825"/>
      <c r="E52" s="3"/>
      <c r="F52" s="67"/>
      <c r="G52" s="67"/>
      <c r="H52" s="15"/>
      <c r="I52" s="1783"/>
      <c r="J52" s="1783"/>
      <c r="K52" s="1783"/>
      <c r="L52" s="1783"/>
      <c r="M52" s="1783"/>
      <c r="N52" s="1783"/>
      <c r="O52" s="1783"/>
      <c r="P52" s="1783"/>
      <c r="Q52" s="1783"/>
      <c r="R52" s="1783"/>
      <c r="S52" s="1783"/>
      <c r="T52" s="1783"/>
      <c r="U52" s="1783"/>
      <c r="V52" s="1783"/>
      <c r="W52" s="1783"/>
      <c r="X52" s="1783"/>
      <c r="Y52" s="1783"/>
      <c r="Z52" s="1783"/>
      <c r="AA52" s="1783"/>
      <c r="AB52" s="1783"/>
      <c r="AC52" s="1783"/>
      <c r="AD52" s="1783"/>
      <c r="AE52" s="1783"/>
      <c r="AF52" s="1783"/>
      <c r="AG52" s="1783"/>
      <c r="AH52" s="1783"/>
      <c r="AI52" s="1783"/>
      <c r="AJ52" s="1783"/>
      <c r="AK52" s="1783"/>
      <c r="AL52" s="1783"/>
      <c r="AM52" s="1783"/>
      <c r="AN52" s="1783"/>
      <c r="AO52" s="1783"/>
      <c r="AP52" s="1783"/>
      <c r="AQ52" s="1783"/>
      <c r="AR52" s="1783"/>
      <c r="AS52" s="1783"/>
      <c r="AT52" s="1783"/>
      <c r="AU52" s="1783"/>
      <c r="AV52" s="1783"/>
      <c r="AW52" s="1783"/>
      <c r="AX52" s="1783"/>
      <c r="AY52" s="1783"/>
      <c r="AZ52" s="1783"/>
      <c r="BA52" s="1783"/>
      <c r="BB52" s="1783"/>
      <c r="BC52" s="1783"/>
      <c r="BD52" s="1783"/>
      <c r="BE52" s="1783"/>
      <c r="BF52" s="1783"/>
      <c r="BG52" s="1783"/>
      <c r="BH52" s="1783"/>
      <c r="BI52" s="1783"/>
      <c r="BJ52" s="1783"/>
      <c r="BK52" s="1783"/>
      <c r="BL52" s="1783"/>
      <c r="BM52" s="1783"/>
      <c r="BN52" s="1783"/>
    </row>
    <row r="53" spans="1:66">
      <c r="A53" s="3"/>
      <c r="B53" s="1828"/>
      <c r="C53" s="1825"/>
      <c r="D53" s="1825"/>
      <c r="E53" s="3"/>
      <c r="F53" s="67"/>
      <c r="G53" s="67"/>
      <c r="H53" s="15"/>
      <c r="I53" s="1783"/>
      <c r="J53" s="1783"/>
      <c r="K53" s="1783"/>
      <c r="L53" s="1783"/>
      <c r="M53" s="1783"/>
      <c r="N53" s="1783"/>
      <c r="O53" s="1783"/>
      <c r="P53" s="1783"/>
      <c r="Q53" s="1783"/>
      <c r="R53" s="1783"/>
      <c r="S53" s="1783"/>
      <c r="T53" s="1783"/>
      <c r="U53" s="1783"/>
      <c r="V53" s="1783"/>
      <c r="W53" s="1783"/>
      <c r="X53" s="1783"/>
      <c r="Y53" s="1783"/>
      <c r="Z53" s="1783"/>
      <c r="AA53" s="1783"/>
      <c r="AB53" s="1783"/>
      <c r="AC53" s="1783"/>
      <c r="AD53" s="1783"/>
      <c r="AE53" s="1783"/>
      <c r="AF53" s="1783"/>
      <c r="AG53" s="1783"/>
      <c r="AH53" s="1783"/>
      <c r="AI53" s="1783"/>
      <c r="AJ53" s="1783"/>
      <c r="AK53" s="1783"/>
      <c r="AL53" s="1783"/>
      <c r="AM53" s="1783"/>
      <c r="AN53" s="1783"/>
      <c r="AO53" s="1783"/>
      <c r="AP53" s="1783"/>
      <c r="AQ53" s="1783"/>
      <c r="AR53" s="1783"/>
      <c r="AS53" s="1783"/>
      <c r="AT53" s="1783"/>
      <c r="AU53" s="1783"/>
      <c r="AV53" s="1783"/>
      <c r="AW53" s="1783"/>
      <c r="AX53" s="1783"/>
      <c r="AY53" s="1783"/>
      <c r="AZ53" s="1783"/>
      <c r="BA53" s="1783"/>
      <c r="BB53" s="1783"/>
      <c r="BC53" s="1783"/>
      <c r="BD53" s="1783"/>
      <c r="BE53" s="1783"/>
      <c r="BF53" s="1783"/>
      <c r="BG53" s="1783"/>
      <c r="BH53" s="1783"/>
      <c r="BI53" s="1783"/>
      <c r="BJ53" s="1783"/>
      <c r="BK53" s="1783"/>
      <c r="BL53" s="1783"/>
      <c r="BM53" s="1783"/>
      <c r="BN53" s="1783"/>
    </row>
    <row r="54" spans="1:66">
      <c r="A54" s="3"/>
      <c r="B54" s="1828"/>
      <c r="C54" s="1825"/>
      <c r="D54" s="1825"/>
      <c r="E54" s="3"/>
      <c r="F54" s="67"/>
      <c r="G54" s="67"/>
      <c r="H54" s="15"/>
      <c r="I54" s="1783"/>
      <c r="J54" s="1783"/>
      <c r="K54" s="1783"/>
      <c r="L54" s="1783"/>
      <c r="M54" s="1783"/>
      <c r="N54" s="1783"/>
      <c r="O54" s="1783"/>
      <c r="P54" s="1783"/>
      <c r="Q54" s="1783"/>
      <c r="R54" s="1783"/>
      <c r="S54" s="1783"/>
      <c r="T54" s="1783"/>
      <c r="U54" s="1783"/>
      <c r="V54" s="1783"/>
      <c r="W54" s="1783"/>
      <c r="X54" s="1783"/>
      <c r="Y54" s="1783"/>
      <c r="Z54" s="1783"/>
      <c r="AA54" s="1783"/>
      <c r="AB54" s="1783"/>
      <c r="AC54" s="1783"/>
      <c r="AD54" s="1783"/>
      <c r="AE54" s="1783"/>
      <c r="AF54" s="1783"/>
      <c r="AG54" s="1783"/>
      <c r="AH54" s="1783"/>
      <c r="AI54" s="1783"/>
      <c r="AJ54" s="1783"/>
      <c r="AK54" s="1783"/>
      <c r="AL54" s="1783"/>
      <c r="AM54" s="1783"/>
      <c r="AN54" s="1783"/>
      <c r="AO54" s="1783"/>
      <c r="AP54" s="1783"/>
      <c r="AQ54" s="1783"/>
      <c r="AR54" s="1783"/>
      <c r="AS54" s="1783"/>
      <c r="AT54" s="1783"/>
      <c r="AU54" s="1783"/>
      <c r="AV54" s="1783"/>
      <c r="AW54" s="1783"/>
      <c r="AX54" s="1783"/>
      <c r="AY54" s="1783"/>
      <c r="AZ54" s="1783"/>
      <c r="BA54" s="1783"/>
      <c r="BB54" s="1783"/>
      <c r="BC54" s="1783"/>
      <c r="BD54" s="1783"/>
      <c r="BE54" s="1783"/>
      <c r="BF54" s="1783"/>
      <c r="BG54" s="1783"/>
      <c r="BH54" s="1783"/>
      <c r="BI54" s="1783"/>
      <c r="BJ54" s="1783"/>
      <c r="BK54" s="1783"/>
      <c r="BL54" s="1783"/>
      <c r="BM54" s="1783"/>
      <c r="BN54" s="1783"/>
    </row>
    <row r="55" spans="1:66">
      <c r="A55" s="3"/>
      <c r="B55" s="1828"/>
      <c r="C55" s="1825"/>
      <c r="D55" s="1825"/>
      <c r="E55" s="3"/>
      <c r="F55" s="67"/>
      <c r="G55" s="67"/>
      <c r="H55" s="15"/>
      <c r="I55" s="1783"/>
      <c r="J55" s="1783"/>
      <c r="K55" s="1783"/>
      <c r="L55" s="1783"/>
      <c r="M55" s="1783"/>
      <c r="N55" s="1783"/>
      <c r="O55" s="1783"/>
      <c r="P55" s="1783"/>
      <c r="Q55" s="1783"/>
      <c r="R55" s="1783"/>
      <c r="S55" s="1783"/>
      <c r="T55" s="1783"/>
      <c r="U55" s="1783"/>
      <c r="V55" s="1783"/>
      <c r="W55" s="1783"/>
      <c r="X55" s="1783"/>
      <c r="Y55" s="1783"/>
      <c r="Z55" s="1783"/>
      <c r="AA55" s="1783"/>
      <c r="AB55" s="1783"/>
      <c r="AC55" s="1783"/>
      <c r="AD55" s="1783"/>
      <c r="AE55" s="1783"/>
      <c r="AF55" s="1783"/>
      <c r="AG55" s="1783"/>
      <c r="AH55" s="1783"/>
      <c r="AI55" s="1783"/>
      <c r="AJ55" s="1783"/>
      <c r="AK55" s="1783"/>
      <c r="AL55" s="1783"/>
      <c r="AM55" s="1783"/>
      <c r="AN55" s="1783"/>
      <c r="AO55" s="1783"/>
      <c r="AP55" s="1783"/>
      <c r="AQ55" s="1783"/>
      <c r="AR55" s="1783"/>
      <c r="AS55" s="1783"/>
      <c r="AT55" s="1783"/>
      <c r="AU55" s="1783"/>
      <c r="AV55" s="1783"/>
      <c r="AW55" s="1783"/>
      <c r="AX55" s="1783"/>
      <c r="AY55" s="1783"/>
      <c r="AZ55" s="1783"/>
      <c r="BA55" s="1783"/>
      <c r="BB55" s="1783"/>
      <c r="BC55" s="1783"/>
      <c r="BD55" s="1783"/>
      <c r="BE55" s="1783"/>
      <c r="BF55" s="1783"/>
      <c r="BG55" s="1783"/>
      <c r="BH55" s="1783"/>
      <c r="BI55" s="1783"/>
      <c r="BJ55" s="1783"/>
      <c r="BK55" s="1783"/>
      <c r="BL55" s="1783"/>
      <c r="BM55" s="1783"/>
      <c r="BN55" s="1783"/>
    </row>
    <row r="56" spans="1:66">
      <c r="A56" s="3"/>
      <c r="B56" s="1828"/>
      <c r="C56" s="1825"/>
      <c r="D56" s="1825"/>
      <c r="E56" s="3"/>
      <c r="F56" s="67"/>
      <c r="G56" s="67"/>
      <c r="H56" s="15"/>
      <c r="I56" s="1783"/>
      <c r="J56" s="1783"/>
      <c r="K56" s="1783"/>
      <c r="L56" s="1783"/>
      <c r="M56" s="1783"/>
      <c r="N56" s="1783"/>
      <c r="O56" s="1783"/>
      <c r="P56" s="1783"/>
      <c r="Q56" s="1783"/>
      <c r="R56" s="1783"/>
      <c r="S56" s="1783"/>
      <c r="T56" s="1783"/>
      <c r="U56" s="1783"/>
      <c r="V56" s="1783"/>
      <c r="W56" s="1783"/>
      <c r="X56" s="1783"/>
      <c r="Y56" s="1783"/>
      <c r="Z56" s="1783"/>
      <c r="AA56" s="1783"/>
      <c r="AB56" s="1783"/>
      <c r="AC56" s="1783"/>
      <c r="AD56" s="1783"/>
      <c r="AE56" s="1783"/>
      <c r="AF56" s="1783"/>
      <c r="AG56" s="1783"/>
      <c r="AH56" s="1783"/>
      <c r="AI56" s="1783"/>
      <c r="AJ56" s="1783"/>
      <c r="AK56" s="1783"/>
      <c r="AL56" s="1783"/>
      <c r="AM56" s="1783"/>
      <c r="AN56" s="1783"/>
      <c r="AO56" s="1783"/>
      <c r="AP56" s="1783"/>
      <c r="AQ56" s="1783"/>
      <c r="AR56" s="1783"/>
      <c r="AS56" s="1783"/>
      <c r="AT56" s="1783"/>
      <c r="AU56" s="1783"/>
      <c r="AV56" s="1783"/>
      <c r="AW56" s="1783"/>
      <c r="AX56" s="1783"/>
      <c r="AY56" s="1783"/>
      <c r="AZ56" s="1783"/>
      <c r="BA56" s="1783"/>
      <c r="BB56" s="1783"/>
      <c r="BC56" s="1783"/>
      <c r="BD56" s="1783"/>
      <c r="BE56" s="1783"/>
      <c r="BF56" s="1783"/>
      <c r="BG56" s="1783"/>
      <c r="BH56" s="1783"/>
      <c r="BI56" s="1783"/>
      <c r="BJ56" s="1783"/>
      <c r="BK56" s="1783"/>
      <c r="BL56" s="1783"/>
      <c r="BM56" s="1783"/>
      <c r="BN56" s="1783"/>
    </row>
    <row r="57" spans="1:66">
      <c r="A57" s="3"/>
      <c r="B57" s="1829" t="s">
        <v>2637</v>
      </c>
      <c r="C57" s="1825"/>
      <c r="D57" s="1825"/>
      <c r="E57" s="3"/>
      <c r="F57" s="67"/>
      <c r="G57" s="67"/>
      <c r="H57" s="15"/>
      <c r="I57" s="1783"/>
      <c r="J57" s="1783"/>
      <c r="K57" s="1783"/>
      <c r="L57" s="1783"/>
      <c r="M57" s="1783"/>
      <c r="N57" s="1783"/>
      <c r="O57" s="1783"/>
      <c r="P57" s="1783"/>
      <c r="Q57" s="1783"/>
      <c r="R57" s="1783"/>
      <c r="S57" s="1783"/>
      <c r="T57" s="1783"/>
      <c r="U57" s="1783"/>
      <c r="V57" s="1783"/>
      <c r="W57" s="1783"/>
      <c r="X57" s="1783"/>
      <c r="Y57" s="1783"/>
      <c r="Z57" s="1783"/>
      <c r="AA57" s="1783"/>
      <c r="AB57" s="1783"/>
      <c r="AC57" s="1783"/>
      <c r="AD57" s="1783"/>
      <c r="AE57" s="1783"/>
      <c r="AF57" s="1783"/>
      <c r="AG57" s="1783"/>
      <c r="AH57" s="1783"/>
      <c r="AI57" s="1783"/>
      <c r="AJ57" s="1783"/>
      <c r="AK57" s="1783"/>
      <c r="AL57" s="1783"/>
      <c r="AM57" s="1783"/>
      <c r="AN57" s="1783"/>
      <c r="AO57" s="1783"/>
      <c r="AP57" s="1783"/>
      <c r="AQ57" s="1783"/>
      <c r="AR57" s="1783"/>
      <c r="AS57" s="1783"/>
      <c r="AT57" s="1783"/>
      <c r="AU57" s="1783"/>
      <c r="AV57" s="1783"/>
      <c r="AW57" s="1783"/>
      <c r="AX57" s="1783"/>
      <c r="AY57" s="1783"/>
      <c r="AZ57" s="1783"/>
      <c r="BA57" s="1783"/>
      <c r="BB57" s="1783"/>
      <c r="BC57" s="1783"/>
      <c r="BD57" s="1783"/>
      <c r="BE57" s="1783"/>
      <c r="BF57" s="1783"/>
      <c r="BG57" s="1783"/>
      <c r="BH57" s="1783"/>
      <c r="BI57" s="1783"/>
      <c r="BJ57" s="1783"/>
      <c r="BK57" s="1783"/>
      <c r="BL57" s="1783"/>
      <c r="BM57" s="1783"/>
      <c r="BN57" s="1783"/>
    </row>
    <row r="58" spans="1:66">
      <c r="A58" s="3"/>
      <c r="B58" s="1831" t="s">
        <v>2611</v>
      </c>
      <c r="C58" s="1832" t="s">
        <v>2612</v>
      </c>
      <c r="D58" s="1832" t="s">
        <v>543</v>
      </c>
      <c r="E58" s="1832" t="s">
        <v>2613</v>
      </c>
      <c r="F58" s="1832" t="s">
        <v>1001</v>
      </c>
      <c r="G58" s="1084"/>
      <c r="H58" s="3"/>
      <c r="I58" s="1783"/>
      <c r="J58" s="1783"/>
      <c r="K58" s="1783"/>
      <c r="L58" s="1783"/>
      <c r="M58" s="1783"/>
      <c r="N58" s="1783"/>
      <c r="O58" s="1783"/>
      <c r="P58" s="1783"/>
      <c r="Q58" s="1783"/>
      <c r="R58" s="1783"/>
      <c r="S58" s="1783"/>
      <c r="T58" s="1783"/>
      <c r="U58" s="1783"/>
      <c r="V58" s="1783"/>
      <c r="W58" s="1783"/>
      <c r="X58" s="1783"/>
      <c r="Y58" s="1783"/>
      <c r="Z58" s="1783"/>
      <c r="AA58" s="1783"/>
      <c r="AB58" s="1783"/>
      <c r="AC58" s="1783"/>
      <c r="AD58" s="1783"/>
      <c r="AE58" s="1783"/>
      <c r="AF58" s="1783"/>
      <c r="AG58" s="1783"/>
      <c r="AH58" s="1783"/>
      <c r="AI58" s="1783"/>
      <c r="AJ58" s="1783"/>
      <c r="AK58" s="1783"/>
      <c r="AL58" s="1783"/>
      <c r="AM58" s="1783"/>
      <c r="AN58" s="1783"/>
      <c r="AO58" s="1783"/>
      <c r="AP58" s="1783"/>
      <c r="AQ58" s="1783"/>
      <c r="AR58" s="1783"/>
      <c r="AS58" s="1783"/>
      <c r="AT58" s="1783"/>
      <c r="AU58" s="1783"/>
      <c r="AV58" s="1783"/>
      <c r="AW58" s="1783"/>
      <c r="AX58" s="1783"/>
      <c r="AY58" s="1783"/>
      <c r="AZ58" s="1783"/>
      <c r="BA58" s="1783"/>
      <c r="BB58" s="1783"/>
      <c r="BC58" s="1783"/>
      <c r="BD58" s="1783"/>
      <c r="BE58" s="1783"/>
      <c r="BF58" s="1783"/>
      <c r="BG58" s="1783"/>
      <c r="BH58" s="1783"/>
      <c r="BI58" s="1783"/>
      <c r="BJ58" s="1783"/>
      <c r="BK58" s="1783"/>
      <c r="BL58" s="1783"/>
      <c r="BM58" s="1783"/>
      <c r="BN58" s="1783"/>
    </row>
    <row r="59" spans="1:66">
      <c r="A59" s="3"/>
      <c r="B59" s="38"/>
      <c r="C59" s="1841" t="s">
        <v>1286</v>
      </c>
      <c r="D59" s="1841" t="s">
        <v>1287</v>
      </c>
      <c r="E59" s="1841" t="s">
        <v>1288</v>
      </c>
      <c r="F59" s="1841" t="s">
        <v>842</v>
      </c>
      <c r="G59" s="1083"/>
      <c r="H59" s="3"/>
      <c r="I59" s="1783"/>
      <c r="J59" s="1783"/>
      <c r="K59" s="1783"/>
      <c r="L59" s="1783"/>
      <c r="M59" s="1783"/>
      <c r="N59" s="1783"/>
      <c r="O59" s="1783"/>
      <c r="P59" s="1783"/>
      <c r="Q59" s="1783"/>
      <c r="R59" s="1783"/>
      <c r="S59" s="1783"/>
      <c r="T59" s="1783"/>
      <c r="U59" s="1783"/>
      <c r="V59" s="1783"/>
      <c r="W59" s="1783"/>
      <c r="X59" s="1783"/>
      <c r="Y59" s="1783"/>
      <c r="Z59" s="1783"/>
      <c r="AA59" s="1783"/>
      <c r="AB59" s="1783"/>
      <c r="AC59" s="1783"/>
      <c r="AD59" s="1783"/>
      <c r="AE59" s="1783"/>
      <c r="AF59" s="1783"/>
      <c r="AG59" s="1783"/>
      <c r="AH59" s="1783"/>
      <c r="AI59" s="1783"/>
      <c r="AJ59" s="1783"/>
      <c r="AK59" s="1783"/>
      <c r="AL59" s="1783"/>
      <c r="AM59" s="1783"/>
      <c r="AN59" s="1783"/>
      <c r="AO59" s="1783"/>
      <c r="AP59" s="1783"/>
      <c r="AQ59" s="1783"/>
      <c r="AR59" s="1783"/>
      <c r="AS59" s="1783"/>
      <c r="AT59" s="1783"/>
      <c r="AU59" s="1783"/>
      <c r="AV59" s="1783"/>
      <c r="AW59" s="1783"/>
      <c r="AX59" s="1783"/>
      <c r="AY59" s="1783"/>
      <c r="AZ59" s="1783"/>
      <c r="BA59" s="1783"/>
      <c r="BB59" s="1783"/>
      <c r="BC59" s="1783"/>
      <c r="BD59" s="1783"/>
      <c r="BE59" s="1783"/>
      <c r="BF59" s="1783"/>
      <c r="BG59" s="1783"/>
      <c r="BH59" s="1783"/>
      <c r="BI59" s="1783"/>
      <c r="BJ59" s="1783"/>
      <c r="BK59" s="1783"/>
      <c r="BL59" s="1783"/>
      <c r="BM59" s="1783"/>
      <c r="BN59" s="1783"/>
    </row>
    <row r="60" spans="1:66">
      <c r="A60" s="3"/>
      <c r="B60" s="1842" t="s">
        <v>2638</v>
      </c>
      <c r="C60" s="1836">
        <f t="shared" ref="C60:E61" si="0">+C11+C34</f>
        <v>0</v>
      </c>
      <c r="D60" s="1836">
        <f t="shared" si="0"/>
        <v>0</v>
      </c>
      <c r="E60" s="1836">
        <f t="shared" si="0"/>
        <v>0</v>
      </c>
      <c r="F60" s="1843">
        <f>SUM(C60:E60)</f>
        <v>0</v>
      </c>
      <c r="G60" s="1844"/>
      <c r="H60" s="3"/>
      <c r="I60" s="1783"/>
      <c r="J60" s="1783"/>
      <c r="K60" s="1783"/>
      <c r="L60" s="1783"/>
      <c r="M60" s="1783"/>
      <c r="N60" s="1783"/>
      <c r="O60" s="1783"/>
      <c r="P60" s="1783"/>
      <c r="Q60" s="1783"/>
      <c r="R60" s="1783"/>
      <c r="S60" s="1783"/>
      <c r="T60" s="1783"/>
      <c r="U60" s="1783"/>
      <c r="V60" s="1783"/>
      <c r="W60" s="1783"/>
      <c r="X60" s="1783"/>
      <c r="Y60" s="1783"/>
      <c r="Z60" s="1783"/>
      <c r="AA60" s="1783"/>
      <c r="AB60" s="1783"/>
      <c r="AC60" s="1783"/>
      <c r="AD60" s="1783"/>
      <c r="AE60" s="1783"/>
      <c r="AF60" s="1783"/>
      <c r="AG60" s="1783"/>
      <c r="AH60" s="1783"/>
      <c r="AI60" s="1783"/>
      <c r="AJ60" s="1783"/>
      <c r="AK60" s="1783"/>
      <c r="AL60" s="1783"/>
      <c r="AM60" s="1783"/>
      <c r="AN60" s="1783"/>
      <c r="AO60" s="1783"/>
      <c r="AP60" s="1783"/>
      <c r="AQ60" s="1783"/>
      <c r="AR60" s="1783"/>
      <c r="AS60" s="1783"/>
      <c r="AT60" s="1783"/>
      <c r="AU60" s="1783"/>
      <c r="AV60" s="1783"/>
      <c r="AW60" s="1783"/>
      <c r="AX60" s="1783"/>
      <c r="AY60" s="1783"/>
      <c r="AZ60" s="1783"/>
      <c r="BA60" s="1783"/>
      <c r="BB60" s="1783"/>
      <c r="BC60" s="1783"/>
      <c r="BD60" s="1783"/>
      <c r="BE60" s="1783"/>
      <c r="BF60" s="1783"/>
      <c r="BG60" s="1783"/>
      <c r="BH60" s="1783"/>
      <c r="BI60" s="1783"/>
      <c r="BJ60" s="1783"/>
      <c r="BK60" s="1783"/>
      <c r="BL60" s="1783"/>
      <c r="BM60" s="1783"/>
      <c r="BN60" s="1783"/>
    </row>
    <row r="61" spans="1:66">
      <c r="A61" s="3"/>
      <c r="B61" s="1842" t="s">
        <v>2639</v>
      </c>
      <c r="C61" s="1836">
        <f t="shared" si="0"/>
        <v>0</v>
      </c>
      <c r="D61" s="1836">
        <f t="shared" si="0"/>
        <v>0</v>
      </c>
      <c r="E61" s="1836">
        <f t="shared" si="0"/>
        <v>0</v>
      </c>
      <c r="F61" s="1843">
        <f>SUM(C61:E61)</f>
        <v>0</v>
      </c>
      <c r="G61" s="1844"/>
      <c r="H61" s="3"/>
      <c r="I61" s="1783"/>
      <c r="J61" s="1783"/>
      <c r="K61" s="1783"/>
      <c r="L61" s="1783"/>
      <c r="M61" s="1783"/>
      <c r="N61" s="1783"/>
      <c r="O61" s="1783"/>
      <c r="P61" s="1783"/>
      <c r="Q61" s="1783"/>
      <c r="R61" s="1783"/>
      <c r="S61" s="1783"/>
      <c r="T61" s="1783"/>
      <c r="U61" s="1783"/>
      <c r="V61" s="1783"/>
      <c r="W61" s="1783"/>
      <c r="X61" s="1783"/>
      <c r="Y61" s="1783"/>
      <c r="Z61" s="1783"/>
      <c r="AA61" s="1783"/>
      <c r="AB61" s="1783"/>
      <c r="AC61" s="1783"/>
      <c r="AD61" s="1783"/>
      <c r="AE61" s="1783"/>
      <c r="AF61" s="1783"/>
      <c r="AG61" s="1783"/>
      <c r="AH61" s="1783"/>
      <c r="AI61" s="1783"/>
      <c r="AJ61" s="1783"/>
      <c r="AK61" s="1783"/>
      <c r="AL61" s="1783"/>
      <c r="AM61" s="1783"/>
      <c r="AN61" s="1783"/>
      <c r="AO61" s="1783"/>
      <c r="AP61" s="1783"/>
      <c r="AQ61" s="1783"/>
      <c r="AR61" s="1783"/>
      <c r="AS61" s="1783"/>
      <c r="AT61" s="1783"/>
      <c r="AU61" s="1783"/>
      <c r="AV61" s="1783"/>
      <c r="AW61" s="1783"/>
      <c r="AX61" s="1783"/>
      <c r="AY61" s="1783"/>
      <c r="AZ61" s="1783"/>
      <c r="BA61" s="1783"/>
      <c r="BB61" s="1783"/>
      <c r="BC61" s="1783"/>
      <c r="BD61" s="1783"/>
      <c r="BE61" s="1783"/>
      <c r="BF61" s="1783"/>
      <c r="BG61" s="1783"/>
      <c r="BH61" s="1783"/>
      <c r="BI61" s="1783"/>
      <c r="BJ61" s="1783"/>
      <c r="BK61" s="1783"/>
      <c r="BL61" s="1783"/>
      <c r="BM61" s="1783"/>
      <c r="BN61" s="1783"/>
    </row>
    <row r="62" spans="1:66">
      <c r="A62" s="3"/>
      <c r="B62" s="1842" t="s">
        <v>2640</v>
      </c>
      <c r="C62" s="1836">
        <f>SUM(C60:C61)</f>
        <v>0</v>
      </c>
      <c r="D62" s="1836">
        <f>SUM(D60:D61)</f>
        <v>0</v>
      </c>
      <c r="E62" s="1836">
        <f>SUM(E60:E61)</f>
        <v>0</v>
      </c>
      <c r="F62" s="1843">
        <f>SUM(F60:F61)</f>
        <v>0</v>
      </c>
      <c r="G62" s="1844"/>
      <c r="H62" s="3"/>
      <c r="I62" s="1783"/>
      <c r="J62" s="1783"/>
      <c r="K62" s="1783"/>
      <c r="L62" s="1783"/>
      <c r="M62" s="1783"/>
      <c r="N62" s="1783"/>
      <c r="O62" s="1783"/>
      <c r="P62" s="1783"/>
      <c r="Q62" s="1783"/>
      <c r="R62" s="1783"/>
      <c r="S62" s="1783"/>
      <c r="T62" s="1783"/>
      <c r="U62" s="1783"/>
      <c r="V62" s="1783"/>
      <c r="W62" s="1783"/>
      <c r="X62" s="1783"/>
      <c r="Y62" s="1783"/>
      <c r="Z62" s="1783"/>
      <c r="AA62" s="1783"/>
      <c r="AB62" s="1783"/>
      <c r="AC62" s="1783"/>
      <c r="AD62" s="1783"/>
      <c r="AE62" s="1783"/>
      <c r="AF62" s="1783"/>
      <c r="AG62" s="1783"/>
      <c r="AH62" s="1783"/>
      <c r="AI62" s="1783"/>
      <c r="AJ62" s="1783"/>
      <c r="AK62" s="1783"/>
      <c r="AL62" s="1783"/>
      <c r="AM62" s="1783"/>
      <c r="AN62" s="1783"/>
      <c r="AO62" s="1783"/>
      <c r="AP62" s="1783"/>
      <c r="AQ62" s="1783"/>
      <c r="AR62" s="1783"/>
      <c r="AS62" s="1783"/>
      <c r="AT62" s="1783"/>
      <c r="AU62" s="1783"/>
      <c r="AV62" s="1783"/>
      <c r="AW62" s="1783"/>
      <c r="AX62" s="1783"/>
      <c r="AY62" s="1783"/>
      <c r="AZ62" s="1783"/>
      <c r="BA62" s="1783"/>
      <c r="BB62" s="1783"/>
      <c r="BC62" s="1783"/>
      <c r="BD62" s="1783"/>
      <c r="BE62" s="1783"/>
      <c r="BF62" s="1783"/>
      <c r="BG62" s="1783"/>
      <c r="BH62" s="1783"/>
      <c r="BI62" s="1783"/>
      <c r="BJ62" s="1783"/>
      <c r="BK62" s="1783"/>
      <c r="BL62" s="1783"/>
      <c r="BM62" s="1783"/>
      <c r="BN62" s="1783"/>
    </row>
    <row r="63" spans="1:66">
      <c r="A63" s="3"/>
      <c r="B63" s="38"/>
      <c r="C63" s="1837"/>
      <c r="D63" s="1837"/>
      <c r="E63" s="1837"/>
      <c r="F63" s="1845"/>
      <c r="G63" s="1846"/>
      <c r="H63" s="3"/>
      <c r="I63" s="1783"/>
      <c r="J63" s="1783"/>
      <c r="K63" s="1783"/>
      <c r="L63" s="1783"/>
      <c r="M63" s="1783"/>
      <c r="N63" s="1783"/>
      <c r="O63" s="1783"/>
      <c r="P63" s="1783"/>
      <c r="Q63" s="1783"/>
      <c r="R63" s="1783"/>
      <c r="S63" s="1783"/>
      <c r="T63" s="1783"/>
      <c r="U63" s="1783"/>
      <c r="V63" s="1783"/>
      <c r="W63" s="1783"/>
      <c r="X63" s="1783"/>
      <c r="Y63" s="1783"/>
      <c r="Z63" s="1783"/>
      <c r="AA63" s="1783"/>
      <c r="AB63" s="1783"/>
      <c r="AC63" s="1783"/>
      <c r="AD63" s="1783"/>
      <c r="AE63" s="1783"/>
      <c r="AF63" s="1783"/>
      <c r="AG63" s="1783"/>
      <c r="AH63" s="1783"/>
      <c r="AI63" s="1783"/>
      <c r="AJ63" s="1783"/>
      <c r="AK63" s="1783"/>
      <c r="AL63" s="1783"/>
      <c r="AM63" s="1783"/>
      <c r="AN63" s="1783"/>
      <c r="AO63" s="1783"/>
      <c r="AP63" s="1783"/>
      <c r="AQ63" s="1783"/>
      <c r="AR63" s="1783"/>
      <c r="AS63" s="1783"/>
      <c r="AT63" s="1783"/>
      <c r="AU63" s="1783"/>
      <c r="AV63" s="1783"/>
      <c r="AW63" s="1783"/>
      <c r="AX63" s="1783"/>
      <c r="AY63" s="1783"/>
      <c r="AZ63" s="1783"/>
      <c r="BA63" s="1783"/>
      <c r="BB63" s="1783"/>
      <c r="BC63" s="1783"/>
      <c r="BD63" s="1783"/>
      <c r="BE63" s="1783"/>
      <c r="BF63" s="1783"/>
      <c r="BG63" s="1783"/>
      <c r="BH63" s="1783"/>
      <c r="BI63" s="1783"/>
      <c r="BJ63" s="1783"/>
      <c r="BK63" s="1783"/>
      <c r="BL63" s="1783"/>
      <c r="BM63" s="1783"/>
      <c r="BN63" s="1783"/>
    </row>
    <row r="64" spans="1:66">
      <c r="A64" s="3"/>
      <c r="B64" s="1842" t="s">
        <v>2641</v>
      </c>
      <c r="C64" s="1836">
        <f t="shared" ref="C64:E65" si="1">+C15+C38</f>
        <v>0</v>
      </c>
      <c r="D64" s="1836">
        <f t="shared" si="1"/>
        <v>0</v>
      </c>
      <c r="E64" s="1836">
        <f t="shared" si="1"/>
        <v>0</v>
      </c>
      <c r="F64" s="1843">
        <f>SUM(C64:E64)</f>
        <v>0</v>
      </c>
      <c r="G64" s="1844"/>
      <c r="H64" s="3"/>
      <c r="I64" s="1783"/>
      <c r="J64" s="1783"/>
      <c r="K64" s="1783"/>
      <c r="L64" s="1783"/>
      <c r="M64" s="1783"/>
      <c r="N64" s="1783"/>
      <c r="O64" s="1783"/>
      <c r="P64" s="1783"/>
      <c r="Q64" s="1783"/>
      <c r="R64" s="1783"/>
      <c r="S64" s="1783"/>
      <c r="T64" s="1783"/>
      <c r="U64" s="1783"/>
      <c r="V64" s="1783"/>
      <c r="W64" s="1783"/>
      <c r="X64" s="1783"/>
      <c r="Y64" s="1783"/>
      <c r="Z64" s="1783"/>
      <c r="AA64" s="1783"/>
      <c r="AB64" s="1783"/>
      <c r="AC64" s="1783"/>
      <c r="AD64" s="1783"/>
      <c r="AE64" s="1783"/>
      <c r="AF64" s="1783"/>
      <c r="AG64" s="1783"/>
      <c r="AH64" s="1783"/>
      <c r="AI64" s="1783"/>
      <c r="AJ64" s="1783"/>
      <c r="AK64" s="1783"/>
      <c r="AL64" s="1783"/>
      <c r="AM64" s="1783"/>
      <c r="AN64" s="1783"/>
      <c r="AO64" s="1783"/>
      <c r="AP64" s="1783"/>
      <c r="AQ64" s="1783"/>
      <c r="AR64" s="1783"/>
      <c r="AS64" s="1783"/>
      <c r="AT64" s="1783"/>
      <c r="AU64" s="1783"/>
      <c r="AV64" s="1783"/>
      <c r="AW64" s="1783"/>
      <c r="AX64" s="1783"/>
      <c r="AY64" s="1783"/>
      <c r="AZ64" s="1783"/>
      <c r="BA64" s="1783"/>
      <c r="BB64" s="1783"/>
      <c r="BC64" s="1783"/>
      <c r="BD64" s="1783"/>
      <c r="BE64" s="1783"/>
      <c r="BF64" s="1783"/>
      <c r="BG64" s="1783"/>
      <c r="BH64" s="1783"/>
      <c r="BI64" s="1783"/>
      <c r="BJ64" s="1783"/>
      <c r="BK64" s="1783"/>
      <c r="BL64" s="1783"/>
      <c r="BM64" s="1783"/>
      <c r="BN64" s="1783"/>
    </row>
    <row r="65" spans="1:66">
      <c r="A65" s="3"/>
      <c r="B65" s="1842" t="s">
        <v>2642</v>
      </c>
      <c r="C65" s="1836">
        <f t="shared" si="1"/>
        <v>0</v>
      </c>
      <c r="D65" s="1836">
        <f t="shared" si="1"/>
        <v>0</v>
      </c>
      <c r="E65" s="1836">
        <f t="shared" si="1"/>
        <v>0</v>
      </c>
      <c r="F65" s="1843">
        <f>SUM(C65:E65)</f>
        <v>0</v>
      </c>
      <c r="G65" s="1844"/>
      <c r="H65" s="3"/>
      <c r="I65" s="1783"/>
      <c r="J65" s="1783"/>
      <c r="K65" s="1783"/>
      <c r="L65" s="1783"/>
      <c r="M65" s="1783"/>
      <c r="N65" s="1783"/>
      <c r="O65" s="1783"/>
      <c r="P65" s="1783"/>
      <c r="Q65" s="1783"/>
      <c r="R65" s="1783"/>
      <c r="S65" s="1783"/>
      <c r="T65" s="1783"/>
      <c r="U65" s="1783"/>
      <c r="V65" s="1783"/>
      <c r="W65" s="1783"/>
      <c r="X65" s="1783"/>
      <c r="Y65" s="1783"/>
      <c r="Z65" s="1783"/>
      <c r="AA65" s="1783"/>
      <c r="AB65" s="1783"/>
      <c r="AC65" s="1783"/>
      <c r="AD65" s="1783"/>
      <c r="AE65" s="1783"/>
      <c r="AF65" s="1783"/>
      <c r="AG65" s="1783"/>
      <c r="AH65" s="1783"/>
      <c r="AI65" s="1783"/>
      <c r="AJ65" s="1783"/>
      <c r="AK65" s="1783"/>
      <c r="AL65" s="1783"/>
      <c r="AM65" s="1783"/>
      <c r="AN65" s="1783"/>
      <c r="AO65" s="1783"/>
      <c r="AP65" s="1783"/>
      <c r="AQ65" s="1783"/>
      <c r="AR65" s="1783"/>
      <c r="AS65" s="1783"/>
      <c r="AT65" s="1783"/>
      <c r="AU65" s="1783"/>
      <c r="AV65" s="1783"/>
      <c r="AW65" s="1783"/>
      <c r="AX65" s="1783"/>
      <c r="AY65" s="1783"/>
      <c r="AZ65" s="1783"/>
      <c r="BA65" s="1783"/>
      <c r="BB65" s="1783"/>
      <c r="BC65" s="1783"/>
      <c r="BD65" s="1783"/>
      <c r="BE65" s="1783"/>
      <c r="BF65" s="1783"/>
      <c r="BG65" s="1783"/>
      <c r="BH65" s="1783"/>
      <c r="BI65" s="1783"/>
      <c r="BJ65" s="1783"/>
      <c r="BK65" s="1783"/>
      <c r="BL65" s="1783"/>
      <c r="BM65" s="1783"/>
      <c r="BN65" s="1783"/>
    </row>
    <row r="66" spans="1:66">
      <c r="A66" s="3"/>
      <c r="B66" s="1842" t="s">
        <v>2643</v>
      </c>
      <c r="C66" s="1836">
        <f>SUM(C64:C65)</f>
        <v>0</v>
      </c>
      <c r="D66" s="1836">
        <f>SUM(D64:D65)</f>
        <v>0</v>
      </c>
      <c r="E66" s="1836">
        <f>SUM(E64:E65)</f>
        <v>0</v>
      </c>
      <c r="F66" s="1843">
        <f>SUM(F64:F65)</f>
        <v>0</v>
      </c>
      <c r="G66" s="1844"/>
      <c r="H66" s="3"/>
      <c r="I66" s="1783"/>
      <c r="J66" s="1783"/>
      <c r="K66" s="1783"/>
      <c r="L66" s="1783"/>
      <c r="M66" s="1783"/>
      <c r="N66" s="1783"/>
      <c r="O66" s="1783"/>
      <c r="P66" s="1783"/>
      <c r="Q66" s="1783"/>
      <c r="R66" s="1783"/>
      <c r="S66" s="1783"/>
      <c r="T66" s="1783"/>
      <c r="U66" s="1783"/>
      <c r="V66" s="1783"/>
      <c r="W66" s="1783"/>
      <c r="X66" s="1783"/>
      <c r="Y66" s="1783"/>
      <c r="Z66" s="1783"/>
      <c r="AA66" s="1783"/>
      <c r="AB66" s="1783"/>
      <c r="AC66" s="1783"/>
      <c r="AD66" s="1783"/>
      <c r="AE66" s="1783"/>
      <c r="AF66" s="1783"/>
      <c r="AG66" s="1783"/>
      <c r="AH66" s="1783"/>
      <c r="AI66" s="1783"/>
      <c r="AJ66" s="1783"/>
      <c r="AK66" s="1783"/>
      <c r="AL66" s="1783"/>
      <c r="AM66" s="1783"/>
      <c r="AN66" s="1783"/>
      <c r="AO66" s="1783"/>
      <c r="AP66" s="1783"/>
      <c r="AQ66" s="1783"/>
      <c r="AR66" s="1783"/>
      <c r="AS66" s="1783"/>
      <c r="AT66" s="1783"/>
      <c r="AU66" s="1783"/>
      <c r="AV66" s="1783"/>
      <c r="AW66" s="1783"/>
      <c r="AX66" s="1783"/>
      <c r="AY66" s="1783"/>
      <c r="AZ66" s="1783"/>
      <c r="BA66" s="1783"/>
      <c r="BB66" s="1783"/>
      <c r="BC66" s="1783"/>
      <c r="BD66" s="1783"/>
      <c r="BE66" s="1783"/>
      <c r="BF66" s="1783"/>
      <c r="BG66" s="1783"/>
      <c r="BH66" s="1783"/>
      <c r="BI66" s="1783"/>
      <c r="BJ66" s="1783"/>
      <c r="BK66" s="1783"/>
      <c r="BL66" s="1783"/>
      <c r="BM66" s="1783"/>
      <c r="BN66" s="1783"/>
    </row>
    <row r="67" spans="1:66">
      <c r="A67" s="3"/>
      <c r="B67" s="38"/>
      <c r="C67" s="1837"/>
      <c r="D67" s="1837"/>
      <c r="E67" s="1837"/>
      <c r="F67" s="1845"/>
      <c r="G67" s="1846"/>
      <c r="H67" s="3"/>
      <c r="I67" s="1783"/>
      <c r="J67" s="1783"/>
      <c r="K67" s="1783"/>
      <c r="L67" s="1783"/>
      <c r="M67" s="1783"/>
      <c r="N67" s="1783"/>
      <c r="O67" s="1783"/>
      <c r="P67" s="1783"/>
      <c r="Q67" s="1783"/>
      <c r="R67" s="1783"/>
      <c r="S67" s="1783"/>
      <c r="T67" s="1783"/>
      <c r="U67" s="1783"/>
      <c r="V67" s="1783"/>
      <c r="W67" s="1783"/>
      <c r="X67" s="1783"/>
      <c r="Y67" s="1783"/>
      <c r="Z67" s="1783"/>
      <c r="AA67" s="1783"/>
      <c r="AB67" s="1783"/>
      <c r="AC67" s="1783"/>
      <c r="AD67" s="1783"/>
      <c r="AE67" s="1783"/>
      <c r="AF67" s="1783"/>
      <c r="AG67" s="1783"/>
      <c r="AH67" s="1783"/>
      <c r="AI67" s="1783"/>
      <c r="AJ67" s="1783"/>
      <c r="AK67" s="1783"/>
      <c r="AL67" s="1783"/>
      <c r="AM67" s="1783"/>
      <c r="AN67" s="1783"/>
      <c r="AO67" s="1783"/>
      <c r="AP67" s="1783"/>
      <c r="AQ67" s="1783"/>
      <c r="AR67" s="1783"/>
      <c r="AS67" s="1783"/>
      <c r="AT67" s="1783"/>
      <c r="AU67" s="1783"/>
      <c r="AV67" s="1783"/>
      <c r="AW67" s="1783"/>
      <c r="AX67" s="1783"/>
      <c r="AY67" s="1783"/>
      <c r="AZ67" s="1783"/>
      <c r="BA67" s="1783"/>
      <c r="BB67" s="1783"/>
      <c r="BC67" s="1783"/>
      <c r="BD67" s="1783"/>
      <c r="BE67" s="1783"/>
      <c r="BF67" s="1783"/>
      <c r="BG67" s="1783"/>
      <c r="BH67" s="1783"/>
      <c r="BI67" s="1783"/>
      <c r="BJ67" s="1783"/>
      <c r="BK67" s="1783"/>
      <c r="BL67" s="1783"/>
      <c r="BM67" s="1783"/>
      <c r="BN67" s="1783"/>
    </row>
    <row r="68" spans="1:66">
      <c r="A68" s="3"/>
      <c r="B68" s="1842" t="s">
        <v>2644</v>
      </c>
      <c r="C68" s="1836">
        <f>+C66+C62</f>
        <v>0</v>
      </c>
      <c r="D68" s="1836">
        <f>+D66+D62</f>
        <v>0</v>
      </c>
      <c r="E68" s="1836">
        <f>+E66+E62</f>
        <v>0</v>
      </c>
      <c r="F68" s="1843">
        <f>+F66+F62</f>
        <v>0</v>
      </c>
      <c r="G68" s="1844"/>
      <c r="H68" s="3"/>
      <c r="I68" s="1783"/>
      <c r="J68" s="1783"/>
      <c r="K68" s="1783"/>
      <c r="L68" s="1783"/>
      <c r="M68" s="1783"/>
      <c r="N68" s="1783"/>
      <c r="O68" s="1783"/>
      <c r="P68" s="1783"/>
      <c r="Q68" s="1783"/>
      <c r="R68" s="1783"/>
      <c r="S68" s="1783"/>
      <c r="T68" s="1783"/>
      <c r="U68" s="1783"/>
      <c r="V68" s="1783"/>
      <c r="W68" s="1783"/>
      <c r="X68" s="1783"/>
      <c r="Y68" s="1783"/>
      <c r="Z68" s="1783"/>
      <c r="AA68" s="1783"/>
      <c r="AB68" s="1783"/>
      <c r="AC68" s="1783"/>
      <c r="AD68" s="1783"/>
      <c r="AE68" s="1783"/>
      <c r="AF68" s="1783"/>
      <c r="AG68" s="1783"/>
      <c r="AH68" s="1783"/>
      <c r="AI68" s="1783"/>
      <c r="AJ68" s="1783"/>
      <c r="AK68" s="1783"/>
      <c r="AL68" s="1783"/>
      <c r="AM68" s="1783"/>
      <c r="AN68" s="1783"/>
      <c r="AO68" s="1783"/>
      <c r="AP68" s="1783"/>
      <c r="AQ68" s="1783"/>
      <c r="AR68" s="1783"/>
      <c r="AS68" s="1783"/>
      <c r="AT68" s="1783"/>
      <c r="AU68" s="1783"/>
      <c r="AV68" s="1783"/>
      <c r="AW68" s="1783"/>
      <c r="AX68" s="1783"/>
      <c r="AY68" s="1783"/>
      <c r="AZ68" s="1783"/>
      <c r="BA68" s="1783"/>
      <c r="BB68" s="1783"/>
      <c r="BC68" s="1783"/>
      <c r="BD68" s="1783"/>
      <c r="BE68" s="1783"/>
      <c r="BF68" s="1783"/>
      <c r="BG68" s="1783"/>
      <c r="BH68" s="1783"/>
      <c r="BI68" s="1783"/>
      <c r="BJ68" s="1783"/>
      <c r="BK68" s="1783"/>
      <c r="BL68" s="1783"/>
      <c r="BM68" s="1783"/>
      <c r="BN68" s="1783"/>
    </row>
    <row r="69" spans="1:66">
      <c r="A69" s="3"/>
      <c r="B69" s="1847"/>
      <c r="C69" s="1839"/>
      <c r="D69" s="1839"/>
      <c r="E69" s="1839"/>
      <c r="F69" s="1848"/>
      <c r="G69" s="1844"/>
      <c r="H69" s="3"/>
      <c r="I69" s="1783"/>
      <c r="J69" s="1783"/>
      <c r="K69" s="1783"/>
      <c r="L69" s="1783"/>
      <c r="M69" s="1783"/>
      <c r="N69" s="1783"/>
      <c r="O69" s="1783"/>
      <c r="P69" s="1783"/>
      <c r="Q69" s="1783"/>
      <c r="R69" s="1783"/>
      <c r="S69" s="1783"/>
      <c r="T69" s="1783"/>
      <c r="U69" s="1783"/>
      <c r="V69" s="1783"/>
      <c r="W69" s="1783"/>
      <c r="X69" s="1783"/>
      <c r="Y69" s="1783"/>
      <c r="Z69" s="1783"/>
      <c r="AA69" s="1783"/>
      <c r="AB69" s="1783"/>
      <c r="AC69" s="1783"/>
      <c r="AD69" s="1783"/>
      <c r="AE69" s="1783"/>
      <c r="AF69" s="1783"/>
      <c r="AG69" s="1783"/>
      <c r="AH69" s="1783"/>
      <c r="AI69" s="1783"/>
      <c r="AJ69" s="1783"/>
      <c r="AK69" s="1783"/>
      <c r="AL69" s="1783"/>
      <c r="AM69" s="1783"/>
      <c r="AN69" s="1783"/>
      <c r="AO69" s="1783"/>
      <c r="AP69" s="1783"/>
      <c r="AQ69" s="1783"/>
      <c r="AR69" s="1783"/>
      <c r="AS69" s="1783"/>
      <c r="AT69" s="1783"/>
      <c r="AU69" s="1783"/>
      <c r="AV69" s="1783"/>
      <c r="AW69" s="1783"/>
      <c r="AX69" s="1783"/>
      <c r="AY69" s="1783"/>
      <c r="AZ69" s="1783"/>
      <c r="BA69" s="1783"/>
      <c r="BB69" s="1783"/>
      <c r="BC69" s="1783"/>
      <c r="BD69" s="1783"/>
      <c r="BE69" s="1783"/>
      <c r="BF69" s="1783"/>
      <c r="BG69" s="1783"/>
      <c r="BH69" s="1783"/>
      <c r="BI69" s="1783"/>
      <c r="BJ69" s="1783"/>
      <c r="BK69" s="1783"/>
      <c r="BL69" s="1783"/>
      <c r="BM69" s="1783"/>
      <c r="BN69" s="1783"/>
    </row>
    <row r="70" spans="1:66">
      <c r="A70" s="3"/>
      <c r="B70" s="1847"/>
      <c r="C70" s="1839"/>
      <c r="D70" s="1839"/>
      <c r="E70" s="1839"/>
      <c r="F70" s="1848"/>
      <c r="G70" s="1844"/>
      <c r="H70" s="3"/>
      <c r="I70" s="1783"/>
      <c r="J70" s="1783"/>
      <c r="K70" s="1783"/>
      <c r="L70" s="1783"/>
      <c r="M70" s="1783"/>
      <c r="N70" s="1783"/>
      <c r="O70" s="1783"/>
      <c r="P70" s="1783"/>
      <c r="Q70" s="1783"/>
      <c r="R70" s="1783"/>
      <c r="S70" s="1783"/>
      <c r="T70" s="1783"/>
      <c r="U70" s="1783"/>
      <c r="V70" s="1783"/>
      <c r="W70" s="1783"/>
      <c r="X70" s="1783"/>
      <c r="Y70" s="1783"/>
      <c r="Z70" s="1783"/>
      <c r="AA70" s="1783"/>
      <c r="AB70" s="1783"/>
      <c r="AC70" s="1783"/>
      <c r="AD70" s="1783"/>
      <c r="AE70" s="1783"/>
      <c r="AF70" s="1783"/>
      <c r="AG70" s="1783"/>
      <c r="AH70" s="1783"/>
      <c r="AI70" s="1783"/>
      <c r="AJ70" s="1783"/>
      <c r="AK70" s="1783"/>
      <c r="AL70" s="1783"/>
      <c r="AM70" s="1783"/>
      <c r="AN70" s="1783"/>
      <c r="AO70" s="1783"/>
      <c r="AP70" s="1783"/>
      <c r="AQ70" s="1783"/>
      <c r="AR70" s="1783"/>
      <c r="AS70" s="1783"/>
      <c r="AT70" s="1783"/>
      <c r="AU70" s="1783"/>
      <c r="AV70" s="1783"/>
      <c r="AW70" s="1783"/>
      <c r="AX70" s="1783"/>
      <c r="AY70" s="1783"/>
      <c r="AZ70" s="1783"/>
      <c r="BA70" s="1783"/>
      <c r="BB70" s="1783"/>
      <c r="BC70" s="1783"/>
      <c r="BD70" s="1783"/>
      <c r="BE70" s="1783"/>
      <c r="BF70" s="1783"/>
      <c r="BG70" s="1783"/>
      <c r="BH70" s="1783"/>
      <c r="BI70" s="1783"/>
      <c r="BJ70" s="1783"/>
      <c r="BK70" s="1783"/>
      <c r="BL70" s="1783"/>
      <c r="BM70" s="1783"/>
      <c r="BN70" s="1783"/>
    </row>
    <row r="71" spans="1:66">
      <c r="A71" s="3"/>
      <c r="B71" s="1831" t="s">
        <v>2621</v>
      </c>
      <c r="C71" s="1832" t="s">
        <v>2612</v>
      </c>
      <c r="D71" s="1832" t="s">
        <v>543</v>
      </c>
      <c r="E71" s="1832" t="s">
        <v>1001</v>
      </c>
      <c r="F71" s="3"/>
      <c r="G71" s="1844"/>
      <c r="H71" s="3"/>
      <c r="I71" s="1783"/>
      <c r="J71" s="1783"/>
      <c r="K71" s="1783"/>
      <c r="L71" s="1783"/>
      <c r="M71" s="1783"/>
      <c r="N71" s="1783"/>
      <c r="O71" s="1783"/>
      <c r="P71" s="1783"/>
      <c r="Q71" s="1783"/>
      <c r="R71" s="1783"/>
      <c r="S71" s="1783"/>
      <c r="T71" s="1783"/>
      <c r="U71" s="1783"/>
      <c r="V71" s="1783"/>
      <c r="W71" s="1783"/>
      <c r="X71" s="1783"/>
      <c r="Y71" s="1783"/>
      <c r="Z71" s="1783"/>
      <c r="AA71" s="1783"/>
      <c r="AB71" s="1783"/>
      <c r="AC71" s="1783"/>
      <c r="AD71" s="1783"/>
      <c r="AE71" s="1783"/>
      <c r="AF71" s="1783"/>
      <c r="AG71" s="1783"/>
      <c r="AH71" s="1783"/>
      <c r="AI71" s="1783"/>
      <c r="AJ71" s="1783"/>
      <c r="AK71" s="1783"/>
      <c r="AL71" s="1783"/>
      <c r="AM71" s="1783"/>
      <c r="AN71" s="1783"/>
      <c r="AO71" s="1783"/>
      <c r="AP71" s="1783"/>
      <c r="AQ71" s="1783"/>
      <c r="AR71" s="1783"/>
      <c r="AS71" s="1783"/>
      <c r="AT71" s="1783"/>
      <c r="AU71" s="1783"/>
      <c r="AV71" s="1783"/>
      <c r="AW71" s="1783"/>
      <c r="AX71" s="1783"/>
      <c r="AY71" s="1783"/>
      <c r="AZ71" s="1783"/>
      <c r="BA71" s="1783"/>
      <c r="BB71" s="1783"/>
      <c r="BC71" s="1783"/>
      <c r="BD71" s="1783"/>
      <c r="BE71" s="1783"/>
      <c r="BF71" s="1783"/>
      <c r="BG71" s="1783"/>
      <c r="BH71" s="1783"/>
      <c r="BI71" s="1783"/>
      <c r="BJ71" s="1783"/>
      <c r="BK71" s="1783"/>
      <c r="BL71" s="1783"/>
      <c r="BM71" s="1783"/>
      <c r="BN71" s="1783"/>
    </row>
    <row r="72" spans="1:66">
      <c r="A72" s="3"/>
      <c r="B72" s="38"/>
      <c r="C72" s="1833" t="s">
        <v>1286</v>
      </c>
      <c r="D72" s="1833" t="s">
        <v>1287</v>
      </c>
      <c r="E72" s="1833" t="s">
        <v>1288</v>
      </c>
      <c r="F72" s="3"/>
      <c r="G72" s="1844"/>
      <c r="H72" s="3"/>
      <c r="I72" s="1783"/>
      <c r="J72" s="1783"/>
      <c r="K72" s="1783"/>
      <c r="L72" s="1783"/>
      <c r="M72" s="1783"/>
      <c r="N72" s="1783"/>
      <c r="O72" s="1783"/>
      <c r="P72" s="1783"/>
      <c r="Q72" s="1783"/>
      <c r="R72" s="1783"/>
      <c r="S72" s="1783"/>
      <c r="T72" s="1783"/>
      <c r="U72" s="1783"/>
      <c r="V72" s="1783"/>
      <c r="W72" s="1783"/>
      <c r="X72" s="1783"/>
      <c r="Y72" s="1783"/>
      <c r="Z72" s="1783"/>
      <c r="AA72" s="1783"/>
      <c r="AB72" s="1783"/>
      <c r="AC72" s="1783"/>
      <c r="AD72" s="1783"/>
      <c r="AE72" s="1783"/>
      <c r="AF72" s="1783"/>
      <c r="AG72" s="1783"/>
      <c r="AH72" s="1783"/>
      <c r="AI72" s="1783"/>
      <c r="AJ72" s="1783"/>
      <c r="AK72" s="1783"/>
      <c r="AL72" s="1783"/>
      <c r="AM72" s="1783"/>
      <c r="AN72" s="1783"/>
      <c r="AO72" s="1783"/>
      <c r="AP72" s="1783"/>
      <c r="AQ72" s="1783"/>
      <c r="AR72" s="1783"/>
      <c r="AS72" s="1783"/>
      <c r="AT72" s="1783"/>
      <c r="AU72" s="1783"/>
      <c r="AV72" s="1783"/>
      <c r="AW72" s="1783"/>
      <c r="AX72" s="1783"/>
      <c r="AY72" s="1783"/>
      <c r="AZ72" s="1783"/>
      <c r="BA72" s="1783"/>
      <c r="BB72" s="1783"/>
      <c r="BC72" s="1783"/>
      <c r="BD72" s="1783"/>
      <c r="BE72" s="1783"/>
      <c r="BF72" s="1783"/>
      <c r="BG72" s="1783"/>
      <c r="BH72" s="1783"/>
      <c r="BI72" s="1783"/>
      <c r="BJ72" s="1783"/>
      <c r="BK72" s="1783"/>
      <c r="BL72" s="1783"/>
      <c r="BM72" s="1783"/>
      <c r="BN72" s="1783"/>
    </row>
    <row r="73" spans="1:66">
      <c r="A73" s="3"/>
      <c r="B73" s="1842" t="s">
        <v>2645</v>
      </c>
      <c r="C73" s="1836">
        <f t="shared" ref="C73:D75" si="2">+C24+C47</f>
        <v>0</v>
      </c>
      <c r="D73" s="1836">
        <f t="shared" si="2"/>
        <v>0</v>
      </c>
      <c r="E73" s="1836">
        <f>SUM(C73:D73)</f>
        <v>0</v>
      </c>
      <c r="F73" s="3"/>
      <c r="G73" s="1844"/>
      <c r="H73" s="3"/>
      <c r="I73" s="1783"/>
      <c r="J73" s="1783"/>
      <c r="K73" s="1783"/>
      <c r="L73" s="1783"/>
      <c r="M73" s="1783"/>
      <c r="N73" s="1783"/>
      <c r="O73" s="1783"/>
      <c r="P73" s="1783"/>
      <c r="Q73" s="1783"/>
      <c r="R73" s="1783"/>
      <c r="S73" s="1783"/>
      <c r="T73" s="1783"/>
      <c r="U73" s="1783"/>
      <c r="V73" s="1783"/>
      <c r="W73" s="1783"/>
      <c r="X73" s="1783"/>
      <c r="Y73" s="1783"/>
      <c r="Z73" s="1783"/>
      <c r="AA73" s="1783"/>
      <c r="AB73" s="1783"/>
      <c r="AC73" s="1783"/>
      <c r="AD73" s="1783"/>
      <c r="AE73" s="1783"/>
      <c r="AF73" s="1783"/>
      <c r="AG73" s="1783"/>
      <c r="AH73" s="1783"/>
      <c r="AI73" s="1783"/>
      <c r="AJ73" s="1783"/>
      <c r="AK73" s="1783"/>
      <c r="AL73" s="1783"/>
      <c r="AM73" s="1783"/>
      <c r="AN73" s="1783"/>
      <c r="AO73" s="1783"/>
      <c r="AP73" s="1783"/>
      <c r="AQ73" s="1783"/>
      <c r="AR73" s="1783"/>
      <c r="AS73" s="1783"/>
      <c r="AT73" s="1783"/>
      <c r="AU73" s="1783"/>
      <c r="AV73" s="1783"/>
      <c r="AW73" s="1783"/>
      <c r="AX73" s="1783"/>
      <c r="AY73" s="1783"/>
      <c r="AZ73" s="1783"/>
      <c r="BA73" s="1783"/>
      <c r="BB73" s="1783"/>
      <c r="BC73" s="1783"/>
      <c r="BD73" s="1783"/>
      <c r="BE73" s="1783"/>
      <c r="BF73" s="1783"/>
      <c r="BG73" s="1783"/>
      <c r="BH73" s="1783"/>
      <c r="BI73" s="1783"/>
      <c r="BJ73" s="1783"/>
      <c r="BK73" s="1783"/>
      <c r="BL73" s="1783"/>
      <c r="BM73" s="1783"/>
      <c r="BN73" s="1783"/>
    </row>
    <row r="74" spans="1:66">
      <c r="A74" s="3"/>
      <c r="B74" s="1842" t="s">
        <v>2646</v>
      </c>
      <c r="C74" s="1836">
        <f t="shared" si="2"/>
        <v>0</v>
      </c>
      <c r="D74" s="1836">
        <f t="shared" si="2"/>
        <v>0</v>
      </c>
      <c r="E74" s="1836">
        <f>SUM(C74:D74)</f>
        <v>0</v>
      </c>
      <c r="F74" s="3"/>
      <c r="G74" s="1844"/>
      <c r="H74" s="3"/>
      <c r="I74" s="1783"/>
      <c r="J74" s="1783"/>
      <c r="K74" s="1783"/>
      <c r="L74" s="1783"/>
      <c r="M74" s="1783"/>
      <c r="N74" s="1783"/>
      <c r="O74" s="1783"/>
      <c r="P74" s="1783"/>
      <c r="Q74" s="1783"/>
      <c r="R74" s="1783"/>
      <c r="S74" s="1783"/>
      <c r="T74" s="1783"/>
      <c r="U74" s="1783"/>
      <c r="V74" s="1783"/>
      <c r="W74" s="1783"/>
      <c r="X74" s="1783"/>
      <c r="Y74" s="1783"/>
      <c r="Z74" s="1783"/>
      <c r="AA74" s="1783"/>
      <c r="AB74" s="1783"/>
      <c r="AC74" s="1783"/>
      <c r="AD74" s="1783"/>
      <c r="AE74" s="1783"/>
      <c r="AF74" s="1783"/>
      <c r="AG74" s="1783"/>
      <c r="AH74" s="1783"/>
      <c r="AI74" s="1783"/>
      <c r="AJ74" s="1783"/>
      <c r="AK74" s="1783"/>
      <c r="AL74" s="1783"/>
      <c r="AM74" s="1783"/>
      <c r="AN74" s="1783"/>
      <c r="AO74" s="1783"/>
      <c r="AP74" s="1783"/>
      <c r="AQ74" s="1783"/>
      <c r="AR74" s="1783"/>
      <c r="AS74" s="1783"/>
      <c r="AT74" s="1783"/>
      <c r="AU74" s="1783"/>
      <c r="AV74" s="1783"/>
      <c r="AW74" s="1783"/>
      <c r="AX74" s="1783"/>
      <c r="AY74" s="1783"/>
      <c r="AZ74" s="1783"/>
      <c r="BA74" s="1783"/>
      <c r="BB74" s="1783"/>
      <c r="BC74" s="1783"/>
      <c r="BD74" s="1783"/>
      <c r="BE74" s="1783"/>
      <c r="BF74" s="1783"/>
      <c r="BG74" s="1783"/>
      <c r="BH74" s="1783"/>
      <c r="BI74" s="1783"/>
      <c r="BJ74" s="1783"/>
      <c r="BK74" s="1783"/>
      <c r="BL74" s="1783"/>
      <c r="BM74" s="1783"/>
      <c r="BN74" s="1783"/>
    </row>
    <row r="75" spans="1:66">
      <c r="A75" s="3"/>
      <c r="B75" s="1842" t="s">
        <v>2647</v>
      </c>
      <c r="C75" s="1836">
        <f t="shared" si="2"/>
        <v>0</v>
      </c>
      <c r="D75" s="1836">
        <f t="shared" si="2"/>
        <v>0</v>
      </c>
      <c r="E75" s="1836">
        <f>SUM(C75:D75)</f>
        <v>0</v>
      </c>
      <c r="F75" s="3"/>
      <c r="G75" s="1844"/>
      <c r="H75" s="3"/>
      <c r="I75" s="1783"/>
      <c r="J75" s="1783"/>
      <c r="K75" s="1783"/>
      <c r="L75" s="1783"/>
      <c r="M75" s="1783"/>
      <c r="N75" s="1783"/>
      <c r="O75" s="1783"/>
      <c r="P75" s="1783"/>
      <c r="Q75" s="1783"/>
      <c r="R75" s="1783"/>
      <c r="S75" s="1783"/>
      <c r="T75" s="1783"/>
      <c r="U75" s="1783"/>
      <c r="V75" s="1783"/>
      <c r="W75" s="1783"/>
      <c r="X75" s="1783"/>
      <c r="Y75" s="1783"/>
      <c r="Z75" s="1783"/>
      <c r="AA75" s="1783"/>
      <c r="AB75" s="1783"/>
      <c r="AC75" s="1783"/>
      <c r="AD75" s="1783"/>
      <c r="AE75" s="1783"/>
      <c r="AF75" s="1783"/>
      <c r="AG75" s="1783"/>
      <c r="AH75" s="1783"/>
      <c r="AI75" s="1783"/>
      <c r="AJ75" s="1783"/>
      <c r="AK75" s="1783"/>
      <c r="AL75" s="1783"/>
      <c r="AM75" s="1783"/>
      <c r="AN75" s="1783"/>
      <c r="AO75" s="1783"/>
      <c r="AP75" s="1783"/>
      <c r="AQ75" s="1783"/>
      <c r="AR75" s="1783"/>
      <c r="AS75" s="1783"/>
      <c r="AT75" s="1783"/>
      <c r="AU75" s="1783"/>
      <c r="AV75" s="1783"/>
      <c r="AW75" s="1783"/>
      <c r="AX75" s="1783"/>
      <c r="AY75" s="1783"/>
      <c r="AZ75" s="1783"/>
      <c r="BA75" s="1783"/>
      <c r="BB75" s="1783"/>
      <c r="BC75" s="1783"/>
      <c r="BD75" s="1783"/>
      <c r="BE75" s="1783"/>
      <c r="BF75" s="1783"/>
      <c r="BG75" s="1783"/>
      <c r="BH75" s="1783"/>
      <c r="BI75" s="1783"/>
      <c r="BJ75" s="1783"/>
      <c r="BK75" s="1783"/>
      <c r="BL75" s="1783"/>
      <c r="BM75" s="1783"/>
      <c r="BN75" s="1783"/>
    </row>
    <row r="76" spans="1:66">
      <c r="A76" s="3"/>
      <c r="B76" s="38"/>
      <c r="C76" s="1837"/>
      <c r="D76" s="1837"/>
      <c r="E76" s="1837"/>
      <c r="F76" s="3"/>
      <c r="G76" s="1844"/>
      <c r="H76" s="3"/>
      <c r="I76" s="1783"/>
      <c r="J76" s="1783"/>
      <c r="K76" s="1783"/>
      <c r="L76" s="1783"/>
      <c r="M76" s="1783"/>
      <c r="N76" s="1783"/>
      <c r="O76" s="1783"/>
      <c r="P76" s="1783"/>
      <c r="Q76" s="1783"/>
      <c r="R76" s="1783"/>
      <c r="S76" s="1783"/>
      <c r="T76" s="1783"/>
      <c r="U76" s="1783"/>
      <c r="V76" s="1783"/>
      <c r="W76" s="1783"/>
      <c r="X76" s="1783"/>
      <c r="Y76" s="1783"/>
      <c r="Z76" s="1783"/>
      <c r="AA76" s="1783"/>
      <c r="AB76" s="1783"/>
      <c r="AC76" s="1783"/>
      <c r="AD76" s="1783"/>
      <c r="AE76" s="1783"/>
      <c r="AF76" s="1783"/>
      <c r="AG76" s="1783"/>
      <c r="AH76" s="1783"/>
      <c r="AI76" s="1783"/>
      <c r="AJ76" s="1783"/>
      <c r="AK76" s="1783"/>
      <c r="AL76" s="1783"/>
      <c r="AM76" s="1783"/>
      <c r="AN76" s="1783"/>
      <c r="AO76" s="1783"/>
      <c r="AP76" s="1783"/>
      <c r="AQ76" s="1783"/>
      <c r="AR76" s="1783"/>
      <c r="AS76" s="1783"/>
      <c r="AT76" s="1783"/>
      <c r="AU76" s="1783"/>
      <c r="AV76" s="1783"/>
      <c r="AW76" s="1783"/>
      <c r="AX76" s="1783"/>
      <c r="AY76" s="1783"/>
      <c r="AZ76" s="1783"/>
      <c r="BA76" s="1783"/>
      <c r="BB76" s="1783"/>
      <c r="BC76" s="1783"/>
      <c r="BD76" s="1783"/>
      <c r="BE76" s="1783"/>
      <c r="BF76" s="1783"/>
      <c r="BG76" s="1783"/>
      <c r="BH76" s="1783"/>
      <c r="BI76" s="1783"/>
      <c r="BJ76" s="1783"/>
      <c r="BK76" s="1783"/>
      <c r="BL76" s="1783"/>
      <c r="BM76" s="1783"/>
      <c r="BN76" s="1783"/>
    </row>
    <row r="77" spans="1:66" ht="25.5">
      <c r="A77" s="3"/>
      <c r="B77" s="1842" t="s">
        <v>2648</v>
      </c>
      <c r="C77" s="1840">
        <f>SUM(C73:C75)</f>
        <v>0</v>
      </c>
      <c r="D77" s="1840">
        <f>SUM(D73:D75)</f>
        <v>0</v>
      </c>
      <c r="E77" s="1840">
        <f>SUM(E73:E75)</f>
        <v>0</v>
      </c>
      <c r="F77" s="3"/>
      <c r="G77" s="1844"/>
      <c r="H77" s="3"/>
      <c r="I77" s="1783"/>
      <c r="J77" s="1783"/>
      <c r="K77" s="1783"/>
      <c r="L77" s="1783"/>
      <c r="M77" s="1783"/>
      <c r="N77" s="1783"/>
      <c r="O77" s="1783"/>
      <c r="P77" s="1783"/>
      <c r="Q77" s="1783"/>
      <c r="R77" s="1783"/>
      <c r="S77" s="1783"/>
      <c r="T77" s="1783"/>
      <c r="U77" s="1783"/>
      <c r="V77" s="1783"/>
      <c r="W77" s="1783"/>
      <c r="X77" s="1783"/>
      <c r="Y77" s="1783"/>
      <c r="Z77" s="1783"/>
      <c r="AA77" s="1783"/>
      <c r="AB77" s="1783"/>
      <c r="AC77" s="1783"/>
      <c r="AD77" s="1783"/>
      <c r="AE77" s="1783"/>
      <c r="AF77" s="1783"/>
      <c r="AG77" s="1783"/>
      <c r="AH77" s="1783"/>
      <c r="AI77" s="1783"/>
      <c r="AJ77" s="1783"/>
      <c r="AK77" s="1783"/>
      <c r="AL77" s="1783"/>
      <c r="AM77" s="1783"/>
      <c r="AN77" s="1783"/>
      <c r="AO77" s="1783"/>
      <c r="AP77" s="1783"/>
      <c r="AQ77" s="1783"/>
      <c r="AR77" s="1783"/>
      <c r="AS77" s="1783"/>
      <c r="AT77" s="1783"/>
      <c r="AU77" s="1783"/>
      <c r="AV77" s="1783"/>
      <c r="AW77" s="1783"/>
      <c r="AX77" s="1783"/>
      <c r="AY77" s="1783"/>
      <c r="AZ77" s="1783"/>
      <c r="BA77" s="1783"/>
      <c r="BB77" s="1783"/>
      <c r="BC77" s="1783"/>
      <c r="BD77" s="1783"/>
      <c r="BE77" s="1783"/>
      <c r="BF77" s="1783"/>
      <c r="BG77" s="1783"/>
      <c r="BH77" s="1783"/>
      <c r="BI77" s="1783"/>
      <c r="BJ77" s="1783"/>
      <c r="BK77" s="1783"/>
      <c r="BL77" s="1783"/>
      <c r="BM77" s="1783"/>
      <c r="BN77" s="1783"/>
    </row>
    <row r="78" spans="1:66">
      <c r="A78" s="3"/>
      <c r="B78" s="1847"/>
      <c r="C78" s="1848"/>
      <c r="D78" s="1848"/>
      <c r="E78" s="1848"/>
      <c r="F78" s="1848"/>
      <c r="G78" s="1844"/>
      <c r="H78" s="3"/>
      <c r="I78" s="1783"/>
      <c r="J78" s="1783"/>
      <c r="K78" s="1783"/>
      <c r="L78" s="1783"/>
      <c r="M78" s="1783"/>
      <c r="N78" s="1783"/>
      <c r="O78" s="1783"/>
      <c r="P78" s="1783"/>
      <c r="Q78" s="1783"/>
      <c r="R78" s="1783"/>
      <c r="S78" s="1783"/>
      <c r="T78" s="1783"/>
      <c r="U78" s="1783"/>
      <c r="V78" s="1783"/>
      <c r="W78" s="1783"/>
      <c r="X78" s="1783"/>
      <c r="Y78" s="1783"/>
      <c r="Z78" s="1783"/>
      <c r="AA78" s="1783"/>
      <c r="AB78" s="1783"/>
      <c r="AC78" s="1783"/>
      <c r="AD78" s="1783"/>
      <c r="AE78" s="1783"/>
      <c r="AF78" s="1783"/>
      <c r="AG78" s="1783"/>
      <c r="AH78" s="1783"/>
      <c r="AI78" s="1783"/>
      <c r="AJ78" s="1783"/>
      <c r="AK78" s="1783"/>
      <c r="AL78" s="1783"/>
      <c r="AM78" s="1783"/>
      <c r="AN78" s="1783"/>
      <c r="AO78" s="1783"/>
      <c r="AP78" s="1783"/>
      <c r="AQ78" s="1783"/>
      <c r="AR78" s="1783"/>
      <c r="AS78" s="1783"/>
      <c r="AT78" s="1783"/>
      <c r="AU78" s="1783"/>
      <c r="AV78" s="1783"/>
      <c r="AW78" s="1783"/>
      <c r="AX78" s="1783"/>
      <c r="AY78" s="1783"/>
      <c r="AZ78" s="1783"/>
      <c r="BA78" s="1783"/>
      <c r="BB78" s="1783"/>
      <c r="BC78" s="1783"/>
      <c r="BD78" s="1783"/>
      <c r="BE78" s="1783"/>
      <c r="BF78" s="1783"/>
      <c r="BG78" s="1783"/>
      <c r="BH78" s="1783"/>
      <c r="BI78" s="1783"/>
      <c r="BJ78" s="1783"/>
      <c r="BK78" s="1783"/>
      <c r="BL78" s="1783"/>
      <c r="BM78" s="1783"/>
      <c r="BN78" s="1783"/>
    </row>
    <row r="79" spans="1:66">
      <c r="A79" s="3"/>
      <c r="B79" s="1847"/>
      <c r="C79" s="1848"/>
      <c r="D79" s="1848"/>
      <c r="E79" s="1848"/>
      <c r="F79" s="1848"/>
      <c r="G79" s="1844"/>
      <c r="H79" s="3"/>
      <c r="I79" s="1783"/>
      <c r="J79" s="1783"/>
      <c r="K79" s="1783"/>
      <c r="L79" s="1783"/>
      <c r="M79" s="1783"/>
      <c r="N79" s="1783"/>
      <c r="O79" s="1783"/>
      <c r="P79" s="1783"/>
      <c r="Q79" s="1783"/>
      <c r="R79" s="1783"/>
      <c r="S79" s="1783"/>
      <c r="T79" s="1783"/>
      <c r="U79" s="1783"/>
      <c r="V79" s="1783"/>
      <c r="W79" s="1783"/>
      <c r="X79" s="1783"/>
      <c r="Y79" s="1783"/>
      <c r="Z79" s="1783"/>
      <c r="AA79" s="1783"/>
      <c r="AB79" s="1783"/>
      <c r="AC79" s="1783"/>
      <c r="AD79" s="1783"/>
      <c r="AE79" s="1783"/>
      <c r="AF79" s="1783"/>
      <c r="AG79" s="1783"/>
      <c r="AH79" s="1783"/>
      <c r="AI79" s="1783"/>
      <c r="AJ79" s="1783"/>
      <c r="AK79" s="1783"/>
      <c r="AL79" s="1783"/>
      <c r="AM79" s="1783"/>
      <c r="AN79" s="1783"/>
      <c r="AO79" s="1783"/>
      <c r="AP79" s="1783"/>
      <c r="AQ79" s="1783"/>
      <c r="AR79" s="1783"/>
      <c r="AS79" s="1783"/>
      <c r="AT79" s="1783"/>
      <c r="AU79" s="1783"/>
      <c r="AV79" s="1783"/>
      <c r="AW79" s="1783"/>
      <c r="AX79" s="1783"/>
      <c r="AY79" s="1783"/>
      <c r="AZ79" s="1783"/>
      <c r="BA79" s="1783"/>
      <c r="BB79" s="1783"/>
      <c r="BC79" s="1783"/>
      <c r="BD79" s="1783"/>
      <c r="BE79" s="1783"/>
      <c r="BF79" s="1783"/>
      <c r="BG79" s="1783"/>
      <c r="BH79" s="1783"/>
      <c r="BI79" s="1783"/>
      <c r="BJ79" s="1783"/>
      <c r="BK79" s="1783"/>
      <c r="BL79" s="1783"/>
      <c r="BM79" s="1783"/>
      <c r="BN79" s="1783"/>
    </row>
    <row r="80" spans="1:66">
      <c r="A80" s="3"/>
      <c r="B80" s="2454" t="s">
        <v>2649</v>
      </c>
      <c r="C80" s="2455"/>
      <c r="D80" s="2455"/>
      <c r="E80" s="2455"/>
      <c r="F80" s="2455"/>
      <c r="G80" s="1849"/>
      <c r="H80" s="3"/>
      <c r="I80" s="1783"/>
      <c r="J80" s="1783"/>
      <c r="K80" s="1783"/>
      <c r="L80" s="1783"/>
      <c r="M80" s="1783"/>
      <c r="N80" s="1783"/>
      <c r="O80" s="1783"/>
      <c r="P80" s="1783"/>
      <c r="Q80" s="1783"/>
      <c r="R80" s="1783"/>
      <c r="S80" s="1783"/>
      <c r="T80" s="1783"/>
      <c r="U80" s="1783"/>
      <c r="V80" s="1783"/>
      <c r="W80" s="1783"/>
      <c r="X80" s="1783"/>
      <c r="Y80" s="1783"/>
      <c r="Z80" s="1783"/>
      <c r="AA80" s="1783"/>
      <c r="AB80" s="1783"/>
      <c r="AC80" s="1783"/>
      <c r="AD80" s="1783"/>
      <c r="AE80" s="1783"/>
      <c r="AF80" s="1783"/>
      <c r="AG80" s="1783"/>
      <c r="AH80" s="1783"/>
      <c r="AI80" s="1783"/>
      <c r="AJ80" s="1783"/>
      <c r="AK80" s="1783"/>
      <c r="AL80" s="1783"/>
      <c r="AM80" s="1783"/>
      <c r="AN80" s="1783"/>
      <c r="AO80" s="1783"/>
      <c r="AP80" s="1783"/>
      <c r="AQ80" s="1783"/>
      <c r="AR80" s="1783"/>
      <c r="AS80" s="1783"/>
      <c r="AT80" s="1783"/>
      <c r="AU80" s="1783"/>
      <c r="AV80" s="1783"/>
      <c r="AW80" s="1783"/>
      <c r="AX80" s="1783"/>
      <c r="AY80" s="1783"/>
      <c r="AZ80" s="1783"/>
      <c r="BA80" s="1783"/>
      <c r="BB80" s="1783"/>
      <c r="BC80" s="1783"/>
      <c r="BD80" s="1783"/>
      <c r="BE80" s="1783"/>
      <c r="BF80" s="1783"/>
      <c r="BG80" s="1783"/>
      <c r="BH80" s="1783"/>
      <c r="BI80" s="1783"/>
      <c r="BJ80" s="1783"/>
      <c r="BK80" s="1783"/>
      <c r="BL80" s="1783"/>
      <c r="BM80" s="1783"/>
      <c r="BN80" s="1783"/>
    </row>
    <row r="81" spans="1:66">
      <c r="A81" s="3"/>
      <c r="B81" s="2456"/>
      <c r="C81" s="2456"/>
      <c r="D81" s="2456"/>
      <c r="E81" s="2456"/>
      <c r="F81" s="2456"/>
      <c r="G81" s="1849"/>
      <c r="H81" s="3"/>
      <c r="I81" s="1783"/>
      <c r="J81" s="1783"/>
      <c r="K81" s="1783"/>
      <c r="L81" s="1783"/>
      <c r="M81" s="1783"/>
      <c r="N81" s="1783"/>
      <c r="O81" s="1783"/>
      <c r="P81" s="1783"/>
      <c r="Q81" s="1783"/>
      <c r="R81" s="1783"/>
      <c r="S81" s="1783"/>
      <c r="T81" s="1783"/>
      <c r="U81" s="1783"/>
      <c r="V81" s="1783"/>
      <c r="W81" s="1783"/>
      <c r="X81" s="1783"/>
      <c r="Y81" s="1783"/>
      <c r="Z81" s="1783"/>
      <c r="AA81" s="1783"/>
      <c r="AB81" s="1783"/>
      <c r="AC81" s="1783"/>
      <c r="AD81" s="1783"/>
      <c r="AE81" s="1783"/>
      <c r="AF81" s="1783"/>
      <c r="AG81" s="1783"/>
      <c r="AH81" s="1783"/>
      <c r="AI81" s="1783"/>
      <c r="AJ81" s="1783"/>
      <c r="AK81" s="1783"/>
      <c r="AL81" s="1783"/>
      <c r="AM81" s="1783"/>
      <c r="AN81" s="1783"/>
      <c r="AO81" s="1783"/>
      <c r="AP81" s="1783"/>
      <c r="AQ81" s="1783"/>
      <c r="AR81" s="1783"/>
      <c r="AS81" s="1783"/>
      <c r="AT81" s="1783"/>
      <c r="AU81" s="1783"/>
      <c r="AV81" s="1783"/>
      <c r="AW81" s="1783"/>
      <c r="AX81" s="1783"/>
      <c r="AY81" s="1783"/>
      <c r="AZ81" s="1783"/>
      <c r="BA81" s="1783"/>
      <c r="BB81" s="1783"/>
      <c r="BC81" s="1783"/>
      <c r="BD81" s="1783"/>
      <c r="BE81" s="1783"/>
      <c r="BF81" s="1783"/>
      <c r="BG81" s="1783"/>
      <c r="BH81" s="1783"/>
      <c r="BI81" s="1783"/>
      <c r="BJ81" s="1783"/>
      <c r="BK81" s="1783"/>
      <c r="BL81" s="1783"/>
      <c r="BM81" s="1783"/>
      <c r="BN81" s="1783"/>
    </row>
    <row r="82" spans="1:66">
      <c r="A82" s="3"/>
      <c r="B82" s="2454" t="s">
        <v>2650</v>
      </c>
      <c r="C82" s="2455"/>
      <c r="D82" s="2455"/>
      <c r="E82" s="2455"/>
      <c r="F82" s="2455"/>
      <c r="G82" s="1849"/>
      <c r="H82" s="3"/>
      <c r="I82" s="1783"/>
      <c r="J82" s="1783"/>
      <c r="K82" s="1783"/>
      <c r="L82" s="1783"/>
      <c r="M82" s="1783"/>
      <c r="N82" s="1783"/>
      <c r="O82" s="1783"/>
      <c r="P82" s="1783"/>
      <c r="Q82" s="1783"/>
      <c r="R82" s="1783"/>
      <c r="S82" s="1783"/>
      <c r="T82" s="1783"/>
      <c r="U82" s="1783"/>
      <c r="V82" s="1783"/>
      <c r="W82" s="1783"/>
      <c r="X82" s="1783"/>
      <c r="Y82" s="1783"/>
      <c r="Z82" s="1783"/>
      <c r="AA82" s="1783"/>
      <c r="AB82" s="1783"/>
      <c r="AC82" s="1783"/>
      <c r="AD82" s="1783"/>
      <c r="AE82" s="1783"/>
      <c r="AF82" s="1783"/>
      <c r="AG82" s="1783"/>
      <c r="AH82" s="1783"/>
      <c r="AI82" s="1783"/>
      <c r="AJ82" s="1783"/>
      <c r="AK82" s="1783"/>
      <c r="AL82" s="1783"/>
      <c r="AM82" s="1783"/>
      <c r="AN82" s="1783"/>
      <c r="AO82" s="1783"/>
      <c r="AP82" s="1783"/>
      <c r="AQ82" s="1783"/>
      <c r="AR82" s="1783"/>
      <c r="AS82" s="1783"/>
      <c r="AT82" s="1783"/>
      <c r="AU82" s="1783"/>
      <c r="AV82" s="1783"/>
      <c r="AW82" s="1783"/>
      <c r="AX82" s="1783"/>
      <c r="AY82" s="1783"/>
      <c r="AZ82" s="1783"/>
      <c r="BA82" s="1783"/>
      <c r="BB82" s="1783"/>
      <c r="BC82" s="1783"/>
      <c r="BD82" s="1783"/>
      <c r="BE82" s="1783"/>
      <c r="BF82" s="1783"/>
      <c r="BG82" s="1783"/>
      <c r="BH82" s="1783"/>
      <c r="BI82" s="1783"/>
      <c r="BJ82" s="1783"/>
      <c r="BK82" s="1783"/>
      <c r="BL82" s="1783"/>
      <c r="BM82" s="1783"/>
      <c r="BN82" s="1783"/>
    </row>
    <row r="83" spans="1:66">
      <c r="A83" s="3"/>
      <c r="B83" s="2454" t="s">
        <v>2651</v>
      </c>
      <c r="C83" s="2455"/>
      <c r="D83" s="2455"/>
      <c r="E83" s="2455"/>
      <c r="F83" s="2455"/>
      <c r="G83" s="1849"/>
      <c r="H83" s="3"/>
      <c r="I83" s="1783"/>
      <c r="J83" s="1783"/>
      <c r="K83" s="1783"/>
      <c r="L83" s="1783"/>
      <c r="M83" s="1783"/>
      <c r="N83" s="1783"/>
      <c r="O83" s="1783"/>
      <c r="P83" s="1783"/>
      <c r="Q83" s="1783"/>
      <c r="R83" s="1783"/>
      <c r="S83" s="1783"/>
      <c r="T83" s="1783"/>
      <c r="U83" s="1783"/>
      <c r="V83" s="1783"/>
      <c r="W83" s="1783"/>
      <c r="X83" s="1783"/>
      <c r="Y83" s="1783"/>
      <c r="Z83" s="1783"/>
      <c r="AA83" s="1783"/>
      <c r="AB83" s="1783"/>
      <c r="AC83" s="1783"/>
      <c r="AD83" s="1783"/>
      <c r="AE83" s="1783"/>
      <c r="AF83" s="1783"/>
      <c r="AG83" s="1783"/>
      <c r="AH83" s="1783"/>
      <c r="AI83" s="1783"/>
      <c r="AJ83" s="1783"/>
      <c r="AK83" s="1783"/>
      <c r="AL83" s="1783"/>
      <c r="AM83" s="1783"/>
      <c r="AN83" s="1783"/>
      <c r="AO83" s="1783"/>
      <c r="AP83" s="1783"/>
      <c r="AQ83" s="1783"/>
      <c r="AR83" s="1783"/>
      <c r="AS83" s="1783"/>
      <c r="AT83" s="1783"/>
      <c r="AU83" s="1783"/>
      <c r="AV83" s="1783"/>
      <c r="AW83" s="1783"/>
      <c r="AX83" s="1783"/>
      <c r="AY83" s="1783"/>
      <c r="AZ83" s="1783"/>
      <c r="BA83" s="1783"/>
      <c r="BB83" s="1783"/>
      <c r="BC83" s="1783"/>
      <c r="BD83" s="1783"/>
      <c r="BE83" s="1783"/>
      <c r="BF83" s="1783"/>
      <c r="BG83" s="1783"/>
      <c r="BH83" s="1783"/>
      <c r="BI83" s="1783"/>
      <c r="BJ83" s="1783"/>
      <c r="BK83" s="1783"/>
      <c r="BL83" s="1783"/>
      <c r="BM83" s="1783"/>
      <c r="BN83" s="1783"/>
    </row>
    <row r="84" spans="1:66">
      <c r="A84" s="3"/>
      <c r="B84" s="2456"/>
      <c r="C84" s="2456"/>
      <c r="D84" s="2456"/>
      <c r="E84" s="2456"/>
      <c r="F84" s="2456"/>
      <c r="G84" s="1849"/>
      <c r="H84" s="3"/>
      <c r="I84" s="1783"/>
      <c r="J84" s="1783"/>
      <c r="K84" s="1783"/>
      <c r="L84" s="1783"/>
      <c r="M84" s="1783"/>
      <c r="N84" s="1783"/>
      <c r="O84" s="1783"/>
      <c r="P84" s="1783"/>
      <c r="Q84" s="1783"/>
      <c r="R84" s="1783"/>
      <c r="S84" s="1783"/>
      <c r="T84" s="1783"/>
      <c r="U84" s="1783"/>
      <c r="V84" s="1783"/>
      <c r="W84" s="1783"/>
      <c r="X84" s="1783"/>
      <c r="Y84" s="1783"/>
      <c r="Z84" s="1783"/>
      <c r="AA84" s="1783"/>
      <c r="AB84" s="1783"/>
      <c r="AC84" s="1783"/>
      <c r="AD84" s="1783"/>
      <c r="AE84" s="1783"/>
      <c r="AF84" s="1783"/>
      <c r="AG84" s="1783"/>
      <c r="AH84" s="1783"/>
      <c r="AI84" s="1783"/>
      <c r="AJ84" s="1783"/>
      <c r="AK84" s="1783"/>
      <c r="AL84" s="1783"/>
      <c r="AM84" s="1783"/>
      <c r="AN84" s="1783"/>
      <c r="AO84" s="1783"/>
      <c r="AP84" s="1783"/>
      <c r="AQ84" s="1783"/>
      <c r="AR84" s="1783"/>
      <c r="AS84" s="1783"/>
      <c r="AT84" s="1783"/>
      <c r="AU84" s="1783"/>
      <c r="AV84" s="1783"/>
      <c r="AW84" s="1783"/>
      <c r="AX84" s="1783"/>
      <c r="AY84" s="1783"/>
      <c r="AZ84" s="1783"/>
      <c r="BA84" s="1783"/>
      <c r="BB84" s="1783"/>
      <c r="BC84" s="1783"/>
      <c r="BD84" s="1783"/>
      <c r="BE84" s="1783"/>
      <c r="BF84" s="1783"/>
      <c r="BG84" s="1783"/>
      <c r="BH84" s="1783"/>
      <c r="BI84" s="1783"/>
      <c r="BJ84" s="1783"/>
      <c r="BK84" s="1783"/>
      <c r="BL84" s="1783"/>
      <c r="BM84" s="1783"/>
      <c r="BN84" s="1783"/>
    </row>
    <row r="85" spans="1:66">
      <c r="A85" s="3"/>
      <c r="B85" s="3"/>
      <c r="C85" s="3"/>
      <c r="D85" s="3"/>
      <c r="E85" s="3"/>
      <c r="F85" s="3"/>
      <c r="G85" s="1849"/>
      <c r="H85" s="3"/>
      <c r="I85" s="1783"/>
      <c r="J85" s="1783"/>
      <c r="K85" s="1783"/>
      <c r="L85" s="1783"/>
      <c r="M85" s="1783"/>
      <c r="N85" s="1783"/>
      <c r="O85" s="1783"/>
      <c r="P85" s="1783"/>
      <c r="Q85" s="1783"/>
      <c r="R85" s="1783"/>
      <c r="S85" s="1783"/>
      <c r="T85" s="1783"/>
      <c r="U85" s="1783"/>
      <c r="V85" s="1783"/>
      <c r="W85" s="1783"/>
      <c r="X85" s="1783"/>
      <c r="Y85" s="1783"/>
      <c r="Z85" s="1783"/>
      <c r="AA85" s="1783"/>
      <c r="AB85" s="1783"/>
      <c r="AC85" s="1783"/>
      <c r="AD85" s="1783"/>
      <c r="AE85" s="1783"/>
      <c r="AF85" s="1783"/>
      <c r="AG85" s="1783"/>
      <c r="AH85" s="1783"/>
      <c r="AI85" s="1783"/>
      <c r="AJ85" s="1783"/>
      <c r="AK85" s="1783"/>
      <c r="AL85" s="1783"/>
      <c r="AM85" s="1783"/>
      <c r="AN85" s="1783"/>
      <c r="AO85" s="1783"/>
      <c r="AP85" s="1783"/>
      <c r="AQ85" s="1783"/>
      <c r="AR85" s="1783"/>
      <c r="AS85" s="1783"/>
      <c r="AT85" s="1783"/>
      <c r="AU85" s="1783"/>
      <c r="AV85" s="1783"/>
      <c r="AW85" s="1783"/>
      <c r="AX85" s="1783"/>
      <c r="AY85" s="1783"/>
      <c r="AZ85" s="1783"/>
      <c r="BA85" s="1783"/>
      <c r="BB85" s="1783"/>
      <c r="BC85" s="1783"/>
      <c r="BD85" s="1783"/>
      <c r="BE85" s="1783"/>
      <c r="BF85" s="1783"/>
      <c r="BG85" s="1783"/>
      <c r="BH85" s="1783"/>
      <c r="BI85" s="1783"/>
      <c r="BJ85" s="1783"/>
      <c r="BK85" s="1783"/>
      <c r="BL85" s="1783"/>
      <c r="BM85" s="1783"/>
      <c r="BN85" s="1783"/>
    </row>
    <row r="86" spans="1:66">
      <c r="A86" s="1783"/>
      <c r="B86" s="1783"/>
      <c r="C86" s="1783"/>
      <c r="D86" s="1783"/>
      <c r="E86" s="1783"/>
      <c r="F86" s="1783"/>
      <c r="G86" s="1783"/>
      <c r="H86" s="1783"/>
      <c r="I86" s="1783"/>
      <c r="J86" s="1783"/>
      <c r="K86" s="1783"/>
      <c r="L86" s="1783"/>
      <c r="M86" s="1783"/>
      <c r="N86" s="1783"/>
      <c r="O86" s="1783"/>
      <c r="P86" s="1783"/>
      <c r="Q86" s="1783"/>
      <c r="R86" s="1783"/>
      <c r="S86" s="1783"/>
      <c r="T86" s="1783"/>
      <c r="U86" s="1783"/>
      <c r="V86" s="1783"/>
      <c r="W86" s="1783"/>
      <c r="X86" s="1783"/>
      <c r="Y86" s="1783"/>
      <c r="Z86" s="1783"/>
      <c r="AA86" s="1783"/>
      <c r="AB86" s="1783"/>
      <c r="AC86" s="1783"/>
      <c r="AD86" s="1783"/>
      <c r="AE86" s="1783"/>
      <c r="AF86" s="1783"/>
      <c r="AG86" s="1783"/>
      <c r="AH86" s="1783"/>
      <c r="AI86" s="1783"/>
      <c r="AJ86" s="1783"/>
      <c r="AK86" s="1783"/>
      <c r="AL86" s="1783"/>
      <c r="AM86" s="1783"/>
      <c r="AN86" s="1783"/>
      <c r="AO86" s="1783"/>
      <c r="AP86" s="1783"/>
      <c r="AQ86" s="1783"/>
      <c r="AR86" s="1783"/>
      <c r="AS86" s="1783"/>
      <c r="AT86" s="1783"/>
      <c r="AU86" s="1783"/>
      <c r="AV86" s="1783"/>
      <c r="AW86" s="1783"/>
      <c r="AX86" s="1783"/>
      <c r="AY86" s="1783"/>
      <c r="AZ86" s="1783"/>
      <c r="BA86" s="1783"/>
      <c r="BB86" s="1783"/>
      <c r="BC86" s="1783"/>
      <c r="BD86" s="1783"/>
      <c r="BE86" s="1783"/>
      <c r="BF86" s="1783"/>
      <c r="BG86" s="1783"/>
      <c r="BH86" s="1783"/>
      <c r="BI86" s="1783"/>
      <c r="BJ86" s="1783"/>
      <c r="BK86" s="1783"/>
      <c r="BL86" s="1783"/>
      <c r="BM86" s="1783"/>
      <c r="BN86" s="1783"/>
    </row>
    <row r="87" spans="1:66">
      <c r="A87" s="1783"/>
      <c r="B87" s="1783"/>
      <c r="C87" s="1783"/>
      <c r="D87" s="1783"/>
      <c r="E87" s="1783"/>
      <c r="F87" s="1783"/>
      <c r="G87" s="1783"/>
      <c r="H87" s="1783"/>
      <c r="I87" s="1783"/>
      <c r="J87" s="1783"/>
      <c r="K87" s="1783"/>
      <c r="L87" s="1783"/>
      <c r="M87" s="1783"/>
      <c r="N87" s="1783"/>
      <c r="O87" s="1783"/>
      <c r="P87" s="1783"/>
      <c r="Q87" s="1783"/>
      <c r="R87" s="1783"/>
      <c r="S87" s="1783"/>
      <c r="T87" s="1783"/>
      <c r="U87" s="1783"/>
      <c r="V87" s="1783"/>
      <c r="W87" s="1783"/>
      <c r="X87" s="1783"/>
      <c r="Y87" s="1783"/>
      <c r="Z87" s="1783"/>
      <c r="AA87" s="1783"/>
      <c r="AB87" s="1783"/>
      <c r="AC87" s="1783"/>
      <c r="AD87" s="1783"/>
      <c r="AE87" s="1783"/>
      <c r="AF87" s="1783"/>
      <c r="AG87" s="1783"/>
      <c r="AH87" s="1783"/>
      <c r="AI87" s="1783"/>
      <c r="AJ87" s="1783"/>
      <c r="AK87" s="1783"/>
      <c r="AL87" s="1783"/>
      <c r="AM87" s="1783"/>
      <c r="AN87" s="1783"/>
      <c r="AO87" s="1783"/>
      <c r="AP87" s="1783"/>
      <c r="AQ87" s="1783"/>
      <c r="AR87" s="1783"/>
      <c r="AS87" s="1783"/>
      <c r="AT87" s="1783"/>
      <c r="AU87" s="1783"/>
      <c r="AV87" s="1783"/>
      <c r="AW87" s="1783"/>
      <c r="AX87" s="1783"/>
      <c r="AY87" s="1783"/>
      <c r="AZ87" s="1783"/>
      <c r="BA87" s="1783"/>
      <c r="BB87" s="1783"/>
      <c r="BC87" s="1783"/>
      <c r="BD87" s="1783"/>
      <c r="BE87" s="1783"/>
      <c r="BF87" s="1783"/>
      <c r="BG87" s="1783"/>
      <c r="BH87" s="1783"/>
      <c r="BI87" s="1783"/>
      <c r="BJ87" s="1783"/>
      <c r="BK87" s="1783"/>
      <c r="BL87" s="1783"/>
      <c r="BM87" s="1783"/>
      <c r="BN87" s="1783"/>
    </row>
    <row r="88" spans="1:66">
      <c r="A88" s="1783"/>
      <c r="B88" s="1783"/>
      <c r="C88" s="1783"/>
      <c r="D88" s="1783"/>
      <c r="E88" s="1783"/>
      <c r="F88" s="1783"/>
      <c r="G88" s="1783"/>
      <c r="H88" s="1783"/>
      <c r="I88" s="1783"/>
      <c r="J88" s="1783"/>
      <c r="K88" s="1783"/>
      <c r="L88" s="1783"/>
      <c r="M88" s="1783"/>
      <c r="N88" s="1783"/>
      <c r="O88" s="1783"/>
      <c r="P88" s="1783"/>
      <c r="Q88" s="1783"/>
      <c r="R88" s="1783"/>
      <c r="S88" s="1783"/>
      <c r="T88" s="1783"/>
      <c r="U88" s="1783"/>
      <c r="V88" s="1783"/>
      <c r="W88" s="1783"/>
      <c r="X88" s="1783"/>
      <c r="Y88" s="1783"/>
      <c r="Z88" s="1783"/>
      <c r="AA88" s="1783"/>
      <c r="AB88" s="1783"/>
      <c r="AC88" s="1783"/>
      <c r="AD88" s="1783"/>
      <c r="AE88" s="1783"/>
      <c r="AF88" s="1783"/>
      <c r="AG88" s="1783"/>
      <c r="AH88" s="1783"/>
      <c r="AI88" s="1783"/>
      <c r="AJ88" s="1783"/>
      <c r="AK88" s="1783"/>
      <c r="AL88" s="1783"/>
      <c r="AM88" s="1783"/>
      <c r="AN88" s="1783"/>
      <c r="AO88" s="1783"/>
      <c r="AP88" s="1783"/>
      <c r="AQ88" s="1783"/>
      <c r="AR88" s="1783"/>
      <c r="AS88" s="1783"/>
      <c r="AT88" s="1783"/>
      <c r="AU88" s="1783"/>
      <c r="AV88" s="1783"/>
      <c r="AW88" s="1783"/>
      <c r="AX88" s="1783"/>
      <c r="AY88" s="1783"/>
      <c r="AZ88" s="1783"/>
      <c r="BA88" s="1783"/>
      <c r="BB88" s="1783"/>
      <c r="BC88" s="1783"/>
      <c r="BD88" s="1783"/>
      <c r="BE88" s="1783"/>
      <c r="BF88" s="1783"/>
      <c r="BG88" s="1783"/>
      <c r="BH88" s="1783"/>
      <c r="BI88" s="1783"/>
      <c r="BJ88" s="1783"/>
      <c r="BK88" s="1783"/>
      <c r="BL88" s="1783"/>
      <c r="BM88" s="1783"/>
      <c r="BN88" s="1783"/>
    </row>
    <row r="89" spans="1:66">
      <c r="A89" s="1783"/>
      <c r="B89" s="1783"/>
      <c r="C89" s="1783"/>
      <c r="D89" s="1783"/>
      <c r="E89" s="1783"/>
      <c r="F89" s="1783"/>
      <c r="G89" s="1783"/>
      <c r="H89" s="1783"/>
      <c r="I89" s="1783"/>
      <c r="J89" s="1783"/>
      <c r="K89" s="1783"/>
      <c r="L89" s="1783"/>
      <c r="M89" s="1783"/>
      <c r="N89" s="1783"/>
      <c r="O89" s="1783"/>
      <c r="P89" s="1783"/>
      <c r="Q89" s="1783"/>
      <c r="R89" s="1783"/>
      <c r="S89" s="1783"/>
      <c r="T89" s="1783"/>
      <c r="U89" s="1783"/>
      <c r="V89" s="1783"/>
      <c r="W89" s="1783"/>
      <c r="X89" s="1783"/>
      <c r="Y89" s="1783"/>
      <c r="Z89" s="1783"/>
      <c r="AA89" s="1783"/>
      <c r="AB89" s="1783"/>
      <c r="AC89" s="1783"/>
      <c r="AD89" s="1783"/>
      <c r="AE89" s="1783"/>
      <c r="AF89" s="1783"/>
      <c r="AG89" s="1783"/>
      <c r="AH89" s="1783"/>
      <c r="AI89" s="1783"/>
      <c r="AJ89" s="1783"/>
      <c r="AK89" s="1783"/>
      <c r="AL89" s="1783"/>
      <c r="AM89" s="1783"/>
      <c r="AN89" s="1783"/>
      <c r="AO89" s="1783"/>
      <c r="AP89" s="1783"/>
      <c r="AQ89" s="1783"/>
      <c r="AR89" s="1783"/>
      <c r="AS89" s="1783"/>
      <c r="AT89" s="1783"/>
      <c r="AU89" s="1783"/>
      <c r="AV89" s="1783"/>
      <c r="AW89" s="1783"/>
      <c r="AX89" s="1783"/>
      <c r="AY89" s="1783"/>
      <c r="AZ89" s="1783"/>
      <c r="BA89" s="1783"/>
      <c r="BB89" s="1783"/>
      <c r="BC89" s="1783"/>
      <c r="BD89" s="1783"/>
      <c r="BE89" s="1783"/>
      <c r="BF89" s="1783"/>
      <c r="BG89" s="1783"/>
      <c r="BH89" s="1783"/>
      <c r="BI89" s="1783"/>
      <c r="BJ89" s="1783"/>
      <c r="BK89" s="1783"/>
      <c r="BL89" s="1783"/>
      <c r="BM89" s="1783"/>
      <c r="BN89" s="1783"/>
    </row>
    <row r="90" spans="1:66">
      <c r="A90" s="1783"/>
      <c r="B90" s="1783"/>
      <c r="C90" s="1783"/>
      <c r="D90" s="1783"/>
      <c r="E90" s="1783"/>
      <c r="F90" s="1783"/>
      <c r="G90" s="1783"/>
      <c r="H90" s="1783"/>
      <c r="I90" s="1783"/>
      <c r="J90" s="1783"/>
      <c r="K90" s="1783"/>
      <c r="L90" s="1783"/>
      <c r="M90" s="1783"/>
      <c r="N90" s="1783"/>
      <c r="O90" s="1783"/>
      <c r="P90" s="1783"/>
      <c r="Q90" s="1783"/>
      <c r="R90" s="1783"/>
      <c r="S90" s="1783"/>
      <c r="T90" s="1783"/>
      <c r="U90" s="1783"/>
      <c r="V90" s="1783"/>
      <c r="W90" s="1783"/>
      <c r="X90" s="1783"/>
      <c r="Y90" s="1783"/>
      <c r="Z90" s="1783"/>
      <c r="AA90" s="1783"/>
      <c r="AB90" s="1783"/>
      <c r="AC90" s="1783"/>
      <c r="AD90" s="1783"/>
      <c r="AE90" s="1783"/>
      <c r="AF90" s="1783"/>
      <c r="AG90" s="1783"/>
      <c r="AH90" s="1783"/>
      <c r="AI90" s="1783"/>
      <c r="AJ90" s="1783"/>
      <c r="AK90" s="1783"/>
      <c r="AL90" s="1783"/>
      <c r="AM90" s="1783"/>
      <c r="AN90" s="1783"/>
      <c r="AO90" s="1783"/>
      <c r="AP90" s="1783"/>
      <c r="AQ90" s="1783"/>
      <c r="AR90" s="1783"/>
      <c r="AS90" s="1783"/>
      <c r="AT90" s="1783"/>
      <c r="AU90" s="1783"/>
      <c r="AV90" s="1783"/>
      <c r="AW90" s="1783"/>
      <c r="AX90" s="1783"/>
      <c r="AY90" s="1783"/>
      <c r="AZ90" s="1783"/>
      <c r="BA90" s="1783"/>
      <c r="BB90" s="1783"/>
      <c r="BC90" s="1783"/>
      <c r="BD90" s="1783"/>
      <c r="BE90" s="1783"/>
      <c r="BF90" s="1783"/>
      <c r="BG90" s="1783"/>
      <c r="BH90" s="1783"/>
      <c r="BI90" s="1783"/>
      <c r="BJ90" s="1783"/>
      <c r="BK90" s="1783"/>
      <c r="BL90" s="1783"/>
      <c r="BM90" s="1783"/>
      <c r="BN90" s="1783"/>
    </row>
    <row r="91" spans="1:66">
      <c r="A91" s="1783"/>
      <c r="B91" s="1783"/>
      <c r="C91" s="1783"/>
      <c r="D91" s="1783"/>
      <c r="E91" s="1783"/>
      <c r="F91" s="1783"/>
      <c r="G91" s="1783"/>
      <c r="H91" s="1783"/>
      <c r="I91" s="1783"/>
      <c r="J91" s="1783"/>
      <c r="K91" s="1783"/>
      <c r="L91" s="1783"/>
      <c r="M91" s="1783"/>
      <c r="N91" s="1783"/>
      <c r="O91" s="1783"/>
      <c r="P91" s="1783"/>
      <c r="Q91" s="1783"/>
      <c r="R91" s="1783"/>
      <c r="S91" s="1783"/>
      <c r="T91" s="1783"/>
      <c r="U91" s="1783"/>
      <c r="V91" s="1783"/>
      <c r="W91" s="1783"/>
      <c r="X91" s="1783"/>
      <c r="Y91" s="1783"/>
      <c r="Z91" s="1783"/>
      <c r="AA91" s="1783"/>
      <c r="AB91" s="1783"/>
      <c r="AC91" s="1783"/>
      <c r="AD91" s="1783"/>
      <c r="AE91" s="1783"/>
      <c r="AF91" s="1783"/>
      <c r="AG91" s="1783"/>
      <c r="AH91" s="1783"/>
      <c r="AI91" s="1783"/>
      <c r="AJ91" s="1783"/>
      <c r="AK91" s="1783"/>
      <c r="AL91" s="1783"/>
      <c r="AM91" s="1783"/>
      <c r="AN91" s="1783"/>
      <c r="AO91" s="1783"/>
      <c r="AP91" s="1783"/>
      <c r="AQ91" s="1783"/>
      <c r="AR91" s="1783"/>
      <c r="AS91" s="1783"/>
      <c r="AT91" s="1783"/>
      <c r="AU91" s="1783"/>
      <c r="AV91" s="1783"/>
      <c r="AW91" s="1783"/>
      <c r="AX91" s="1783"/>
      <c r="AY91" s="1783"/>
      <c r="AZ91" s="1783"/>
      <c r="BA91" s="1783"/>
      <c r="BB91" s="1783"/>
      <c r="BC91" s="1783"/>
      <c r="BD91" s="1783"/>
      <c r="BE91" s="1783"/>
      <c r="BF91" s="1783"/>
      <c r="BG91" s="1783"/>
      <c r="BH91" s="1783"/>
      <c r="BI91" s="1783"/>
      <c r="BJ91" s="1783"/>
      <c r="BK91" s="1783"/>
      <c r="BL91" s="1783"/>
      <c r="BM91" s="1783"/>
      <c r="BN91" s="1783"/>
    </row>
    <row r="92" spans="1:66">
      <c r="A92" s="1783"/>
      <c r="B92" s="1783"/>
      <c r="C92" s="1783"/>
      <c r="D92" s="1783"/>
      <c r="E92" s="1783"/>
      <c r="F92" s="1783"/>
      <c r="G92" s="1783"/>
      <c r="H92" s="1783"/>
      <c r="I92" s="1783"/>
      <c r="J92" s="1783"/>
      <c r="K92" s="1783"/>
      <c r="L92" s="1783"/>
      <c r="M92" s="1783"/>
      <c r="N92" s="1783"/>
      <c r="O92" s="1783"/>
      <c r="P92" s="1783"/>
      <c r="Q92" s="1783"/>
      <c r="R92" s="1783"/>
      <c r="S92" s="1783"/>
      <c r="T92" s="1783"/>
      <c r="U92" s="1783"/>
      <c r="V92" s="1783"/>
      <c r="W92" s="1783"/>
      <c r="X92" s="1783"/>
      <c r="Y92" s="1783"/>
      <c r="Z92" s="1783"/>
      <c r="AA92" s="1783"/>
      <c r="AB92" s="1783"/>
      <c r="AC92" s="1783"/>
      <c r="AD92" s="1783"/>
      <c r="AE92" s="1783"/>
      <c r="AF92" s="1783"/>
      <c r="AG92" s="1783"/>
      <c r="AH92" s="1783"/>
      <c r="AI92" s="1783"/>
      <c r="AJ92" s="1783"/>
      <c r="AK92" s="1783"/>
      <c r="AL92" s="1783"/>
      <c r="AM92" s="1783"/>
      <c r="AN92" s="1783"/>
      <c r="AO92" s="1783"/>
      <c r="AP92" s="1783"/>
      <c r="AQ92" s="1783"/>
      <c r="AR92" s="1783"/>
      <c r="AS92" s="1783"/>
      <c r="AT92" s="1783"/>
      <c r="AU92" s="1783"/>
      <c r="AV92" s="1783"/>
      <c r="AW92" s="1783"/>
      <c r="AX92" s="1783"/>
      <c r="AY92" s="1783"/>
      <c r="AZ92" s="1783"/>
      <c r="BA92" s="1783"/>
      <c r="BB92" s="1783"/>
      <c r="BC92" s="1783"/>
      <c r="BD92" s="1783"/>
      <c r="BE92" s="1783"/>
      <c r="BF92" s="1783"/>
      <c r="BG92" s="1783"/>
      <c r="BH92" s="1783"/>
      <c r="BI92" s="1783"/>
      <c r="BJ92" s="1783"/>
      <c r="BK92" s="1783"/>
      <c r="BL92" s="1783"/>
      <c r="BM92" s="1783"/>
      <c r="BN92" s="1783"/>
    </row>
    <row r="93" spans="1:66">
      <c r="A93" s="1783"/>
      <c r="B93" s="1783"/>
      <c r="C93" s="1783"/>
      <c r="D93" s="1783"/>
      <c r="E93" s="1783"/>
      <c r="F93" s="1783"/>
      <c r="G93" s="1783"/>
      <c r="H93" s="1783"/>
      <c r="I93" s="1783"/>
      <c r="J93" s="1783"/>
      <c r="K93" s="1783"/>
      <c r="L93" s="1783"/>
      <c r="M93" s="1783"/>
      <c r="N93" s="1783"/>
      <c r="O93" s="1783"/>
      <c r="P93" s="1783"/>
      <c r="Q93" s="1783"/>
      <c r="R93" s="1783"/>
      <c r="S93" s="1783"/>
      <c r="T93" s="1783"/>
      <c r="U93" s="1783"/>
      <c r="V93" s="1783"/>
      <c r="W93" s="1783"/>
      <c r="X93" s="1783"/>
      <c r="Y93" s="1783"/>
      <c r="Z93" s="1783"/>
      <c r="AA93" s="1783"/>
      <c r="AB93" s="1783"/>
      <c r="AC93" s="1783"/>
      <c r="AD93" s="1783"/>
      <c r="AE93" s="1783"/>
      <c r="AF93" s="1783"/>
      <c r="AG93" s="1783"/>
      <c r="AH93" s="1783"/>
      <c r="AI93" s="1783"/>
      <c r="AJ93" s="1783"/>
      <c r="AK93" s="1783"/>
      <c r="AL93" s="1783"/>
      <c r="AM93" s="1783"/>
      <c r="AN93" s="1783"/>
      <c r="AO93" s="1783"/>
      <c r="AP93" s="1783"/>
      <c r="AQ93" s="1783"/>
      <c r="AR93" s="1783"/>
      <c r="AS93" s="1783"/>
      <c r="AT93" s="1783"/>
      <c r="AU93" s="1783"/>
      <c r="AV93" s="1783"/>
      <c r="AW93" s="1783"/>
      <c r="AX93" s="1783"/>
      <c r="AY93" s="1783"/>
      <c r="AZ93" s="1783"/>
      <c r="BA93" s="1783"/>
      <c r="BB93" s="1783"/>
      <c r="BC93" s="1783"/>
      <c r="BD93" s="1783"/>
      <c r="BE93" s="1783"/>
      <c r="BF93" s="1783"/>
      <c r="BG93" s="1783"/>
      <c r="BH93" s="1783"/>
      <c r="BI93" s="1783"/>
      <c r="BJ93" s="1783"/>
      <c r="BK93" s="1783"/>
      <c r="BL93" s="1783"/>
      <c r="BM93" s="1783"/>
      <c r="BN93" s="1783"/>
    </row>
    <row r="94" spans="1:66">
      <c r="A94" s="1783"/>
      <c r="B94" s="1783"/>
      <c r="C94" s="1783"/>
      <c r="D94" s="1783"/>
      <c r="E94" s="1783"/>
      <c r="F94" s="1783"/>
      <c r="G94" s="1783"/>
      <c r="H94" s="1783"/>
      <c r="I94" s="1783"/>
      <c r="J94" s="1783"/>
      <c r="K94" s="1783"/>
      <c r="L94" s="1783"/>
      <c r="M94" s="1783"/>
      <c r="N94" s="1783"/>
      <c r="O94" s="1783"/>
      <c r="P94" s="1783"/>
      <c r="Q94" s="1783"/>
      <c r="R94" s="1783"/>
      <c r="S94" s="1783"/>
      <c r="T94" s="1783"/>
      <c r="U94" s="1783"/>
      <c r="V94" s="1783"/>
      <c r="W94" s="1783"/>
      <c r="X94" s="1783"/>
      <c r="Y94" s="1783"/>
      <c r="Z94" s="1783"/>
      <c r="AA94" s="1783"/>
      <c r="AB94" s="1783"/>
      <c r="AC94" s="1783"/>
      <c r="AD94" s="1783"/>
      <c r="AE94" s="1783"/>
      <c r="AF94" s="1783"/>
      <c r="AG94" s="1783"/>
      <c r="AH94" s="1783"/>
      <c r="AI94" s="1783"/>
      <c r="AJ94" s="1783"/>
      <c r="AK94" s="1783"/>
      <c r="AL94" s="1783"/>
      <c r="AM94" s="1783"/>
      <c r="AN94" s="1783"/>
      <c r="AO94" s="1783"/>
      <c r="AP94" s="1783"/>
      <c r="AQ94" s="1783"/>
      <c r="AR94" s="1783"/>
      <c r="AS94" s="1783"/>
      <c r="AT94" s="1783"/>
      <c r="AU94" s="1783"/>
      <c r="AV94" s="1783"/>
      <c r="AW94" s="1783"/>
      <c r="AX94" s="1783"/>
      <c r="AY94" s="1783"/>
      <c r="AZ94" s="1783"/>
      <c r="BA94" s="1783"/>
      <c r="BB94" s="1783"/>
      <c r="BC94" s="1783"/>
      <c r="BD94" s="1783"/>
      <c r="BE94" s="1783"/>
      <c r="BF94" s="1783"/>
      <c r="BG94" s="1783"/>
      <c r="BH94" s="1783"/>
      <c r="BI94" s="1783"/>
      <c r="BJ94" s="1783"/>
      <c r="BK94" s="1783"/>
      <c r="BL94" s="1783"/>
      <c r="BM94" s="1783"/>
      <c r="BN94" s="1783"/>
    </row>
    <row r="95" spans="1:66">
      <c r="A95" s="1783"/>
      <c r="B95" s="1783"/>
      <c r="C95" s="1783"/>
      <c r="D95" s="1783"/>
      <c r="E95" s="1783"/>
      <c r="F95" s="1783"/>
      <c r="G95" s="1783"/>
      <c r="H95" s="1783"/>
      <c r="I95" s="1783"/>
      <c r="J95" s="1783"/>
      <c r="K95" s="1783"/>
      <c r="L95" s="1783"/>
      <c r="M95" s="1783"/>
      <c r="N95" s="1783"/>
      <c r="O95" s="1783"/>
      <c r="P95" s="1783"/>
      <c r="Q95" s="1783"/>
      <c r="R95" s="1783"/>
      <c r="S95" s="1783"/>
      <c r="T95" s="1783"/>
      <c r="U95" s="1783"/>
      <c r="V95" s="1783"/>
      <c r="W95" s="1783"/>
      <c r="X95" s="1783"/>
      <c r="Y95" s="1783"/>
      <c r="Z95" s="1783"/>
      <c r="AA95" s="1783"/>
      <c r="AB95" s="1783"/>
      <c r="AC95" s="1783"/>
      <c r="AD95" s="1783"/>
      <c r="AE95" s="1783"/>
      <c r="AF95" s="1783"/>
      <c r="AG95" s="1783"/>
      <c r="AH95" s="1783"/>
      <c r="AI95" s="1783"/>
      <c r="AJ95" s="1783"/>
      <c r="AK95" s="1783"/>
      <c r="AL95" s="1783"/>
      <c r="AM95" s="1783"/>
      <c r="AN95" s="1783"/>
      <c r="AO95" s="1783"/>
      <c r="AP95" s="1783"/>
      <c r="AQ95" s="1783"/>
      <c r="AR95" s="1783"/>
      <c r="AS95" s="1783"/>
      <c r="AT95" s="1783"/>
      <c r="AU95" s="1783"/>
      <c r="AV95" s="1783"/>
      <c r="AW95" s="1783"/>
      <c r="AX95" s="1783"/>
      <c r="AY95" s="1783"/>
      <c r="AZ95" s="1783"/>
      <c r="BA95" s="1783"/>
      <c r="BB95" s="1783"/>
      <c r="BC95" s="1783"/>
      <c r="BD95" s="1783"/>
      <c r="BE95" s="1783"/>
      <c r="BF95" s="1783"/>
      <c r="BG95" s="1783"/>
      <c r="BH95" s="1783"/>
      <c r="BI95" s="1783"/>
      <c r="BJ95" s="1783"/>
      <c r="BK95" s="1783"/>
      <c r="BL95" s="1783"/>
      <c r="BM95" s="1783"/>
      <c r="BN95" s="1783"/>
    </row>
    <row r="96" spans="1:66">
      <c r="A96" s="1783"/>
      <c r="B96" s="1783"/>
      <c r="C96" s="1783"/>
      <c r="D96" s="1783"/>
      <c r="E96" s="1783"/>
      <c r="F96" s="1783"/>
      <c r="G96" s="1783"/>
      <c r="H96" s="1783"/>
      <c r="I96" s="1783"/>
      <c r="J96" s="1783"/>
      <c r="K96" s="1783"/>
      <c r="L96" s="1783"/>
      <c r="M96" s="1783"/>
      <c r="N96" s="1783"/>
      <c r="O96" s="1783"/>
      <c r="P96" s="1783"/>
      <c r="Q96" s="1783"/>
      <c r="R96" s="1783"/>
      <c r="S96" s="1783"/>
      <c r="T96" s="1783"/>
      <c r="U96" s="1783"/>
      <c r="V96" s="1783"/>
      <c r="W96" s="1783"/>
      <c r="X96" s="1783"/>
      <c r="Y96" s="1783"/>
      <c r="Z96" s="1783"/>
      <c r="AA96" s="1783"/>
      <c r="AB96" s="1783"/>
      <c r="AC96" s="1783"/>
      <c r="AD96" s="1783"/>
      <c r="AE96" s="1783"/>
      <c r="AF96" s="1783"/>
      <c r="AG96" s="1783"/>
      <c r="AH96" s="1783"/>
      <c r="AI96" s="1783"/>
      <c r="AJ96" s="1783"/>
      <c r="AK96" s="1783"/>
      <c r="AL96" s="1783"/>
      <c r="AM96" s="1783"/>
      <c r="AN96" s="1783"/>
      <c r="AO96" s="1783"/>
      <c r="AP96" s="1783"/>
      <c r="AQ96" s="1783"/>
      <c r="AR96" s="1783"/>
      <c r="AS96" s="1783"/>
      <c r="AT96" s="1783"/>
      <c r="AU96" s="1783"/>
      <c r="AV96" s="1783"/>
      <c r="AW96" s="1783"/>
      <c r="AX96" s="1783"/>
      <c r="AY96" s="1783"/>
      <c r="AZ96" s="1783"/>
      <c r="BA96" s="1783"/>
      <c r="BB96" s="1783"/>
      <c r="BC96" s="1783"/>
      <c r="BD96" s="1783"/>
      <c r="BE96" s="1783"/>
      <c r="BF96" s="1783"/>
      <c r="BG96" s="1783"/>
      <c r="BH96" s="1783"/>
      <c r="BI96" s="1783"/>
      <c r="BJ96" s="1783"/>
      <c r="BK96" s="1783"/>
      <c r="BL96" s="1783"/>
      <c r="BM96" s="1783"/>
      <c r="BN96" s="1783"/>
    </row>
    <row r="97" spans="1:66">
      <c r="A97" s="1783"/>
      <c r="B97" s="1783"/>
      <c r="C97" s="1783"/>
      <c r="D97" s="1783"/>
      <c r="E97" s="1783"/>
      <c r="F97" s="1783"/>
      <c r="G97" s="1783"/>
      <c r="H97" s="1783"/>
      <c r="I97" s="1783"/>
      <c r="J97" s="1783"/>
      <c r="K97" s="1783"/>
      <c r="L97" s="1783"/>
      <c r="M97" s="1783"/>
      <c r="N97" s="1783"/>
      <c r="O97" s="1783"/>
      <c r="P97" s="1783"/>
      <c r="Q97" s="1783"/>
      <c r="R97" s="1783"/>
      <c r="S97" s="1783"/>
      <c r="T97" s="1783"/>
      <c r="U97" s="1783"/>
      <c r="V97" s="1783"/>
      <c r="W97" s="1783"/>
      <c r="X97" s="1783"/>
      <c r="Y97" s="1783"/>
      <c r="Z97" s="1783"/>
      <c r="AA97" s="1783"/>
      <c r="AB97" s="1783"/>
      <c r="AC97" s="1783"/>
      <c r="AD97" s="1783"/>
      <c r="AE97" s="1783"/>
      <c r="AF97" s="1783"/>
      <c r="AG97" s="1783"/>
      <c r="AH97" s="1783"/>
      <c r="AI97" s="1783"/>
      <c r="AJ97" s="1783"/>
      <c r="AK97" s="1783"/>
      <c r="AL97" s="1783"/>
      <c r="AM97" s="1783"/>
      <c r="AN97" s="1783"/>
      <c r="AO97" s="1783"/>
      <c r="AP97" s="1783"/>
      <c r="AQ97" s="1783"/>
      <c r="AR97" s="1783"/>
      <c r="AS97" s="1783"/>
      <c r="AT97" s="1783"/>
      <c r="AU97" s="1783"/>
      <c r="AV97" s="1783"/>
      <c r="AW97" s="1783"/>
      <c r="AX97" s="1783"/>
      <c r="AY97" s="1783"/>
      <c r="AZ97" s="1783"/>
      <c r="BA97" s="1783"/>
      <c r="BB97" s="1783"/>
      <c r="BC97" s="1783"/>
      <c r="BD97" s="1783"/>
      <c r="BE97" s="1783"/>
      <c r="BF97" s="1783"/>
      <c r="BG97" s="1783"/>
      <c r="BH97" s="1783"/>
      <c r="BI97" s="1783"/>
      <c r="BJ97" s="1783"/>
      <c r="BK97" s="1783"/>
      <c r="BL97" s="1783"/>
      <c r="BM97" s="1783"/>
      <c r="BN97" s="1783"/>
    </row>
    <row r="98" spans="1:66">
      <c r="A98" s="1783"/>
      <c r="B98" s="1783"/>
      <c r="C98" s="1783"/>
      <c r="D98" s="1783"/>
      <c r="E98" s="1783"/>
      <c r="F98" s="1783"/>
      <c r="G98" s="1783"/>
      <c r="H98" s="1783"/>
      <c r="I98" s="1783"/>
      <c r="J98" s="1783"/>
      <c r="K98" s="1783"/>
      <c r="L98" s="1783"/>
      <c r="M98" s="1783"/>
      <c r="N98" s="1783"/>
      <c r="O98" s="1783"/>
      <c r="P98" s="1783"/>
      <c r="Q98" s="1783"/>
      <c r="R98" s="1783"/>
      <c r="S98" s="1783"/>
      <c r="T98" s="1783"/>
      <c r="U98" s="1783"/>
      <c r="V98" s="1783"/>
      <c r="W98" s="1783"/>
      <c r="X98" s="1783"/>
      <c r="Y98" s="1783"/>
      <c r="Z98" s="1783"/>
      <c r="AA98" s="1783"/>
      <c r="AB98" s="1783"/>
      <c r="AC98" s="1783"/>
      <c r="AD98" s="1783"/>
      <c r="AE98" s="1783"/>
      <c r="AF98" s="1783"/>
      <c r="AG98" s="1783"/>
      <c r="AH98" s="1783"/>
      <c r="AI98" s="1783"/>
      <c r="AJ98" s="1783"/>
      <c r="AK98" s="1783"/>
      <c r="AL98" s="1783"/>
      <c r="AM98" s="1783"/>
      <c r="AN98" s="1783"/>
      <c r="AO98" s="1783"/>
      <c r="AP98" s="1783"/>
      <c r="AQ98" s="1783"/>
      <c r="AR98" s="1783"/>
      <c r="AS98" s="1783"/>
      <c r="AT98" s="1783"/>
      <c r="AU98" s="1783"/>
      <c r="AV98" s="1783"/>
      <c r="AW98" s="1783"/>
      <c r="AX98" s="1783"/>
      <c r="AY98" s="1783"/>
      <c r="AZ98" s="1783"/>
      <c r="BA98" s="1783"/>
      <c r="BB98" s="1783"/>
      <c r="BC98" s="1783"/>
      <c r="BD98" s="1783"/>
      <c r="BE98" s="1783"/>
      <c r="BF98" s="1783"/>
      <c r="BG98" s="1783"/>
      <c r="BH98" s="1783"/>
      <c r="BI98" s="1783"/>
      <c r="BJ98" s="1783"/>
      <c r="BK98" s="1783"/>
      <c r="BL98" s="1783"/>
      <c r="BM98" s="1783"/>
      <c r="BN98" s="1783"/>
    </row>
    <row r="99" spans="1:66">
      <c r="A99" s="1783"/>
      <c r="B99" s="1783"/>
      <c r="C99" s="1783"/>
      <c r="D99" s="1783"/>
      <c r="E99" s="1783"/>
      <c r="F99" s="1783"/>
      <c r="G99" s="1783"/>
      <c r="H99" s="1783"/>
      <c r="I99" s="1783"/>
      <c r="J99" s="1783"/>
      <c r="K99" s="1783"/>
      <c r="L99" s="1783"/>
      <c r="M99" s="1783"/>
      <c r="N99" s="1783"/>
      <c r="O99" s="1783"/>
      <c r="P99" s="1783"/>
      <c r="Q99" s="1783"/>
      <c r="R99" s="1783"/>
      <c r="S99" s="1783"/>
      <c r="T99" s="1783"/>
      <c r="U99" s="1783"/>
      <c r="V99" s="1783"/>
      <c r="W99" s="1783"/>
      <c r="X99" s="1783"/>
      <c r="Y99" s="1783"/>
      <c r="Z99" s="1783"/>
      <c r="AA99" s="1783"/>
      <c r="AB99" s="1783"/>
      <c r="AC99" s="1783"/>
      <c r="AD99" s="1783"/>
      <c r="AE99" s="1783"/>
      <c r="AF99" s="1783"/>
      <c r="AG99" s="1783"/>
      <c r="AH99" s="1783"/>
      <c r="AI99" s="1783"/>
      <c r="AJ99" s="1783"/>
      <c r="AK99" s="1783"/>
      <c r="AL99" s="1783"/>
      <c r="AM99" s="1783"/>
      <c r="AN99" s="1783"/>
      <c r="AO99" s="1783"/>
      <c r="AP99" s="1783"/>
      <c r="AQ99" s="1783"/>
      <c r="AR99" s="1783"/>
      <c r="AS99" s="1783"/>
      <c r="AT99" s="1783"/>
      <c r="AU99" s="1783"/>
      <c r="AV99" s="1783"/>
      <c r="AW99" s="1783"/>
      <c r="AX99" s="1783"/>
      <c r="AY99" s="1783"/>
      <c r="AZ99" s="1783"/>
      <c r="BA99" s="1783"/>
      <c r="BB99" s="1783"/>
      <c r="BC99" s="1783"/>
      <c r="BD99" s="1783"/>
      <c r="BE99" s="1783"/>
      <c r="BF99" s="1783"/>
      <c r="BG99" s="1783"/>
      <c r="BH99" s="1783"/>
      <c r="BI99" s="1783"/>
      <c r="BJ99" s="1783"/>
      <c r="BK99" s="1783"/>
      <c r="BL99" s="1783"/>
      <c r="BM99" s="1783"/>
      <c r="BN99" s="1783"/>
    </row>
    <row r="100" spans="1:66">
      <c r="A100" s="1783"/>
      <c r="B100" s="1783"/>
      <c r="C100" s="1783"/>
      <c r="D100" s="1783"/>
      <c r="E100" s="1783"/>
      <c r="F100" s="1783"/>
      <c r="G100" s="1783"/>
      <c r="H100" s="1783"/>
      <c r="I100" s="1783"/>
      <c r="J100" s="1783"/>
      <c r="K100" s="1783"/>
      <c r="L100" s="1783"/>
      <c r="M100" s="1783"/>
      <c r="N100" s="1783"/>
      <c r="O100" s="1783"/>
      <c r="P100" s="1783"/>
      <c r="Q100" s="1783"/>
      <c r="R100" s="1783"/>
      <c r="S100" s="1783"/>
      <c r="T100" s="1783"/>
      <c r="U100" s="1783"/>
      <c r="V100" s="1783"/>
      <c r="W100" s="1783"/>
      <c r="X100" s="1783"/>
      <c r="Y100" s="1783"/>
      <c r="Z100" s="1783"/>
      <c r="AA100" s="1783"/>
      <c r="AB100" s="1783"/>
      <c r="AC100" s="1783"/>
      <c r="AD100" s="1783"/>
      <c r="AE100" s="1783"/>
      <c r="AF100" s="1783"/>
      <c r="AG100" s="1783"/>
      <c r="AH100" s="1783"/>
      <c r="AI100" s="1783"/>
      <c r="AJ100" s="1783"/>
      <c r="AK100" s="1783"/>
      <c r="AL100" s="1783"/>
      <c r="AM100" s="1783"/>
      <c r="AN100" s="1783"/>
      <c r="AO100" s="1783"/>
      <c r="AP100" s="1783"/>
      <c r="AQ100" s="1783"/>
      <c r="AR100" s="1783"/>
      <c r="AS100" s="1783"/>
      <c r="AT100" s="1783"/>
      <c r="AU100" s="1783"/>
      <c r="AV100" s="1783"/>
      <c r="AW100" s="1783"/>
      <c r="AX100" s="1783"/>
      <c r="AY100" s="1783"/>
      <c r="AZ100" s="1783"/>
      <c r="BA100" s="1783"/>
      <c r="BB100" s="1783"/>
      <c r="BC100" s="1783"/>
      <c r="BD100" s="1783"/>
      <c r="BE100" s="1783"/>
      <c r="BF100" s="1783"/>
      <c r="BG100" s="1783"/>
      <c r="BH100" s="1783"/>
      <c r="BI100" s="1783"/>
      <c r="BJ100" s="1783"/>
      <c r="BK100" s="1783"/>
      <c r="BL100" s="1783"/>
      <c r="BM100" s="1783"/>
      <c r="BN100" s="1783"/>
    </row>
    <row r="101" spans="1:66">
      <c r="A101" s="1783"/>
      <c r="B101" s="1783"/>
      <c r="C101" s="1783"/>
      <c r="D101" s="1783"/>
      <c r="E101" s="1783"/>
      <c r="F101" s="1783"/>
      <c r="G101" s="1783"/>
      <c r="H101" s="1783"/>
      <c r="I101" s="1783"/>
      <c r="J101" s="1783"/>
      <c r="K101" s="1783"/>
      <c r="L101" s="1783"/>
      <c r="M101" s="1783"/>
      <c r="N101" s="1783"/>
      <c r="O101" s="1783"/>
      <c r="P101" s="1783"/>
      <c r="Q101" s="1783"/>
      <c r="R101" s="1783"/>
      <c r="S101" s="1783"/>
      <c r="T101" s="1783"/>
      <c r="U101" s="1783"/>
      <c r="V101" s="1783"/>
      <c r="W101" s="1783"/>
      <c r="X101" s="1783"/>
      <c r="Y101" s="1783"/>
      <c r="Z101" s="1783"/>
      <c r="AA101" s="1783"/>
      <c r="AB101" s="1783"/>
      <c r="AC101" s="1783"/>
      <c r="AD101" s="1783"/>
      <c r="AE101" s="1783"/>
      <c r="AF101" s="1783"/>
      <c r="AG101" s="1783"/>
      <c r="AH101" s="1783"/>
      <c r="AI101" s="1783"/>
      <c r="AJ101" s="1783"/>
      <c r="AK101" s="1783"/>
      <c r="AL101" s="1783"/>
      <c r="AM101" s="1783"/>
      <c r="AN101" s="1783"/>
      <c r="AO101" s="1783"/>
      <c r="AP101" s="1783"/>
      <c r="AQ101" s="1783"/>
      <c r="AR101" s="1783"/>
      <c r="AS101" s="1783"/>
      <c r="AT101" s="1783"/>
      <c r="AU101" s="1783"/>
      <c r="AV101" s="1783"/>
      <c r="AW101" s="1783"/>
      <c r="AX101" s="1783"/>
      <c r="AY101" s="1783"/>
      <c r="AZ101" s="1783"/>
      <c r="BA101" s="1783"/>
      <c r="BB101" s="1783"/>
      <c r="BC101" s="1783"/>
      <c r="BD101" s="1783"/>
      <c r="BE101" s="1783"/>
      <c r="BF101" s="1783"/>
      <c r="BG101" s="1783"/>
      <c r="BH101" s="1783"/>
      <c r="BI101" s="1783"/>
      <c r="BJ101" s="1783"/>
      <c r="BK101" s="1783"/>
      <c r="BL101" s="1783"/>
      <c r="BM101" s="1783"/>
      <c r="BN101" s="1783"/>
    </row>
    <row r="102" spans="1:66">
      <c r="A102" s="1783"/>
      <c r="B102" s="1783"/>
      <c r="C102" s="1783"/>
      <c r="D102" s="1783"/>
      <c r="E102" s="1783"/>
      <c r="F102" s="1783"/>
      <c r="G102" s="1783"/>
      <c r="H102" s="1783"/>
      <c r="I102" s="1783"/>
      <c r="J102" s="1783"/>
      <c r="K102" s="1783"/>
      <c r="L102" s="1783"/>
      <c r="M102" s="1783"/>
      <c r="N102" s="1783"/>
      <c r="O102" s="1783"/>
      <c r="P102" s="1783"/>
      <c r="Q102" s="1783"/>
      <c r="R102" s="1783"/>
      <c r="S102" s="1783"/>
      <c r="T102" s="1783"/>
      <c r="U102" s="1783"/>
      <c r="V102" s="1783"/>
      <c r="W102" s="1783"/>
      <c r="X102" s="1783"/>
      <c r="Y102" s="1783"/>
      <c r="Z102" s="1783"/>
      <c r="AA102" s="1783"/>
      <c r="AB102" s="1783"/>
      <c r="AC102" s="1783"/>
      <c r="AD102" s="1783"/>
      <c r="AE102" s="1783"/>
      <c r="AF102" s="1783"/>
      <c r="AG102" s="1783"/>
      <c r="AH102" s="1783"/>
      <c r="AI102" s="1783"/>
      <c r="AJ102" s="1783"/>
      <c r="AK102" s="1783"/>
      <c r="AL102" s="1783"/>
      <c r="AM102" s="1783"/>
      <c r="AN102" s="1783"/>
      <c r="AO102" s="1783"/>
      <c r="AP102" s="1783"/>
      <c r="AQ102" s="1783"/>
      <c r="AR102" s="1783"/>
      <c r="AS102" s="1783"/>
      <c r="AT102" s="1783"/>
      <c r="AU102" s="1783"/>
      <c r="AV102" s="1783"/>
      <c r="AW102" s="1783"/>
      <c r="AX102" s="1783"/>
      <c r="AY102" s="1783"/>
      <c r="AZ102" s="1783"/>
      <c r="BA102" s="1783"/>
      <c r="BB102" s="1783"/>
      <c r="BC102" s="1783"/>
      <c r="BD102" s="1783"/>
      <c r="BE102" s="1783"/>
      <c r="BF102" s="1783"/>
      <c r="BG102" s="1783"/>
      <c r="BH102" s="1783"/>
      <c r="BI102" s="1783"/>
      <c r="BJ102" s="1783"/>
      <c r="BK102" s="1783"/>
      <c r="BL102" s="1783"/>
      <c r="BM102" s="1783"/>
      <c r="BN102" s="1783"/>
    </row>
    <row r="103" spans="1:66">
      <c r="A103" s="1783"/>
      <c r="B103" s="1783"/>
      <c r="C103" s="1783"/>
      <c r="D103" s="1783"/>
      <c r="E103" s="1783"/>
      <c r="F103" s="1783"/>
      <c r="G103" s="1783"/>
      <c r="H103" s="1783"/>
      <c r="I103" s="1783"/>
      <c r="J103" s="1783"/>
      <c r="K103" s="1783"/>
      <c r="L103" s="1783"/>
      <c r="M103" s="1783"/>
      <c r="N103" s="1783"/>
      <c r="O103" s="1783"/>
      <c r="P103" s="1783"/>
      <c r="Q103" s="1783"/>
      <c r="R103" s="1783"/>
      <c r="S103" s="1783"/>
      <c r="T103" s="1783"/>
      <c r="U103" s="1783"/>
      <c r="V103" s="1783"/>
      <c r="W103" s="1783"/>
      <c r="X103" s="1783"/>
      <c r="Y103" s="1783"/>
      <c r="Z103" s="1783"/>
      <c r="AA103" s="1783"/>
      <c r="AB103" s="1783"/>
      <c r="AC103" s="1783"/>
      <c r="AD103" s="1783"/>
      <c r="AE103" s="1783"/>
      <c r="AF103" s="1783"/>
      <c r="AG103" s="1783"/>
      <c r="AH103" s="1783"/>
      <c r="AI103" s="1783"/>
      <c r="AJ103" s="1783"/>
      <c r="AK103" s="1783"/>
      <c r="AL103" s="1783"/>
      <c r="AM103" s="1783"/>
      <c r="AN103" s="1783"/>
      <c r="AO103" s="1783"/>
      <c r="AP103" s="1783"/>
      <c r="AQ103" s="1783"/>
      <c r="AR103" s="1783"/>
      <c r="AS103" s="1783"/>
      <c r="AT103" s="1783"/>
      <c r="AU103" s="1783"/>
      <c r="AV103" s="1783"/>
      <c r="AW103" s="1783"/>
      <c r="AX103" s="1783"/>
      <c r="AY103" s="1783"/>
      <c r="AZ103" s="1783"/>
      <c r="BA103" s="1783"/>
      <c r="BB103" s="1783"/>
      <c r="BC103" s="1783"/>
      <c r="BD103" s="1783"/>
      <c r="BE103" s="1783"/>
      <c r="BF103" s="1783"/>
      <c r="BG103" s="1783"/>
      <c r="BH103" s="1783"/>
      <c r="BI103" s="1783"/>
      <c r="BJ103" s="1783"/>
      <c r="BK103" s="1783"/>
      <c r="BL103" s="1783"/>
      <c r="BM103" s="1783"/>
      <c r="BN103" s="1783"/>
    </row>
    <row r="104" spans="1:66">
      <c r="A104" s="1783"/>
      <c r="B104" s="1783"/>
      <c r="C104" s="1783"/>
      <c r="D104" s="1783"/>
      <c r="E104" s="1783"/>
      <c r="F104" s="1783"/>
      <c r="G104" s="1783"/>
      <c r="H104" s="1783"/>
      <c r="I104" s="1783"/>
      <c r="J104" s="1783"/>
      <c r="K104" s="1783"/>
      <c r="L104" s="1783"/>
      <c r="M104" s="1783"/>
      <c r="N104" s="1783"/>
      <c r="O104" s="1783"/>
      <c r="P104" s="1783"/>
      <c r="Q104" s="1783"/>
      <c r="R104" s="1783"/>
      <c r="S104" s="1783"/>
      <c r="T104" s="1783"/>
      <c r="U104" s="1783"/>
      <c r="V104" s="1783"/>
      <c r="W104" s="1783"/>
      <c r="X104" s="1783"/>
      <c r="Y104" s="1783"/>
      <c r="Z104" s="1783"/>
      <c r="AA104" s="1783"/>
      <c r="AB104" s="1783"/>
      <c r="AC104" s="1783"/>
      <c r="AD104" s="1783"/>
      <c r="AE104" s="1783"/>
      <c r="AF104" s="1783"/>
      <c r="AG104" s="1783"/>
      <c r="AH104" s="1783"/>
      <c r="AI104" s="1783"/>
      <c r="AJ104" s="1783"/>
      <c r="AK104" s="1783"/>
      <c r="AL104" s="1783"/>
      <c r="AM104" s="1783"/>
      <c r="AN104" s="1783"/>
      <c r="AO104" s="1783"/>
      <c r="AP104" s="1783"/>
      <c r="AQ104" s="1783"/>
      <c r="AR104" s="1783"/>
      <c r="AS104" s="1783"/>
      <c r="AT104" s="1783"/>
      <c r="AU104" s="1783"/>
      <c r="AV104" s="1783"/>
      <c r="AW104" s="1783"/>
      <c r="AX104" s="1783"/>
      <c r="AY104" s="1783"/>
      <c r="AZ104" s="1783"/>
      <c r="BA104" s="1783"/>
      <c r="BB104" s="1783"/>
      <c r="BC104" s="1783"/>
      <c r="BD104" s="1783"/>
      <c r="BE104" s="1783"/>
      <c r="BF104" s="1783"/>
      <c r="BG104" s="1783"/>
      <c r="BH104" s="1783"/>
      <c r="BI104" s="1783"/>
      <c r="BJ104" s="1783"/>
      <c r="BK104" s="1783"/>
      <c r="BL104" s="1783"/>
      <c r="BM104" s="1783"/>
      <c r="BN104" s="1783"/>
    </row>
    <row r="105" spans="1:66">
      <c r="A105" s="1783"/>
      <c r="B105" s="1783"/>
      <c r="C105" s="1783"/>
      <c r="D105" s="1783"/>
      <c r="E105" s="1783"/>
      <c r="F105" s="1783"/>
      <c r="G105" s="1783"/>
      <c r="H105" s="1783"/>
      <c r="I105" s="1783"/>
      <c r="J105" s="1783"/>
      <c r="K105" s="1783"/>
      <c r="L105" s="1783"/>
      <c r="M105" s="1783"/>
      <c r="N105" s="1783"/>
      <c r="O105" s="1783"/>
      <c r="P105" s="1783"/>
      <c r="Q105" s="1783"/>
      <c r="R105" s="1783"/>
      <c r="S105" s="1783"/>
      <c r="T105" s="1783"/>
      <c r="U105" s="1783"/>
      <c r="V105" s="1783"/>
      <c r="W105" s="1783"/>
      <c r="X105" s="1783"/>
      <c r="Y105" s="1783"/>
      <c r="Z105" s="1783"/>
      <c r="AA105" s="1783"/>
      <c r="AB105" s="1783"/>
      <c r="AC105" s="1783"/>
      <c r="AD105" s="1783"/>
      <c r="AE105" s="1783"/>
      <c r="AF105" s="1783"/>
      <c r="AG105" s="1783"/>
      <c r="AH105" s="1783"/>
      <c r="AI105" s="1783"/>
      <c r="AJ105" s="1783"/>
      <c r="AK105" s="1783"/>
      <c r="AL105" s="1783"/>
      <c r="AM105" s="1783"/>
      <c r="AN105" s="1783"/>
      <c r="AO105" s="1783"/>
      <c r="AP105" s="1783"/>
      <c r="AQ105" s="1783"/>
      <c r="AR105" s="1783"/>
      <c r="AS105" s="1783"/>
      <c r="AT105" s="1783"/>
      <c r="AU105" s="1783"/>
      <c r="AV105" s="1783"/>
      <c r="AW105" s="1783"/>
      <c r="AX105" s="1783"/>
      <c r="AY105" s="1783"/>
      <c r="AZ105" s="1783"/>
      <c r="BA105" s="1783"/>
      <c r="BB105" s="1783"/>
      <c r="BC105" s="1783"/>
      <c r="BD105" s="1783"/>
      <c r="BE105" s="1783"/>
      <c r="BF105" s="1783"/>
      <c r="BG105" s="1783"/>
      <c r="BH105" s="1783"/>
      <c r="BI105" s="1783"/>
      <c r="BJ105" s="1783"/>
      <c r="BK105" s="1783"/>
      <c r="BL105" s="1783"/>
      <c r="BM105" s="1783"/>
      <c r="BN105" s="1783"/>
    </row>
    <row r="106" spans="1:66">
      <c r="A106" s="1783"/>
      <c r="B106" s="1783"/>
      <c r="C106" s="1783"/>
      <c r="D106" s="1783"/>
      <c r="E106" s="1783"/>
      <c r="F106" s="1783"/>
      <c r="G106" s="1783"/>
      <c r="H106" s="1783"/>
      <c r="I106" s="1783"/>
      <c r="J106" s="1783"/>
      <c r="K106" s="1783"/>
      <c r="L106" s="1783"/>
      <c r="M106" s="1783"/>
      <c r="N106" s="1783"/>
      <c r="O106" s="1783"/>
      <c r="P106" s="1783"/>
      <c r="Q106" s="1783"/>
      <c r="R106" s="1783"/>
      <c r="S106" s="1783"/>
      <c r="T106" s="1783"/>
      <c r="U106" s="1783"/>
      <c r="V106" s="1783"/>
      <c r="W106" s="1783"/>
      <c r="X106" s="1783"/>
      <c r="Y106" s="1783"/>
      <c r="Z106" s="1783"/>
      <c r="AA106" s="1783"/>
      <c r="AB106" s="1783"/>
      <c r="AC106" s="1783"/>
      <c r="AD106" s="1783"/>
      <c r="AE106" s="1783"/>
      <c r="AF106" s="1783"/>
      <c r="AG106" s="1783"/>
      <c r="AH106" s="1783"/>
      <c r="AI106" s="1783"/>
      <c r="AJ106" s="1783"/>
      <c r="AK106" s="1783"/>
      <c r="AL106" s="1783"/>
      <c r="AM106" s="1783"/>
      <c r="AN106" s="1783"/>
      <c r="AO106" s="1783"/>
      <c r="AP106" s="1783"/>
      <c r="AQ106" s="1783"/>
      <c r="AR106" s="1783"/>
      <c r="AS106" s="1783"/>
      <c r="AT106" s="1783"/>
      <c r="AU106" s="1783"/>
      <c r="AV106" s="1783"/>
      <c r="AW106" s="1783"/>
      <c r="AX106" s="1783"/>
      <c r="AY106" s="1783"/>
      <c r="AZ106" s="1783"/>
      <c r="BA106" s="1783"/>
      <c r="BB106" s="1783"/>
      <c r="BC106" s="1783"/>
      <c r="BD106" s="1783"/>
      <c r="BE106" s="1783"/>
      <c r="BF106" s="1783"/>
      <c r="BG106" s="1783"/>
      <c r="BH106" s="1783"/>
      <c r="BI106" s="1783"/>
      <c r="BJ106" s="1783"/>
      <c r="BK106" s="1783"/>
      <c r="BL106" s="1783"/>
      <c r="BM106" s="1783"/>
      <c r="BN106" s="1783"/>
    </row>
    <row r="107" spans="1:66">
      <c r="A107" s="1783"/>
      <c r="B107" s="1783"/>
      <c r="C107" s="1783"/>
      <c r="D107" s="1783"/>
      <c r="E107" s="1783"/>
      <c r="F107" s="1783"/>
      <c r="G107" s="1783"/>
      <c r="H107" s="1783"/>
      <c r="I107" s="1783"/>
      <c r="J107" s="1783"/>
      <c r="K107" s="1783"/>
      <c r="L107" s="1783"/>
      <c r="M107" s="1783"/>
      <c r="N107" s="1783"/>
      <c r="O107" s="1783"/>
      <c r="P107" s="1783"/>
      <c r="Q107" s="1783"/>
      <c r="R107" s="1783"/>
      <c r="S107" s="1783"/>
      <c r="T107" s="1783"/>
      <c r="U107" s="1783"/>
      <c r="V107" s="1783"/>
      <c r="W107" s="1783"/>
      <c r="X107" s="1783"/>
      <c r="Y107" s="1783"/>
      <c r="Z107" s="1783"/>
      <c r="AA107" s="1783"/>
      <c r="AB107" s="1783"/>
      <c r="AC107" s="1783"/>
      <c r="AD107" s="1783"/>
      <c r="AE107" s="1783"/>
      <c r="AF107" s="1783"/>
      <c r="AG107" s="1783"/>
      <c r="AH107" s="1783"/>
      <c r="AI107" s="1783"/>
      <c r="AJ107" s="1783"/>
      <c r="AK107" s="1783"/>
      <c r="AL107" s="1783"/>
      <c r="AM107" s="1783"/>
      <c r="AN107" s="1783"/>
      <c r="AO107" s="1783"/>
      <c r="AP107" s="1783"/>
      <c r="AQ107" s="1783"/>
      <c r="AR107" s="1783"/>
      <c r="AS107" s="1783"/>
      <c r="AT107" s="1783"/>
      <c r="AU107" s="1783"/>
      <c r="AV107" s="1783"/>
      <c r="AW107" s="1783"/>
      <c r="AX107" s="1783"/>
      <c r="AY107" s="1783"/>
      <c r="AZ107" s="1783"/>
      <c r="BA107" s="1783"/>
      <c r="BB107" s="1783"/>
      <c r="BC107" s="1783"/>
      <c r="BD107" s="1783"/>
      <c r="BE107" s="1783"/>
      <c r="BF107" s="1783"/>
      <c r="BG107" s="1783"/>
      <c r="BH107" s="1783"/>
      <c r="BI107" s="1783"/>
      <c r="BJ107" s="1783"/>
      <c r="BK107" s="1783"/>
      <c r="BL107" s="1783"/>
      <c r="BM107" s="1783"/>
      <c r="BN107" s="1783"/>
    </row>
    <row r="108" spans="1:66">
      <c r="A108" s="1783"/>
      <c r="B108" s="1783"/>
      <c r="C108" s="1783"/>
      <c r="D108" s="1783"/>
      <c r="E108" s="1783"/>
      <c r="F108" s="1783"/>
      <c r="G108" s="1783"/>
      <c r="H108" s="1783"/>
      <c r="I108" s="1783"/>
      <c r="J108" s="1783"/>
      <c r="K108" s="1783"/>
      <c r="L108" s="1783"/>
      <c r="M108" s="1783"/>
      <c r="N108" s="1783"/>
      <c r="O108" s="1783"/>
      <c r="P108" s="1783"/>
      <c r="Q108" s="1783"/>
      <c r="R108" s="1783"/>
      <c r="S108" s="1783"/>
      <c r="T108" s="1783"/>
      <c r="U108" s="1783"/>
      <c r="V108" s="1783"/>
      <c r="W108" s="1783"/>
      <c r="X108" s="1783"/>
      <c r="Y108" s="1783"/>
      <c r="Z108" s="1783"/>
      <c r="AA108" s="1783"/>
      <c r="AB108" s="1783"/>
      <c r="AC108" s="1783"/>
      <c r="AD108" s="1783"/>
      <c r="AE108" s="1783"/>
      <c r="AF108" s="1783"/>
      <c r="AG108" s="1783"/>
      <c r="AH108" s="1783"/>
      <c r="AI108" s="1783"/>
      <c r="AJ108" s="1783"/>
      <c r="AK108" s="1783"/>
      <c r="AL108" s="1783"/>
      <c r="AM108" s="1783"/>
      <c r="AN108" s="1783"/>
      <c r="AO108" s="1783"/>
      <c r="AP108" s="1783"/>
      <c r="AQ108" s="1783"/>
      <c r="AR108" s="1783"/>
      <c r="AS108" s="1783"/>
      <c r="AT108" s="1783"/>
      <c r="AU108" s="1783"/>
      <c r="AV108" s="1783"/>
      <c r="AW108" s="1783"/>
      <c r="AX108" s="1783"/>
      <c r="AY108" s="1783"/>
      <c r="AZ108" s="1783"/>
      <c r="BA108" s="1783"/>
      <c r="BB108" s="1783"/>
      <c r="BC108" s="1783"/>
      <c r="BD108" s="1783"/>
      <c r="BE108" s="1783"/>
      <c r="BF108" s="1783"/>
      <c r="BG108" s="1783"/>
      <c r="BH108" s="1783"/>
      <c r="BI108" s="1783"/>
      <c r="BJ108" s="1783"/>
      <c r="BK108" s="1783"/>
      <c r="BL108" s="1783"/>
      <c r="BM108" s="1783"/>
      <c r="BN108" s="1783"/>
    </row>
    <row r="109" spans="1:66">
      <c r="A109" s="1783"/>
      <c r="B109" s="1783"/>
      <c r="C109" s="1783"/>
      <c r="D109" s="1783"/>
      <c r="E109" s="1783"/>
      <c r="F109" s="1783"/>
      <c r="G109" s="1783"/>
      <c r="H109" s="1783"/>
      <c r="I109" s="1783"/>
      <c r="J109" s="1783"/>
      <c r="K109" s="1783"/>
      <c r="L109" s="1783"/>
      <c r="M109" s="1783"/>
      <c r="N109" s="1783"/>
      <c r="O109" s="1783"/>
      <c r="P109" s="1783"/>
      <c r="Q109" s="1783"/>
      <c r="R109" s="1783"/>
      <c r="S109" s="1783"/>
      <c r="T109" s="1783"/>
      <c r="U109" s="1783"/>
      <c r="V109" s="1783"/>
      <c r="W109" s="1783"/>
      <c r="X109" s="1783"/>
      <c r="Y109" s="1783"/>
      <c r="Z109" s="1783"/>
      <c r="AA109" s="1783"/>
      <c r="AB109" s="1783"/>
      <c r="AC109" s="1783"/>
      <c r="AD109" s="1783"/>
      <c r="AE109" s="1783"/>
      <c r="AF109" s="1783"/>
      <c r="AG109" s="1783"/>
      <c r="AH109" s="1783"/>
      <c r="AI109" s="1783"/>
      <c r="AJ109" s="1783"/>
      <c r="AK109" s="1783"/>
      <c r="AL109" s="1783"/>
      <c r="AM109" s="1783"/>
      <c r="AN109" s="1783"/>
      <c r="AO109" s="1783"/>
      <c r="AP109" s="1783"/>
      <c r="AQ109" s="1783"/>
      <c r="AR109" s="1783"/>
      <c r="AS109" s="1783"/>
      <c r="AT109" s="1783"/>
      <c r="AU109" s="1783"/>
      <c r="AV109" s="1783"/>
      <c r="AW109" s="1783"/>
      <c r="AX109" s="1783"/>
      <c r="AY109" s="1783"/>
      <c r="AZ109" s="1783"/>
      <c r="BA109" s="1783"/>
      <c r="BB109" s="1783"/>
      <c r="BC109" s="1783"/>
      <c r="BD109" s="1783"/>
      <c r="BE109" s="1783"/>
      <c r="BF109" s="1783"/>
      <c r="BG109" s="1783"/>
      <c r="BH109" s="1783"/>
      <c r="BI109" s="1783"/>
      <c r="BJ109" s="1783"/>
      <c r="BK109" s="1783"/>
      <c r="BL109" s="1783"/>
      <c r="BM109" s="1783"/>
      <c r="BN109" s="1783"/>
    </row>
    <row r="110" spans="1:66">
      <c r="A110" s="1783"/>
      <c r="B110" s="1783"/>
      <c r="C110" s="1783"/>
      <c r="D110" s="1783"/>
      <c r="E110" s="1783"/>
      <c r="F110" s="1783"/>
      <c r="G110" s="1783"/>
      <c r="H110" s="1783"/>
      <c r="I110" s="1783"/>
      <c r="J110" s="1783"/>
      <c r="K110" s="1783"/>
      <c r="L110" s="1783"/>
      <c r="M110" s="1783"/>
      <c r="N110" s="1783"/>
      <c r="O110" s="1783"/>
      <c r="P110" s="1783"/>
      <c r="Q110" s="1783"/>
      <c r="R110" s="1783"/>
      <c r="S110" s="1783"/>
      <c r="T110" s="1783"/>
      <c r="U110" s="1783"/>
      <c r="V110" s="1783"/>
      <c r="W110" s="1783"/>
      <c r="X110" s="1783"/>
      <c r="Y110" s="1783"/>
      <c r="Z110" s="1783"/>
      <c r="AA110" s="1783"/>
      <c r="AB110" s="1783"/>
      <c r="AC110" s="1783"/>
      <c r="AD110" s="1783"/>
      <c r="AE110" s="1783"/>
      <c r="AF110" s="1783"/>
      <c r="AG110" s="1783"/>
      <c r="AH110" s="1783"/>
      <c r="AI110" s="1783"/>
      <c r="AJ110" s="1783"/>
      <c r="AK110" s="1783"/>
      <c r="AL110" s="1783"/>
      <c r="AM110" s="1783"/>
      <c r="AN110" s="1783"/>
      <c r="AO110" s="1783"/>
      <c r="AP110" s="1783"/>
      <c r="AQ110" s="1783"/>
      <c r="AR110" s="1783"/>
      <c r="AS110" s="1783"/>
      <c r="AT110" s="1783"/>
      <c r="AU110" s="1783"/>
      <c r="AV110" s="1783"/>
      <c r="AW110" s="1783"/>
      <c r="AX110" s="1783"/>
      <c r="AY110" s="1783"/>
      <c r="AZ110" s="1783"/>
      <c r="BA110" s="1783"/>
      <c r="BB110" s="1783"/>
      <c r="BC110" s="1783"/>
      <c r="BD110" s="1783"/>
      <c r="BE110" s="1783"/>
      <c r="BF110" s="1783"/>
      <c r="BG110" s="1783"/>
      <c r="BH110" s="1783"/>
      <c r="BI110" s="1783"/>
      <c r="BJ110" s="1783"/>
      <c r="BK110" s="1783"/>
      <c r="BL110" s="1783"/>
      <c r="BM110" s="1783"/>
      <c r="BN110" s="1783"/>
    </row>
    <row r="111" spans="1:66">
      <c r="A111" s="1783"/>
      <c r="B111" s="1783"/>
      <c r="C111" s="1783"/>
      <c r="D111" s="1783"/>
      <c r="E111" s="1783"/>
      <c r="F111" s="1783"/>
      <c r="G111" s="1783"/>
      <c r="H111" s="1783"/>
      <c r="I111" s="1783"/>
      <c r="J111" s="1783"/>
      <c r="K111" s="1783"/>
      <c r="L111" s="1783"/>
      <c r="M111" s="1783"/>
      <c r="N111" s="1783"/>
      <c r="O111" s="1783"/>
      <c r="P111" s="1783"/>
      <c r="Q111" s="1783"/>
      <c r="R111" s="1783"/>
      <c r="S111" s="1783"/>
      <c r="T111" s="1783"/>
      <c r="U111" s="1783"/>
      <c r="V111" s="1783"/>
      <c r="W111" s="1783"/>
      <c r="X111" s="1783"/>
      <c r="Y111" s="1783"/>
      <c r="Z111" s="1783"/>
      <c r="AA111" s="1783"/>
      <c r="AB111" s="1783"/>
      <c r="AC111" s="1783"/>
      <c r="AD111" s="1783"/>
      <c r="AE111" s="1783"/>
      <c r="AF111" s="1783"/>
      <c r="AG111" s="1783"/>
      <c r="AH111" s="1783"/>
      <c r="AI111" s="1783"/>
      <c r="AJ111" s="1783"/>
      <c r="AK111" s="1783"/>
      <c r="AL111" s="1783"/>
      <c r="AM111" s="1783"/>
      <c r="AN111" s="1783"/>
      <c r="AO111" s="1783"/>
      <c r="AP111" s="1783"/>
      <c r="AQ111" s="1783"/>
      <c r="AR111" s="1783"/>
      <c r="AS111" s="1783"/>
      <c r="AT111" s="1783"/>
      <c r="AU111" s="1783"/>
      <c r="AV111" s="1783"/>
      <c r="AW111" s="1783"/>
      <c r="AX111" s="1783"/>
      <c r="AY111" s="1783"/>
      <c r="AZ111" s="1783"/>
      <c r="BA111" s="1783"/>
      <c r="BB111" s="1783"/>
      <c r="BC111" s="1783"/>
      <c r="BD111" s="1783"/>
      <c r="BE111" s="1783"/>
      <c r="BF111" s="1783"/>
      <c r="BG111" s="1783"/>
      <c r="BH111" s="1783"/>
      <c r="BI111" s="1783"/>
      <c r="BJ111" s="1783"/>
      <c r="BK111" s="1783"/>
      <c r="BL111" s="1783"/>
      <c r="BM111" s="1783"/>
      <c r="BN111" s="1783"/>
    </row>
    <row r="112" spans="1:66">
      <c r="A112" s="1783"/>
      <c r="B112" s="1783"/>
      <c r="C112" s="1783"/>
      <c r="D112" s="1783"/>
      <c r="E112" s="1783"/>
      <c r="F112" s="1783"/>
      <c r="G112" s="1783"/>
      <c r="H112" s="1783"/>
      <c r="I112" s="1783"/>
      <c r="J112" s="1783"/>
      <c r="K112" s="1783"/>
      <c r="L112" s="1783"/>
      <c r="M112" s="1783"/>
      <c r="N112" s="1783"/>
      <c r="O112" s="1783"/>
      <c r="P112" s="1783"/>
      <c r="Q112" s="1783"/>
      <c r="R112" s="1783"/>
      <c r="S112" s="1783"/>
      <c r="T112" s="1783"/>
      <c r="U112" s="1783"/>
      <c r="V112" s="1783"/>
      <c r="W112" s="1783"/>
      <c r="X112" s="1783"/>
      <c r="Y112" s="1783"/>
      <c r="Z112" s="1783"/>
      <c r="AA112" s="1783"/>
      <c r="AB112" s="1783"/>
      <c r="AC112" s="1783"/>
      <c r="AD112" s="1783"/>
      <c r="AE112" s="1783"/>
      <c r="AF112" s="1783"/>
      <c r="AG112" s="1783"/>
      <c r="AH112" s="1783"/>
      <c r="AI112" s="1783"/>
      <c r="AJ112" s="1783"/>
      <c r="AK112" s="1783"/>
      <c r="AL112" s="1783"/>
      <c r="AM112" s="1783"/>
      <c r="AN112" s="1783"/>
      <c r="AO112" s="1783"/>
      <c r="AP112" s="1783"/>
      <c r="AQ112" s="1783"/>
      <c r="AR112" s="1783"/>
      <c r="AS112" s="1783"/>
      <c r="AT112" s="1783"/>
      <c r="AU112" s="1783"/>
      <c r="AV112" s="1783"/>
      <c r="AW112" s="1783"/>
      <c r="AX112" s="1783"/>
      <c r="AY112" s="1783"/>
      <c r="AZ112" s="1783"/>
      <c r="BA112" s="1783"/>
      <c r="BB112" s="1783"/>
      <c r="BC112" s="1783"/>
      <c r="BD112" s="1783"/>
      <c r="BE112" s="1783"/>
      <c r="BF112" s="1783"/>
      <c r="BG112" s="1783"/>
      <c r="BH112" s="1783"/>
      <c r="BI112" s="1783"/>
      <c r="BJ112" s="1783"/>
      <c r="BK112" s="1783"/>
      <c r="BL112" s="1783"/>
      <c r="BM112" s="1783"/>
      <c r="BN112" s="1783"/>
    </row>
    <row r="113" spans="1:66">
      <c r="A113" s="1783"/>
      <c r="B113" s="1783"/>
      <c r="C113" s="1783"/>
      <c r="D113" s="1783"/>
      <c r="E113" s="1783"/>
      <c r="F113" s="1783"/>
      <c r="G113" s="1783"/>
      <c r="H113" s="1783"/>
      <c r="I113" s="1783"/>
      <c r="J113" s="1783"/>
      <c r="K113" s="1783"/>
      <c r="L113" s="1783"/>
      <c r="M113" s="1783"/>
      <c r="N113" s="1783"/>
      <c r="O113" s="1783"/>
      <c r="P113" s="1783"/>
      <c r="Q113" s="1783"/>
      <c r="R113" s="1783"/>
      <c r="S113" s="1783"/>
      <c r="T113" s="1783"/>
      <c r="U113" s="1783"/>
      <c r="V113" s="1783"/>
      <c r="W113" s="1783"/>
      <c r="X113" s="1783"/>
      <c r="Y113" s="1783"/>
      <c r="Z113" s="1783"/>
      <c r="AA113" s="1783"/>
      <c r="AB113" s="1783"/>
      <c r="AC113" s="1783"/>
      <c r="AD113" s="1783"/>
      <c r="AE113" s="1783"/>
      <c r="AF113" s="1783"/>
      <c r="AG113" s="1783"/>
      <c r="AH113" s="1783"/>
      <c r="AI113" s="1783"/>
      <c r="AJ113" s="1783"/>
      <c r="AK113" s="1783"/>
      <c r="AL113" s="1783"/>
      <c r="AM113" s="1783"/>
      <c r="AN113" s="1783"/>
      <c r="AO113" s="1783"/>
      <c r="AP113" s="1783"/>
      <c r="AQ113" s="1783"/>
      <c r="AR113" s="1783"/>
      <c r="AS113" s="1783"/>
      <c r="AT113" s="1783"/>
      <c r="AU113" s="1783"/>
      <c r="AV113" s="1783"/>
      <c r="AW113" s="1783"/>
      <c r="AX113" s="1783"/>
      <c r="AY113" s="1783"/>
      <c r="AZ113" s="1783"/>
      <c r="BA113" s="1783"/>
      <c r="BB113" s="1783"/>
      <c r="BC113" s="1783"/>
      <c r="BD113" s="1783"/>
      <c r="BE113" s="1783"/>
      <c r="BF113" s="1783"/>
      <c r="BG113" s="1783"/>
      <c r="BH113" s="1783"/>
      <c r="BI113" s="1783"/>
      <c r="BJ113" s="1783"/>
      <c r="BK113" s="1783"/>
      <c r="BL113" s="1783"/>
      <c r="BM113" s="1783"/>
      <c r="BN113" s="1783"/>
    </row>
    <row r="114" spans="1:66">
      <c r="A114" s="1783"/>
      <c r="B114" s="1783"/>
      <c r="C114" s="1783"/>
      <c r="D114" s="1783"/>
      <c r="E114" s="1783"/>
      <c r="F114" s="1783"/>
      <c r="G114" s="1783"/>
      <c r="H114" s="1783"/>
      <c r="I114" s="1783"/>
      <c r="J114" s="1783"/>
      <c r="K114" s="1783"/>
      <c r="L114" s="1783"/>
      <c r="M114" s="1783"/>
      <c r="N114" s="1783"/>
      <c r="O114" s="1783"/>
      <c r="P114" s="1783"/>
      <c r="Q114" s="1783"/>
      <c r="R114" s="1783"/>
      <c r="S114" s="1783"/>
      <c r="T114" s="1783"/>
      <c r="U114" s="1783"/>
      <c r="V114" s="1783"/>
      <c r="W114" s="1783"/>
      <c r="X114" s="1783"/>
      <c r="Y114" s="1783"/>
      <c r="Z114" s="1783"/>
      <c r="AA114" s="1783"/>
      <c r="AB114" s="1783"/>
      <c r="AC114" s="1783"/>
      <c r="AD114" s="1783"/>
      <c r="AE114" s="1783"/>
      <c r="AF114" s="1783"/>
      <c r="AG114" s="1783"/>
      <c r="AH114" s="1783"/>
      <c r="AI114" s="1783"/>
      <c r="AJ114" s="1783"/>
      <c r="AK114" s="1783"/>
      <c r="AL114" s="1783"/>
      <c r="AM114" s="1783"/>
      <c r="AN114" s="1783"/>
      <c r="AO114" s="1783"/>
      <c r="AP114" s="1783"/>
      <c r="AQ114" s="1783"/>
      <c r="AR114" s="1783"/>
      <c r="AS114" s="1783"/>
      <c r="AT114" s="1783"/>
      <c r="AU114" s="1783"/>
      <c r="AV114" s="1783"/>
      <c r="AW114" s="1783"/>
      <c r="AX114" s="1783"/>
      <c r="AY114" s="1783"/>
      <c r="AZ114" s="1783"/>
      <c r="BA114" s="1783"/>
      <c r="BB114" s="1783"/>
      <c r="BC114" s="1783"/>
      <c r="BD114" s="1783"/>
      <c r="BE114" s="1783"/>
      <c r="BF114" s="1783"/>
      <c r="BG114" s="1783"/>
      <c r="BH114" s="1783"/>
      <c r="BI114" s="1783"/>
      <c r="BJ114" s="1783"/>
      <c r="BK114" s="1783"/>
      <c r="BL114" s="1783"/>
      <c r="BM114" s="1783"/>
      <c r="BN114" s="1783"/>
    </row>
    <row r="115" spans="1:66">
      <c r="A115" s="1783"/>
      <c r="B115" s="1783"/>
      <c r="C115" s="1783"/>
      <c r="D115" s="1783"/>
      <c r="E115" s="1783"/>
      <c r="F115" s="1783"/>
      <c r="G115" s="1783"/>
      <c r="H115" s="1783"/>
      <c r="I115" s="1783"/>
      <c r="J115" s="1783"/>
      <c r="K115" s="1783"/>
      <c r="L115" s="1783"/>
      <c r="M115" s="1783"/>
      <c r="N115" s="1783"/>
      <c r="O115" s="1783"/>
      <c r="P115" s="1783"/>
      <c r="Q115" s="1783"/>
      <c r="R115" s="1783"/>
      <c r="S115" s="1783"/>
      <c r="T115" s="1783"/>
      <c r="U115" s="1783"/>
      <c r="V115" s="1783"/>
      <c r="W115" s="1783"/>
      <c r="X115" s="1783"/>
      <c r="Y115" s="1783"/>
      <c r="Z115" s="1783"/>
      <c r="AA115" s="1783"/>
      <c r="AB115" s="1783"/>
      <c r="AC115" s="1783"/>
      <c r="AD115" s="1783"/>
      <c r="AE115" s="1783"/>
      <c r="AF115" s="1783"/>
      <c r="AG115" s="1783"/>
      <c r="AH115" s="1783"/>
      <c r="AI115" s="1783"/>
      <c r="AJ115" s="1783"/>
      <c r="AK115" s="1783"/>
      <c r="AL115" s="1783"/>
      <c r="AM115" s="1783"/>
      <c r="AN115" s="1783"/>
      <c r="AO115" s="1783"/>
      <c r="AP115" s="1783"/>
      <c r="AQ115" s="1783"/>
      <c r="AR115" s="1783"/>
      <c r="AS115" s="1783"/>
      <c r="AT115" s="1783"/>
      <c r="AU115" s="1783"/>
      <c r="AV115" s="1783"/>
      <c r="AW115" s="1783"/>
      <c r="AX115" s="1783"/>
      <c r="AY115" s="1783"/>
      <c r="AZ115" s="1783"/>
      <c r="BA115" s="1783"/>
      <c r="BB115" s="1783"/>
      <c r="BC115" s="1783"/>
      <c r="BD115" s="1783"/>
      <c r="BE115" s="1783"/>
      <c r="BF115" s="1783"/>
      <c r="BG115" s="1783"/>
      <c r="BH115" s="1783"/>
      <c r="BI115" s="1783"/>
      <c r="BJ115" s="1783"/>
      <c r="BK115" s="1783"/>
      <c r="BL115" s="1783"/>
      <c r="BM115" s="1783"/>
      <c r="BN115" s="1783"/>
    </row>
    <row r="116" spans="1:66">
      <c r="A116" s="1783"/>
      <c r="B116" s="1783"/>
      <c r="C116" s="1783"/>
      <c r="D116" s="1783"/>
      <c r="E116" s="1783"/>
      <c r="F116" s="1783"/>
      <c r="G116" s="1783"/>
      <c r="H116" s="1783"/>
      <c r="I116" s="1783"/>
      <c r="J116" s="1783"/>
      <c r="K116" s="1783"/>
      <c r="L116" s="1783"/>
      <c r="M116" s="1783"/>
      <c r="N116" s="1783"/>
      <c r="O116" s="1783"/>
      <c r="P116" s="1783"/>
      <c r="Q116" s="1783"/>
      <c r="R116" s="1783"/>
      <c r="S116" s="1783"/>
      <c r="T116" s="1783"/>
      <c r="U116" s="1783"/>
      <c r="V116" s="1783"/>
      <c r="W116" s="1783"/>
      <c r="X116" s="1783"/>
      <c r="Y116" s="1783"/>
      <c r="Z116" s="1783"/>
      <c r="AA116" s="1783"/>
      <c r="AB116" s="1783"/>
      <c r="AC116" s="1783"/>
      <c r="AD116" s="1783"/>
      <c r="AE116" s="1783"/>
      <c r="AF116" s="1783"/>
      <c r="AG116" s="1783"/>
      <c r="AH116" s="1783"/>
      <c r="AI116" s="1783"/>
      <c r="AJ116" s="1783"/>
      <c r="AK116" s="1783"/>
      <c r="AL116" s="1783"/>
      <c r="AM116" s="1783"/>
      <c r="AN116" s="1783"/>
      <c r="AO116" s="1783"/>
      <c r="AP116" s="1783"/>
      <c r="AQ116" s="1783"/>
      <c r="AR116" s="1783"/>
      <c r="AS116" s="1783"/>
      <c r="AT116" s="1783"/>
      <c r="AU116" s="1783"/>
      <c r="AV116" s="1783"/>
      <c r="AW116" s="1783"/>
      <c r="AX116" s="1783"/>
      <c r="AY116" s="1783"/>
      <c r="AZ116" s="1783"/>
      <c r="BA116" s="1783"/>
      <c r="BB116" s="1783"/>
      <c r="BC116" s="1783"/>
      <c r="BD116" s="1783"/>
      <c r="BE116" s="1783"/>
      <c r="BF116" s="1783"/>
      <c r="BG116" s="1783"/>
      <c r="BH116" s="1783"/>
      <c r="BI116" s="1783"/>
      <c r="BJ116" s="1783"/>
      <c r="BK116" s="1783"/>
      <c r="BL116" s="1783"/>
      <c r="BM116" s="1783"/>
      <c r="BN116" s="1783"/>
    </row>
    <row r="117" spans="1:66">
      <c r="A117" s="1783"/>
      <c r="B117" s="1783"/>
      <c r="C117" s="1783"/>
      <c r="D117" s="1783"/>
      <c r="E117" s="1783"/>
      <c r="F117" s="1783"/>
      <c r="G117" s="1783"/>
      <c r="H117" s="1783"/>
      <c r="I117" s="1783"/>
      <c r="J117" s="1783"/>
      <c r="K117" s="1783"/>
      <c r="L117" s="1783"/>
      <c r="M117" s="1783"/>
      <c r="N117" s="1783"/>
      <c r="O117" s="1783"/>
      <c r="P117" s="1783"/>
      <c r="Q117" s="1783"/>
      <c r="R117" s="1783"/>
      <c r="S117" s="1783"/>
      <c r="T117" s="1783"/>
      <c r="U117" s="1783"/>
      <c r="V117" s="1783"/>
      <c r="W117" s="1783"/>
      <c r="X117" s="1783"/>
      <c r="Y117" s="1783"/>
      <c r="Z117" s="1783"/>
      <c r="AA117" s="1783"/>
      <c r="AB117" s="1783"/>
      <c r="AC117" s="1783"/>
      <c r="AD117" s="1783"/>
      <c r="AE117" s="1783"/>
      <c r="AF117" s="1783"/>
      <c r="AG117" s="1783"/>
      <c r="AH117" s="1783"/>
      <c r="AI117" s="1783"/>
      <c r="AJ117" s="1783"/>
      <c r="AK117" s="1783"/>
      <c r="AL117" s="1783"/>
      <c r="AM117" s="1783"/>
      <c r="AN117" s="1783"/>
      <c r="AO117" s="1783"/>
      <c r="AP117" s="1783"/>
      <c r="AQ117" s="1783"/>
      <c r="AR117" s="1783"/>
      <c r="AS117" s="1783"/>
      <c r="AT117" s="1783"/>
      <c r="AU117" s="1783"/>
      <c r="AV117" s="1783"/>
      <c r="AW117" s="1783"/>
      <c r="AX117" s="1783"/>
      <c r="AY117" s="1783"/>
      <c r="AZ117" s="1783"/>
      <c r="BA117" s="1783"/>
      <c r="BB117" s="1783"/>
      <c r="BC117" s="1783"/>
      <c r="BD117" s="1783"/>
      <c r="BE117" s="1783"/>
      <c r="BF117" s="1783"/>
      <c r="BG117" s="1783"/>
      <c r="BH117" s="1783"/>
      <c r="BI117" s="1783"/>
      <c r="BJ117" s="1783"/>
      <c r="BK117" s="1783"/>
      <c r="BL117" s="1783"/>
      <c r="BM117" s="1783"/>
      <c r="BN117" s="1783"/>
    </row>
    <row r="118" spans="1:66">
      <c r="A118" s="1783"/>
      <c r="B118" s="1783"/>
      <c r="C118" s="1783"/>
      <c r="D118" s="1783"/>
      <c r="E118" s="1783"/>
      <c r="F118" s="1783"/>
      <c r="G118" s="1783"/>
      <c r="H118" s="1783"/>
      <c r="I118" s="1783"/>
      <c r="J118" s="1783"/>
      <c r="K118" s="1783"/>
      <c r="L118" s="1783"/>
      <c r="M118" s="1783"/>
      <c r="N118" s="1783"/>
      <c r="O118" s="1783"/>
      <c r="P118" s="1783"/>
      <c r="Q118" s="1783"/>
      <c r="R118" s="1783"/>
      <c r="S118" s="1783"/>
      <c r="T118" s="1783"/>
      <c r="U118" s="1783"/>
      <c r="V118" s="1783"/>
      <c r="W118" s="1783"/>
      <c r="X118" s="1783"/>
      <c r="Y118" s="1783"/>
      <c r="Z118" s="1783"/>
      <c r="AA118" s="1783"/>
      <c r="AB118" s="1783"/>
      <c r="AC118" s="1783"/>
      <c r="AD118" s="1783"/>
      <c r="AE118" s="1783"/>
      <c r="AF118" s="1783"/>
      <c r="AG118" s="1783"/>
      <c r="AH118" s="1783"/>
      <c r="AI118" s="1783"/>
      <c r="AJ118" s="1783"/>
      <c r="AK118" s="1783"/>
      <c r="AL118" s="1783"/>
      <c r="AM118" s="1783"/>
      <c r="AN118" s="1783"/>
      <c r="AO118" s="1783"/>
      <c r="AP118" s="1783"/>
      <c r="AQ118" s="1783"/>
      <c r="AR118" s="1783"/>
      <c r="AS118" s="1783"/>
      <c r="AT118" s="1783"/>
      <c r="AU118" s="1783"/>
      <c r="AV118" s="1783"/>
      <c r="AW118" s="1783"/>
      <c r="AX118" s="1783"/>
      <c r="AY118" s="1783"/>
      <c r="AZ118" s="1783"/>
      <c r="BA118" s="1783"/>
      <c r="BB118" s="1783"/>
      <c r="BC118" s="1783"/>
      <c r="BD118" s="1783"/>
      <c r="BE118" s="1783"/>
      <c r="BF118" s="1783"/>
      <c r="BG118" s="1783"/>
      <c r="BH118" s="1783"/>
      <c r="BI118" s="1783"/>
      <c r="BJ118" s="1783"/>
      <c r="BK118" s="1783"/>
      <c r="BL118" s="1783"/>
      <c r="BM118" s="1783"/>
      <c r="BN118" s="1783"/>
    </row>
    <row r="119" spans="1:66">
      <c r="A119" s="1783"/>
      <c r="B119" s="1783"/>
      <c r="C119" s="1783"/>
      <c r="D119" s="1783"/>
      <c r="E119" s="1783"/>
      <c r="F119" s="1783"/>
      <c r="G119" s="1783"/>
      <c r="H119" s="1783"/>
      <c r="I119" s="1783"/>
      <c r="J119" s="1783"/>
      <c r="K119" s="1783"/>
      <c r="L119" s="1783"/>
      <c r="M119" s="1783"/>
      <c r="N119" s="1783"/>
      <c r="O119" s="1783"/>
      <c r="P119" s="1783"/>
      <c r="Q119" s="1783"/>
      <c r="R119" s="1783"/>
      <c r="S119" s="1783"/>
      <c r="T119" s="1783"/>
      <c r="U119" s="1783"/>
      <c r="V119" s="1783"/>
      <c r="W119" s="1783"/>
      <c r="X119" s="1783"/>
      <c r="Y119" s="1783"/>
      <c r="Z119" s="1783"/>
      <c r="AA119" s="1783"/>
      <c r="AB119" s="1783"/>
      <c r="AC119" s="1783"/>
      <c r="AD119" s="1783"/>
      <c r="AE119" s="1783"/>
      <c r="AF119" s="1783"/>
      <c r="AG119" s="1783"/>
      <c r="AH119" s="1783"/>
      <c r="AI119" s="1783"/>
      <c r="AJ119" s="1783"/>
      <c r="AK119" s="1783"/>
      <c r="AL119" s="1783"/>
      <c r="AM119" s="1783"/>
      <c r="AN119" s="1783"/>
      <c r="AO119" s="1783"/>
      <c r="AP119" s="1783"/>
      <c r="AQ119" s="1783"/>
      <c r="AR119" s="1783"/>
      <c r="AS119" s="1783"/>
      <c r="AT119" s="1783"/>
      <c r="AU119" s="1783"/>
      <c r="AV119" s="1783"/>
      <c r="AW119" s="1783"/>
      <c r="AX119" s="1783"/>
      <c r="AY119" s="1783"/>
      <c r="AZ119" s="1783"/>
      <c r="BA119" s="1783"/>
      <c r="BB119" s="1783"/>
      <c r="BC119" s="1783"/>
      <c r="BD119" s="1783"/>
      <c r="BE119" s="1783"/>
      <c r="BF119" s="1783"/>
      <c r="BG119" s="1783"/>
      <c r="BH119" s="1783"/>
      <c r="BI119" s="1783"/>
      <c r="BJ119" s="1783"/>
      <c r="BK119" s="1783"/>
      <c r="BL119" s="1783"/>
      <c r="BM119" s="1783"/>
      <c r="BN119" s="1783"/>
    </row>
    <row r="120" spans="1:66">
      <c r="A120" s="1783"/>
      <c r="B120" s="1783"/>
      <c r="C120" s="1783"/>
      <c r="D120" s="1783"/>
      <c r="E120" s="1783"/>
      <c r="F120" s="1783"/>
      <c r="G120" s="1783"/>
      <c r="H120" s="1783"/>
      <c r="I120" s="1783"/>
      <c r="J120" s="1783"/>
      <c r="K120" s="1783"/>
      <c r="L120" s="1783"/>
      <c r="M120" s="1783"/>
      <c r="N120" s="1783"/>
      <c r="O120" s="1783"/>
      <c r="P120" s="1783"/>
      <c r="Q120" s="1783"/>
      <c r="R120" s="1783"/>
      <c r="S120" s="1783"/>
      <c r="T120" s="1783"/>
      <c r="U120" s="1783"/>
      <c r="V120" s="1783"/>
      <c r="W120" s="1783"/>
      <c r="X120" s="1783"/>
      <c r="Y120" s="1783"/>
      <c r="Z120" s="1783"/>
      <c r="AA120" s="1783"/>
      <c r="AB120" s="1783"/>
      <c r="AC120" s="1783"/>
      <c r="AD120" s="1783"/>
      <c r="AE120" s="1783"/>
      <c r="AF120" s="1783"/>
      <c r="AG120" s="1783"/>
      <c r="AH120" s="1783"/>
      <c r="AI120" s="1783"/>
      <c r="AJ120" s="1783"/>
      <c r="AK120" s="1783"/>
      <c r="AL120" s="1783"/>
      <c r="AM120" s="1783"/>
      <c r="AN120" s="1783"/>
      <c r="AO120" s="1783"/>
      <c r="AP120" s="1783"/>
      <c r="AQ120" s="1783"/>
      <c r="AR120" s="1783"/>
      <c r="AS120" s="1783"/>
      <c r="AT120" s="1783"/>
      <c r="AU120" s="1783"/>
      <c r="AV120" s="1783"/>
      <c r="AW120" s="1783"/>
      <c r="AX120" s="1783"/>
      <c r="AY120" s="1783"/>
      <c r="AZ120" s="1783"/>
      <c r="BA120" s="1783"/>
      <c r="BB120" s="1783"/>
      <c r="BC120" s="1783"/>
      <c r="BD120" s="1783"/>
      <c r="BE120" s="1783"/>
      <c r="BF120" s="1783"/>
      <c r="BG120" s="1783"/>
      <c r="BH120" s="1783"/>
      <c r="BI120" s="1783"/>
      <c r="BJ120" s="1783"/>
      <c r="BK120" s="1783"/>
      <c r="BL120" s="1783"/>
      <c r="BM120" s="1783"/>
      <c r="BN120" s="1783"/>
    </row>
    <row r="121" spans="1:66">
      <c r="A121" s="1783"/>
      <c r="B121" s="1783"/>
      <c r="C121" s="1783"/>
      <c r="D121" s="1783"/>
      <c r="E121" s="1783"/>
      <c r="F121" s="1783"/>
      <c r="G121" s="1783"/>
      <c r="H121" s="1783"/>
      <c r="I121" s="1783"/>
      <c r="J121" s="1783"/>
      <c r="K121" s="1783"/>
      <c r="L121" s="1783"/>
      <c r="M121" s="1783"/>
      <c r="N121" s="1783"/>
      <c r="O121" s="1783"/>
      <c r="P121" s="1783"/>
      <c r="Q121" s="1783"/>
      <c r="R121" s="1783"/>
      <c r="S121" s="1783"/>
      <c r="T121" s="1783"/>
      <c r="U121" s="1783"/>
      <c r="V121" s="1783"/>
      <c r="W121" s="1783"/>
      <c r="X121" s="1783"/>
      <c r="Y121" s="1783"/>
      <c r="Z121" s="1783"/>
      <c r="AA121" s="1783"/>
      <c r="AB121" s="1783"/>
      <c r="AC121" s="1783"/>
      <c r="AD121" s="1783"/>
      <c r="AE121" s="1783"/>
      <c r="AF121" s="1783"/>
      <c r="AG121" s="1783"/>
      <c r="AH121" s="1783"/>
      <c r="AI121" s="1783"/>
      <c r="AJ121" s="1783"/>
      <c r="AK121" s="1783"/>
      <c r="AL121" s="1783"/>
      <c r="AM121" s="1783"/>
      <c r="AN121" s="1783"/>
      <c r="AO121" s="1783"/>
      <c r="AP121" s="1783"/>
      <c r="AQ121" s="1783"/>
      <c r="AR121" s="1783"/>
      <c r="AS121" s="1783"/>
      <c r="AT121" s="1783"/>
      <c r="AU121" s="1783"/>
      <c r="AV121" s="1783"/>
      <c r="AW121" s="1783"/>
      <c r="AX121" s="1783"/>
      <c r="AY121" s="1783"/>
      <c r="AZ121" s="1783"/>
      <c r="BA121" s="1783"/>
      <c r="BB121" s="1783"/>
      <c r="BC121" s="1783"/>
      <c r="BD121" s="1783"/>
      <c r="BE121" s="1783"/>
      <c r="BF121" s="1783"/>
      <c r="BG121" s="1783"/>
      <c r="BH121" s="1783"/>
      <c r="BI121" s="1783"/>
      <c r="BJ121" s="1783"/>
      <c r="BK121" s="1783"/>
      <c r="BL121" s="1783"/>
      <c r="BM121" s="1783"/>
      <c r="BN121" s="1783"/>
    </row>
    <row r="122" spans="1:66">
      <c r="A122" s="1783"/>
      <c r="B122" s="1783"/>
      <c r="C122" s="1783"/>
      <c r="D122" s="1783"/>
      <c r="E122" s="1783"/>
      <c r="F122" s="1783"/>
      <c r="G122" s="1783"/>
      <c r="H122" s="1783"/>
      <c r="I122" s="1783"/>
      <c r="J122" s="1783"/>
      <c r="K122" s="1783"/>
      <c r="L122" s="1783"/>
      <c r="M122" s="1783"/>
      <c r="N122" s="1783"/>
      <c r="O122" s="1783"/>
      <c r="P122" s="1783"/>
      <c r="Q122" s="1783"/>
      <c r="R122" s="1783"/>
      <c r="S122" s="1783"/>
      <c r="T122" s="1783"/>
      <c r="U122" s="1783"/>
      <c r="V122" s="1783"/>
      <c r="W122" s="1783"/>
      <c r="X122" s="1783"/>
      <c r="Y122" s="1783"/>
      <c r="Z122" s="1783"/>
      <c r="AA122" s="1783"/>
      <c r="AB122" s="1783"/>
      <c r="AC122" s="1783"/>
      <c r="AD122" s="1783"/>
      <c r="AE122" s="1783"/>
      <c r="AF122" s="1783"/>
      <c r="AG122" s="1783"/>
      <c r="AH122" s="1783"/>
      <c r="AI122" s="1783"/>
      <c r="AJ122" s="1783"/>
      <c r="AK122" s="1783"/>
      <c r="AL122" s="1783"/>
      <c r="AM122" s="1783"/>
      <c r="AN122" s="1783"/>
      <c r="AO122" s="1783"/>
      <c r="AP122" s="1783"/>
      <c r="AQ122" s="1783"/>
      <c r="AR122" s="1783"/>
      <c r="AS122" s="1783"/>
      <c r="AT122" s="1783"/>
      <c r="AU122" s="1783"/>
      <c r="AV122" s="1783"/>
      <c r="AW122" s="1783"/>
      <c r="AX122" s="1783"/>
      <c r="AY122" s="1783"/>
      <c r="AZ122" s="1783"/>
      <c r="BA122" s="1783"/>
      <c r="BB122" s="1783"/>
      <c r="BC122" s="1783"/>
      <c r="BD122" s="1783"/>
      <c r="BE122" s="1783"/>
      <c r="BF122" s="1783"/>
      <c r="BG122" s="1783"/>
      <c r="BH122" s="1783"/>
      <c r="BI122" s="1783"/>
      <c r="BJ122" s="1783"/>
      <c r="BK122" s="1783"/>
      <c r="BL122" s="1783"/>
      <c r="BM122" s="1783"/>
      <c r="BN122" s="1783"/>
    </row>
    <row r="123" spans="1:66">
      <c r="A123" s="1783"/>
      <c r="B123" s="1783"/>
      <c r="C123" s="1783"/>
      <c r="D123" s="1783"/>
      <c r="E123" s="1783"/>
      <c r="F123" s="1783"/>
      <c r="G123" s="1783"/>
      <c r="H123" s="1783"/>
      <c r="I123" s="1783"/>
      <c r="J123" s="1783"/>
      <c r="K123" s="1783"/>
      <c r="L123" s="1783"/>
      <c r="M123" s="1783"/>
      <c r="N123" s="1783"/>
      <c r="O123" s="1783"/>
      <c r="P123" s="1783"/>
      <c r="Q123" s="1783"/>
      <c r="R123" s="1783"/>
      <c r="S123" s="1783"/>
      <c r="T123" s="1783"/>
      <c r="U123" s="1783"/>
      <c r="V123" s="1783"/>
      <c r="W123" s="1783"/>
      <c r="X123" s="1783"/>
      <c r="Y123" s="1783"/>
      <c r="Z123" s="1783"/>
      <c r="AA123" s="1783"/>
      <c r="AB123" s="1783"/>
      <c r="AC123" s="1783"/>
      <c r="AD123" s="1783"/>
      <c r="AE123" s="1783"/>
      <c r="AF123" s="1783"/>
      <c r="AG123" s="1783"/>
      <c r="AH123" s="1783"/>
      <c r="AI123" s="1783"/>
      <c r="AJ123" s="1783"/>
      <c r="AK123" s="1783"/>
      <c r="AL123" s="1783"/>
      <c r="AM123" s="1783"/>
      <c r="AN123" s="1783"/>
      <c r="AO123" s="1783"/>
      <c r="AP123" s="1783"/>
      <c r="AQ123" s="1783"/>
      <c r="AR123" s="1783"/>
      <c r="AS123" s="1783"/>
      <c r="AT123" s="1783"/>
      <c r="AU123" s="1783"/>
      <c r="AV123" s="1783"/>
      <c r="AW123" s="1783"/>
      <c r="AX123" s="1783"/>
      <c r="AY123" s="1783"/>
      <c r="AZ123" s="1783"/>
      <c r="BA123" s="1783"/>
      <c r="BB123" s="1783"/>
      <c r="BC123" s="1783"/>
      <c r="BD123" s="1783"/>
      <c r="BE123" s="1783"/>
      <c r="BF123" s="1783"/>
      <c r="BG123" s="1783"/>
      <c r="BH123" s="1783"/>
      <c r="BI123" s="1783"/>
      <c r="BJ123" s="1783"/>
      <c r="BK123" s="1783"/>
      <c r="BL123" s="1783"/>
      <c r="BM123" s="1783"/>
      <c r="BN123" s="1783"/>
    </row>
    <row r="124" spans="1:66">
      <c r="A124" s="1783"/>
      <c r="B124" s="1783"/>
      <c r="C124" s="1783"/>
      <c r="D124" s="1783"/>
      <c r="E124" s="1783"/>
      <c r="F124" s="1783"/>
      <c r="G124" s="1783"/>
      <c r="H124" s="1783"/>
      <c r="I124" s="1783"/>
      <c r="J124" s="1783"/>
      <c r="K124" s="1783"/>
      <c r="L124" s="1783"/>
      <c r="M124" s="1783"/>
      <c r="N124" s="1783"/>
      <c r="O124" s="1783"/>
      <c r="P124" s="1783"/>
      <c r="Q124" s="1783"/>
      <c r="R124" s="1783"/>
      <c r="S124" s="1783"/>
      <c r="T124" s="1783"/>
      <c r="U124" s="1783"/>
      <c r="V124" s="1783"/>
      <c r="W124" s="1783"/>
      <c r="X124" s="1783"/>
      <c r="Y124" s="1783"/>
      <c r="Z124" s="1783"/>
      <c r="AA124" s="1783"/>
      <c r="AB124" s="1783"/>
      <c r="AC124" s="1783"/>
      <c r="AD124" s="1783"/>
      <c r="AE124" s="1783"/>
      <c r="AF124" s="1783"/>
      <c r="AG124" s="1783"/>
      <c r="AH124" s="1783"/>
      <c r="AI124" s="1783"/>
      <c r="AJ124" s="1783"/>
      <c r="AK124" s="1783"/>
      <c r="AL124" s="1783"/>
      <c r="AM124" s="1783"/>
      <c r="AN124" s="1783"/>
      <c r="AO124" s="1783"/>
      <c r="AP124" s="1783"/>
      <c r="AQ124" s="1783"/>
      <c r="AR124" s="1783"/>
      <c r="AS124" s="1783"/>
      <c r="AT124" s="1783"/>
      <c r="AU124" s="1783"/>
      <c r="AV124" s="1783"/>
      <c r="AW124" s="1783"/>
      <c r="AX124" s="1783"/>
      <c r="AY124" s="1783"/>
      <c r="AZ124" s="1783"/>
      <c r="BA124" s="1783"/>
      <c r="BB124" s="1783"/>
      <c r="BC124" s="1783"/>
      <c r="BD124" s="1783"/>
      <c r="BE124" s="1783"/>
      <c r="BF124" s="1783"/>
      <c r="BG124" s="1783"/>
      <c r="BH124" s="1783"/>
      <c r="BI124" s="1783"/>
      <c r="BJ124" s="1783"/>
      <c r="BK124" s="1783"/>
      <c r="BL124" s="1783"/>
      <c r="BM124" s="1783"/>
      <c r="BN124" s="1783"/>
    </row>
    <row r="125" spans="1:66">
      <c r="A125" s="1783"/>
      <c r="B125" s="1783"/>
      <c r="C125" s="1783"/>
      <c r="D125" s="1783"/>
      <c r="E125" s="1783"/>
      <c r="F125" s="1783"/>
      <c r="G125" s="1783"/>
      <c r="H125" s="1783"/>
      <c r="I125" s="1783"/>
      <c r="J125" s="1783"/>
      <c r="K125" s="1783"/>
      <c r="L125" s="1783"/>
      <c r="M125" s="1783"/>
      <c r="N125" s="1783"/>
      <c r="O125" s="1783"/>
      <c r="P125" s="1783"/>
      <c r="Q125" s="1783"/>
      <c r="R125" s="1783"/>
      <c r="S125" s="1783"/>
      <c r="T125" s="1783"/>
      <c r="U125" s="1783"/>
      <c r="V125" s="1783"/>
      <c r="W125" s="1783"/>
      <c r="X125" s="1783"/>
      <c r="Y125" s="1783"/>
      <c r="Z125" s="1783"/>
      <c r="AA125" s="1783"/>
      <c r="AB125" s="1783"/>
      <c r="AC125" s="1783"/>
      <c r="AD125" s="1783"/>
      <c r="AE125" s="1783"/>
      <c r="AF125" s="1783"/>
      <c r="AG125" s="1783"/>
      <c r="AH125" s="1783"/>
      <c r="AI125" s="1783"/>
      <c r="AJ125" s="1783"/>
      <c r="AK125" s="1783"/>
      <c r="AL125" s="1783"/>
      <c r="AM125" s="1783"/>
      <c r="AN125" s="1783"/>
      <c r="AO125" s="1783"/>
      <c r="AP125" s="1783"/>
      <c r="AQ125" s="1783"/>
      <c r="AR125" s="1783"/>
      <c r="AS125" s="1783"/>
      <c r="AT125" s="1783"/>
      <c r="AU125" s="1783"/>
      <c r="AV125" s="1783"/>
      <c r="AW125" s="1783"/>
      <c r="AX125" s="1783"/>
      <c r="AY125" s="1783"/>
      <c r="AZ125" s="1783"/>
      <c r="BA125" s="1783"/>
      <c r="BB125" s="1783"/>
      <c r="BC125" s="1783"/>
      <c r="BD125" s="1783"/>
      <c r="BE125" s="1783"/>
      <c r="BF125" s="1783"/>
      <c r="BG125" s="1783"/>
      <c r="BH125" s="1783"/>
      <c r="BI125" s="1783"/>
      <c r="BJ125" s="1783"/>
      <c r="BK125" s="1783"/>
      <c r="BL125" s="1783"/>
      <c r="BM125" s="1783"/>
      <c r="BN125" s="1783"/>
    </row>
    <row r="126" spans="1:66">
      <c r="A126" s="1783"/>
      <c r="B126" s="1783"/>
      <c r="C126" s="1783"/>
      <c r="D126" s="1783"/>
      <c r="E126" s="1783"/>
      <c r="F126" s="1783"/>
      <c r="G126" s="1783"/>
      <c r="H126" s="1783"/>
      <c r="I126" s="1783"/>
      <c r="J126" s="1783"/>
      <c r="K126" s="1783"/>
      <c r="L126" s="1783"/>
      <c r="M126" s="1783"/>
      <c r="N126" s="1783"/>
      <c r="O126" s="1783"/>
      <c r="P126" s="1783"/>
      <c r="Q126" s="1783"/>
      <c r="R126" s="1783"/>
      <c r="S126" s="1783"/>
      <c r="T126" s="1783"/>
      <c r="U126" s="1783"/>
      <c r="V126" s="1783"/>
      <c r="W126" s="1783"/>
      <c r="X126" s="1783"/>
      <c r="Y126" s="1783"/>
      <c r="Z126" s="1783"/>
      <c r="AA126" s="1783"/>
      <c r="AB126" s="1783"/>
      <c r="AC126" s="1783"/>
      <c r="AD126" s="1783"/>
      <c r="AE126" s="1783"/>
      <c r="AF126" s="1783"/>
      <c r="AG126" s="1783"/>
      <c r="AH126" s="1783"/>
      <c r="AI126" s="1783"/>
      <c r="AJ126" s="1783"/>
      <c r="AK126" s="1783"/>
      <c r="AL126" s="1783"/>
      <c r="AM126" s="1783"/>
      <c r="AN126" s="1783"/>
      <c r="AO126" s="1783"/>
      <c r="AP126" s="1783"/>
      <c r="AQ126" s="1783"/>
      <c r="AR126" s="1783"/>
      <c r="AS126" s="1783"/>
      <c r="AT126" s="1783"/>
      <c r="AU126" s="1783"/>
      <c r="AV126" s="1783"/>
      <c r="AW126" s="1783"/>
      <c r="AX126" s="1783"/>
      <c r="AY126" s="1783"/>
      <c r="AZ126" s="1783"/>
      <c r="BA126" s="1783"/>
      <c r="BB126" s="1783"/>
      <c r="BC126" s="1783"/>
      <c r="BD126" s="1783"/>
      <c r="BE126" s="1783"/>
      <c r="BF126" s="1783"/>
      <c r="BG126" s="1783"/>
      <c r="BH126" s="1783"/>
      <c r="BI126" s="1783"/>
      <c r="BJ126" s="1783"/>
      <c r="BK126" s="1783"/>
      <c r="BL126" s="1783"/>
      <c r="BM126" s="1783"/>
      <c r="BN126" s="1783"/>
    </row>
    <row r="127" spans="1:66">
      <c r="A127" s="1783"/>
      <c r="B127" s="1783"/>
      <c r="C127" s="1783"/>
      <c r="D127" s="1783"/>
      <c r="E127" s="1783"/>
      <c r="F127" s="1783"/>
      <c r="G127" s="1783"/>
      <c r="H127" s="1783"/>
      <c r="I127" s="1783"/>
      <c r="J127" s="1783"/>
      <c r="K127" s="1783"/>
      <c r="L127" s="1783"/>
      <c r="M127" s="1783"/>
      <c r="N127" s="1783"/>
      <c r="O127" s="1783"/>
      <c r="P127" s="1783"/>
      <c r="Q127" s="1783"/>
      <c r="R127" s="1783"/>
      <c r="S127" s="1783"/>
      <c r="T127" s="1783"/>
      <c r="U127" s="1783"/>
      <c r="V127" s="1783"/>
      <c r="W127" s="1783"/>
      <c r="X127" s="1783"/>
      <c r="Y127" s="1783"/>
      <c r="Z127" s="1783"/>
      <c r="AA127" s="1783"/>
      <c r="AB127" s="1783"/>
      <c r="AC127" s="1783"/>
      <c r="AD127" s="1783"/>
      <c r="AE127" s="1783"/>
      <c r="AF127" s="1783"/>
      <c r="AG127" s="1783"/>
      <c r="AH127" s="1783"/>
      <c r="AI127" s="1783"/>
      <c r="AJ127" s="1783"/>
      <c r="AK127" s="1783"/>
      <c r="AL127" s="1783"/>
      <c r="AM127" s="1783"/>
      <c r="AN127" s="1783"/>
      <c r="AO127" s="1783"/>
      <c r="AP127" s="1783"/>
      <c r="AQ127" s="1783"/>
      <c r="AR127" s="1783"/>
      <c r="AS127" s="1783"/>
      <c r="AT127" s="1783"/>
      <c r="AU127" s="1783"/>
      <c r="AV127" s="1783"/>
      <c r="AW127" s="1783"/>
      <c r="AX127" s="1783"/>
      <c r="AY127" s="1783"/>
      <c r="AZ127" s="1783"/>
      <c r="BA127" s="1783"/>
      <c r="BB127" s="1783"/>
      <c r="BC127" s="1783"/>
      <c r="BD127" s="1783"/>
      <c r="BE127" s="1783"/>
      <c r="BF127" s="1783"/>
      <c r="BG127" s="1783"/>
      <c r="BH127" s="1783"/>
      <c r="BI127" s="1783"/>
      <c r="BJ127" s="1783"/>
      <c r="BK127" s="1783"/>
      <c r="BL127" s="1783"/>
      <c r="BM127" s="1783"/>
      <c r="BN127" s="1783"/>
    </row>
    <row r="128" spans="1:66">
      <c r="A128" s="1783"/>
      <c r="B128" s="1783"/>
      <c r="C128" s="1783"/>
      <c r="D128" s="1783"/>
      <c r="E128" s="1783"/>
      <c r="F128" s="1783"/>
      <c r="G128" s="1783"/>
      <c r="H128" s="1783"/>
      <c r="I128" s="1783"/>
      <c r="J128" s="1783"/>
      <c r="K128" s="1783"/>
      <c r="L128" s="1783"/>
      <c r="M128" s="1783"/>
      <c r="N128" s="1783"/>
      <c r="O128" s="1783"/>
      <c r="P128" s="1783"/>
      <c r="Q128" s="1783"/>
      <c r="R128" s="1783"/>
      <c r="S128" s="1783"/>
      <c r="T128" s="1783"/>
      <c r="U128" s="1783"/>
      <c r="V128" s="1783"/>
      <c r="W128" s="1783"/>
      <c r="X128" s="1783"/>
      <c r="Y128" s="1783"/>
      <c r="Z128" s="1783"/>
      <c r="AA128" s="1783"/>
      <c r="AB128" s="1783"/>
      <c r="AC128" s="1783"/>
      <c r="AD128" s="1783"/>
      <c r="AE128" s="1783"/>
      <c r="AF128" s="1783"/>
      <c r="AG128" s="1783"/>
      <c r="AH128" s="1783"/>
      <c r="AI128" s="1783"/>
      <c r="AJ128" s="1783"/>
      <c r="AK128" s="1783"/>
      <c r="AL128" s="1783"/>
      <c r="AM128" s="1783"/>
      <c r="AN128" s="1783"/>
      <c r="AO128" s="1783"/>
      <c r="AP128" s="1783"/>
      <c r="AQ128" s="1783"/>
      <c r="AR128" s="1783"/>
      <c r="AS128" s="1783"/>
      <c r="AT128" s="1783"/>
      <c r="AU128" s="1783"/>
      <c r="AV128" s="1783"/>
      <c r="AW128" s="1783"/>
      <c r="AX128" s="1783"/>
      <c r="AY128" s="1783"/>
      <c r="AZ128" s="1783"/>
      <c r="BA128" s="1783"/>
      <c r="BB128" s="1783"/>
      <c r="BC128" s="1783"/>
      <c r="BD128" s="1783"/>
      <c r="BE128" s="1783"/>
      <c r="BF128" s="1783"/>
      <c r="BG128" s="1783"/>
      <c r="BH128" s="1783"/>
      <c r="BI128" s="1783"/>
      <c r="BJ128" s="1783"/>
      <c r="BK128" s="1783"/>
      <c r="BL128" s="1783"/>
      <c r="BM128" s="1783"/>
      <c r="BN128" s="1783"/>
    </row>
    <row r="129" spans="1:66">
      <c r="A129" s="1783"/>
      <c r="B129" s="1783"/>
      <c r="C129" s="1783"/>
      <c r="D129" s="1783"/>
      <c r="E129" s="1783"/>
      <c r="F129" s="1783"/>
      <c r="G129" s="1783"/>
      <c r="H129" s="1783"/>
      <c r="I129" s="1783"/>
      <c r="J129" s="1783"/>
      <c r="K129" s="1783"/>
      <c r="L129" s="1783"/>
      <c r="M129" s="1783"/>
      <c r="N129" s="1783"/>
      <c r="O129" s="1783"/>
      <c r="P129" s="1783"/>
      <c r="Q129" s="1783"/>
      <c r="R129" s="1783"/>
      <c r="S129" s="1783"/>
      <c r="T129" s="1783"/>
      <c r="U129" s="1783"/>
      <c r="V129" s="1783"/>
      <c r="W129" s="1783"/>
      <c r="X129" s="1783"/>
      <c r="Y129" s="1783"/>
      <c r="Z129" s="1783"/>
      <c r="AA129" s="1783"/>
      <c r="AB129" s="1783"/>
      <c r="AC129" s="1783"/>
      <c r="AD129" s="1783"/>
      <c r="AE129" s="1783"/>
      <c r="AF129" s="1783"/>
      <c r="AG129" s="1783"/>
      <c r="AH129" s="1783"/>
      <c r="AI129" s="1783"/>
      <c r="AJ129" s="1783"/>
      <c r="AK129" s="1783"/>
      <c r="AL129" s="1783"/>
      <c r="AM129" s="1783"/>
      <c r="AN129" s="1783"/>
      <c r="AO129" s="1783"/>
      <c r="AP129" s="1783"/>
      <c r="AQ129" s="1783"/>
      <c r="AR129" s="1783"/>
      <c r="AS129" s="1783"/>
      <c r="AT129" s="1783"/>
      <c r="AU129" s="1783"/>
      <c r="AV129" s="1783"/>
      <c r="AW129" s="1783"/>
      <c r="AX129" s="1783"/>
      <c r="AY129" s="1783"/>
      <c r="AZ129" s="1783"/>
      <c r="BA129" s="1783"/>
      <c r="BB129" s="1783"/>
      <c r="BC129" s="1783"/>
      <c r="BD129" s="1783"/>
      <c r="BE129" s="1783"/>
      <c r="BF129" s="1783"/>
      <c r="BG129" s="1783"/>
      <c r="BH129" s="1783"/>
      <c r="BI129" s="1783"/>
      <c r="BJ129" s="1783"/>
      <c r="BK129" s="1783"/>
      <c r="BL129" s="1783"/>
      <c r="BM129" s="1783"/>
      <c r="BN129" s="1783"/>
    </row>
    <row r="130" spans="1:66">
      <c r="A130" s="1783"/>
      <c r="B130" s="1783"/>
      <c r="C130" s="1783"/>
      <c r="D130" s="1783"/>
      <c r="E130" s="1783"/>
      <c r="F130" s="1783"/>
      <c r="G130" s="1783"/>
      <c r="H130" s="1783"/>
      <c r="I130" s="1783"/>
      <c r="J130" s="1783"/>
      <c r="K130" s="1783"/>
      <c r="L130" s="1783"/>
      <c r="M130" s="1783"/>
      <c r="N130" s="1783"/>
      <c r="O130" s="1783"/>
      <c r="P130" s="1783"/>
      <c r="Q130" s="1783"/>
      <c r="R130" s="1783"/>
      <c r="S130" s="1783"/>
      <c r="T130" s="1783"/>
      <c r="U130" s="1783"/>
      <c r="V130" s="1783"/>
      <c r="W130" s="1783"/>
      <c r="X130" s="1783"/>
      <c r="Y130" s="1783"/>
      <c r="Z130" s="1783"/>
      <c r="AA130" s="1783"/>
      <c r="AB130" s="1783"/>
      <c r="AC130" s="1783"/>
      <c r="AD130" s="1783"/>
      <c r="AE130" s="1783"/>
      <c r="AF130" s="1783"/>
      <c r="AG130" s="1783"/>
      <c r="AH130" s="1783"/>
      <c r="AI130" s="1783"/>
      <c r="AJ130" s="1783"/>
      <c r="AK130" s="1783"/>
      <c r="AL130" s="1783"/>
      <c r="AM130" s="1783"/>
      <c r="AN130" s="1783"/>
      <c r="AO130" s="1783"/>
      <c r="AP130" s="1783"/>
      <c r="AQ130" s="1783"/>
      <c r="AR130" s="1783"/>
      <c r="AS130" s="1783"/>
      <c r="AT130" s="1783"/>
      <c r="AU130" s="1783"/>
      <c r="AV130" s="1783"/>
      <c r="AW130" s="1783"/>
      <c r="AX130" s="1783"/>
      <c r="AY130" s="1783"/>
      <c r="AZ130" s="1783"/>
      <c r="BA130" s="1783"/>
      <c r="BB130" s="1783"/>
      <c r="BC130" s="1783"/>
      <c r="BD130" s="1783"/>
      <c r="BE130" s="1783"/>
      <c r="BF130" s="1783"/>
      <c r="BG130" s="1783"/>
      <c r="BH130" s="1783"/>
      <c r="BI130" s="1783"/>
      <c r="BJ130" s="1783"/>
      <c r="BK130" s="1783"/>
      <c r="BL130" s="1783"/>
      <c r="BM130" s="1783"/>
      <c r="BN130" s="1783"/>
    </row>
    <row r="131" spans="1:66">
      <c r="A131" s="1783"/>
      <c r="B131" s="1783"/>
      <c r="C131" s="1783"/>
      <c r="D131" s="1783"/>
      <c r="E131" s="1783"/>
      <c r="F131" s="1783"/>
      <c r="G131" s="1783"/>
      <c r="H131" s="1783"/>
      <c r="I131" s="1783"/>
      <c r="J131" s="1783"/>
      <c r="K131" s="1783"/>
      <c r="L131" s="1783"/>
      <c r="M131" s="1783"/>
      <c r="N131" s="1783"/>
      <c r="O131" s="1783"/>
      <c r="P131" s="1783"/>
      <c r="Q131" s="1783"/>
      <c r="R131" s="1783"/>
      <c r="S131" s="1783"/>
      <c r="T131" s="1783"/>
      <c r="U131" s="1783"/>
      <c r="V131" s="1783"/>
      <c r="W131" s="1783"/>
      <c r="X131" s="1783"/>
      <c r="Y131" s="1783"/>
      <c r="Z131" s="1783"/>
      <c r="AA131" s="1783"/>
      <c r="AB131" s="1783"/>
      <c r="AC131" s="1783"/>
      <c r="AD131" s="1783"/>
      <c r="AE131" s="1783"/>
      <c r="AF131" s="1783"/>
      <c r="AG131" s="1783"/>
      <c r="AH131" s="1783"/>
      <c r="AI131" s="1783"/>
      <c r="AJ131" s="1783"/>
      <c r="AK131" s="1783"/>
      <c r="AL131" s="1783"/>
      <c r="AM131" s="1783"/>
      <c r="AN131" s="1783"/>
      <c r="AO131" s="1783"/>
      <c r="AP131" s="1783"/>
      <c r="AQ131" s="1783"/>
      <c r="AR131" s="1783"/>
      <c r="AS131" s="1783"/>
      <c r="AT131" s="1783"/>
      <c r="AU131" s="1783"/>
      <c r="AV131" s="1783"/>
      <c r="AW131" s="1783"/>
      <c r="AX131" s="1783"/>
      <c r="AY131" s="1783"/>
      <c r="AZ131" s="1783"/>
      <c r="BA131" s="1783"/>
      <c r="BB131" s="1783"/>
      <c r="BC131" s="1783"/>
      <c r="BD131" s="1783"/>
      <c r="BE131" s="1783"/>
      <c r="BF131" s="1783"/>
      <c r="BG131" s="1783"/>
      <c r="BH131" s="1783"/>
      <c r="BI131" s="1783"/>
      <c r="BJ131" s="1783"/>
      <c r="BK131" s="1783"/>
      <c r="BL131" s="1783"/>
      <c r="BM131" s="1783"/>
      <c r="BN131" s="1783"/>
    </row>
    <row r="132" spans="1:66">
      <c r="A132" s="1783"/>
      <c r="B132" s="1783"/>
      <c r="C132" s="1783"/>
      <c r="D132" s="1783"/>
      <c r="E132" s="1783"/>
      <c r="F132" s="1783"/>
      <c r="G132" s="1783"/>
      <c r="H132" s="1783"/>
      <c r="I132" s="1783"/>
      <c r="J132" s="1783"/>
      <c r="K132" s="1783"/>
      <c r="L132" s="1783"/>
      <c r="M132" s="1783"/>
      <c r="N132" s="1783"/>
      <c r="O132" s="1783"/>
      <c r="P132" s="1783"/>
      <c r="Q132" s="1783"/>
      <c r="R132" s="1783"/>
      <c r="S132" s="1783"/>
      <c r="T132" s="1783"/>
      <c r="U132" s="1783"/>
      <c r="V132" s="1783"/>
      <c r="W132" s="1783"/>
      <c r="X132" s="1783"/>
      <c r="Y132" s="1783"/>
      <c r="Z132" s="1783"/>
      <c r="AA132" s="1783"/>
      <c r="AB132" s="1783"/>
      <c r="AC132" s="1783"/>
      <c r="AD132" s="1783"/>
      <c r="AE132" s="1783"/>
      <c r="AF132" s="1783"/>
      <c r="AG132" s="1783"/>
      <c r="AH132" s="1783"/>
      <c r="AI132" s="1783"/>
      <c r="AJ132" s="1783"/>
      <c r="AK132" s="1783"/>
      <c r="AL132" s="1783"/>
      <c r="AM132" s="1783"/>
      <c r="AN132" s="1783"/>
      <c r="AO132" s="1783"/>
      <c r="AP132" s="1783"/>
      <c r="AQ132" s="1783"/>
      <c r="AR132" s="1783"/>
      <c r="AS132" s="1783"/>
      <c r="AT132" s="1783"/>
      <c r="AU132" s="1783"/>
      <c r="AV132" s="1783"/>
      <c r="AW132" s="1783"/>
      <c r="AX132" s="1783"/>
      <c r="AY132" s="1783"/>
      <c r="AZ132" s="1783"/>
      <c r="BA132" s="1783"/>
      <c r="BB132" s="1783"/>
      <c r="BC132" s="1783"/>
      <c r="BD132" s="1783"/>
      <c r="BE132" s="1783"/>
      <c r="BF132" s="1783"/>
      <c r="BG132" s="1783"/>
      <c r="BH132" s="1783"/>
      <c r="BI132" s="1783"/>
      <c r="BJ132" s="1783"/>
      <c r="BK132" s="1783"/>
      <c r="BL132" s="1783"/>
      <c r="BM132" s="1783"/>
      <c r="BN132" s="1783"/>
    </row>
    <row r="133" spans="1:66">
      <c r="A133" s="1783"/>
      <c r="B133" s="1783"/>
      <c r="C133" s="1783"/>
      <c r="D133" s="1783"/>
      <c r="E133" s="1783"/>
      <c r="F133" s="1783"/>
      <c r="G133" s="1783"/>
      <c r="H133" s="1783"/>
      <c r="I133" s="1783"/>
      <c r="J133" s="1783"/>
      <c r="K133" s="1783"/>
      <c r="L133" s="1783"/>
      <c r="M133" s="1783"/>
      <c r="N133" s="1783"/>
      <c r="O133" s="1783"/>
      <c r="P133" s="1783"/>
      <c r="Q133" s="1783"/>
      <c r="R133" s="1783"/>
      <c r="S133" s="1783"/>
      <c r="T133" s="1783"/>
      <c r="U133" s="1783"/>
      <c r="V133" s="1783"/>
      <c r="W133" s="1783"/>
      <c r="X133" s="1783"/>
      <c r="Y133" s="1783"/>
      <c r="Z133" s="1783"/>
      <c r="AA133" s="1783"/>
      <c r="AB133" s="1783"/>
      <c r="AC133" s="1783"/>
      <c r="AD133" s="1783"/>
      <c r="AE133" s="1783"/>
      <c r="AF133" s="1783"/>
      <c r="AG133" s="1783"/>
      <c r="AH133" s="1783"/>
      <c r="AI133" s="1783"/>
      <c r="AJ133" s="1783"/>
      <c r="AK133" s="1783"/>
      <c r="AL133" s="1783"/>
      <c r="AM133" s="1783"/>
      <c r="AN133" s="1783"/>
      <c r="AO133" s="1783"/>
      <c r="AP133" s="1783"/>
      <c r="AQ133" s="1783"/>
      <c r="AR133" s="1783"/>
      <c r="AS133" s="1783"/>
      <c r="AT133" s="1783"/>
      <c r="AU133" s="1783"/>
      <c r="AV133" s="1783"/>
      <c r="AW133" s="1783"/>
      <c r="AX133" s="1783"/>
      <c r="AY133" s="1783"/>
      <c r="AZ133" s="1783"/>
      <c r="BA133" s="1783"/>
      <c r="BB133" s="1783"/>
      <c r="BC133" s="1783"/>
      <c r="BD133" s="1783"/>
      <c r="BE133" s="1783"/>
      <c r="BF133" s="1783"/>
      <c r="BG133" s="1783"/>
      <c r="BH133" s="1783"/>
      <c r="BI133" s="1783"/>
      <c r="BJ133" s="1783"/>
      <c r="BK133" s="1783"/>
      <c r="BL133" s="1783"/>
      <c r="BM133" s="1783"/>
      <c r="BN133" s="1783"/>
    </row>
    <row r="134" spans="1:66">
      <c r="A134" s="1783"/>
      <c r="B134" s="1783"/>
      <c r="C134" s="1783"/>
      <c r="D134" s="1783"/>
      <c r="E134" s="1783"/>
      <c r="F134" s="1783"/>
      <c r="G134" s="1783"/>
      <c r="H134" s="1783"/>
      <c r="I134" s="1783"/>
      <c r="J134" s="1783"/>
      <c r="K134" s="1783"/>
      <c r="L134" s="1783"/>
      <c r="M134" s="1783"/>
      <c r="N134" s="1783"/>
      <c r="O134" s="1783"/>
      <c r="P134" s="1783"/>
      <c r="Q134" s="1783"/>
      <c r="R134" s="1783"/>
      <c r="S134" s="1783"/>
      <c r="T134" s="1783"/>
      <c r="U134" s="1783"/>
      <c r="V134" s="1783"/>
      <c r="W134" s="1783"/>
      <c r="X134" s="1783"/>
      <c r="Y134" s="1783"/>
      <c r="Z134" s="1783"/>
      <c r="AA134" s="1783"/>
      <c r="AB134" s="1783"/>
      <c r="AC134" s="1783"/>
      <c r="AD134" s="1783"/>
      <c r="AE134" s="1783"/>
      <c r="AF134" s="1783"/>
      <c r="AG134" s="1783"/>
      <c r="AH134" s="1783"/>
      <c r="AI134" s="1783"/>
      <c r="AJ134" s="1783"/>
      <c r="AK134" s="1783"/>
      <c r="AL134" s="1783"/>
      <c r="AM134" s="1783"/>
      <c r="AN134" s="1783"/>
      <c r="AO134" s="1783"/>
      <c r="AP134" s="1783"/>
      <c r="AQ134" s="1783"/>
      <c r="AR134" s="1783"/>
      <c r="AS134" s="1783"/>
      <c r="AT134" s="1783"/>
      <c r="AU134" s="1783"/>
      <c r="AV134" s="1783"/>
      <c r="AW134" s="1783"/>
      <c r="AX134" s="1783"/>
      <c r="AY134" s="1783"/>
      <c r="AZ134" s="1783"/>
      <c r="BA134" s="1783"/>
      <c r="BB134" s="1783"/>
      <c r="BC134" s="1783"/>
      <c r="BD134" s="1783"/>
      <c r="BE134" s="1783"/>
      <c r="BF134" s="1783"/>
      <c r="BG134" s="1783"/>
      <c r="BH134" s="1783"/>
      <c r="BI134" s="1783"/>
      <c r="BJ134" s="1783"/>
      <c r="BK134" s="1783"/>
      <c r="BL134" s="1783"/>
      <c r="BM134" s="1783"/>
      <c r="BN134" s="1783"/>
    </row>
    <row r="135" spans="1:66">
      <c r="A135" s="1783"/>
      <c r="B135" s="1783"/>
      <c r="C135" s="1783"/>
      <c r="D135" s="1783"/>
      <c r="E135" s="1783"/>
      <c r="F135" s="1783"/>
      <c r="G135" s="1783"/>
      <c r="H135" s="1783"/>
      <c r="I135" s="1783"/>
      <c r="J135" s="1783"/>
      <c r="K135" s="1783"/>
      <c r="L135" s="1783"/>
      <c r="M135" s="1783"/>
      <c r="N135" s="1783"/>
      <c r="O135" s="1783"/>
      <c r="P135" s="1783"/>
      <c r="Q135" s="1783"/>
      <c r="R135" s="1783"/>
      <c r="S135" s="1783"/>
      <c r="T135" s="1783"/>
      <c r="U135" s="1783"/>
      <c r="V135" s="1783"/>
      <c r="W135" s="1783"/>
      <c r="X135" s="1783"/>
      <c r="Y135" s="1783"/>
      <c r="Z135" s="1783"/>
      <c r="AA135" s="1783"/>
      <c r="AB135" s="1783"/>
      <c r="AC135" s="1783"/>
      <c r="AD135" s="1783"/>
      <c r="AE135" s="1783"/>
      <c r="AF135" s="1783"/>
      <c r="AG135" s="1783"/>
      <c r="AH135" s="1783"/>
      <c r="AI135" s="1783"/>
      <c r="AJ135" s="1783"/>
      <c r="AK135" s="1783"/>
      <c r="AL135" s="1783"/>
      <c r="AM135" s="1783"/>
      <c r="AN135" s="1783"/>
      <c r="AO135" s="1783"/>
      <c r="AP135" s="1783"/>
      <c r="AQ135" s="1783"/>
      <c r="AR135" s="1783"/>
      <c r="AS135" s="1783"/>
      <c r="AT135" s="1783"/>
      <c r="AU135" s="1783"/>
      <c r="AV135" s="1783"/>
      <c r="AW135" s="1783"/>
      <c r="AX135" s="1783"/>
      <c r="AY135" s="1783"/>
      <c r="AZ135" s="1783"/>
      <c r="BA135" s="1783"/>
      <c r="BB135" s="1783"/>
      <c r="BC135" s="1783"/>
      <c r="BD135" s="1783"/>
      <c r="BE135" s="1783"/>
      <c r="BF135" s="1783"/>
      <c r="BG135" s="1783"/>
      <c r="BH135" s="1783"/>
      <c r="BI135" s="1783"/>
      <c r="BJ135" s="1783"/>
      <c r="BK135" s="1783"/>
      <c r="BL135" s="1783"/>
      <c r="BM135" s="1783"/>
      <c r="BN135" s="1783"/>
    </row>
    <row r="136" spans="1:66">
      <c r="A136" s="1783"/>
      <c r="B136" s="1783"/>
      <c r="C136" s="1783"/>
      <c r="D136" s="1783"/>
      <c r="E136" s="1783"/>
      <c r="F136" s="1783"/>
      <c r="G136" s="1783"/>
      <c r="H136" s="1783"/>
      <c r="I136" s="1783"/>
      <c r="J136" s="1783"/>
      <c r="K136" s="1783"/>
      <c r="L136" s="1783"/>
      <c r="M136" s="1783"/>
      <c r="N136" s="1783"/>
      <c r="O136" s="1783"/>
      <c r="P136" s="1783"/>
      <c r="Q136" s="1783"/>
      <c r="R136" s="1783"/>
      <c r="S136" s="1783"/>
      <c r="T136" s="1783"/>
      <c r="U136" s="1783"/>
      <c r="V136" s="1783"/>
      <c r="W136" s="1783"/>
      <c r="X136" s="1783"/>
      <c r="Y136" s="1783"/>
      <c r="Z136" s="1783"/>
      <c r="AA136" s="1783"/>
      <c r="AB136" s="1783"/>
      <c r="AC136" s="1783"/>
      <c r="AD136" s="1783"/>
      <c r="AE136" s="1783"/>
      <c r="AF136" s="1783"/>
      <c r="AG136" s="1783"/>
      <c r="AH136" s="1783"/>
      <c r="AI136" s="1783"/>
      <c r="AJ136" s="1783"/>
      <c r="AK136" s="1783"/>
      <c r="AL136" s="1783"/>
      <c r="AM136" s="1783"/>
      <c r="AN136" s="1783"/>
      <c r="AO136" s="1783"/>
      <c r="AP136" s="1783"/>
      <c r="AQ136" s="1783"/>
      <c r="AR136" s="1783"/>
      <c r="AS136" s="1783"/>
      <c r="AT136" s="1783"/>
      <c r="AU136" s="1783"/>
      <c r="AV136" s="1783"/>
      <c r="AW136" s="1783"/>
      <c r="AX136" s="1783"/>
      <c r="AY136" s="1783"/>
      <c r="AZ136" s="1783"/>
      <c r="BA136" s="1783"/>
      <c r="BB136" s="1783"/>
      <c r="BC136" s="1783"/>
      <c r="BD136" s="1783"/>
      <c r="BE136" s="1783"/>
      <c r="BF136" s="1783"/>
      <c r="BG136" s="1783"/>
      <c r="BH136" s="1783"/>
      <c r="BI136" s="1783"/>
      <c r="BJ136" s="1783"/>
      <c r="BK136" s="1783"/>
      <c r="BL136" s="1783"/>
      <c r="BM136" s="1783"/>
      <c r="BN136" s="1783"/>
    </row>
    <row r="137" spans="1:66">
      <c r="A137" s="1783"/>
      <c r="B137" s="1783"/>
      <c r="C137" s="1783"/>
      <c r="D137" s="1783"/>
      <c r="E137" s="1783"/>
      <c r="F137" s="1783"/>
      <c r="G137" s="1783"/>
      <c r="H137" s="1783"/>
      <c r="I137" s="1783"/>
      <c r="J137" s="1783"/>
      <c r="K137" s="1783"/>
      <c r="L137" s="1783"/>
      <c r="M137" s="1783"/>
      <c r="N137" s="1783"/>
      <c r="O137" s="1783"/>
      <c r="P137" s="1783"/>
      <c r="Q137" s="1783"/>
      <c r="R137" s="1783"/>
      <c r="S137" s="1783"/>
      <c r="T137" s="1783"/>
      <c r="U137" s="1783"/>
      <c r="V137" s="1783"/>
      <c r="W137" s="1783"/>
      <c r="X137" s="1783"/>
      <c r="Y137" s="1783"/>
      <c r="Z137" s="1783"/>
      <c r="AA137" s="1783"/>
      <c r="AB137" s="1783"/>
      <c r="AC137" s="1783"/>
      <c r="AD137" s="1783"/>
      <c r="AE137" s="1783"/>
      <c r="AF137" s="1783"/>
      <c r="AG137" s="1783"/>
      <c r="AH137" s="1783"/>
      <c r="AI137" s="1783"/>
      <c r="AJ137" s="1783"/>
      <c r="AK137" s="1783"/>
      <c r="AL137" s="1783"/>
      <c r="AM137" s="1783"/>
      <c r="AN137" s="1783"/>
      <c r="AO137" s="1783"/>
      <c r="AP137" s="1783"/>
      <c r="AQ137" s="1783"/>
      <c r="AR137" s="1783"/>
      <c r="AS137" s="1783"/>
      <c r="AT137" s="1783"/>
      <c r="AU137" s="1783"/>
      <c r="AV137" s="1783"/>
      <c r="AW137" s="1783"/>
      <c r="AX137" s="1783"/>
      <c r="AY137" s="1783"/>
      <c r="AZ137" s="1783"/>
      <c r="BA137" s="1783"/>
      <c r="BB137" s="1783"/>
      <c r="BC137" s="1783"/>
      <c r="BD137" s="1783"/>
      <c r="BE137" s="1783"/>
      <c r="BF137" s="1783"/>
      <c r="BG137" s="1783"/>
      <c r="BH137" s="1783"/>
      <c r="BI137" s="1783"/>
      <c r="BJ137" s="1783"/>
      <c r="BK137" s="1783"/>
      <c r="BL137" s="1783"/>
      <c r="BM137" s="1783"/>
      <c r="BN137" s="1783"/>
    </row>
    <row r="138" spans="1:66">
      <c r="A138" s="1783"/>
      <c r="B138" s="1783"/>
      <c r="C138" s="1783"/>
      <c r="D138" s="1783"/>
      <c r="E138" s="1783"/>
      <c r="F138" s="1783"/>
      <c r="G138" s="1783"/>
      <c r="H138" s="1783"/>
      <c r="I138" s="1783"/>
      <c r="J138" s="1783"/>
      <c r="K138" s="1783"/>
      <c r="L138" s="1783"/>
      <c r="M138" s="1783"/>
      <c r="N138" s="1783"/>
      <c r="O138" s="1783"/>
      <c r="P138" s="1783"/>
      <c r="Q138" s="1783"/>
      <c r="R138" s="1783"/>
      <c r="S138" s="1783"/>
      <c r="T138" s="1783"/>
      <c r="U138" s="1783"/>
      <c r="V138" s="1783"/>
      <c r="W138" s="1783"/>
      <c r="X138" s="1783"/>
      <c r="Y138" s="1783"/>
      <c r="Z138" s="1783"/>
      <c r="AA138" s="1783"/>
      <c r="AB138" s="1783"/>
      <c r="AC138" s="1783"/>
      <c r="AD138" s="1783"/>
      <c r="AE138" s="1783"/>
      <c r="AF138" s="1783"/>
      <c r="AG138" s="1783"/>
      <c r="AH138" s="1783"/>
      <c r="AI138" s="1783"/>
      <c r="AJ138" s="1783"/>
      <c r="AK138" s="1783"/>
      <c r="AL138" s="1783"/>
      <c r="AM138" s="1783"/>
      <c r="AN138" s="1783"/>
      <c r="AO138" s="1783"/>
      <c r="AP138" s="1783"/>
      <c r="AQ138" s="1783"/>
      <c r="AR138" s="1783"/>
      <c r="AS138" s="1783"/>
      <c r="AT138" s="1783"/>
      <c r="AU138" s="1783"/>
      <c r="AV138" s="1783"/>
      <c r="AW138" s="1783"/>
      <c r="AX138" s="1783"/>
      <c r="AY138" s="1783"/>
      <c r="AZ138" s="1783"/>
      <c r="BA138" s="1783"/>
      <c r="BB138" s="1783"/>
      <c r="BC138" s="1783"/>
      <c r="BD138" s="1783"/>
      <c r="BE138" s="1783"/>
      <c r="BF138" s="1783"/>
      <c r="BG138" s="1783"/>
      <c r="BH138" s="1783"/>
      <c r="BI138" s="1783"/>
      <c r="BJ138" s="1783"/>
      <c r="BK138" s="1783"/>
      <c r="BL138" s="1783"/>
      <c r="BM138" s="1783"/>
      <c r="BN138" s="1783"/>
    </row>
    <row r="139" spans="1:66">
      <c r="A139" s="1783"/>
      <c r="B139" s="1783"/>
      <c r="C139" s="1783"/>
      <c r="D139" s="1783"/>
      <c r="E139" s="1783"/>
      <c r="F139" s="1783"/>
      <c r="G139" s="1783"/>
      <c r="H139" s="1783"/>
      <c r="I139" s="1783"/>
      <c r="J139" s="1783"/>
      <c r="K139" s="1783"/>
      <c r="L139" s="1783"/>
      <c r="M139" s="1783"/>
      <c r="N139" s="1783"/>
      <c r="O139" s="1783"/>
      <c r="P139" s="1783"/>
      <c r="Q139" s="1783"/>
      <c r="R139" s="1783"/>
      <c r="S139" s="1783"/>
      <c r="T139" s="1783"/>
      <c r="U139" s="1783"/>
      <c r="V139" s="1783"/>
      <c r="W139" s="1783"/>
      <c r="X139" s="1783"/>
      <c r="Y139" s="1783"/>
      <c r="Z139" s="1783"/>
      <c r="AA139" s="1783"/>
      <c r="AB139" s="1783"/>
      <c r="AC139" s="1783"/>
      <c r="AD139" s="1783"/>
      <c r="AE139" s="1783"/>
      <c r="AF139" s="1783"/>
      <c r="AG139" s="1783"/>
      <c r="AH139" s="1783"/>
      <c r="AI139" s="1783"/>
      <c r="AJ139" s="1783"/>
      <c r="AK139" s="1783"/>
      <c r="AL139" s="1783"/>
      <c r="AM139" s="1783"/>
      <c r="AN139" s="1783"/>
      <c r="AO139" s="1783"/>
      <c r="AP139" s="1783"/>
      <c r="AQ139" s="1783"/>
      <c r="AR139" s="1783"/>
      <c r="AS139" s="1783"/>
      <c r="AT139" s="1783"/>
      <c r="AU139" s="1783"/>
      <c r="AV139" s="1783"/>
      <c r="AW139" s="1783"/>
      <c r="AX139" s="1783"/>
      <c r="AY139" s="1783"/>
      <c r="AZ139" s="1783"/>
      <c r="BA139" s="1783"/>
      <c r="BB139" s="1783"/>
      <c r="BC139" s="1783"/>
      <c r="BD139" s="1783"/>
      <c r="BE139" s="1783"/>
      <c r="BF139" s="1783"/>
      <c r="BG139" s="1783"/>
      <c r="BH139" s="1783"/>
      <c r="BI139" s="1783"/>
      <c r="BJ139" s="1783"/>
      <c r="BK139" s="1783"/>
      <c r="BL139" s="1783"/>
      <c r="BM139" s="1783"/>
      <c r="BN139" s="1783"/>
    </row>
    <row r="140" spans="1:66">
      <c r="A140" s="1783"/>
      <c r="B140" s="1783"/>
      <c r="C140" s="1783"/>
      <c r="D140" s="1783"/>
      <c r="E140" s="1783"/>
      <c r="F140" s="1783"/>
      <c r="G140" s="1783"/>
      <c r="H140" s="1783"/>
      <c r="I140" s="1783"/>
      <c r="J140" s="1783"/>
      <c r="K140" s="1783"/>
      <c r="L140" s="1783"/>
      <c r="M140" s="1783"/>
      <c r="N140" s="1783"/>
      <c r="O140" s="1783"/>
      <c r="P140" s="1783"/>
      <c r="Q140" s="1783"/>
      <c r="R140" s="1783"/>
      <c r="S140" s="1783"/>
      <c r="T140" s="1783"/>
      <c r="U140" s="1783"/>
      <c r="V140" s="1783"/>
      <c r="W140" s="1783"/>
      <c r="X140" s="1783"/>
      <c r="Y140" s="1783"/>
      <c r="Z140" s="1783"/>
      <c r="AA140" s="1783"/>
      <c r="AB140" s="1783"/>
      <c r="AC140" s="1783"/>
      <c r="AD140" s="1783"/>
      <c r="AE140" s="1783"/>
      <c r="AF140" s="1783"/>
      <c r="AG140" s="1783"/>
      <c r="AH140" s="1783"/>
      <c r="AI140" s="1783"/>
      <c r="AJ140" s="1783"/>
      <c r="AK140" s="1783"/>
      <c r="AL140" s="1783"/>
      <c r="AM140" s="1783"/>
      <c r="AN140" s="1783"/>
      <c r="AO140" s="1783"/>
      <c r="AP140" s="1783"/>
      <c r="AQ140" s="1783"/>
      <c r="AR140" s="1783"/>
      <c r="AS140" s="1783"/>
      <c r="AT140" s="1783"/>
      <c r="AU140" s="1783"/>
      <c r="AV140" s="1783"/>
      <c r="AW140" s="1783"/>
      <c r="AX140" s="1783"/>
      <c r="AY140" s="1783"/>
      <c r="AZ140" s="1783"/>
      <c r="BA140" s="1783"/>
      <c r="BB140" s="1783"/>
      <c r="BC140" s="1783"/>
      <c r="BD140" s="1783"/>
      <c r="BE140" s="1783"/>
      <c r="BF140" s="1783"/>
      <c r="BG140" s="1783"/>
      <c r="BH140" s="1783"/>
      <c r="BI140" s="1783"/>
      <c r="BJ140" s="1783"/>
      <c r="BK140" s="1783"/>
      <c r="BL140" s="1783"/>
      <c r="BM140" s="1783"/>
      <c r="BN140" s="1783"/>
    </row>
    <row r="141" spans="1:66">
      <c r="A141" s="1783"/>
      <c r="B141" s="1783"/>
      <c r="C141" s="1783"/>
      <c r="D141" s="1783"/>
      <c r="E141" s="1783"/>
      <c r="F141" s="1783"/>
      <c r="G141" s="1783"/>
      <c r="H141" s="1783"/>
      <c r="I141" s="1783"/>
      <c r="J141" s="1783"/>
      <c r="K141" s="1783"/>
      <c r="L141" s="1783"/>
      <c r="M141" s="1783"/>
      <c r="N141" s="1783"/>
      <c r="O141" s="1783"/>
      <c r="P141" s="1783"/>
      <c r="Q141" s="1783"/>
      <c r="R141" s="1783"/>
      <c r="S141" s="1783"/>
      <c r="T141" s="1783"/>
      <c r="U141" s="1783"/>
      <c r="V141" s="1783"/>
      <c r="W141" s="1783"/>
      <c r="X141" s="1783"/>
      <c r="Y141" s="1783"/>
      <c r="Z141" s="1783"/>
      <c r="AA141" s="1783"/>
      <c r="AB141" s="1783"/>
      <c r="AC141" s="1783"/>
      <c r="AD141" s="1783"/>
      <c r="AE141" s="1783"/>
      <c r="AF141" s="1783"/>
      <c r="AG141" s="1783"/>
      <c r="AH141" s="1783"/>
      <c r="AI141" s="1783"/>
      <c r="AJ141" s="1783"/>
      <c r="AK141" s="1783"/>
      <c r="AL141" s="1783"/>
      <c r="AM141" s="1783"/>
      <c r="AN141" s="1783"/>
      <c r="AO141" s="1783"/>
      <c r="AP141" s="1783"/>
      <c r="AQ141" s="1783"/>
      <c r="AR141" s="1783"/>
      <c r="AS141" s="1783"/>
      <c r="AT141" s="1783"/>
      <c r="AU141" s="1783"/>
      <c r="AV141" s="1783"/>
      <c r="AW141" s="1783"/>
      <c r="AX141" s="1783"/>
      <c r="AY141" s="1783"/>
      <c r="AZ141" s="1783"/>
      <c r="BA141" s="1783"/>
      <c r="BB141" s="1783"/>
      <c r="BC141" s="1783"/>
      <c r="BD141" s="1783"/>
      <c r="BE141" s="1783"/>
      <c r="BF141" s="1783"/>
      <c r="BG141" s="1783"/>
      <c r="BH141" s="1783"/>
      <c r="BI141" s="1783"/>
      <c r="BJ141" s="1783"/>
      <c r="BK141" s="1783"/>
      <c r="BL141" s="1783"/>
      <c r="BM141" s="1783"/>
      <c r="BN141" s="1783"/>
    </row>
    <row r="142" spans="1:66">
      <c r="A142" s="1783"/>
      <c r="B142" s="1783"/>
      <c r="C142" s="1783"/>
      <c r="D142" s="1783"/>
      <c r="E142" s="1783"/>
      <c r="F142" s="1783"/>
      <c r="G142" s="1783"/>
      <c r="H142" s="1783"/>
    </row>
    <row r="143" spans="1:66">
      <c r="A143" s="1783"/>
      <c r="B143" s="1783"/>
      <c r="C143" s="1783"/>
      <c r="D143" s="1783"/>
      <c r="E143" s="1783"/>
      <c r="F143" s="1783"/>
      <c r="G143" s="1783"/>
      <c r="H143" s="1783"/>
    </row>
    <row r="144" spans="1:66">
      <c r="A144" s="1783"/>
      <c r="B144" s="1783"/>
      <c r="C144" s="1783"/>
      <c r="D144" s="1783"/>
      <c r="E144" s="1783"/>
      <c r="F144" s="1783"/>
      <c r="G144" s="1783"/>
      <c r="H144" s="1783"/>
    </row>
    <row r="145" spans="1:8">
      <c r="A145" s="1783"/>
      <c r="B145" s="1783"/>
      <c r="C145" s="1783"/>
      <c r="D145" s="1783"/>
      <c r="E145" s="1783"/>
      <c r="F145" s="1783"/>
      <c r="G145" s="1783"/>
      <c r="H145" s="1783"/>
    </row>
    <row r="146" spans="1:8">
      <c r="A146" s="1783"/>
      <c r="B146" s="1783"/>
      <c r="C146" s="1783"/>
      <c r="D146" s="1783"/>
      <c r="E146" s="1783"/>
      <c r="F146" s="1783"/>
      <c r="G146" s="1783"/>
      <c r="H146" s="1783"/>
    </row>
    <row r="147" spans="1:8">
      <c r="A147" s="1783"/>
      <c r="B147" s="1783"/>
      <c r="C147" s="1783"/>
      <c r="D147" s="1783"/>
      <c r="E147" s="1783"/>
      <c r="F147" s="1783"/>
      <c r="G147" s="1783"/>
      <c r="H147" s="1783"/>
    </row>
    <row r="148" spans="1:8">
      <c r="A148" s="1783"/>
      <c r="B148" s="1783"/>
      <c r="C148" s="1783"/>
      <c r="D148" s="1783"/>
      <c r="E148" s="1783"/>
      <c r="F148" s="1783"/>
      <c r="G148" s="1783"/>
      <c r="H148" s="1783"/>
    </row>
    <row r="149" spans="1:8">
      <c r="A149" s="1783"/>
      <c r="B149" s="1783"/>
      <c r="C149" s="1783"/>
      <c r="D149" s="1783"/>
      <c r="E149" s="1783"/>
      <c r="F149" s="1783"/>
      <c r="G149" s="1783"/>
      <c r="H149" s="1783"/>
    </row>
    <row r="150" spans="1:8">
      <c r="A150" s="1783"/>
      <c r="B150" s="1783"/>
      <c r="C150" s="1783"/>
      <c r="D150" s="1783"/>
      <c r="E150" s="1783"/>
      <c r="F150" s="1783"/>
      <c r="G150" s="1783"/>
      <c r="H150" s="1783"/>
    </row>
    <row r="151" spans="1:8">
      <c r="A151" s="1783"/>
      <c r="B151" s="1783"/>
      <c r="C151" s="1783"/>
      <c r="D151" s="1783"/>
      <c r="E151" s="1783"/>
      <c r="F151" s="1783"/>
      <c r="G151" s="1783"/>
      <c r="H151" s="1783"/>
    </row>
    <row r="152" spans="1:8">
      <c r="A152" s="1783"/>
      <c r="B152" s="1783"/>
      <c r="C152" s="1783"/>
      <c r="D152" s="1783"/>
      <c r="E152" s="1783"/>
      <c r="F152" s="1783"/>
      <c r="G152" s="1783"/>
      <c r="H152" s="1783"/>
    </row>
    <row r="153" spans="1:8">
      <c r="A153" s="1783"/>
      <c r="B153" s="1783"/>
      <c r="C153" s="1783"/>
      <c r="D153" s="1783"/>
      <c r="E153" s="1783"/>
      <c r="F153" s="1783"/>
      <c r="G153" s="1783"/>
      <c r="H153" s="1783"/>
    </row>
    <row r="154" spans="1:8">
      <c r="A154" s="1783"/>
      <c r="B154" s="1783"/>
      <c r="C154" s="1783"/>
      <c r="D154" s="1783"/>
      <c r="E154" s="1783"/>
      <c r="F154" s="1783"/>
      <c r="G154" s="1783"/>
      <c r="H154" s="1783"/>
    </row>
    <row r="155" spans="1:8">
      <c r="A155" s="1783"/>
      <c r="B155" s="1783"/>
      <c r="C155" s="1783"/>
      <c r="D155" s="1783"/>
      <c r="E155" s="1783"/>
      <c r="F155" s="1783"/>
      <c r="G155" s="1783"/>
      <c r="H155" s="1783"/>
    </row>
    <row r="156" spans="1:8">
      <c r="A156" s="1783"/>
      <c r="B156" s="1783"/>
      <c r="C156" s="1783"/>
      <c r="D156" s="1783"/>
      <c r="E156" s="1783"/>
      <c r="F156" s="1783"/>
      <c r="G156" s="1783"/>
      <c r="H156" s="1783"/>
    </row>
    <row r="157" spans="1:8">
      <c r="A157" s="1783"/>
      <c r="B157" s="1783"/>
      <c r="C157" s="1783"/>
      <c r="D157" s="1783"/>
      <c r="E157" s="1783"/>
      <c r="F157" s="1783"/>
      <c r="G157" s="1783"/>
      <c r="H157" s="1783"/>
    </row>
    <row r="158" spans="1:8">
      <c r="A158" s="1783"/>
      <c r="B158" s="1783"/>
      <c r="C158" s="1783"/>
      <c r="D158" s="1783"/>
      <c r="E158" s="1783"/>
      <c r="F158" s="1783"/>
      <c r="G158" s="1783"/>
      <c r="H158" s="1783"/>
    </row>
    <row r="159" spans="1:8">
      <c r="A159" s="1783"/>
      <c r="B159" s="1783"/>
      <c r="C159" s="1783"/>
      <c r="D159" s="1783"/>
      <c r="E159" s="1783"/>
      <c r="F159" s="1783"/>
      <c r="G159" s="1783"/>
      <c r="H159" s="1783"/>
    </row>
    <row r="160" spans="1:8">
      <c r="A160" s="1783"/>
      <c r="B160" s="1783"/>
      <c r="C160" s="1783"/>
      <c r="D160" s="1783"/>
      <c r="E160" s="1783"/>
      <c r="F160" s="1783"/>
      <c r="G160" s="1783"/>
      <c r="H160" s="1783"/>
    </row>
    <row r="161" spans="1:8">
      <c r="A161" s="1783"/>
      <c r="B161" s="1783"/>
      <c r="C161" s="1783"/>
      <c r="D161" s="1783"/>
      <c r="E161" s="1783"/>
      <c r="F161" s="1783"/>
      <c r="G161" s="1783"/>
      <c r="H161" s="1783"/>
    </row>
    <row r="162" spans="1:8">
      <c r="A162" s="1783"/>
      <c r="B162" s="1783"/>
      <c r="C162" s="1783"/>
      <c r="D162" s="1783"/>
      <c r="E162" s="1783"/>
      <c r="F162" s="1783"/>
      <c r="G162" s="1783"/>
      <c r="H162" s="1783"/>
    </row>
    <row r="163" spans="1:8">
      <c r="A163" s="1783"/>
      <c r="B163" s="1783"/>
      <c r="C163" s="1783"/>
      <c r="D163" s="1783"/>
      <c r="E163" s="1783"/>
      <c r="F163" s="1783"/>
      <c r="G163" s="1783"/>
      <c r="H163" s="1783"/>
    </row>
    <row r="164" spans="1:8">
      <c r="A164" s="1783"/>
      <c r="B164" s="1783"/>
      <c r="C164" s="1783"/>
      <c r="D164" s="1783"/>
      <c r="E164" s="1783"/>
      <c r="F164" s="1783"/>
      <c r="G164" s="1783"/>
      <c r="H164" s="1783"/>
    </row>
    <row r="165" spans="1:8">
      <c r="A165" s="1783"/>
      <c r="B165" s="1783"/>
      <c r="C165" s="1783"/>
      <c r="D165" s="1783"/>
      <c r="E165" s="1783"/>
      <c r="F165" s="1783"/>
      <c r="G165" s="1783"/>
      <c r="H165" s="1783"/>
    </row>
    <row r="166" spans="1:8">
      <c r="A166" s="1783"/>
      <c r="B166" s="1783"/>
      <c r="C166" s="1783"/>
      <c r="D166" s="1783"/>
      <c r="E166" s="1783"/>
      <c r="F166" s="1783"/>
      <c r="G166" s="1783"/>
      <c r="H166" s="1783"/>
    </row>
    <row r="167" spans="1:8">
      <c r="A167" s="1783"/>
      <c r="B167" s="1783"/>
      <c r="C167" s="1783"/>
      <c r="D167" s="1783"/>
      <c r="E167" s="1783"/>
      <c r="F167" s="1783"/>
      <c r="G167" s="1783"/>
      <c r="H167" s="1783"/>
    </row>
    <row r="168" spans="1:8">
      <c r="A168" s="1783"/>
      <c r="B168" s="1783"/>
      <c r="C168" s="1783"/>
      <c r="D168" s="1783"/>
      <c r="E168" s="1783"/>
      <c r="F168" s="1783"/>
      <c r="G168" s="1783"/>
      <c r="H168" s="1783"/>
    </row>
    <row r="169" spans="1:8">
      <c r="A169" s="1783"/>
      <c r="B169" s="1783"/>
      <c r="C169" s="1783"/>
      <c r="D169" s="1783"/>
      <c r="E169" s="1783"/>
      <c r="F169" s="1783"/>
      <c r="G169" s="1783"/>
      <c r="H169" s="1783"/>
    </row>
    <row r="170" spans="1:8">
      <c r="A170" s="1783"/>
      <c r="B170" s="1783"/>
      <c r="C170" s="1783"/>
      <c r="D170" s="1783"/>
      <c r="E170" s="1783"/>
      <c r="F170" s="1783"/>
      <c r="G170" s="1783"/>
      <c r="H170" s="1783"/>
    </row>
    <row r="171" spans="1:8">
      <c r="A171" s="1783"/>
      <c r="B171" s="1783"/>
      <c r="C171" s="1783"/>
      <c r="D171" s="1783"/>
      <c r="E171" s="1783"/>
      <c r="F171" s="1783"/>
      <c r="G171" s="1783"/>
      <c r="H171" s="1783"/>
    </row>
    <row r="172" spans="1:8">
      <c r="A172" s="1783"/>
      <c r="B172" s="1783"/>
      <c r="C172" s="1783"/>
      <c r="D172" s="1783"/>
      <c r="E172" s="1783"/>
      <c r="F172" s="1783"/>
      <c r="G172" s="1783"/>
      <c r="H172" s="1783"/>
    </row>
    <row r="173" spans="1:8">
      <c r="A173" s="1783"/>
      <c r="B173" s="1783"/>
      <c r="C173" s="1783"/>
      <c r="D173" s="1783"/>
      <c r="E173" s="1783"/>
      <c r="F173" s="1783"/>
      <c r="G173" s="1783"/>
      <c r="H173" s="1783"/>
    </row>
    <row r="174" spans="1:8">
      <c r="A174" s="1783"/>
      <c r="B174" s="1783"/>
      <c r="C174" s="1783"/>
      <c r="D174" s="1783"/>
      <c r="E174" s="1783"/>
      <c r="F174" s="1783"/>
      <c r="G174" s="1783"/>
      <c r="H174" s="1783"/>
    </row>
    <row r="175" spans="1:8">
      <c r="A175" s="1783"/>
      <c r="B175" s="1783"/>
      <c r="C175" s="1783"/>
      <c r="D175" s="1783"/>
      <c r="E175" s="1783"/>
      <c r="F175" s="1783"/>
      <c r="G175" s="1783"/>
      <c r="H175" s="1783"/>
    </row>
    <row r="176" spans="1:8">
      <c r="A176" s="1783"/>
      <c r="B176" s="1783"/>
      <c r="C176" s="1783"/>
      <c r="D176" s="1783"/>
      <c r="E176" s="1783"/>
      <c r="F176" s="1783"/>
      <c r="G176" s="1783"/>
      <c r="H176" s="1783"/>
    </row>
    <row r="177" spans="1:8">
      <c r="A177" s="1783"/>
      <c r="B177" s="1783"/>
      <c r="C177" s="1783"/>
      <c r="D177" s="1783"/>
      <c r="E177" s="1783"/>
      <c r="F177" s="1783"/>
      <c r="G177" s="1783"/>
      <c r="H177" s="1783"/>
    </row>
    <row r="178" spans="1:8">
      <c r="A178" s="1783"/>
      <c r="B178" s="1783"/>
      <c r="C178" s="1783"/>
      <c r="D178" s="1783"/>
      <c r="E178" s="1783"/>
      <c r="F178" s="1783"/>
      <c r="G178" s="1783"/>
      <c r="H178" s="1783"/>
    </row>
    <row r="179" spans="1:8">
      <c r="A179" s="1783"/>
      <c r="B179" s="1783"/>
      <c r="C179" s="1783"/>
      <c r="D179" s="1783"/>
      <c r="E179" s="1783"/>
      <c r="F179" s="1783"/>
      <c r="G179" s="1783"/>
      <c r="H179" s="1783"/>
    </row>
    <row r="180" spans="1:8">
      <c r="A180" s="1783"/>
      <c r="B180" s="1783"/>
      <c r="C180" s="1783"/>
      <c r="D180" s="1783"/>
      <c r="E180" s="1783"/>
      <c r="F180" s="1783"/>
      <c r="G180" s="1783"/>
      <c r="H180" s="1783"/>
    </row>
    <row r="181" spans="1:8">
      <c r="A181" s="1783"/>
      <c r="B181" s="1783"/>
      <c r="C181" s="1783"/>
      <c r="D181" s="1783"/>
      <c r="E181" s="1783"/>
      <c r="F181" s="1783"/>
      <c r="G181" s="1783"/>
      <c r="H181" s="1783"/>
    </row>
    <row r="182" spans="1:8">
      <c r="A182" s="1783"/>
      <c r="B182" s="1783"/>
      <c r="C182" s="1783"/>
      <c r="D182" s="1783"/>
      <c r="E182" s="1783"/>
      <c r="F182" s="1783"/>
      <c r="G182" s="1783"/>
      <c r="H182" s="1783"/>
    </row>
    <row r="183" spans="1:8">
      <c r="A183" s="1783"/>
      <c r="B183" s="1783"/>
      <c r="C183" s="1783"/>
      <c r="D183" s="1783"/>
      <c r="E183" s="1783"/>
      <c r="F183" s="1783"/>
      <c r="G183" s="1783"/>
      <c r="H183" s="1783"/>
    </row>
    <row r="184" spans="1:8">
      <c r="A184" s="1783"/>
      <c r="B184" s="1783"/>
      <c r="C184" s="1783"/>
      <c r="D184" s="1783"/>
      <c r="E184" s="1783"/>
      <c r="F184" s="1783"/>
      <c r="G184" s="1783"/>
      <c r="H184" s="1783"/>
    </row>
    <row r="185" spans="1:8">
      <c r="A185" s="1783"/>
      <c r="B185" s="1783"/>
      <c r="C185" s="1783"/>
      <c r="D185" s="1783"/>
      <c r="E185" s="1783"/>
      <c r="F185" s="1783"/>
      <c r="G185" s="1783"/>
      <c r="H185" s="1783"/>
    </row>
    <row r="186" spans="1:8">
      <c r="A186" s="1783"/>
      <c r="B186" s="1783"/>
      <c r="C186" s="1783"/>
      <c r="D186" s="1783"/>
      <c r="E186" s="1783"/>
      <c r="F186" s="1783"/>
      <c r="G186" s="1783"/>
      <c r="H186" s="1783"/>
    </row>
    <row r="187" spans="1:8">
      <c r="A187" s="1783"/>
      <c r="B187" s="1783"/>
      <c r="C187" s="1783"/>
      <c r="D187" s="1783"/>
      <c r="E187" s="1783"/>
      <c r="F187" s="1783"/>
      <c r="G187" s="1783"/>
      <c r="H187" s="1783"/>
    </row>
    <row r="188" spans="1:8">
      <c r="A188" s="1783"/>
      <c r="B188" s="1783"/>
      <c r="C188" s="1783"/>
      <c r="D188" s="1783"/>
      <c r="E188" s="1783"/>
      <c r="F188" s="1783"/>
      <c r="G188" s="1783"/>
      <c r="H188" s="1783"/>
    </row>
    <row r="189" spans="1:8">
      <c r="A189" s="1783"/>
      <c r="B189" s="1783"/>
      <c r="C189" s="1783"/>
      <c r="D189" s="1783"/>
      <c r="E189" s="1783"/>
      <c r="F189" s="1783"/>
      <c r="G189" s="1783"/>
      <c r="H189" s="1783"/>
    </row>
    <row r="190" spans="1:8">
      <c r="A190" s="1783"/>
      <c r="B190" s="1783"/>
      <c r="C190" s="1783"/>
      <c r="D190" s="1783"/>
      <c r="E190" s="1783"/>
      <c r="F190" s="1783"/>
      <c r="G190" s="1783"/>
      <c r="H190" s="1783"/>
    </row>
    <row r="191" spans="1:8">
      <c r="A191" s="1783"/>
      <c r="B191" s="1783"/>
      <c r="C191" s="1783"/>
      <c r="D191" s="1783"/>
      <c r="E191" s="1783"/>
      <c r="F191" s="1783"/>
      <c r="G191" s="1783"/>
      <c r="H191" s="1783"/>
    </row>
    <row r="192" spans="1:8">
      <c r="A192" s="1783"/>
      <c r="B192" s="1783"/>
      <c r="C192" s="1783"/>
      <c r="D192" s="1783"/>
      <c r="E192" s="1783"/>
      <c r="F192" s="1783"/>
      <c r="G192" s="1783"/>
      <c r="H192" s="1783"/>
    </row>
    <row r="193" spans="1:8">
      <c r="A193" s="1783"/>
      <c r="B193" s="1783"/>
      <c r="C193" s="1783"/>
      <c r="D193" s="1783"/>
      <c r="E193" s="1783"/>
      <c r="F193" s="1783"/>
      <c r="G193" s="1783"/>
      <c r="H193" s="1783"/>
    </row>
    <row r="194" spans="1:8">
      <c r="A194" s="1783"/>
      <c r="B194" s="1783"/>
      <c r="C194" s="1783"/>
      <c r="D194" s="1783"/>
      <c r="E194" s="1783"/>
      <c r="F194" s="1783"/>
      <c r="G194" s="1783"/>
      <c r="H194" s="1783"/>
    </row>
    <row r="195" spans="1:8">
      <c r="A195" s="1783"/>
      <c r="B195" s="1783"/>
      <c r="C195" s="1783"/>
      <c r="D195" s="1783"/>
      <c r="E195" s="1783"/>
      <c r="F195" s="1783"/>
      <c r="G195" s="1783"/>
      <c r="H195" s="1783"/>
    </row>
    <row r="196" spans="1:8">
      <c r="A196" s="1783"/>
      <c r="B196" s="1783"/>
      <c r="C196" s="1783"/>
      <c r="D196" s="1783"/>
      <c r="E196" s="1783"/>
      <c r="F196" s="1783"/>
      <c r="G196" s="1783"/>
      <c r="H196" s="1783"/>
    </row>
    <row r="197" spans="1:8">
      <c r="A197" s="1783"/>
      <c r="B197" s="1783"/>
      <c r="C197" s="1783"/>
      <c r="D197" s="1783"/>
      <c r="E197" s="1783"/>
      <c r="F197" s="1783"/>
      <c r="G197" s="1783"/>
      <c r="H197" s="1783"/>
    </row>
    <row r="198" spans="1:8">
      <c r="A198" s="1783"/>
      <c r="B198" s="1783"/>
      <c r="C198" s="1783"/>
      <c r="D198" s="1783"/>
      <c r="E198" s="1783"/>
      <c r="F198" s="1783"/>
      <c r="G198" s="1783"/>
      <c r="H198" s="1783"/>
    </row>
    <row r="199" spans="1:8">
      <c r="A199" s="1783"/>
      <c r="B199" s="1783"/>
      <c r="C199" s="1783"/>
      <c r="D199" s="1783"/>
      <c r="E199" s="1783"/>
      <c r="F199" s="1783"/>
      <c r="G199" s="1783"/>
      <c r="H199" s="1783"/>
    </row>
    <row r="200" spans="1:8">
      <c r="A200" s="1783"/>
      <c r="B200" s="1783"/>
      <c r="C200" s="1783"/>
      <c r="D200" s="1783"/>
      <c r="E200" s="1783"/>
      <c r="F200" s="1783"/>
      <c r="G200" s="1783"/>
      <c r="H200" s="1783"/>
    </row>
    <row r="201" spans="1:8">
      <c r="A201" s="1783"/>
      <c r="B201" s="1783"/>
      <c r="C201" s="1783"/>
      <c r="D201" s="1783"/>
      <c r="E201" s="1783"/>
      <c r="F201" s="1783"/>
      <c r="G201" s="1783"/>
      <c r="H201" s="1783"/>
    </row>
    <row r="202" spans="1:8">
      <c r="A202" s="1783"/>
      <c r="B202" s="1783"/>
      <c r="C202" s="1783"/>
      <c r="D202" s="1783"/>
      <c r="E202" s="1783"/>
      <c r="F202" s="1783"/>
      <c r="G202" s="1783"/>
      <c r="H202" s="1783"/>
    </row>
    <row r="203" spans="1:8">
      <c r="A203" s="1783"/>
      <c r="B203" s="1783"/>
      <c r="C203" s="1783"/>
      <c r="D203" s="1783"/>
      <c r="E203" s="1783"/>
      <c r="F203" s="1783"/>
      <c r="G203" s="1783"/>
      <c r="H203" s="1783"/>
    </row>
    <row r="204" spans="1:8">
      <c r="A204" s="1783"/>
      <c r="B204" s="1783"/>
      <c r="C204" s="1783"/>
      <c r="D204" s="1783"/>
      <c r="E204" s="1783"/>
      <c r="F204" s="1783"/>
      <c r="G204" s="1783"/>
      <c r="H204" s="1783"/>
    </row>
    <row r="205" spans="1:8">
      <c r="A205" s="1783"/>
      <c r="B205" s="1783"/>
      <c r="C205" s="1783"/>
      <c r="D205" s="1783"/>
      <c r="E205" s="1783"/>
      <c r="F205" s="1783"/>
      <c r="G205" s="1783"/>
      <c r="H205" s="1783"/>
    </row>
    <row r="206" spans="1:8">
      <c r="A206" s="1783"/>
      <c r="B206" s="1783"/>
      <c r="C206" s="1783"/>
      <c r="D206" s="1783"/>
      <c r="E206" s="1783"/>
      <c r="F206" s="1783"/>
      <c r="G206" s="1783"/>
      <c r="H206" s="1783"/>
    </row>
    <row r="207" spans="1:8">
      <c r="A207" s="1783"/>
      <c r="B207" s="1783"/>
      <c r="C207" s="1783"/>
      <c r="D207" s="1783"/>
      <c r="E207" s="1783"/>
      <c r="F207" s="1783"/>
      <c r="G207" s="1783"/>
      <c r="H207" s="1783"/>
    </row>
    <row r="208" spans="1:8">
      <c r="A208" s="1783"/>
      <c r="B208" s="1783"/>
      <c r="C208" s="1783"/>
      <c r="D208" s="1783"/>
      <c r="E208" s="1783"/>
      <c r="F208" s="1783"/>
      <c r="G208" s="1783"/>
      <c r="H208" s="1783"/>
    </row>
    <row r="209" spans="1:8">
      <c r="A209" s="1783"/>
      <c r="B209" s="1783"/>
      <c r="C209" s="1783"/>
      <c r="D209" s="1783"/>
      <c r="E209" s="1783"/>
      <c r="F209" s="1783"/>
      <c r="G209" s="1783"/>
      <c r="H209" s="1783"/>
    </row>
    <row r="210" spans="1:8">
      <c r="A210" s="1783"/>
      <c r="B210" s="1783"/>
      <c r="C210" s="1783"/>
      <c r="D210" s="1783"/>
      <c r="E210" s="1783"/>
      <c r="F210" s="1783"/>
      <c r="G210" s="1783"/>
      <c r="H210" s="1783"/>
    </row>
    <row r="211" spans="1:8">
      <c r="A211" s="1783"/>
      <c r="B211" s="1783"/>
      <c r="C211" s="1783"/>
      <c r="D211" s="1783"/>
      <c r="E211" s="1783"/>
      <c r="F211" s="1783"/>
      <c r="G211" s="1783"/>
      <c r="H211" s="1783"/>
    </row>
    <row r="212" spans="1:8">
      <c r="A212" s="1783"/>
      <c r="B212" s="1783"/>
      <c r="C212" s="1783"/>
      <c r="D212" s="1783"/>
      <c r="E212" s="1783"/>
      <c r="F212" s="1783"/>
      <c r="G212" s="1783"/>
      <c r="H212" s="1783"/>
    </row>
    <row r="213" spans="1:8">
      <c r="A213" s="1783"/>
      <c r="B213" s="1783"/>
      <c r="C213" s="1783"/>
      <c r="D213" s="1783"/>
      <c r="E213" s="1783"/>
      <c r="F213" s="1783"/>
      <c r="G213" s="1783"/>
      <c r="H213" s="1783"/>
    </row>
    <row r="214" spans="1:8">
      <c r="A214" s="1783"/>
      <c r="B214" s="1783"/>
      <c r="C214" s="1783"/>
      <c r="D214" s="1783"/>
      <c r="E214" s="1783"/>
      <c r="F214" s="1783"/>
      <c r="G214" s="1783"/>
      <c r="H214" s="1783"/>
    </row>
    <row r="215" spans="1:8">
      <c r="A215" s="1783"/>
      <c r="B215" s="1783"/>
      <c r="C215" s="1783"/>
      <c r="D215" s="1783"/>
      <c r="E215" s="1783"/>
      <c r="F215" s="1783"/>
      <c r="G215" s="1783"/>
      <c r="H215" s="1783"/>
    </row>
    <row r="216" spans="1:8">
      <c r="A216" s="1783"/>
      <c r="B216" s="1783"/>
      <c r="C216" s="1783"/>
      <c r="D216" s="1783"/>
      <c r="E216" s="1783"/>
      <c r="F216" s="1783"/>
      <c r="G216" s="1783"/>
      <c r="H216" s="1783"/>
    </row>
    <row r="217" spans="1:8">
      <c r="A217" s="1783"/>
      <c r="B217" s="1783"/>
      <c r="C217" s="1783"/>
      <c r="D217" s="1783"/>
      <c r="E217" s="1783"/>
      <c r="F217" s="1783"/>
      <c r="G217" s="1783"/>
      <c r="H217" s="1783"/>
    </row>
    <row r="218" spans="1:8">
      <c r="A218" s="1783"/>
      <c r="B218" s="1783"/>
      <c r="C218" s="1783"/>
      <c r="D218" s="1783"/>
      <c r="E218" s="1783"/>
      <c r="F218" s="1783"/>
      <c r="G218" s="1783"/>
      <c r="H218" s="1783"/>
    </row>
    <row r="219" spans="1:8">
      <c r="A219" s="1783"/>
      <c r="B219" s="1783"/>
      <c r="C219" s="1783"/>
      <c r="D219" s="1783"/>
      <c r="E219" s="1783"/>
      <c r="F219" s="1783"/>
      <c r="G219" s="1783"/>
      <c r="H219" s="1783"/>
    </row>
    <row r="220" spans="1:8">
      <c r="A220" s="1783"/>
      <c r="B220" s="1783"/>
      <c r="C220" s="1783"/>
      <c r="D220" s="1783"/>
      <c r="E220" s="1783"/>
      <c r="F220" s="1783"/>
      <c r="G220" s="1783"/>
      <c r="H220" s="1783"/>
    </row>
    <row r="221" spans="1:8">
      <c r="A221" s="1783"/>
      <c r="B221" s="1783"/>
      <c r="C221" s="1783"/>
      <c r="D221" s="1783"/>
      <c r="E221" s="1783"/>
      <c r="F221" s="1783"/>
      <c r="G221" s="1783"/>
      <c r="H221" s="1783"/>
    </row>
    <row r="222" spans="1:8">
      <c r="A222" s="1783"/>
      <c r="B222" s="1783"/>
      <c r="C222" s="1783"/>
      <c r="D222" s="1783"/>
      <c r="E222" s="1783"/>
      <c r="F222" s="1783"/>
      <c r="G222" s="1783"/>
      <c r="H222" s="1783"/>
    </row>
    <row r="223" spans="1:8">
      <c r="A223" s="1783"/>
      <c r="B223" s="1783"/>
      <c r="C223" s="1783"/>
      <c r="D223" s="1783"/>
      <c r="E223" s="1783"/>
      <c r="F223" s="1783"/>
      <c r="G223" s="1783"/>
      <c r="H223" s="1783"/>
    </row>
    <row r="224" spans="1:8">
      <c r="A224" s="1783"/>
      <c r="B224" s="1783"/>
      <c r="C224" s="1783"/>
      <c r="D224" s="1783"/>
      <c r="E224" s="1783"/>
      <c r="F224" s="1783"/>
      <c r="G224" s="1783"/>
      <c r="H224" s="1783"/>
    </row>
    <row r="225" spans="1:8">
      <c r="A225" s="1783"/>
      <c r="B225" s="1783"/>
      <c r="C225" s="1783"/>
      <c r="D225" s="1783"/>
      <c r="E225" s="1783"/>
      <c r="F225" s="1783"/>
      <c r="G225" s="1783"/>
      <c r="H225" s="1783"/>
    </row>
    <row r="226" spans="1:8">
      <c r="A226" s="1783"/>
      <c r="B226" s="1783"/>
      <c r="C226" s="1783"/>
      <c r="D226" s="1783"/>
      <c r="E226" s="1783"/>
      <c r="F226" s="1783"/>
      <c r="G226" s="1783"/>
      <c r="H226" s="1783"/>
    </row>
    <row r="227" spans="1:8">
      <c r="A227" s="1783"/>
      <c r="B227" s="1783"/>
      <c r="C227" s="1783"/>
      <c r="D227" s="1783"/>
      <c r="E227" s="1783"/>
      <c r="F227" s="1783"/>
      <c r="G227" s="1783"/>
      <c r="H227" s="1783"/>
    </row>
    <row r="228" spans="1:8">
      <c r="A228" s="1783"/>
      <c r="B228" s="1783"/>
      <c r="C228" s="1783"/>
      <c r="D228" s="1783"/>
      <c r="E228" s="1783"/>
      <c r="F228" s="1783"/>
      <c r="G228" s="1783"/>
      <c r="H228" s="1783"/>
    </row>
    <row r="229" spans="1:8">
      <c r="A229" s="1783"/>
      <c r="B229" s="1783"/>
      <c r="C229" s="1783"/>
      <c r="D229" s="1783"/>
      <c r="E229" s="1783"/>
      <c r="F229" s="1783"/>
      <c r="G229" s="1783"/>
      <c r="H229" s="1783"/>
    </row>
    <row r="230" spans="1:8">
      <c r="A230" s="1783"/>
      <c r="B230" s="1783"/>
      <c r="C230" s="1783"/>
      <c r="D230" s="1783"/>
      <c r="E230" s="1783"/>
      <c r="F230" s="1783"/>
      <c r="G230" s="1783"/>
      <c r="H230" s="1783"/>
    </row>
    <row r="231" spans="1:8">
      <c r="A231" s="1783"/>
      <c r="B231" s="1783"/>
      <c r="C231" s="1783"/>
      <c r="D231" s="1783"/>
      <c r="E231" s="1783"/>
      <c r="F231" s="1783"/>
      <c r="G231" s="1783"/>
      <c r="H231" s="1783"/>
    </row>
    <row r="232" spans="1:8">
      <c r="A232" s="1783"/>
      <c r="B232" s="1783"/>
      <c r="C232" s="1783"/>
      <c r="D232" s="1783"/>
      <c r="E232" s="1783"/>
      <c r="F232" s="1783"/>
      <c r="G232" s="1783"/>
      <c r="H232" s="1783"/>
    </row>
    <row r="233" spans="1:8">
      <c r="A233" s="1783"/>
      <c r="B233" s="1783"/>
      <c r="C233" s="1783"/>
      <c r="D233" s="1783"/>
      <c r="E233" s="1783"/>
      <c r="F233" s="1783"/>
      <c r="G233" s="1783"/>
      <c r="H233" s="1783"/>
    </row>
    <row r="234" spans="1:8">
      <c r="A234" s="1783"/>
      <c r="B234" s="1783"/>
      <c r="C234" s="1783"/>
      <c r="D234" s="1783"/>
      <c r="E234" s="1783"/>
      <c r="F234" s="1783"/>
      <c r="G234" s="1783"/>
      <c r="H234" s="1783"/>
    </row>
    <row r="235" spans="1:8">
      <c r="A235" s="1783"/>
      <c r="B235" s="1783"/>
      <c r="C235" s="1783"/>
      <c r="D235" s="1783"/>
      <c r="E235" s="1783"/>
      <c r="F235" s="1783"/>
      <c r="G235" s="1783"/>
      <c r="H235" s="1783"/>
    </row>
    <row r="236" spans="1:8">
      <c r="A236" s="1783"/>
      <c r="B236" s="1783"/>
      <c r="C236" s="1783"/>
      <c r="D236" s="1783"/>
      <c r="E236" s="1783"/>
      <c r="F236" s="1783"/>
      <c r="G236" s="1783"/>
      <c r="H236" s="1783"/>
    </row>
    <row r="237" spans="1:8">
      <c r="A237" s="1783"/>
      <c r="B237" s="1783"/>
      <c r="C237" s="1783"/>
      <c r="D237" s="1783"/>
      <c r="E237" s="1783"/>
      <c r="F237" s="1783"/>
      <c r="G237" s="1783"/>
      <c r="H237" s="1783"/>
    </row>
    <row r="238" spans="1:8">
      <c r="A238" s="1783"/>
      <c r="B238" s="1783"/>
      <c r="C238" s="1783"/>
      <c r="D238" s="1783"/>
      <c r="E238" s="1783"/>
      <c r="F238" s="1783"/>
      <c r="G238" s="1783"/>
      <c r="H238" s="1783"/>
    </row>
    <row r="239" spans="1:8">
      <c r="A239" s="1783"/>
      <c r="B239" s="1783"/>
      <c r="C239" s="1783"/>
      <c r="D239" s="1783"/>
      <c r="E239" s="1783"/>
      <c r="F239" s="1783"/>
      <c r="G239" s="1783"/>
      <c r="H239" s="1783"/>
    </row>
    <row r="240" spans="1:8">
      <c r="A240" s="1783"/>
      <c r="B240" s="1783"/>
      <c r="C240" s="1783"/>
      <c r="D240" s="1783"/>
      <c r="E240" s="1783"/>
      <c r="F240" s="1783"/>
      <c r="G240" s="1783"/>
      <c r="H240" s="1783"/>
    </row>
    <row r="241" spans="1:8">
      <c r="A241" s="1783"/>
      <c r="B241" s="1783"/>
      <c r="C241" s="1783"/>
      <c r="D241" s="1783"/>
      <c r="E241" s="1783"/>
      <c r="F241" s="1783"/>
      <c r="G241" s="1783"/>
      <c r="H241" s="1783"/>
    </row>
    <row r="242" spans="1:8">
      <c r="A242" s="1783"/>
      <c r="B242" s="1783"/>
      <c r="C242" s="1783"/>
      <c r="D242" s="1783"/>
      <c r="E242" s="1783"/>
      <c r="F242" s="1783"/>
      <c r="G242" s="1783"/>
      <c r="H242" s="1783"/>
    </row>
    <row r="243" spans="1:8">
      <c r="A243" s="1783"/>
      <c r="B243" s="1783"/>
      <c r="C243" s="1783"/>
      <c r="D243" s="1783"/>
      <c r="E243" s="1783"/>
      <c r="F243" s="1783"/>
      <c r="G243" s="1783"/>
      <c r="H243" s="1783"/>
    </row>
    <row r="244" spans="1:8">
      <c r="A244" s="1783"/>
      <c r="B244" s="1783"/>
      <c r="C244" s="1783"/>
      <c r="D244" s="1783"/>
      <c r="E244" s="1783"/>
      <c r="F244" s="1783"/>
      <c r="G244" s="1783"/>
      <c r="H244" s="1783"/>
    </row>
    <row r="245" spans="1:8">
      <c r="A245" s="1783"/>
      <c r="B245" s="1783"/>
      <c r="C245" s="1783"/>
      <c r="D245" s="1783"/>
      <c r="E245" s="1783"/>
      <c r="F245" s="1783"/>
      <c r="G245" s="1783"/>
      <c r="H245" s="1783"/>
    </row>
    <row r="246" spans="1:8">
      <c r="A246" s="1783"/>
      <c r="B246" s="1783"/>
      <c r="C246" s="1783"/>
      <c r="D246" s="1783"/>
      <c r="E246" s="1783"/>
      <c r="F246" s="1783"/>
      <c r="G246" s="1783"/>
      <c r="H246" s="1783"/>
    </row>
    <row r="247" spans="1:8">
      <c r="A247" s="1783"/>
      <c r="B247" s="1783"/>
      <c r="C247" s="1783"/>
      <c r="D247" s="1783"/>
      <c r="E247" s="1783"/>
      <c r="F247" s="1783"/>
      <c r="G247" s="1783"/>
      <c r="H247" s="1783"/>
    </row>
    <row r="248" spans="1:8">
      <c r="A248" s="1783"/>
      <c r="B248" s="1783"/>
      <c r="C248" s="1783"/>
      <c r="D248" s="1783"/>
      <c r="E248" s="1783"/>
      <c r="F248" s="1783"/>
      <c r="G248" s="1783"/>
      <c r="H248" s="1783"/>
    </row>
    <row r="249" spans="1:8">
      <c r="A249" s="1783"/>
      <c r="B249" s="1783"/>
      <c r="C249" s="1783"/>
      <c r="D249" s="1783"/>
      <c r="E249" s="1783"/>
      <c r="F249" s="1783"/>
      <c r="G249" s="1783"/>
      <c r="H249" s="1783"/>
    </row>
    <row r="250" spans="1:8">
      <c r="A250" s="1783"/>
      <c r="B250" s="1783"/>
      <c r="C250" s="1783"/>
      <c r="D250" s="1783"/>
      <c r="E250" s="1783"/>
      <c r="F250" s="1783"/>
      <c r="G250" s="1783"/>
      <c r="H250" s="1783"/>
    </row>
    <row r="251" spans="1:8">
      <c r="A251" s="1783"/>
      <c r="B251" s="1783"/>
      <c r="C251" s="1783"/>
      <c r="D251" s="1783"/>
      <c r="E251" s="1783"/>
      <c r="F251" s="1783"/>
      <c r="G251" s="1783"/>
      <c r="H251" s="1783"/>
    </row>
    <row r="252" spans="1:8">
      <c r="A252" s="1783"/>
      <c r="B252" s="1783"/>
      <c r="C252" s="1783"/>
      <c r="D252" s="1783"/>
      <c r="E252" s="1783"/>
      <c r="F252" s="1783"/>
      <c r="G252" s="1783"/>
      <c r="H252" s="1783"/>
    </row>
    <row r="253" spans="1:8">
      <c r="A253" s="1783"/>
      <c r="B253" s="1783"/>
      <c r="C253" s="1783"/>
      <c r="D253" s="1783"/>
      <c r="E253" s="1783"/>
      <c r="F253" s="1783"/>
      <c r="G253" s="1783"/>
      <c r="H253" s="1783"/>
    </row>
    <row r="254" spans="1:8">
      <c r="A254" s="1783"/>
      <c r="B254" s="1783"/>
      <c r="C254" s="1783"/>
      <c r="D254" s="1783"/>
      <c r="E254" s="1783"/>
      <c r="F254" s="1783"/>
      <c r="G254" s="1783"/>
      <c r="H254" s="1783"/>
    </row>
    <row r="255" spans="1:8">
      <c r="A255" s="1783"/>
      <c r="B255" s="1783"/>
      <c r="C255" s="1783"/>
      <c r="D255" s="1783"/>
      <c r="E255" s="1783"/>
      <c r="F255" s="1783"/>
      <c r="G255" s="1783"/>
      <c r="H255" s="1783"/>
    </row>
    <row r="256" spans="1:8">
      <c r="A256" s="1783"/>
      <c r="B256" s="1783"/>
      <c r="C256" s="1783"/>
      <c r="D256" s="1783"/>
      <c r="E256" s="1783"/>
      <c r="F256" s="1783"/>
      <c r="G256" s="1783"/>
      <c r="H256" s="1783"/>
    </row>
    <row r="257" spans="1:8">
      <c r="A257" s="1783"/>
      <c r="B257" s="1783"/>
      <c r="C257" s="1783"/>
      <c r="D257" s="1783"/>
      <c r="E257" s="1783"/>
      <c r="F257" s="1783"/>
      <c r="G257" s="1783"/>
      <c r="H257" s="1783"/>
    </row>
    <row r="258" spans="1:8">
      <c r="A258" s="1783"/>
      <c r="B258" s="1783"/>
      <c r="C258" s="1783"/>
      <c r="D258" s="1783"/>
      <c r="E258" s="1783"/>
      <c r="F258" s="1783"/>
      <c r="G258" s="1783"/>
      <c r="H258" s="1783"/>
    </row>
    <row r="259" spans="1:8">
      <c r="A259" s="1783"/>
      <c r="B259" s="1783"/>
      <c r="C259" s="1783"/>
      <c r="D259" s="1783"/>
      <c r="E259" s="1783"/>
      <c r="F259" s="1783"/>
      <c r="G259" s="1783"/>
      <c r="H259" s="1783"/>
    </row>
    <row r="260" spans="1:8">
      <c r="A260" s="1783"/>
      <c r="B260" s="1783"/>
      <c r="C260" s="1783"/>
      <c r="D260" s="1783"/>
      <c r="E260" s="1783"/>
      <c r="F260" s="1783"/>
      <c r="G260" s="1783"/>
      <c r="H260" s="1783"/>
    </row>
    <row r="261" spans="1:8">
      <c r="A261" s="1783"/>
      <c r="B261" s="1783"/>
      <c r="C261" s="1783"/>
      <c r="D261" s="1783"/>
      <c r="E261" s="1783"/>
      <c r="F261" s="1783"/>
      <c r="G261" s="1783"/>
      <c r="H261" s="1783"/>
    </row>
    <row r="262" spans="1:8">
      <c r="A262" s="1783"/>
      <c r="B262" s="1783"/>
      <c r="C262" s="1783"/>
      <c r="D262" s="1783"/>
      <c r="E262" s="1783"/>
      <c r="F262" s="1783"/>
      <c r="G262" s="1783"/>
      <c r="H262" s="1783"/>
    </row>
    <row r="263" spans="1:8">
      <c r="A263" s="1783"/>
      <c r="B263" s="1783"/>
      <c r="C263" s="1783"/>
      <c r="D263" s="1783"/>
      <c r="E263" s="1783"/>
      <c r="F263" s="1783"/>
      <c r="G263" s="1783"/>
      <c r="H263" s="1783"/>
    </row>
    <row r="264" spans="1:8">
      <c r="A264" s="1783"/>
      <c r="B264" s="1783"/>
      <c r="C264" s="1783"/>
      <c r="D264" s="1783"/>
      <c r="E264" s="1783"/>
      <c r="F264" s="1783"/>
      <c r="G264" s="1783"/>
      <c r="H264" s="1783"/>
    </row>
    <row r="265" spans="1:8">
      <c r="A265" s="1783"/>
      <c r="B265" s="1783"/>
      <c r="C265" s="1783"/>
      <c r="D265" s="1783"/>
      <c r="E265" s="1783"/>
      <c r="F265" s="1783"/>
      <c r="G265" s="1783"/>
      <c r="H265" s="1783"/>
    </row>
    <row r="266" spans="1:8">
      <c r="A266" s="1783"/>
      <c r="B266" s="1783"/>
      <c r="C266" s="1783"/>
      <c r="D266" s="1783"/>
      <c r="E266" s="1783"/>
      <c r="F266" s="1783"/>
      <c r="G266" s="1783"/>
      <c r="H266" s="1783"/>
    </row>
    <row r="267" spans="1:8">
      <c r="A267" s="1783"/>
      <c r="B267" s="1783"/>
      <c r="C267" s="1783"/>
      <c r="D267" s="1783"/>
      <c r="E267" s="1783"/>
      <c r="F267" s="1783"/>
      <c r="G267" s="1783"/>
      <c r="H267" s="1783"/>
    </row>
    <row r="268" spans="1:8">
      <c r="A268" s="1783"/>
      <c r="B268" s="1783"/>
      <c r="C268" s="1783"/>
      <c r="D268" s="1783"/>
      <c r="E268" s="1783"/>
      <c r="F268" s="1783"/>
      <c r="G268" s="1783"/>
      <c r="H268" s="1783"/>
    </row>
    <row r="269" spans="1:8">
      <c r="A269" s="1783"/>
      <c r="B269" s="1783"/>
      <c r="C269" s="1783"/>
      <c r="D269" s="1783"/>
      <c r="E269" s="1783"/>
      <c r="F269" s="1783"/>
      <c r="G269" s="1783"/>
      <c r="H269" s="1783"/>
    </row>
    <row r="270" spans="1:8">
      <c r="A270" s="1783"/>
      <c r="B270" s="1783"/>
      <c r="C270" s="1783"/>
      <c r="D270" s="1783"/>
      <c r="E270" s="1783"/>
      <c r="F270" s="1783"/>
      <c r="G270" s="1783"/>
      <c r="H270" s="1783"/>
    </row>
    <row r="271" spans="1:8">
      <c r="A271" s="1783"/>
      <c r="B271" s="1783"/>
      <c r="C271" s="1783"/>
      <c r="D271" s="1783"/>
      <c r="E271" s="1783"/>
      <c r="F271" s="1783"/>
      <c r="G271" s="1783"/>
      <c r="H271" s="1783"/>
    </row>
    <row r="272" spans="1:8">
      <c r="A272" s="1783"/>
      <c r="B272" s="1783"/>
      <c r="C272" s="1783"/>
      <c r="D272" s="1783"/>
      <c r="E272" s="1783"/>
      <c r="F272" s="1783"/>
      <c r="G272" s="1783"/>
      <c r="H272" s="1783"/>
    </row>
    <row r="273" spans="1:8">
      <c r="A273" s="1783"/>
      <c r="B273" s="1783"/>
      <c r="C273" s="1783"/>
      <c r="D273" s="1783"/>
      <c r="E273" s="1783"/>
      <c r="F273" s="1783"/>
      <c r="G273" s="1783"/>
      <c r="H273" s="1783"/>
    </row>
    <row r="274" spans="1:8">
      <c r="A274" s="1783"/>
      <c r="B274" s="1783"/>
      <c r="C274" s="1783"/>
      <c r="D274" s="1783"/>
      <c r="E274" s="1783"/>
      <c r="F274" s="1783"/>
      <c r="G274" s="1783"/>
      <c r="H274" s="1783"/>
    </row>
    <row r="275" spans="1:8">
      <c r="A275" s="1783"/>
      <c r="B275" s="1783"/>
      <c r="C275" s="1783"/>
      <c r="D275" s="1783"/>
      <c r="E275" s="1783"/>
      <c r="F275" s="1783"/>
      <c r="G275" s="1783"/>
      <c r="H275" s="1783"/>
    </row>
    <row r="276" spans="1:8">
      <c r="A276" s="1783"/>
      <c r="B276" s="1783"/>
      <c r="C276" s="1783"/>
      <c r="D276" s="1783"/>
      <c r="E276" s="1783"/>
      <c r="F276" s="1783"/>
      <c r="G276" s="1783"/>
      <c r="H276" s="1783"/>
    </row>
    <row r="277" spans="1:8">
      <c r="A277" s="1783"/>
      <c r="B277" s="1783"/>
      <c r="C277" s="1783"/>
      <c r="D277" s="1783"/>
      <c r="E277" s="1783"/>
      <c r="F277" s="1783"/>
      <c r="G277" s="1783"/>
      <c r="H277" s="1783"/>
    </row>
    <row r="278" spans="1:8">
      <c r="A278" s="1783"/>
      <c r="B278" s="1783"/>
      <c r="C278" s="1783"/>
      <c r="D278" s="1783"/>
      <c r="E278" s="1783"/>
      <c r="F278" s="1783"/>
      <c r="G278" s="1783"/>
      <c r="H278" s="1783"/>
    </row>
    <row r="279" spans="1:8">
      <c r="A279" s="1783"/>
      <c r="B279" s="1783"/>
      <c r="C279" s="1783"/>
      <c r="D279" s="1783"/>
      <c r="E279" s="1783"/>
      <c r="F279" s="1783"/>
      <c r="G279" s="1783"/>
      <c r="H279" s="1783"/>
    </row>
    <row r="280" spans="1:8">
      <c r="A280" s="1783"/>
      <c r="B280" s="1783"/>
      <c r="C280" s="1783"/>
      <c r="D280" s="1783"/>
      <c r="E280" s="1783"/>
      <c r="F280" s="1783"/>
      <c r="G280" s="1783"/>
      <c r="H280" s="1783"/>
    </row>
    <row r="281" spans="1:8">
      <c r="A281" s="1783"/>
      <c r="B281" s="1783"/>
      <c r="C281" s="1783"/>
      <c r="D281" s="1783"/>
      <c r="E281" s="1783"/>
      <c r="F281" s="1783"/>
      <c r="G281" s="1783"/>
      <c r="H281" s="1783"/>
    </row>
    <row r="282" spans="1:8">
      <c r="A282" s="1783"/>
      <c r="B282" s="1783"/>
      <c r="C282" s="1783"/>
      <c r="D282" s="1783"/>
      <c r="E282" s="1783"/>
      <c r="F282" s="1783"/>
      <c r="G282" s="1783"/>
      <c r="H282" s="1783"/>
    </row>
    <row r="283" spans="1:8">
      <c r="A283" s="1783"/>
      <c r="B283" s="1783"/>
      <c r="C283" s="1783"/>
      <c r="D283" s="1783"/>
      <c r="E283" s="1783"/>
      <c r="F283" s="1783"/>
      <c r="G283" s="1783"/>
      <c r="H283" s="1783"/>
    </row>
    <row r="284" spans="1:8">
      <c r="A284" s="1783"/>
      <c r="B284" s="1783"/>
      <c r="C284" s="1783"/>
      <c r="D284" s="1783"/>
      <c r="E284" s="1783"/>
      <c r="F284" s="1783"/>
      <c r="G284" s="1783"/>
      <c r="H284" s="1783"/>
    </row>
    <row r="285" spans="1:8">
      <c r="A285" s="1783"/>
      <c r="B285" s="1783"/>
      <c r="C285" s="1783"/>
      <c r="D285" s="1783"/>
      <c r="E285" s="1783"/>
      <c r="F285" s="1783"/>
      <c r="G285" s="1783"/>
      <c r="H285" s="1783"/>
    </row>
    <row r="286" spans="1:8">
      <c r="A286" s="1783"/>
      <c r="B286" s="1783"/>
      <c r="C286" s="1783"/>
      <c r="D286" s="1783"/>
      <c r="E286" s="1783"/>
      <c r="F286" s="1783"/>
      <c r="G286" s="1783"/>
      <c r="H286" s="1783"/>
    </row>
    <row r="287" spans="1:8">
      <c r="A287" s="1783"/>
      <c r="B287" s="1783"/>
      <c r="C287" s="1783"/>
      <c r="D287" s="1783"/>
      <c r="E287" s="1783"/>
      <c r="F287" s="1783"/>
      <c r="G287" s="1783"/>
      <c r="H287" s="1783"/>
    </row>
    <row r="288" spans="1:8">
      <c r="A288" s="1783"/>
      <c r="B288" s="1783"/>
      <c r="C288" s="1783"/>
      <c r="D288" s="1783"/>
      <c r="E288" s="1783"/>
      <c r="F288" s="1783"/>
      <c r="G288" s="1783"/>
      <c r="H288" s="1783"/>
    </row>
    <row r="289" spans="1:8">
      <c r="A289" s="1783"/>
      <c r="B289" s="1783"/>
      <c r="C289" s="1783"/>
      <c r="D289" s="1783"/>
      <c r="E289" s="1783"/>
      <c r="F289" s="1783"/>
      <c r="G289" s="1783"/>
      <c r="H289" s="1783"/>
    </row>
    <row r="290" spans="1:8">
      <c r="A290" s="1783"/>
      <c r="B290" s="1783"/>
      <c r="C290" s="1783"/>
      <c r="D290" s="1783"/>
      <c r="E290" s="1783"/>
      <c r="F290" s="1783"/>
      <c r="G290" s="1783"/>
      <c r="H290" s="1783"/>
    </row>
    <row r="291" spans="1:8">
      <c r="A291" s="1783"/>
      <c r="B291" s="1783"/>
      <c r="C291" s="1783"/>
      <c r="D291" s="1783"/>
      <c r="E291" s="1783"/>
      <c r="F291" s="1783"/>
      <c r="G291" s="1783"/>
      <c r="H291" s="1783"/>
    </row>
    <row r="292" spans="1:8">
      <c r="A292" s="1783"/>
      <c r="B292" s="1783"/>
      <c r="C292" s="1783"/>
      <c r="D292" s="1783"/>
      <c r="E292" s="1783"/>
      <c r="F292" s="1783"/>
      <c r="G292" s="1783"/>
      <c r="H292" s="1783"/>
    </row>
    <row r="293" spans="1:8">
      <c r="A293" s="1783"/>
      <c r="B293" s="1783"/>
      <c r="C293" s="1783"/>
      <c r="D293" s="1783"/>
      <c r="E293" s="1783"/>
      <c r="F293" s="1783"/>
      <c r="G293" s="1783"/>
      <c r="H293" s="1783"/>
    </row>
    <row r="294" spans="1:8">
      <c r="A294" s="1783"/>
      <c r="B294" s="1783"/>
      <c r="C294" s="1783"/>
      <c r="D294" s="1783"/>
      <c r="E294" s="1783"/>
      <c r="F294" s="1783"/>
      <c r="G294" s="1783"/>
      <c r="H294" s="1783"/>
    </row>
    <row r="295" spans="1:8">
      <c r="A295" s="1783"/>
      <c r="B295" s="1783"/>
      <c r="C295" s="1783"/>
      <c r="D295" s="1783"/>
      <c r="E295" s="1783"/>
      <c r="F295" s="1783"/>
      <c r="G295" s="1783"/>
      <c r="H295" s="1783"/>
    </row>
    <row r="296" spans="1:8">
      <c r="A296" s="1783"/>
      <c r="B296" s="1783"/>
      <c r="C296" s="1783"/>
      <c r="D296" s="1783"/>
      <c r="E296" s="1783"/>
      <c r="F296" s="1783"/>
      <c r="G296" s="1783"/>
      <c r="H296" s="1783"/>
    </row>
    <row r="297" spans="1:8">
      <c r="A297" s="1783"/>
      <c r="B297" s="1783"/>
      <c r="C297" s="1783"/>
      <c r="D297" s="1783"/>
      <c r="E297" s="1783"/>
      <c r="F297" s="1783"/>
      <c r="G297" s="1783"/>
      <c r="H297" s="1783"/>
    </row>
    <row r="298" spans="1:8">
      <c r="A298" s="1783"/>
      <c r="B298" s="1783"/>
      <c r="C298" s="1783"/>
      <c r="D298" s="1783"/>
      <c r="E298" s="1783"/>
      <c r="F298" s="1783"/>
      <c r="G298" s="1783"/>
      <c r="H298" s="1783"/>
    </row>
    <row r="299" spans="1:8">
      <c r="A299" s="1783"/>
      <c r="B299" s="1783"/>
      <c r="C299" s="1783"/>
      <c r="D299" s="1783"/>
      <c r="E299" s="1783"/>
      <c r="F299" s="1783"/>
      <c r="G299" s="1783"/>
      <c r="H299" s="1783"/>
    </row>
    <row r="300" spans="1:8">
      <c r="A300" s="1783"/>
      <c r="B300" s="1783"/>
      <c r="C300" s="1783"/>
      <c r="D300" s="1783"/>
      <c r="E300" s="1783"/>
      <c r="F300" s="1783"/>
      <c r="G300" s="1783"/>
      <c r="H300" s="1783"/>
    </row>
    <row r="301" spans="1:8">
      <c r="A301" s="1783"/>
      <c r="B301" s="1783"/>
      <c r="C301" s="1783"/>
      <c r="D301" s="1783"/>
      <c r="E301" s="1783"/>
      <c r="F301" s="1783"/>
      <c r="G301" s="1783"/>
      <c r="H301" s="1783"/>
    </row>
    <row r="302" spans="1:8">
      <c r="A302" s="1783"/>
      <c r="B302" s="1783"/>
      <c r="C302" s="1783"/>
      <c r="D302" s="1783"/>
      <c r="E302" s="1783"/>
      <c r="F302" s="1783"/>
      <c r="G302" s="1783"/>
      <c r="H302" s="1783"/>
    </row>
    <row r="303" spans="1:8">
      <c r="A303" s="1783"/>
      <c r="B303" s="1783"/>
      <c r="C303" s="1783"/>
      <c r="D303" s="1783"/>
      <c r="E303" s="1783"/>
      <c r="F303" s="1783"/>
      <c r="G303" s="1783"/>
      <c r="H303" s="1783"/>
    </row>
    <row r="304" spans="1:8">
      <c r="A304" s="1783"/>
      <c r="B304" s="1783"/>
      <c r="C304" s="1783"/>
      <c r="D304" s="1783"/>
      <c r="E304" s="1783"/>
      <c r="F304" s="1783"/>
      <c r="G304" s="1783"/>
      <c r="H304" s="1783"/>
    </row>
    <row r="305" spans="1:8">
      <c r="A305" s="1783"/>
      <c r="B305" s="1783"/>
      <c r="C305" s="1783"/>
      <c r="D305" s="1783"/>
      <c r="E305" s="1783"/>
      <c r="F305" s="1783"/>
      <c r="G305" s="1783"/>
      <c r="H305" s="1783"/>
    </row>
    <row r="306" spans="1:8">
      <c r="A306" s="1783"/>
      <c r="B306" s="1783"/>
      <c r="C306" s="1783"/>
      <c r="D306" s="1783"/>
      <c r="E306" s="1783"/>
      <c r="F306" s="1783"/>
      <c r="G306" s="1783"/>
      <c r="H306" s="1783"/>
    </row>
    <row r="307" spans="1:8">
      <c r="A307" s="1783"/>
      <c r="B307" s="1783"/>
      <c r="C307" s="1783"/>
      <c r="D307" s="1783"/>
      <c r="E307" s="1783"/>
      <c r="F307" s="1783"/>
      <c r="G307" s="1783"/>
      <c r="H307" s="1783"/>
    </row>
    <row r="308" spans="1:8">
      <c r="A308" s="1783"/>
      <c r="B308" s="1783"/>
      <c r="C308" s="1783"/>
      <c r="D308" s="1783"/>
      <c r="E308" s="1783"/>
      <c r="F308" s="1783"/>
      <c r="G308" s="1783"/>
      <c r="H308" s="1783"/>
    </row>
    <row r="309" spans="1:8">
      <c r="A309" s="1783"/>
      <c r="B309" s="1783"/>
      <c r="C309" s="1783"/>
      <c r="D309" s="1783"/>
      <c r="E309" s="1783"/>
      <c r="F309" s="1783"/>
      <c r="G309" s="1783"/>
      <c r="H309" s="1783"/>
    </row>
    <row r="310" spans="1:8">
      <c r="A310" s="1783"/>
      <c r="B310" s="1783"/>
      <c r="C310" s="1783"/>
      <c r="D310" s="1783"/>
      <c r="E310" s="1783"/>
      <c r="F310" s="1783"/>
      <c r="G310" s="1783"/>
      <c r="H310" s="1783"/>
    </row>
    <row r="311" spans="1:8">
      <c r="A311" s="1783"/>
      <c r="B311" s="1783"/>
      <c r="C311" s="1783"/>
      <c r="D311" s="1783"/>
      <c r="E311" s="1783"/>
      <c r="F311" s="1783"/>
      <c r="G311" s="1783"/>
      <c r="H311" s="1783"/>
    </row>
    <row r="312" spans="1:8">
      <c r="A312" s="1783"/>
      <c r="B312" s="1783"/>
      <c r="C312" s="1783"/>
      <c r="D312" s="1783"/>
      <c r="E312" s="1783"/>
      <c r="F312" s="1783"/>
      <c r="G312" s="1783"/>
      <c r="H312" s="1783"/>
    </row>
    <row r="313" spans="1:8">
      <c r="A313" s="1783"/>
      <c r="B313" s="1783"/>
      <c r="C313" s="1783"/>
      <c r="D313" s="1783"/>
      <c r="E313" s="1783"/>
      <c r="F313" s="1783"/>
      <c r="G313" s="1783"/>
      <c r="H313" s="1783"/>
    </row>
    <row r="314" spans="1:8">
      <c r="A314" s="1783"/>
      <c r="B314" s="1783"/>
      <c r="C314" s="1783"/>
      <c r="D314" s="1783"/>
      <c r="E314" s="1783"/>
      <c r="F314" s="1783"/>
      <c r="G314" s="1783"/>
      <c r="H314" s="1783"/>
    </row>
    <row r="315" spans="1:8">
      <c r="A315" s="1783"/>
      <c r="B315" s="1783"/>
      <c r="C315" s="1783"/>
      <c r="D315" s="1783"/>
      <c r="E315" s="1783"/>
      <c r="F315" s="1783"/>
      <c r="G315" s="1783"/>
      <c r="H315" s="1783"/>
    </row>
    <row r="316" spans="1:8">
      <c r="A316" s="1783"/>
      <c r="B316" s="1783"/>
      <c r="C316" s="1783"/>
      <c r="D316" s="1783"/>
      <c r="E316" s="1783"/>
      <c r="F316" s="1783"/>
      <c r="G316" s="1783"/>
      <c r="H316" s="1783"/>
    </row>
    <row r="317" spans="1:8">
      <c r="A317" s="1783"/>
      <c r="B317" s="1783"/>
      <c r="C317" s="1783"/>
      <c r="D317" s="1783"/>
      <c r="E317" s="1783"/>
      <c r="F317" s="1783"/>
      <c r="G317" s="1783"/>
      <c r="H317" s="1783"/>
    </row>
    <row r="318" spans="1:8">
      <c r="A318" s="1783"/>
      <c r="B318" s="1783"/>
      <c r="C318" s="1783"/>
      <c r="D318" s="1783"/>
      <c r="E318" s="1783"/>
      <c r="F318" s="1783"/>
      <c r="G318" s="1783"/>
      <c r="H318" s="1783"/>
    </row>
    <row r="319" spans="1:8">
      <c r="A319" s="1783"/>
      <c r="B319" s="1783"/>
      <c r="C319" s="1783"/>
      <c r="D319" s="1783"/>
      <c r="E319" s="1783"/>
      <c r="F319" s="1783"/>
      <c r="G319" s="1783"/>
      <c r="H319" s="1783"/>
    </row>
    <row r="320" spans="1:8">
      <c r="A320" s="1783"/>
      <c r="B320" s="1783"/>
      <c r="C320" s="1783"/>
      <c r="D320" s="1783"/>
      <c r="E320" s="1783"/>
      <c r="F320" s="1783"/>
      <c r="G320" s="1783"/>
      <c r="H320" s="1783"/>
    </row>
    <row r="321" spans="1:8">
      <c r="A321" s="1783"/>
      <c r="B321" s="1783"/>
      <c r="C321" s="1783"/>
      <c r="D321" s="1783"/>
      <c r="E321" s="1783"/>
      <c r="F321" s="1783"/>
      <c r="G321" s="1783"/>
      <c r="H321" s="1783"/>
    </row>
    <row r="322" spans="1:8">
      <c r="A322" s="1783"/>
      <c r="B322" s="1783"/>
      <c r="C322" s="1783"/>
      <c r="D322" s="1783"/>
      <c r="E322" s="1783"/>
      <c r="F322" s="1783"/>
      <c r="G322" s="1783"/>
      <c r="H322" s="1783"/>
    </row>
    <row r="323" spans="1:8">
      <c r="A323" s="1783"/>
      <c r="B323" s="1783"/>
      <c r="C323" s="1783"/>
      <c r="D323" s="1783"/>
      <c r="E323" s="1783"/>
      <c r="F323" s="1783"/>
      <c r="G323" s="1783"/>
      <c r="H323" s="1783"/>
    </row>
    <row r="324" spans="1:8">
      <c r="A324" s="1783"/>
      <c r="B324" s="1783"/>
      <c r="C324" s="1783"/>
      <c r="D324" s="1783"/>
      <c r="E324" s="1783"/>
      <c r="F324" s="1783"/>
      <c r="G324" s="1783"/>
      <c r="H324" s="1783"/>
    </row>
    <row r="325" spans="1:8">
      <c r="A325" s="1783"/>
      <c r="B325" s="1783"/>
      <c r="C325" s="1783"/>
      <c r="D325" s="1783"/>
      <c r="E325" s="1783"/>
      <c r="F325" s="1783"/>
      <c r="G325" s="1783"/>
      <c r="H325" s="1783"/>
    </row>
    <row r="326" spans="1:8">
      <c r="A326" s="1783"/>
      <c r="B326" s="1783"/>
      <c r="C326" s="1783"/>
      <c r="D326" s="1783"/>
      <c r="E326" s="1783"/>
      <c r="F326" s="1783"/>
      <c r="G326" s="1783"/>
      <c r="H326" s="1783"/>
    </row>
    <row r="327" spans="1:8">
      <c r="A327" s="1783"/>
      <c r="B327" s="1783"/>
      <c r="C327" s="1783"/>
      <c r="D327" s="1783"/>
      <c r="E327" s="1783"/>
      <c r="F327" s="1783"/>
      <c r="G327" s="1783"/>
      <c r="H327" s="1783"/>
    </row>
    <row r="328" spans="1:8">
      <c r="A328" s="1783"/>
      <c r="B328" s="1783"/>
      <c r="C328" s="1783"/>
      <c r="D328" s="1783"/>
      <c r="E328" s="1783"/>
      <c r="F328" s="1783"/>
      <c r="G328" s="1783"/>
      <c r="H328" s="1783"/>
    </row>
    <row r="329" spans="1:8">
      <c r="A329" s="1783"/>
      <c r="B329" s="1783"/>
      <c r="C329" s="1783"/>
      <c r="D329" s="1783"/>
      <c r="E329" s="1783"/>
      <c r="F329" s="1783"/>
      <c r="G329" s="1783"/>
      <c r="H329" s="1783"/>
    </row>
    <row r="330" spans="1:8">
      <c r="A330" s="1783"/>
      <c r="B330" s="1783"/>
      <c r="C330" s="1783"/>
      <c r="D330" s="1783"/>
      <c r="E330" s="1783"/>
      <c r="F330" s="1783"/>
      <c r="G330" s="1783"/>
      <c r="H330" s="1783"/>
    </row>
    <row r="331" spans="1:8">
      <c r="A331" s="1783"/>
      <c r="B331" s="1783"/>
      <c r="C331" s="1783"/>
      <c r="D331" s="1783"/>
      <c r="E331" s="1783"/>
      <c r="F331" s="1783"/>
      <c r="G331" s="1783"/>
      <c r="H331" s="1783"/>
    </row>
    <row r="332" spans="1:8">
      <c r="A332" s="1783"/>
      <c r="B332" s="1783"/>
      <c r="C332" s="1783"/>
      <c r="D332" s="1783"/>
      <c r="E332" s="1783"/>
      <c r="F332" s="1783"/>
      <c r="G332" s="1783"/>
      <c r="H332" s="1783"/>
    </row>
    <row r="333" spans="1:8">
      <c r="A333" s="1783"/>
      <c r="B333" s="1783"/>
      <c r="C333" s="1783"/>
      <c r="D333" s="1783"/>
      <c r="E333" s="1783"/>
      <c r="F333" s="1783"/>
      <c r="G333" s="1783"/>
      <c r="H333" s="1783"/>
    </row>
    <row r="334" spans="1:8">
      <c r="A334" s="1783"/>
      <c r="B334" s="1783"/>
      <c r="C334" s="1783"/>
      <c r="D334" s="1783"/>
      <c r="E334" s="1783"/>
      <c r="F334" s="1783"/>
      <c r="G334" s="1783"/>
      <c r="H334" s="1783"/>
    </row>
    <row r="335" spans="1:8">
      <c r="A335" s="1783"/>
      <c r="B335" s="1783"/>
      <c r="C335" s="1783"/>
      <c r="D335" s="1783"/>
      <c r="E335" s="1783"/>
      <c r="F335" s="1783"/>
      <c r="G335" s="1783"/>
      <c r="H335" s="1783"/>
    </row>
    <row r="336" spans="1:8">
      <c r="A336" s="1783"/>
      <c r="B336" s="1783"/>
      <c r="C336" s="1783"/>
      <c r="D336" s="1783"/>
      <c r="E336" s="1783"/>
      <c r="F336" s="1783"/>
      <c r="G336" s="1783"/>
      <c r="H336" s="1783"/>
    </row>
    <row r="337" spans="1:8">
      <c r="A337" s="1783"/>
      <c r="B337" s="1783"/>
      <c r="C337" s="1783"/>
      <c r="D337" s="1783"/>
      <c r="E337" s="1783"/>
      <c r="F337" s="1783"/>
      <c r="G337" s="1783"/>
      <c r="H337" s="1783"/>
    </row>
    <row r="338" spans="1:8">
      <c r="A338" s="1783"/>
      <c r="B338" s="1783"/>
      <c r="C338" s="1783"/>
      <c r="D338" s="1783"/>
      <c r="E338" s="1783"/>
      <c r="F338" s="1783"/>
      <c r="G338" s="1783"/>
      <c r="H338" s="1783"/>
    </row>
    <row r="339" spans="1:8">
      <c r="A339" s="1783"/>
      <c r="B339" s="1783"/>
      <c r="C339" s="1783"/>
      <c r="D339" s="1783"/>
      <c r="E339" s="1783"/>
      <c r="F339" s="1783"/>
      <c r="G339" s="1783"/>
      <c r="H339" s="1783"/>
    </row>
    <row r="340" spans="1:8">
      <c r="A340" s="1783"/>
      <c r="B340" s="1783"/>
      <c r="C340" s="1783"/>
      <c r="D340" s="1783"/>
      <c r="E340" s="1783"/>
      <c r="F340" s="1783"/>
      <c r="G340" s="1783"/>
      <c r="H340" s="1783"/>
    </row>
    <row r="341" spans="1:8">
      <c r="A341" s="1783"/>
      <c r="B341" s="1783"/>
      <c r="C341" s="1783"/>
      <c r="D341" s="1783"/>
      <c r="E341" s="1783"/>
      <c r="F341" s="1783"/>
      <c r="G341" s="1783"/>
      <c r="H341" s="1783"/>
    </row>
    <row r="342" spans="1:8">
      <c r="A342" s="1783"/>
      <c r="B342" s="1783"/>
      <c r="C342" s="1783"/>
      <c r="D342" s="1783"/>
      <c r="E342" s="1783"/>
      <c r="F342" s="1783"/>
      <c r="G342" s="1783"/>
      <c r="H342" s="1783"/>
    </row>
    <row r="343" spans="1:8">
      <c r="A343" s="1783"/>
      <c r="B343" s="1783"/>
      <c r="C343" s="1783"/>
      <c r="D343" s="1783"/>
      <c r="E343" s="1783"/>
      <c r="F343" s="1783"/>
      <c r="G343" s="1783"/>
      <c r="H343" s="1783"/>
    </row>
    <row r="344" spans="1:8">
      <c r="A344" s="1783"/>
      <c r="B344" s="1783"/>
      <c r="C344" s="1783"/>
      <c r="D344" s="1783"/>
      <c r="E344" s="1783"/>
      <c r="F344" s="1783"/>
      <c r="G344" s="1783"/>
      <c r="H344" s="1783"/>
    </row>
    <row r="345" spans="1:8">
      <c r="A345" s="1783"/>
      <c r="B345" s="1783"/>
      <c r="C345" s="1783"/>
      <c r="D345" s="1783"/>
      <c r="E345" s="1783"/>
      <c r="F345" s="1783"/>
      <c r="G345" s="1783"/>
      <c r="H345" s="1783"/>
    </row>
    <row r="346" spans="1:8">
      <c r="A346" s="1783"/>
      <c r="B346" s="1783"/>
      <c r="C346" s="1783"/>
      <c r="D346" s="1783"/>
      <c r="E346" s="1783"/>
      <c r="F346" s="1783"/>
      <c r="G346" s="1783"/>
      <c r="H346" s="1783"/>
    </row>
    <row r="347" spans="1:8">
      <c r="A347" s="1783"/>
      <c r="B347" s="1783"/>
      <c r="C347" s="1783"/>
      <c r="D347" s="1783"/>
      <c r="E347" s="1783"/>
      <c r="F347" s="1783"/>
      <c r="G347" s="1783"/>
      <c r="H347" s="1783"/>
    </row>
    <row r="348" spans="1:8">
      <c r="A348" s="1783"/>
      <c r="B348" s="1783"/>
      <c r="C348" s="1783"/>
      <c r="D348" s="1783"/>
      <c r="E348" s="1783"/>
      <c r="F348" s="1783"/>
      <c r="G348" s="1783"/>
      <c r="H348" s="1783"/>
    </row>
    <row r="349" spans="1:8">
      <c r="A349" s="1783"/>
      <c r="B349" s="1783"/>
      <c r="C349" s="1783"/>
      <c r="D349" s="1783"/>
      <c r="E349" s="1783"/>
      <c r="F349" s="1783"/>
      <c r="G349" s="1783"/>
      <c r="H349" s="1783"/>
    </row>
    <row r="350" spans="1:8">
      <c r="A350" s="1783"/>
      <c r="B350" s="1783"/>
      <c r="C350" s="1783"/>
      <c r="D350" s="1783"/>
      <c r="E350" s="1783"/>
      <c r="F350" s="1783"/>
      <c r="G350" s="1783"/>
      <c r="H350" s="1783"/>
    </row>
    <row r="351" spans="1:8">
      <c r="A351" s="1783"/>
      <c r="B351" s="1783"/>
      <c r="C351" s="1783"/>
      <c r="D351" s="1783"/>
      <c r="E351" s="1783"/>
      <c r="F351" s="1783"/>
      <c r="G351" s="1783"/>
      <c r="H351" s="1783"/>
    </row>
    <row r="352" spans="1:8">
      <c r="A352" s="1783"/>
      <c r="B352" s="1783"/>
      <c r="C352" s="1783"/>
      <c r="D352" s="1783"/>
      <c r="E352" s="1783"/>
      <c r="F352" s="1783"/>
      <c r="G352" s="1783"/>
      <c r="H352" s="1783"/>
    </row>
    <row r="353" spans="1:8">
      <c r="A353" s="1783"/>
      <c r="B353" s="1783"/>
      <c r="C353" s="1783"/>
      <c r="D353" s="1783"/>
      <c r="E353" s="1783"/>
      <c r="F353" s="1783"/>
      <c r="G353" s="1783"/>
      <c r="H353" s="1783"/>
    </row>
    <row r="354" spans="1:8">
      <c r="A354" s="1783"/>
      <c r="B354" s="1783"/>
      <c r="C354" s="1783"/>
      <c r="D354" s="1783"/>
      <c r="E354" s="1783"/>
      <c r="F354" s="1783"/>
      <c r="G354" s="1783"/>
      <c r="H354" s="1783"/>
    </row>
    <row r="355" spans="1:8">
      <c r="A355" s="1783"/>
      <c r="B355" s="1783"/>
      <c r="C355" s="1783"/>
      <c r="D355" s="1783"/>
      <c r="E355" s="1783"/>
      <c r="F355" s="1783"/>
      <c r="G355" s="1783"/>
      <c r="H355" s="1783"/>
    </row>
    <row r="356" spans="1:8">
      <c r="A356" s="1783"/>
      <c r="B356" s="1783"/>
      <c r="C356" s="1783"/>
      <c r="D356" s="1783"/>
      <c r="E356" s="1783"/>
      <c r="F356" s="1783"/>
      <c r="G356" s="1783"/>
      <c r="H356" s="1783"/>
    </row>
    <row r="357" spans="1:8">
      <c r="A357" s="1783"/>
      <c r="B357" s="1783"/>
      <c r="C357" s="1783"/>
      <c r="D357" s="1783"/>
      <c r="E357" s="1783"/>
      <c r="F357" s="1783"/>
      <c r="G357" s="1783"/>
      <c r="H357" s="1783"/>
    </row>
    <row r="358" spans="1:8">
      <c r="A358" s="1783"/>
      <c r="B358" s="1783"/>
      <c r="C358" s="1783"/>
      <c r="D358" s="1783"/>
      <c r="E358" s="1783"/>
      <c r="F358" s="1783"/>
      <c r="G358" s="1783"/>
      <c r="H358" s="1783"/>
    </row>
    <row r="359" spans="1:8">
      <c r="A359" s="1783"/>
      <c r="B359" s="1783"/>
      <c r="C359" s="1783"/>
      <c r="D359" s="1783"/>
      <c r="E359" s="1783"/>
      <c r="F359" s="1783"/>
      <c r="G359" s="1783"/>
      <c r="H359" s="1783"/>
    </row>
    <row r="360" spans="1:8">
      <c r="A360" s="1783"/>
      <c r="B360" s="1783"/>
      <c r="C360" s="1783"/>
      <c r="D360" s="1783"/>
      <c r="E360" s="1783"/>
      <c r="F360" s="1783"/>
      <c r="G360" s="1783"/>
      <c r="H360" s="1783"/>
    </row>
    <row r="361" spans="1:8">
      <c r="A361" s="1783"/>
      <c r="B361" s="1783"/>
      <c r="C361" s="1783"/>
      <c r="D361" s="1783"/>
      <c r="E361" s="1783"/>
      <c r="F361" s="1783"/>
      <c r="G361" s="1783"/>
      <c r="H361" s="1783"/>
    </row>
    <row r="362" spans="1:8">
      <c r="A362" s="1783"/>
      <c r="B362" s="1783"/>
      <c r="C362" s="1783"/>
      <c r="D362" s="1783"/>
      <c r="E362" s="1783"/>
      <c r="F362" s="1783"/>
      <c r="G362" s="1783"/>
      <c r="H362" s="1783"/>
    </row>
    <row r="363" spans="1:8">
      <c r="A363" s="1783"/>
      <c r="B363" s="1783"/>
      <c r="C363" s="1783"/>
      <c r="D363" s="1783"/>
      <c r="E363" s="1783"/>
      <c r="F363" s="1783"/>
      <c r="G363" s="1783"/>
      <c r="H363" s="1783"/>
    </row>
    <row r="364" spans="1:8">
      <c r="A364" s="1783"/>
      <c r="B364" s="1783"/>
      <c r="C364" s="1783"/>
      <c r="D364" s="1783"/>
      <c r="E364" s="1783"/>
      <c r="F364" s="1783"/>
      <c r="G364" s="1783"/>
      <c r="H364" s="1783"/>
    </row>
    <row r="365" spans="1:8">
      <c r="A365" s="1783"/>
      <c r="B365" s="1783"/>
      <c r="C365" s="1783"/>
      <c r="D365" s="1783"/>
      <c r="E365" s="1783"/>
      <c r="F365" s="1783"/>
      <c r="G365" s="1783"/>
      <c r="H365" s="1783"/>
    </row>
    <row r="366" spans="1:8">
      <c r="A366" s="1783"/>
      <c r="B366" s="1783"/>
      <c r="C366" s="1783"/>
      <c r="D366" s="1783"/>
      <c r="E366" s="1783"/>
      <c r="F366" s="1783"/>
      <c r="G366" s="1783"/>
      <c r="H366" s="1783"/>
    </row>
    <row r="367" spans="1:8">
      <c r="A367" s="1783"/>
      <c r="B367" s="1783"/>
      <c r="C367" s="1783"/>
      <c r="D367" s="1783"/>
      <c r="E367" s="1783"/>
      <c r="F367" s="1783"/>
      <c r="G367" s="1783"/>
      <c r="H367" s="1783"/>
    </row>
    <row r="368" spans="1:8">
      <c r="A368" s="1783"/>
      <c r="B368" s="1783"/>
      <c r="C368" s="1783"/>
      <c r="D368" s="1783"/>
      <c r="E368" s="1783"/>
      <c r="F368" s="1783"/>
      <c r="G368" s="1783"/>
      <c r="H368" s="1783"/>
    </row>
    <row r="369" spans="1:8">
      <c r="A369" s="1783"/>
      <c r="B369" s="1783"/>
      <c r="C369" s="1783"/>
      <c r="D369" s="1783"/>
      <c r="E369" s="1783"/>
      <c r="F369" s="1783"/>
      <c r="G369" s="1783"/>
      <c r="H369" s="1783"/>
    </row>
    <row r="370" spans="1:8">
      <c r="A370" s="1783"/>
      <c r="B370" s="1783"/>
      <c r="C370" s="1783"/>
      <c r="D370" s="1783"/>
      <c r="E370" s="1783"/>
      <c r="F370" s="1783"/>
      <c r="G370" s="1783"/>
      <c r="H370" s="1783"/>
    </row>
    <row r="371" spans="1:8">
      <c r="A371" s="1783"/>
      <c r="B371" s="1783"/>
      <c r="C371" s="1783"/>
      <c r="D371" s="1783"/>
      <c r="E371" s="1783"/>
      <c r="F371" s="1783"/>
      <c r="G371" s="1783"/>
      <c r="H371" s="1783"/>
    </row>
    <row r="372" spans="1:8">
      <c r="A372" s="1783"/>
      <c r="B372" s="1783"/>
      <c r="C372" s="1783"/>
      <c r="D372" s="1783"/>
      <c r="E372" s="1783"/>
      <c r="F372" s="1783"/>
      <c r="G372" s="1783"/>
      <c r="H372" s="1783"/>
    </row>
    <row r="373" spans="1:8">
      <c r="A373" s="1783"/>
      <c r="B373" s="1783"/>
      <c r="C373" s="1783"/>
      <c r="D373" s="1783"/>
      <c r="E373" s="1783"/>
      <c r="F373" s="1783"/>
      <c r="G373" s="1783"/>
      <c r="H373" s="1783"/>
    </row>
    <row r="374" spans="1:8">
      <c r="A374" s="1783"/>
      <c r="B374" s="1783"/>
      <c r="C374" s="1783"/>
      <c r="D374" s="1783"/>
      <c r="E374" s="1783"/>
      <c r="F374" s="1783"/>
      <c r="G374" s="1783"/>
      <c r="H374" s="1783"/>
    </row>
    <row r="375" spans="1:8">
      <c r="A375" s="1783"/>
      <c r="B375" s="1783"/>
      <c r="C375" s="1783"/>
      <c r="D375" s="1783"/>
      <c r="E375" s="1783"/>
      <c r="F375" s="1783"/>
      <c r="G375" s="1783"/>
      <c r="H375" s="1783"/>
    </row>
    <row r="376" spans="1:8">
      <c r="A376" s="1783"/>
      <c r="B376" s="1783"/>
      <c r="C376" s="1783"/>
      <c r="D376" s="1783"/>
      <c r="E376" s="1783"/>
      <c r="F376" s="1783"/>
      <c r="G376" s="1783"/>
      <c r="H376" s="1783"/>
    </row>
    <row r="377" spans="1:8">
      <c r="A377" s="1783"/>
      <c r="B377" s="1783"/>
      <c r="C377" s="1783"/>
      <c r="D377" s="1783"/>
      <c r="E377" s="1783"/>
      <c r="F377" s="1783"/>
      <c r="G377" s="1783"/>
      <c r="H377" s="1783"/>
    </row>
    <row r="378" spans="1:8">
      <c r="A378" s="1783"/>
      <c r="B378" s="1783"/>
      <c r="C378" s="1783"/>
      <c r="D378" s="1783"/>
      <c r="E378" s="1783"/>
      <c r="F378" s="1783"/>
      <c r="G378" s="1783"/>
      <c r="H378" s="1783"/>
    </row>
    <row r="379" spans="1:8">
      <c r="A379" s="1783"/>
      <c r="B379" s="1783"/>
      <c r="C379" s="1783"/>
      <c r="D379" s="1783"/>
      <c r="E379" s="1783"/>
      <c r="F379" s="1783"/>
      <c r="G379" s="1783"/>
      <c r="H379" s="1783"/>
    </row>
    <row r="380" spans="1:8">
      <c r="A380" s="1783"/>
      <c r="B380" s="1783"/>
      <c r="C380" s="1783"/>
      <c r="D380" s="1783"/>
      <c r="E380" s="1783"/>
      <c r="F380" s="1783"/>
      <c r="G380" s="1783"/>
      <c r="H380" s="1783"/>
    </row>
    <row r="381" spans="1:8">
      <c r="A381" s="1783"/>
      <c r="B381" s="1783"/>
      <c r="C381" s="1783"/>
      <c r="D381" s="1783"/>
      <c r="E381" s="1783"/>
      <c r="F381" s="1783"/>
      <c r="G381" s="1783"/>
      <c r="H381" s="1783"/>
    </row>
    <row r="382" spans="1:8">
      <c r="A382" s="1783"/>
      <c r="B382" s="1783"/>
      <c r="C382" s="1783"/>
      <c r="D382" s="1783"/>
      <c r="E382" s="1783"/>
      <c r="F382" s="1783"/>
      <c r="G382" s="1783"/>
      <c r="H382" s="1783"/>
    </row>
    <row r="383" spans="1:8">
      <c r="A383" s="1783"/>
      <c r="B383" s="1783"/>
      <c r="C383" s="1783"/>
      <c r="D383" s="1783"/>
      <c r="E383" s="1783"/>
      <c r="F383" s="1783"/>
      <c r="G383" s="1783"/>
      <c r="H383" s="1783"/>
    </row>
    <row r="384" spans="1:8">
      <c r="A384" s="1783"/>
      <c r="B384" s="1783"/>
      <c r="C384" s="1783"/>
      <c r="D384" s="1783"/>
      <c r="E384" s="1783"/>
      <c r="F384" s="1783"/>
      <c r="G384" s="1783"/>
      <c r="H384" s="1783"/>
    </row>
    <row r="385" spans="1:8">
      <c r="A385" s="1783"/>
      <c r="B385" s="1783"/>
      <c r="C385" s="1783"/>
      <c r="D385" s="1783"/>
      <c r="E385" s="1783"/>
      <c r="F385" s="1783"/>
      <c r="G385" s="1783"/>
      <c r="H385" s="1783"/>
    </row>
    <row r="386" spans="1:8">
      <c r="A386" s="1783"/>
      <c r="B386" s="1783"/>
      <c r="C386" s="1783"/>
      <c r="D386" s="1783"/>
      <c r="E386" s="1783"/>
      <c r="F386" s="1783"/>
      <c r="G386" s="1783"/>
      <c r="H386" s="1783"/>
    </row>
    <row r="387" spans="1:8">
      <c r="A387" s="1783"/>
      <c r="B387" s="1783"/>
      <c r="C387" s="1783"/>
      <c r="D387" s="1783"/>
      <c r="E387" s="1783"/>
      <c r="F387" s="1783"/>
      <c r="G387" s="1783"/>
      <c r="H387" s="1783"/>
    </row>
    <row r="388" spans="1:8">
      <c r="A388" s="1783"/>
      <c r="B388" s="1783"/>
      <c r="C388" s="1783"/>
      <c r="D388" s="1783"/>
      <c r="E388" s="1783"/>
      <c r="F388" s="1783"/>
      <c r="G388" s="1783"/>
      <c r="H388" s="1783"/>
    </row>
    <row r="389" spans="1:8">
      <c r="A389" s="1783"/>
      <c r="B389" s="1783"/>
      <c r="C389" s="1783"/>
      <c r="D389" s="1783"/>
      <c r="E389" s="1783"/>
      <c r="F389" s="1783"/>
      <c r="G389" s="1783"/>
      <c r="H389" s="1783"/>
    </row>
    <row r="390" spans="1:8">
      <c r="A390" s="1783"/>
      <c r="B390" s="1783"/>
      <c r="C390" s="1783"/>
      <c r="D390" s="1783"/>
      <c r="E390" s="1783"/>
      <c r="F390" s="1783"/>
      <c r="G390" s="1783"/>
      <c r="H390" s="1783"/>
    </row>
    <row r="391" spans="1:8">
      <c r="A391" s="1783"/>
      <c r="B391" s="1783"/>
      <c r="C391" s="1783"/>
      <c r="D391" s="1783"/>
      <c r="E391" s="1783"/>
      <c r="F391" s="1783"/>
      <c r="G391" s="1783"/>
      <c r="H391" s="1783"/>
    </row>
    <row r="392" spans="1:8">
      <c r="A392" s="1783"/>
      <c r="B392" s="1783"/>
      <c r="C392" s="1783"/>
      <c r="D392" s="1783"/>
      <c r="E392" s="1783"/>
      <c r="F392" s="1783"/>
      <c r="G392" s="1783"/>
      <c r="H392" s="1783"/>
    </row>
    <row r="393" spans="1:8">
      <c r="A393" s="1783"/>
      <c r="B393" s="1783"/>
      <c r="C393" s="1783"/>
      <c r="D393" s="1783"/>
      <c r="E393" s="1783"/>
      <c r="F393" s="1783"/>
      <c r="G393" s="1783"/>
      <c r="H393" s="1783"/>
    </row>
    <row r="394" spans="1:8">
      <c r="A394" s="1783"/>
      <c r="B394" s="1783"/>
      <c r="C394" s="1783"/>
      <c r="D394" s="1783"/>
      <c r="E394" s="1783"/>
      <c r="F394" s="1783"/>
      <c r="G394" s="1783"/>
      <c r="H394" s="1783"/>
    </row>
    <row r="395" spans="1:8">
      <c r="A395" s="1783"/>
      <c r="B395" s="1783"/>
      <c r="C395" s="1783"/>
      <c r="D395" s="1783"/>
      <c r="E395" s="1783"/>
      <c r="F395" s="1783"/>
      <c r="G395" s="1783"/>
      <c r="H395" s="1783"/>
    </row>
    <row r="396" spans="1:8">
      <c r="A396" s="1783"/>
      <c r="B396" s="1783"/>
      <c r="C396" s="1783"/>
      <c r="D396" s="1783"/>
      <c r="E396" s="1783"/>
      <c r="F396" s="1783"/>
      <c r="G396" s="1783"/>
      <c r="H396" s="1783"/>
    </row>
    <row r="397" spans="1:8">
      <c r="A397" s="1783"/>
      <c r="B397" s="1783"/>
      <c r="C397" s="1783"/>
      <c r="D397" s="1783"/>
      <c r="E397" s="1783"/>
      <c r="F397" s="1783"/>
      <c r="G397" s="1783"/>
      <c r="H397" s="1783"/>
    </row>
    <row r="398" spans="1:8">
      <c r="A398" s="1783"/>
      <c r="B398" s="1783"/>
      <c r="C398" s="1783"/>
      <c r="D398" s="1783"/>
      <c r="E398" s="1783"/>
      <c r="F398" s="1783"/>
      <c r="G398" s="1783"/>
      <c r="H398" s="1783"/>
    </row>
    <row r="399" spans="1:8">
      <c r="A399" s="1783"/>
      <c r="B399" s="1783"/>
      <c r="C399" s="1783"/>
      <c r="D399" s="1783"/>
      <c r="E399" s="1783"/>
      <c r="F399" s="1783"/>
      <c r="G399" s="1783"/>
      <c r="H399" s="1783"/>
    </row>
    <row r="400" spans="1:8">
      <c r="A400" s="1783"/>
      <c r="B400" s="1783"/>
      <c r="C400" s="1783"/>
      <c r="D400" s="1783"/>
      <c r="E400" s="1783"/>
      <c r="F400" s="1783"/>
      <c r="G400" s="1783"/>
      <c r="H400" s="1783"/>
    </row>
    <row r="401" spans="1:8">
      <c r="A401" s="1783"/>
      <c r="B401" s="1783"/>
      <c r="C401" s="1783"/>
      <c r="D401" s="1783"/>
      <c r="E401" s="1783"/>
      <c r="F401" s="1783"/>
      <c r="G401" s="1783"/>
      <c r="H401" s="1783"/>
    </row>
    <row r="402" spans="1:8">
      <c r="A402" s="1783"/>
      <c r="B402" s="1783"/>
      <c r="C402" s="1783"/>
      <c r="D402" s="1783"/>
      <c r="E402" s="1783"/>
      <c r="F402" s="1783"/>
      <c r="G402" s="1783"/>
      <c r="H402" s="1783"/>
    </row>
    <row r="403" spans="1:8">
      <c r="A403" s="1783"/>
      <c r="B403" s="1783"/>
      <c r="C403" s="1783"/>
      <c r="D403" s="1783"/>
      <c r="E403" s="1783"/>
      <c r="F403" s="1783"/>
      <c r="G403" s="1783"/>
      <c r="H403" s="1783"/>
    </row>
    <row r="404" spans="1:8">
      <c r="A404" s="1783"/>
      <c r="B404" s="1783"/>
      <c r="C404" s="1783"/>
      <c r="D404" s="1783"/>
      <c r="E404" s="1783"/>
      <c r="F404" s="1783"/>
      <c r="G404" s="1783"/>
      <c r="H404" s="1783"/>
    </row>
    <row r="405" spans="1:8">
      <c r="A405" s="1783"/>
      <c r="B405" s="1783"/>
      <c r="C405" s="1783"/>
      <c r="D405" s="1783"/>
      <c r="E405" s="1783"/>
      <c r="F405" s="1783"/>
      <c r="G405" s="1783"/>
      <c r="H405" s="1783"/>
    </row>
    <row r="406" spans="1:8">
      <c r="A406" s="1783"/>
      <c r="B406" s="1783"/>
      <c r="C406" s="1783"/>
      <c r="D406" s="1783"/>
      <c r="E406" s="1783"/>
      <c r="F406" s="1783"/>
      <c r="G406" s="1783"/>
      <c r="H406" s="1783"/>
    </row>
    <row r="407" spans="1:8">
      <c r="A407" s="1783"/>
      <c r="B407" s="1783"/>
      <c r="C407" s="1783"/>
      <c r="D407" s="1783"/>
      <c r="E407" s="1783"/>
      <c r="F407" s="1783"/>
      <c r="G407" s="1783"/>
      <c r="H407" s="1783"/>
    </row>
    <row r="408" spans="1:8">
      <c r="A408" s="1783"/>
      <c r="B408" s="1783"/>
      <c r="C408" s="1783"/>
      <c r="D408" s="1783"/>
      <c r="E408" s="1783"/>
      <c r="F408" s="1783"/>
      <c r="G408" s="1783"/>
      <c r="H408" s="1783"/>
    </row>
    <row r="409" spans="1:8">
      <c r="A409" s="1783"/>
      <c r="B409" s="1783"/>
      <c r="C409" s="1783"/>
      <c r="D409" s="1783"/>
      <c r="E409" s="1783"/>
      <c r="F409" s="1783"/>
      <c r="G409" s="1783"/>
      <c r="H409" s="1783"/>
    </row>
    <row r="410" spans="1:8">
      <c r="A410" s="1783"/>
      <c r="B410" s="1783"/>
      <c r="C410" s="1783"/>
      <c r="D410" s="1783"/>
      <c r="E410" s="1783"/>
      <c r="F410" s="1783"/>
      <c r="G410" s="1783"/>
      <c r="H410" s="1783"/>
    </row>
    <row r="411" spans="1:8">
      <c r="A411" s="1783"/>
      <c r="B411" s="1783"/>
      <c r="C411" s="1783"/>
      <c r="D411" s="1783"/>
      <c r="E411" s="1783"/>
      <c r="F411" s="1783"/>
      <c r="G411" s="1783"/>
      <c r="H411" s="1783"/>
    </row>
    <row r="412" spans="1:8">
      <c r="A412" s="1783"/>
      <c r="B412" s="1783"/>
      <c r="C412" s="1783"/>
      <c r="D412" s="1783"/>
      <c r="E412" s="1783"/>
      <c r="F412" s="1783"/>
      <c r="G412" s="1783"/>
      <c r="H412" s="1783"/>
    </row>
    <row r="413" spans="1:8">
      <c r="A413" s="1783"/>
      <c r="B413" s="1783"/>
      <c r="C413" s="1783"/>
      <c r="D413" s="1783"/>
      <c r="E413" s="1783"/>
      <c r="F413" s="1783"/>
      <c r="G413" s="1783"/>
      <c r="H413" s="1783"/>
    </row>
    <row r="414" spans="1:8">
      <c r="A414" s="1783"/>
      <c r="B414" s="1783"/>
      <c r="C414" s="1783"/>
      <c r="D414" s="1783"/>
      <c r="E414" s="1783"/>
      <c r="F414" s="1783"/>
      <c r="G414" s="1783"/>
      <c r="H414" s="1783"/>
    </row>
    <row r="415" spans="1:8">
      <c r="A415" s="1783"/>
      <c r="B415" s="1783"/>
      <c r="C415" s="1783"/>
      <c r="D415" s="1783"/>
      <c r="E415" s="1783"/>
      <c r="F415" s="1783"/>
      <c r="G415" s="1783"/>
      <c r="H415" s="1783"/>
    </row>
    <row r="416" spans="1:8">
      <c r="A416" s="1783"/>
      <c r="B416" s="1783"/>
      <c r="C416" s="1783"/>
      <c r="D416" s="1783"/>
      <c r="E416" s="1783"/>
      <c r="F416" s="1783"/>
      <c r="G416" s="1783"/>
      <c r="H416" s="1783"/>
    </row>
    <row r="417" spans="1:8">
      <c r="A417" s="1783"/>
      <c r="B417" s="1783"/>
      <c r="C417" s="1783"/>
      <c r="D417" s="1783"/>
      <c r="E417" s="1783"/>
      <c r="F417" s="1783"/>
      <c r="G417" s="1783"/>
      <c r="H417" s="1783"/>
    </row>
    <row r="418" spans="1:8">
      <c r="A418" s="1783"/>
      <c r="B418" s="1783"/>
      <c r="C418" s="1783"/>
      <c r="D418" s="1783"/>
      <c r="E418" s="1783"/>
      <c r="F418" s="1783"/>
      <c r="G418" s="1783"/>
      <c r="H418" s="1783"/>
    </row>
    <row r="419" spans="1:8">
      <c r="A419" s="1783"/>
      <c r="B419" s="1783"/>
      <c r="C419" s="1783"/>
      <c r="D419" s="1783"/>
      <c r="E419" s="1783"/>
      <c r="F419" s="1783"/>
      <c r="G419" s="1783"/>
      <c r="H419" s="1783"/>
    </row>
    <row r="420" spans="1:8">
      <c r="A420" s="1783"/>
      <c r="B420" s="1783"/>
      <c r="C420" s="1783"/>
      <c r="D420" s="1783"/>
      <c r="E420" s="1783"/>
      <c r="F420" s="1783"/>
      <c r="G420" s="1783"/>
      <c r="H420" s="1783"/>
    </row>
    <row r="421" spans="1:8">
      <c r="A421" s="1783"/>
      <c r="B421" s="1783"/>
      <c r="C421" s="1783"/>
      <c r="D421" s="1783"/>
      <c r="E421" s="1783"/>
      <c r="F421" s="1783"/>
      <c r="G421" s="1783"/>
      <c r="H421" s="1783"/>
    </row>
    <row r="422" spans="1:8">
      <c r="A422" s="1783"/>
      <c r="B422" s="1783"/>
      <c r="C422" s="1783"/>
      <c r="D422" s="1783"/>
      <c r="E422" s="1783"/>
      <c r="F422" s="1783"/>
      <c r="G422" s="1783"/>
      <c r="H422" s="1783"/>
    </row>
    <row r="423" spans="1:8">
      <c r="A423" s="1783"/>
      <c r="B423" s="1783"/>
      <c r="C423" s="1783"/>
      <c r="D423" s="1783"/>
      <c r="E423" s="1783"/>
      <c r="F423" s="1783"/>
      <c r="G423" s="1783"/>
      <c r="H423" s="1783"/>
    </row>
    <row r="424" spans="1:8">
      <c r="A424" s="1783"/>
      <c r="B424" s="1783"/>
      <c r="C424" s="1783"/>
      <c r="D424" s="1783"/>
      <c r="E424" s="1783"/>
      <c r="F424" s="1783"/>
      <c r="G424" s="1783"/>
      <c r="H424" s="1783"/>
    </row>
    <row r="425" spans="1:8">
      <c r="A425" s="1783"/>
      <c r="B425" s="1783"/>
      <c r="C425" s="1783"/>
      <c r="D425" s="1783"/>
      <c r="E425" s="1783"/>
      <c r="F425" s="1783"/>
      <c r="G425" s="1783"/>
      <c r="H425" s="1783"/>
    </row>
    <row r="426" spans="1:8">
      <c r="A426" s="1783"/>
      <c r="B426" s="1783"/>
      <c r="C426" s="1783"/>
      <c r="D426" s="1783"/>
      <c r="E426" s="1783"/>
      <c r="F426" s="1783"/>
      <c r="G426" s="1783"/>
      <c r="H426" s="1783"/>
    </row>
    <row r="427" spans="1:8">
      <c r="A427" s="1783"/>
      <c r="B427" s="1783"/>
      <c r="C427" s="1783"/>
      <c r="D427" s="1783"/>
      <c r="E427" s="1783"/>
      <c r="F427" s="1783"/>
      <c r="G427" s="1783"/>
      <c r="H427" s="1783"/>
    </row>
    <row r="428" spans="1:8">
      <c r="A428" s="1783"/>
      <c r="B428" s="1783"/>
      <c r="C428" s="1783"/>
      <c r="D428" s="1783"/>
      <c r="E428" s="1783"/>
      <c r="F428" s="1783"/>
      <c r="G428" s="1783"/>
      <c r="H428" s="1783"/>
    </row>
    <row r="429" spans="1:8">
      <c r="A429" s="1783"/>
      <c r="B429" s="1783"/>
      <c r="C429" s="1783"/>
      <c r="D429" s="1783"/>
      <c r="E429" s="1783"/>
      <c r="F429" s="1783"/>
      <c r="G429" s="1783"/>
      <c r="H429" s="1783"/>
    </row>
    <row r="430" spans="1:8">
      <c r="A430" s="1783"/>
      <c r="B430" s="1783"/>
      <c r="C430" s="1783"/>
      <c r="D430" s="1783"/>
      <c r="E430" s="1783"/>
      <c r="F430" s="1783"/>
      <c r="G430" s="1783"/>
      <c r="H430" s="1783"/>
    </row>
    <row r="431" spans="1:8">
      <c r="A431" s="1783"/>
      <c r="B431" s="1783"/>
      <c r="C431" s="1783"/>
      <c r="D431" s="1783"/>
      <c r="E431" s="1783"/>
      <c r="F431" s="1783"/>
      <c r="G431" s="1783"/>
      <c r="H431" s="1783"/>
    </row>
    <row r="432" spans="1:8">
      <c r="A432" s="1783"/>
      <c r="B432" s="1783"/>
      <c r="C432" s="1783"/>
      <c r="D432" s="1783"/>
      <c r="E432" s="1783"/>
      <c r="F432" s="1783"/>
      <c r="G432" s="1783"/>
      <c r="H432" s="1783"/>
    </row>
    <row r="433" spans="1:8">
      <c r="A433" s="1783"/>
      <c r="B433" s="1783"/>
      <c r="C433" s="1783"/>
      <c r="D433" s="1783"/>
      <c r="E433" s="1783"/>
      <c r="F433" s="1783"/>
      <c r="G433" s="1783"/>
      <c r="H433" s="1783"/>
    </row>
    <row r="434" spans="1:8">
      <c r="A434" s="1783"/>
      <c r="B434" s="1783"/>
      <c r="C434" s="1783"/>
      <c r="D434" s="1783"/>
      <c r="E434" s="1783"/>
      <c r="F434" s="1783"/>
      <c r="G434" s="1783"/>
      <c r="H434" s="1783"/>
    </row>
    <row r="435" spans="1:8">
      <c r="A435" s="1783"/>
      <c r="B435" s="1783"/>
      <c r="C435" s="1783"/>
      <c r="D435" s="1783"/>
      <c r="E435" s="1783"/>
      <c r="F435" s="1783"/>
      <c r="G435" s="1783"/>
      <c r="H435" s="1783"/>
    </row>
    <row r="436" spans="1:8">
      <c r="A436" s="1783"/>
      <c r="B436" s="1783"/>
      <c r="C436" s="1783"/>
      <c r="D436" s="1783"/>
      <c r="E436" s="1783"/>
      <c r="F436" s="1783"/>
      <c r="G436" s="1783"/>
      <c r="H436" s="1783"/>
    </row>
    <row r="437" spans="1:8">
      <c r="A437" s="1783"/>
      <c r="B437" s="1783"/>
      <c r="C437" s="1783"/>
      <c r="D437" s="1783"/>
      <c r="E437" s="1783"/>
      <c r="F437" s="1783"/>
      <c r="G437" s="1783"/>
      <c r="H437" s="1783"/>
    </row>
    <row r="438" spans="1:8">
      <c r="A438" s="1783"/>
      <c r="B438" s="1783"/>
      <c r="C438" s="1783"/>
      <c r="D438" s="1783"/>
      <c r="E438" s="1783"/>
      <c r="F438" s="1783"/>
      <c r="G438" s="1783"/>
      <c r="H438" s="1783"/>
    </row>
    <row r="439" spans="1:8">
      <c r="A439" s="1783"/>
      <c r="B439" s="1783"/>
      <c r="C439" s="1783"/>
      <c r="D439" s="1783"/>
      <c r="E439" s="1783"/>
      <c r="F439" s="1783"/>
      <c r="G439" s="1783"/>
      <c r="H439" s="1783"/>
    </row>
    <row r="440" spans="1:8">
      <c r="A440" s="1783"/>
      <c r="B440" s="1783"/>
      <c r="C440" s="1783"/>
      <c r="D440" s="1783"/>
      <c r="E440" s="1783"/>
      <c r="F440" s="1783"/>
      <c r="G440" s="1783"/>
      <c r="H440" s="1783"/>
    </row>
    <row r="441" spans="1:8">
      <c r="A441" s="1783"/>
      <c r="B441" s="1783"/>
      <c r="C441" s="1783"/>
      <c r="D441" s="1783"/>
      <c r="E441" s="1783"/>
      <c r="F441" s="1783"/>
      <c r="G441" s="1783"/>
      <c r="H441" s="1783"/>
    </row>
    <row r="442" spans="1:8">
      <c r="A442" s="1783"/>
      <c r="B442" s="1783"/>
      <c r="C442" s="1783"/>
      <c r="D442" s="1783"/>
      <c r="E442" s="1783"/>
      <c r="F442" s="1783"/>
      <c r="G442" s="1783"/>
      <c r="H442" s="1783"/>
    </row>
    <row r="443" spans="1:8">
      <c r="A443" s="1783"/>
      <c r="B443" s="1783"/>
      <c r="C443" s="1783"/>
      <c r="D443" s="1783"/>
      <c r="E443" s="1783"/>
      <c r="F443" s="1783"/>
      <c r="G443" s="1783"/>
      <c r="H443" s="1783"/>
    </row>
    <row r="444" spans="1:8">
      <c r="A444" s="1783"/>
      <c r="B444" s="1783"/>
      <c r="C444" s="1783"/>
      <c r="D444" s="1783"/>
      <c r="E444" s="1783"/>
      <c r="F444" s="1783"/>
      <c r="G444" s="1783"/>
      <c r="H444" s="1783"/>
    </row>
    <row r="445" spans="1:8">
      <c r="A445" s="1783"/>
      <c r="B445" s="1783"/>
      <c r="C445" s="1783"/>
      <c r="D445" s="1783"/>
      <c r="E445" s="1783"/>
      <c r="F445" s="1783"/>
      <c r="G445" s="1783"/>
      <c r="H445" s="1783"/>
    </row>
    <row r="446" spans="1:8">
      <c r="A446" s="1783"/>
      <c r="B446" s="1783"/>
      <c r="C446" s="1783"/>
      <c r="D446" s="1783"/>
      <c r="E446" s="1783"/>
      <c r="F446" s="1783"/>
      <c r="G446" s="1783"/>
      <c r="H446" s="1783"/>
    </row>
    <row r="447" spans="1:8">
      <c r="A447" s="1783"/>
      <c r="B447" s="1783"/>
      <c r="C447" s="1783"/>
      <c r="D447" s="1783"/>
      <c r="E447" s="1783"/>
      <c r="F447" s="1783"/>
      <c r="G447" s="1783"/>
      <c r="H447" s="1783"/>
    </row>
    <row r="448" spans="1:8">
      <c r="A448" s="1783"/>
      <c r="B448" s="1783"/>
      <c r="C448" s="1783"/>
      <c r="D448" s="1783"/>
      <c r="E448" s="1783"/>
      <c r="F448" s="1783"/>
      <c r="G448" s="1783"/>
      <c r="H448" s="1783"/>
    </row>
    <row r="449" spans="1:8">
      <c r="A449" s="1783"/>
      <c r="B449" s="1783"/>
      <c r="C449" s="1783"/>
      <c r="D449" s="1783"/>
      <c r="E449" s="1783"/>
      <c r="F449" s="1783"/>
      <c r="G449" s="1783"/>
      <c r="H449" s="1783"/>
    </row>
    <row r="450" spans="1:8">
      <c r="A450" s="1783"/>
      <c r="B450" s="1783"/>
      <c r="C450" s="1783"/>
      <c r="D450" s="1783"/>
      <c r="E450" s="1783"/>
      <c r="F450" s="1783"/>
      <c r="G450" s="1783"/>
      <c r="H450" s="1783"/>
    </row>
    <row r="451" spans="1:8">
      <c r="A451" s="1783"/>
      <c r="B451" s="1783"/>
      <c r="C451" s="1783"/>
      <c r="D451" s="1783"/>
      <c r="E451" s="1783"/>
      <c r="F451" s="1783"/>
      <c r="G451" s="1783"/>
      <c r="H451" s="1783"/>
    </row>
    <row r="452" spans="1:8">
      <c r="A452" s="1783"/>
      <c r="B452" s="1783"/>
      <c r="C452" s="1783"/>
      <c r="D452" s="1783"/>
      <c r="E452" s="1783"/>
      <c r="F452" s="1783"/>
      <c r="G452" s="1783"/>
      <c r="H452" s="1783"/>
    </row>
    <row r="453" spans="1:8">
      <c r="A453" s="1783"/>
      <c r="B453" s="1783"/>
      <c r="C453" s="1783"/>
      <c r="D453" s="1783"/>
      <c r="E453" s="1783"/>
      <c r="F453" s="1783"/>
      <c r="G453" s="1783"/>
      <c r="H453" s="1783"/>
    </row>
    <row r="454" spans="1:8">
      <c r="A454" s="1783"/>
      <c r="B454" s="1783"/>
      <c r="C454" s="1783"/>
      <c r="D454" s="1783"/>
      <c r="E454" s="1783"/>
      <c r="F454" s="1783"/>
      <c r="G454" s="1783"/>
      <c r="H454" s="1783"/>
    </row>
    <row r="455" spans="1:8">
      <c r="A455" s="1783"/>
      <c r="B455" s="1783"/>
      <c r="C455" s="1783"/>
      <c r="D455" s="1783"/>
      <c r="E455" s="1783"/>
      <c r="F455" s="1783"/>
      <c r="G455" s="1783"/>
      <c r="H455" s="1783"/>
    </row>
    <row r="456" spans="1:8">
      <c r="A456" s="1783"/>
      <c r="B456" s="1783"/>
      <c r="C456" s="1783"/>
      <c r="D456" s="1783"/>
      <c r="E456" s="1783"/>
      <c r="F456" s="1783"/>
      <c r="G456" s="1783"/>
      <c r="H456" s="1783"/>
    </row>
    <row r="457" spans="1:8">
      <c r="A457" s="1783"/>
      <c r="B457" s="1783"/>
      <c r="C457" s="1783"/>
      <c r="D457" s="1783"/>
      <c r="E457" s="1783"/>
      <c r="F457" s="1783"/>
      <c r="G457" s="1783"/>
      <c r="H457" s="1783"/>
    </row>
    <row r="458" spans="1:8">
      <c r="A458" s="1783"/>
      <c r="B458" s="1783"/>
      <c r="C458" s="1783"/>
      <c r="D458" s="1783"/>
      <c r="E458" s="1783"/>
      <c r="F458" s="1783"/>
      <c r="G458" s="1783"/>
      <c r="H458" s="1783"/>
    </row>
    <row r="459" spans="1:8">
      <c r="A459" s="1783"/>
      <c r="B459" s="1783"/>
      <c r="C459" s="1783"/>
      <c r="D459" s="1783"/>
      <c r="E459" s="1783"/>
      <c r="F459" s="1783"/>
      <c r="G459" s="1783"/>
      <c r="H459" s="1783"/>
    </row>
    <row r="460" spans="1:8">
      <c r="A460" s="1783"/>
      <c r="B460" s="1783"/>
      <c r="C460" s="1783"/>
      <c r="D460" s="1783"/>
      <c r="E460" s="1783"/>
      <c r="F460" s="1783"/>
      <c r="G460" s="1783"/>
      <c r="H460" s="1783"/>
    </row>
    <row r="461" spans="1:8">
      <c r="A461" s="1783"/>
      <c r="B461" s="1783"/>
      <c r="C461" s="1783"/>
      <c r="D461" s="1783"/>
      <c r="E461" s="1783"/>
      <c r="F461" s="1783"/>
      <c r="G461" s="1783"/>
      <c r="H461" s="1783"/>
    </row>
    <row r="462" spans="1:8">
      <c r="A462" s="1783"/>
      <c r="B462" s="1783"/>
      <c r="C462" s="1783"/>
      <c r="D462" s="1783"/>
      <c r="E462" s="1783"/>
      <c r="F462" s="1783"/>
      <c r="G462" s="1783"/>
      <c r="H462" s="1783"/>
    </row>
    <row r="463" spans="1:8">
      <c r="A463" s="1783"/>
      <c r="B463" s="1783"/>
      <c r="C463" s="1783"/>
      <c r="D463" s="1783"/>
      <c r="E463" s="1783"/>
      <c r="F463" s="1783"/>
      <c r="G463" s="1783"/>
      <c r="H463" s="1783"/>
    </row>
    <row r="464" spans="1:8">
      <c r="A464" s="1783"/>
      <c r="B464" s="1783"/>
      <c r="C464" s="1783"/>
      <c r="D464" s="1783"/>
      <c r="E464" s="1783"/>
      <c r="F464" s="1783"/>
      <c r="G464" s="1783"/>
      <c r="H464" s="1783"/>
    </row>
    <row r="465" spans="1:8">
      <c r="A465" s="1783"/>
      <c r="B465" s="1783"/>
      <c r="C465" s="1783"/>
      <c r="D465" s="1783"/>
      <c r="E465" s="1783"/>
      <c r="F465" s="1783"/>
      <c r="G465" s="1783"/>
      <c r="H465" s="1783"/>
    </row>
    <row r="466" spans="1:8">
      <c r="A466" s="1783"/>
      <c r="B466" s="1783"/>
      <c r="C466" s="1783"/>
      <c r="D466" s="1783"/>
      <c r="E466" s="1783"/>
      <c r="F466" s="1783"/>
      <c r="G466" s="1783"/>
      <c r="H466" s="1783"/>
    </row>
    <row r="467" spans="1:8">
      <c r="A467" s="1783"/>
      <c r="B467" s="1783"/>
      <c r="C467" s="1783"/>
      <c r="D467" s="1783"/>
      <c r="E467" s="1783"/>
      <c r="F467" s="1783"/>
      <c r="G467" s="1783"/>
      <c r="H467" s="1783"/>
    </row>
    <row r="468" spans="1:8">
      <c r="A468" s="1783"/>
      <c r="B468" s="1783"/>
      <c r="C468" s="1783"/>
      <c r="D468" s="1783"/>
      <c r="E468" s="1783"/>
      <c r="F468" s="1783"/>
      <c r="G468" s="1783"/>
      <c r="H468" s="1783"/>
    </row>
    <row r="469" spans="1:8">
      <c r="A469" s="1783"/>
      <c r="B469" s="1783"/>
      <c r="C469" s="1783"/>
      <c r="D469" s="1783"/>
      <c r="E469" s="1783"/>
      <c r="F469" s="1783"/>
      <c r="G469" s="1783"/>
      <c r="H469" s="1783"/>
    </row>
    <row r="470" spans="1:8">
      <c r="A470" s="1783"/>
      <c r="B470" s="1783"/>
      <c r="C470" s="1783"/>
      <c r="D470" s="1783"/>
      <c r="E470" s="1783"/>
      <c r="F470" s="1783"/>
      <c r="G470" s="1783"/>
      <c r="H470" s="1783"/>
    </row>
    <row r="471" spans="1:8">
      <c r="A471" s="1783"/>
      <c r="B471" s="1783"/>
      <c r="C471" s="1783"/>
      <c r="D471" s="1783"/>
      <c r="E471" s="1783"/>
      <c r="F471" s="1783"/>
      <c r="G471" s="1783"/>
      <c r="H471" s="1783"/>
    </row>
    <row r="472" spans="1:8">
      <c r="A472" s="1783"/>
      <c r="B472" s="1783"/>
      <c r="C472" s="1783"/>
      <c r="D472" s="1783"/>
      <c r="E472" s="1783"/>
      <c r="F472" s="1783"/>
      <c r="G472" s="1783"/>
      <c r="H472" s="1783"/>
    </row>
    <row r="473" spans="1:8">
      <c r="A473" s="1783"/>
      <c r="B473" s="1783"/>
      <c r="C473" s="1783"/>
      <c r="D473" s="1783"/>
      <c r="E473" s="1783"/>
      <c r="F473" s="1783"/>
      <c r="G473" s="1783"/>
      <c r="H473" s="1783"/>
    </row>
    <row r="474" spans="1:8">
      <c r="A474" s="1783"/>
      <c r="B474" s="1783"/>
      <c r="C474" s="1783"/>
      <c r="D474" s="1783"/>
      <c r="E474" s="1783"/>
      <c r="F474" s="1783"/>
      <c r="G474" s="1783"/>
      <c r="H474" s="1783"/>
    </row>
    <row r="475" spans="1:8">
      <c r="A475" s="1783"/>
      <c r="B475" s="1783"/>
      <c r="C475" s="1783"/>
      <c r="D475" s="1783"/>
      <c r="E475" s="1783"/>
      <c r="F475" s="1783"/>
      <c r="G475" s="1783"/>
      <c r="H475" s="1783"/>
    </row>
    <row r="476" spans="1:8">
      <c r="A476" s="1783"/>
      <c r="B476" s="1783"/>
      <c r="C476" s="1783"/>
      <c r="D476" s="1783"/>
      <c r="E476" s="1783"/>
      <c r="F476" s="1783"/>
      <c r="G476" s="1783"/>
      <c r="H476" s="1783"/>
    </row>
    <row r="477" spans="1:8">
      <c r="A477" s="1783"/>
      <c r="B477" s="1783"/>
      <c r="C477" s="1783"/>
      <c r="D477" s="1783"/>
      <c r="E477" s="1783"/>
      <c r="F477" s="1783"/>
      <c r="G477" s="1783"/>
      <c r="H477" s="1783"/>
    </row>
    <row r="478" spans="1:8">
      <c r="A478" s="1783"/>
      <c r="B478" s="1783"/>
      <c r="C478" s="1783"/>
      <c r="D478" s="1783"/>
      <c r="E478" s="1783"/>
      <c r="F478" s="1783"/>
      <c r="G478" s="1783"/>
      <c r="H478" s="1783"/>
    </row>
    <row r="479" spans="1:8">
      <c r="A479" s="1783"/>
      <c r="B479" s="1783"/>
      <c r="C479" s="1783"/>
      <c r="D479" s="1783"/>
      <c r="E479" s="1783"/>
      <c r="F479" s="1783"/>
      <c r="G479" s="1783"/>
      <c r="H479" s="1783"/>
    </row>
    <row r="480" spans="1:8">
      <c r="A480" s="1783"/>
      <c r="B480" s="1783"/>
      <c r="C480" s="1783"/>
      <c r="D480" s="1783"/>
      <c r="E480" s="1783"/>
      <c r="F480" s="1783"/>
      <c r="G480" s="1783"/>
      <c r="H480" s="1783"/>
    </row>
    <row r="481" spans="1:8">
      <c r="A481" s="1783"/>
      <c r="B481" s="1783"/>
      <c r="C481" s="1783"/>
      <c r="D481" s="1783"/>
      <c r="E481" s="1783"/>
      <c r="F481" s="1783"/>
      <c r="G481" s="1783"/>
      <c r="H481" s="1783"/>
    </row>
    <row r="482" spans="1:8">
      <c r="A482" s="1783"/>
      <c r="B482" s="1783"/>
      <c r="C482" s="1783"/>
      <c r="D482" s="1783"/>
      <c r="E482" s="1783"/>
      <c r="F482" s="1783"/>
      <c r="G482" s="1783"/>
      <c r="H482" s="1783"/>
    </row>
    <row r="483" spans="1:8">
      <c r="A483" s="1783"/>
      <c r="B483" s="1783"/>
      <c r="C483" s="1783"/>
      <c r="D483" s="1783"/>
      <c r="E483" s="1783"/>
      <c r="F483" s="1783"/>
      <c r="G483" s="1783"/>
      <c r="H483" s="1783"/>
    </row>
    <row r="484" spans="1:8">
      <c r="A484" s="1783"/>
      <c r="B484" s="1783"/>
      <c r="C484" s="1783"/>
      <c r="D484" s="1783"/>
      <c r="E484" s="1783"/>
      <c r="F484" s="1783"/>
      <c r="G484" s="1783"/>
      <c r="H484" s="1783"/>
    </row>
    <row r="485" spans="1:8">
      <c r="A485" s="1783"/>
      <c r="B485" s="1783"/>
      <c r="C485" s="1783"/>
      <c r="D485" s="1783"/>
      <c r="E485" s="1783"/>
      <c r="F485" s="1783"/>
      <c r="G485" s="1783"/>
      <c r="H485" s="1783"/>
    </row>
    <row r="486" spans="1:8">
      <c r="A486" s="1783"/>
      <c r="B486" s="1783"/>
      <c r="C486" s="1783"/>
      <c r="D486" s="1783"/>
      <c r="E486" s="1783"/>
      <c r="F486" s="1783"/>
      <c r="G486" s="1783"/>
      <c r="H486" s="1783"/>
    </row>
    <row r="487" spans="1:8">
      <c r="A487" s="1783"/>
      <c r="B487" s="1783"/>
      <c r="C487" s="1783"/>
      <c r="D487" s="1783"/>
      <c r="E487" s="1783"/>
      <c r="F487" s="1783"/>
      <c r="G487" s="1783"/>
      <c r="H487" s="1783"/>
    </row>
    <row r="488" spans="1:8">
      <c r="A488" s="1783"/>
      <c r="B488" s="1783"/>
      <c r="C488" s="1783"/>
      <c r="D488" s="1783"/>
      <c r="E488" s="1783"/>
      <c r="F488" s="1783"/>
      <c r="G488" s="1783"/>
      <c r="H488" s="1783"/>
    </row>
    <row r="489" spans="1:8">
      <c r="A489" s="1783"/>
      <c r="B489" s="1783"/>
      <c r="C489" s="1783"/>
      <c r="D489" s="1783"/>
      <c r="E489" s="1783"/>
      <c r="F489" s="1783"/>
      <c r="G489" s="1783"/>
      <c r="H489" s="1783"/>
    </row>
    <row r="490" spans="1:8">
      <c r="A490" s="1783"/>
      <c r="B490" s="1783"/>
      <c r="C490" s="1783"/>
      <c r="D490" s="1783"/>
      <c r="E490" s="1783"/>
      <c r="F490" s="1783"/>
      <c r="G490" s="1783"/>
      <c r="H490" s="1783"/>
    </row>
    <row r="491" spans="1:8">
      <c r="A491" s="1783"/>
      <c r="B491" s="1783"/>
      <c r="C491" s="1783"/>
      <c r="D491" s="1783"/>
      <c r="E491" s="1783"/>
      <c r="F491" s="1783"/>
      <c r="G491" s="1783"/>
      <c r="H491" s="1783"/>
    </row>
    <row r="492" spans="1:8">
      <c r="A492" s="1783"/>
      <c r="B492" s="1783"/>
      <c r="C492" s="1783"/>
      <c r="D492" s="1783"/>
      <c r="E492" s="1783"/>
      <c r="F492" s="1783"/>
      <c r="G492" s="1783"/>
      <c r="H492" s="1783"/>
    </row>
    <row r="493" spans="1:8">
      <c r="A493" s="1783"/>
      <c r="B493" s="1783"/>
      <c r="C493" s="1783"/>
      <c r="D493" s="1783"/>
      <c r="E493" s="1783"/>
      <c r="F493" s="1783"/>
      <c r="G493" s="1783"/>
      <c r="H493" s="1783"/>
    </row>
    <row r="494" spans="1:8">
      <c r="A494" s="1783"/>
      <c r="B494" s="1783"/>
      <c r="C494" s="1783"/>
      <c r="D494" s="1783"/>
      <c r="E494" s="1783"/>
      <c r="F494" s="1783"/>
      <c r="G494" s="1783"/>
      <c r="H494" s="1783"/>
    </row>
    <row r="495" spans="1:8">
      <c r="A495" s="1783"/>
      <c r="B495" s="1783"/>
      <c r="C495" s="1783"/>
      <c r="D495" s="1783"/>
      <c r="E495" s="1783"/>
      <c r="F495" s="1783"/>
      <c r="G495" s="1783"/>
      <c r="H495" s="1783"/>
    </row>
    <row r="496" spans="1:8">
      <c r="A496" s="1783"/>
      <c r="B496" s="1783"/>
      <c r="C496" s="1783"/>
      <c r="D496" s="1783"/>
      <c r="E496" s="1783"/>
      <c r="F496" s="1783"/>
      <c r="G496" s="1783"/>
      <c r="H496" s="1783"/>
    </row>
    <row r="497" spans="1:8">
      <c r="A497" s="1783"/>
      <c r="B497" s="1783"/>
      <c r="C497" s="1783"/>
      <c r="D497" s="1783"/>
      <c r="E497" s="1783"/>
      <c r="F497" s="1783"/>
      <c r="G497" s="1783"/>
      <c r="H497" s="1783"/>
    </row>
    <row r="498" spans="1:8">
      <c r="A498" s="1783"/>
      <c r="B498" s="1783"/>
      <c r="C498" s="1783"/>
      <c r="D498" s="1783"/>
      <c r="E498" s="1783"/>
      <c r="F498" s="1783"/>
      <c r="G498" s="1783"/>
      <c r="H498" s="1783"/>
    </row>
    <row r="499" spans="1:8">
      <c r="A499" s="1783"/>
      <c r="B499" s="1783"/>
      <c r="C499" s="1783"/>
      <c r="D499" s="1783"/>
      <c r="E499" s="1783"/>
      <c r="F499" s="1783"/>
      <c r="G499" s="1783"/>
      <c r="H499" s="1783"/>
    </row>
    <row r="500" spans="1:8">
      <c r="A500" s="1783"/>
      <c r="B500" s="1783"/>
      <c r="C500" s="1783"/>
      <c r="D500" s="1783"/>
      <c r="E500" s="1783"/>
      <c r="F500" s="1783"/>
      <c r="G500" s="1783"/>
      <c r="H500" s="1783"/>
    </row>
    <row r="501" spans="1:8">
      <c r="A501" s="1783"/>
      <c r="B501" s="1783"/>
      <c r="C501" s="1783"/>
      <c r="D501" s="1783"/>
      <c r="E501" s="1783"/>
      <c r="F501" s="1783"/>
      <c r="G501" s="1783"/>
      <c r="H501" s="1783"/>
    </row>
    <row r="502" spans="1:8">
      <c r="A502" s="1783"/>
      <c r="B502" s="1783"/>
      <c r="C502" s="1783"/>
      <c r="D502" s="1783"/>
      <c r="E502" s="1783"/>
      <c r="F502" s="1783"/>
      <c r="G502" s="1783"/>
      <c r="H502" s="1783"/>
    </row>
    <row r="503" spans="1:8">
      <c r="A503" s="1783"/>
      <c r="B503" s="1783"/>
      <c r="C503" s="1783"/>
      <c r="D503" s="1783"/>
      <c r="E503" s="1783"/>
      <c r="F503" s="1783"/>
      <c r="G503" s="1783"/>
      <c r="H503" s="1783"/>
    </row>
    <row r="504" spans="1:8">
      <c r="A504" s="1783"/>
      <c r="B504" s="1783"/>
      <c r="C504" s="1783"/>
      <c r="D504" s="1783"/>
      <c r="E504" s="1783"/>
      <c r="F504" s="1783"/>
      <c r="G504" s="1783"/>
      <c r="H504" s="1783"/>
    </row>
    <row r="505" spans="1:8">
      <c r="A505" s="1783"/>
      <c r="B505" s="1783"/>
      <c r="C505" s="1783"/>
      <c r="D505" s="1783"/>
      <c r="E505" s="1783"/>
      <c r="F505" s="1783"/>
      <c r="G505" s="1783"/>
      <c r="H505" s="1783"/>
    </row>
    <row r="506" spans="1:8">
      <c r="A506" s="1783"/>
      <c r="B506" s="1783"/>
      <c r="C506" s="1783"/>
      <c r="D506" s="1783"/>
      <c r="E506" s="1783"/>
      <c r="F506" s="1783"/>
      <c r="G506" s="1783"/>
      <c r="H506" s="1783"/>
    </row>
    <row r="507" spans="1:8">
      <c r="A507" s="1783"/>
      <c r="B507" s="1783"/>
      <c r="C507" s="1783"/>
      <c r="D507" s="1783"/>
      <c r="E507" s="1783"/>
      <c r="F507" s="1783"/>
      <c r="G507" s="1783"/>
      <c r="H507" s="1783"/>
    </row>
    <row r="508" spans="1:8">
      <c r="A508" s="1783"/>
      <c r="B508" s="1783"/>
      <c r="C508" s="1783"/>
      <c r="D508" s="1783"/>
      <c r="E508" s="1783"/>
      <c r="F508" s="1783"/>
      <c r="G508" s="1783"/>
      <c r="H508" s="1783"/>
    </row>
    <row r="509" spans="1:8">
      <c r="A509" s="1783"/>
      <c r="B509" s="1783"/>
      <c r="C509" s="1783"/>
      <c r="D509" s="1783"/>
      <c r="E509" s="1783"/>
      <c r="F509" s="1783"/>
      <c r="G509" s="1783"/>
      <c r="H509" s="1783"/>
    </row>
    <row r="510" spans="1:8">
      <c r="A510" s="1783"/>
      <c r="B510" s="1783"/>
      <c r="C510" s="1783"/>
      <c r="D510" s="1783"/>
      <c r="E510" s="1783"/>
      <c r="F510" s="1783"/>
      <c r="G510" s="1783"/>
      <c r="H510" s="1783"/>
    </row>
    <row r="511" spans="1:8">
      <c r="A511" s="1783"/>
      <c r="B511" s="1783"/>
      <c r="C511" s="1783"/>
      <c r="D511" s="1783"/>
      <c r="E511" s="1783"/>
      <c r="F511" s="1783"/>
      <c r="G511" s="1783"/>
      <c r="H511" s="1783"/>
    </row>
    <row r="512" spans="1:8">
      <c r="A512" s="1783"/>
      <c r="B512" s="1783"/>
      <c r="C512" s="1783"/>
      <c r="D512" s="1783"/>
      <c r="E512" s="1783"/>
      <c r="F512" s="1783"/>
      <c r="G512" s="1783"/>
      <c r="H512" s="1783"/>
    </row>
    <row r="513" spans="1:8">
      <c r="A513" s="1783"/>
      <c r="B513" s="1783"/>
      <c r="C513" s="1783"/>
      <c r="D513" s="1783"/>
      <c r="E513" s="1783"/>
      <c r="F513" s="1783"/>
      <c r="G513" s="1783"/>
      <c r="H513" s="1783"/>
    </row>
    <row r="514" spans="1:8">
      <c r="A514" s="1783"/>
      <c r="B514" s="1783"/>
      <c r="C514" s="1783"/>
      <c r="D514" s="1783"/>
      <c r="E514" s="1783"/>
      <c r="F514" s="1783"/>
      <c r="G514" s="1783"/>
      <c r="H514" s="1783"/>
    </row>
    <row r="515" spans="1:8">
      <c r="A515" s="1783"/>
      <c r="B515" s="1783"/>
      <c r="C515" s="1783"/>
      <c r="D515" s="1783"/>
      <c r="E515" s="1783"/>
      <c r="F515" s="1783"/>
      <c r="G515" s="1783"/>
      <c r="H515" s="1783"/>
    </row>
    <row r="516" spans="1:8">
      <c r="A516" s="1783"/>
      <c r="B516" s="1783"/>
      <c r="C516" s="1783"/>
      <c r="D516" s="1783"/>
      <c r="E516" s="1783"/>
      <c r="F516" s="1783"/>
      <c r="G516" s="1783"/>
      <c r="H516" s="1783"/>
    </row>
    <row r="517" spans="1:8">
      <c r="A517" s="1783"/>
      <c r="B517" s="1783"/>
      <c r="C517" s="1783"/>
      <c r="D517" s="1783"/>
      <c r="E517" s="1783"/>
      <c r="F517" s="1783"/>
      <c r="G517" s="1783"/>
      <c r="H517" s="1783"/>
    </row>
    <row r="518" spans="1:8">
      <c r="A518" s="1783"/>
      <c r="B518" s="1783"/>
      <c r="C518" s="1783"/>
      <c r="D518" s="1783"/>
      <c r="E518" s="1783"/>
      <c r="F518" s="1783"/>
      <c r="G518" s="1783"/>
      <c r="H518" s="1783"/>
    </row>
    <row r="519" spans="1:8">
      <c r="A519" s="1783"/>
      <c r="B519" s="1783"/>
      <c r="C519" s="1783"/>
      <c r="D519" s="1783"/>
      <c r="E519" s="1783"/>
      <c r="F519" s="1783"/>
      <c r="G519" s="1783"/>
      <c r="H519" s="1783"/>
    </row>
    <row r="520" spans="1:8">
      <c r="A520" s="1783"/>
      <c r="B520" s="1783"/>
      <c r="C520" s="1783"/>
      <c r="D520" s="1783"/>
      <c r="E520" s="1783"/>
      <c r="F520" s="1783"/>
      <c r="G520" s="1783"/>
      <c r="H520" s="1783"/>
    </row>
    <row r="521" spans="1:8">
      <c r="A521" s="1783"/>
      <c r="B521" s="1783"/>
      <c r="C521" s="1783"/>
      <c r="D521" s="1783"/>
      <c r="E521" s="1783"/>
      <c r="F521" s="1783"/>
      <c r="G521" s="1783"/>
      <c r="H521" s="1783"/>
    </row>
    <row r="522" spans="1:8">
      <c r="A522" s="1783"/>
      <c r="B522" s="1783"/>
      <c r="C522" s="1783"/>
      <c r="D522" s="1783"/>
      <c r="E522" s="1783"/>
      <c r="F522" s="1783"/>
      <c r="G522" s="1783"/>
      <c r="H522" s="1783"/>
    </row>
    <row r="523" spans="1:8">
      <c r="A523" s="1783"/>
      <c r="B523" s="1783"/>
      <c r="C523" s="1783"/>
      <c r="D523" s="1783"/>
      <c r="E523" s="1783"/>
      <c r="F523" s="1783"/>
      <c r="G523" s="1783"/>
      <c r="H523" s="1783"/>
    </row>
    <row r="524" spans="1:8">
      <c r="A524" s="1783"/>
      <c r="B524" s="1783"/>
      <c r="C524" s="1783"/>
      <c r="D524" s="1783"/>
      <c r="E524" s="1783"/>
      <c r="F524" s="1783"/>
      <c r="G524" s="1783"/>
      <c r="H524" s="1783"/>
    </row>
    <row r="525" spans="1:8">
      <c r="A525" s="1783"/>
      <c r="B525" s="1783"/>
      <c r="C525" s="1783"/>
      <c r="D525" s="1783"/>
      <c r="E525" s="1783"/>
      <c r="F525" s="1783"/>
      <c r="G525" s="1783"/>
      <c r="H525" s="1783"/>
    </row>
    <row r="526" spans="1:8">
      <c r="A526" s="1783"/>
      <c r="B526" s="1783"/>
      <c r="C526" s="1783"/>
      <c r="D526" s="1783"/>
      <c r="E526" s="1783"/>
      <c r="F526" s="1783"/>
      <c r="G526" s="1783"/>
      <c r="H526" s="1783"/>
    </row>
    <row r="527" spans="1:8">
      <c r="A527" s="1783"/>
      <c r="B527" s="1783"/>
      <c r="C527" s="1783"/>
      <c r="D527" s="1783"/>
      <c r="E527" s="1783"/>
      <c r="F527" s="1783"/>
      <c r="G527" s="1783"/>
      <c r="H527" s="1783"/>
    </row>
    <row r="528" spans="1:8">
      <c r="A528" s="1783"/>
      <c r="B528" s="1783"/>
      <c r="C528" s="1783"/>
      <c r="D528" s="1783"/>
      <c r="E528" s="1783"/>
      <c r="F528" s="1783"/>
      <c r="G528" s="1783"/>
      <c r="H528" s="1783"/>
    </row>
    <row r="529" spans="1:8">
      <c r="A529" s="1783"/>
      <c r="B529" s="1783"/>
      <c r="C529" s="1783"/>
      <c r="D529" s="1783"/>
      <c r="E529" s="1783"/>
      <c r="F529" s="1783"/>
      <c r="G529" s="1783"/>
      <c r="H529" s="1783"/>
    </row>
    <row r="530" spans="1:8">
      <c r="A530" s="1783"/>
      <c r="B530" s="1783"/>
      <c r="C530" s="1783"/>
      <c r="D530" s="1783"/>
      <c r="E530" s="1783"/>
      <c r="F530" s="1783"/>
      <c r="G530" s="1783"/>
      <c r="H530" s="1783"/>
    </row>
    <row r="531" spans="1:8">
      <c r="A531" s="1783"/>
      <c r="B531" s="1783"/>
      <c r="C531" s="1783"/>
      <c r="D531" s="1783"/>
      <c r="E531" s="1783"/>
      <c r="F531" s="1783"/>
      <c r="G531" s="1783"/>
      <c r="H531" s="1783"/>
    </row>
    <row r="532" spans="1:8">
      <c r="A532" s="1783"/>
      <c r="B532" s="1783"/>
      <c r="C532" s="1783"/>
      <c r="D532" s="1783"/>
      <c r="E532" s="1783"/>
      <c r="F532" s="1783"/>
      <c r="G532" s="1783"/>
      <c r="H532" s="1783"/>
    </row>
    <row r="533" spans="1:8">
      <c r="A533" s="1783"/>
      <c r="B533" s="1783"/>
      <c r="C533" s="1783"/>
      <c r="D533" s="1783"/>
      <c r="E533" s="1783"/>
      <c r="F533" s="1783"/>
      <c r="G533" s="1783"/>
      <c r="H533" s="1783"/>
    </row>
    <row r="534" spans="1:8">
      <c r="A534" s="1783"/>
      <c r="B534" s="1783"/>
      <c r="C534" s="1783"/>
      <c r="D534" s="1783"/>
      <c r="E534" s="1783"/>
      <c r="F534" s="1783"/>
      <c r="G534" s="1783"/>
      <c r="H534" s="1783"/>
    </row>
    <row r="535" spans="1:8">
      <c r="A535" s="1783"/>
      <c r="B535" s="1783"/>
      <c r="C535" s="1783"/>
      <c r="D535" s="1783"/>
      <c r="E535" s="1783"/>
      <c r="F535" s="1783"/>
      <c r="G535" s="1783"/>
      <c r="H535" s="1783"/>
    </row>
    <row r="536" spans="1:8">
      <c r="A536" s="1783"/>
      <c r="B536" s="1783"/>
      <c r="C536" s="1783"/>
      <c r="D536" s="1783"/>
      <c r="E536" s="1783"/>
      <c r="F536" s="1783"/>
      <c r="G536" s="1783"/>
      <c r="H536" s="1783"/>
    </row>
    <row r="537" spans="1:8">
      <c r="A537" s="1783"/>
      <c r="B537" s="1783"/>
      <c r="C537" s="1783"/>
      <c r="D537" s="1783"/>
      <c r="E537" s="1783"/>
      <c r="F537" s="1783"/>
      <c r="G537" s="1783"/>
      <c r="H537" s="1783"/>
    </row>
    <row r="538" spans="1:8">
      <c r="A538" s="1783"/>
      <c r="B538" s="1783"/>
      <c r="C538" s="1783"/>
      <c r="D538" s="1783"/>
      <c r="E538" s="1783"/>
      <c r="F538" s="1783"/>
      <c r="G538" s="1783"/>
      <c r="H538" s="1783"/>
    </row>
    <row r="539" spans="1:8">
      <c r="A539" s="1783"/>
      <c r="B539" s="1783"/>
      <c r="C539" s="1783"/>
      <c r="D539" s="1783"/>
      <c r="E539" s="1783"/>
      <c r="F539" s="1783"/>
      <c r="G539" s="1783"/>
      <c r="H539" s="1783"/>
    </row>
    <row r="540" spans="1:8">
      <c r="A540" s="1783"/>
      <c r="B540" s="1783"/>
      <c r="C540" s="1783"/>
      <c r="D540" s="1783"/>
      <c r="E540" s="1783"/>
      <c r="F540" s="1783"/>
      <c r="G540" s="1783"/>
      <c r="H540" s="1783"/>
    </row>
    <row r="541" spans="1:8">
      <c r="A541" s="1783"/>
      <c r="B541" s="1783"/>
      <c r="C541" s="1783"/>
      <c r="D541" s="1783"/>
      <c r="E541" s="1783"/>
      <c r="F541" s="1783"/>
      <c r="G541" s="1783"/>
      <c r="H541" s="1783"/>
    </row>
    <row r="542" spans="1:8">
      <c r="A542" s="1783"/>
      <c r="B542" s="1783"/>
      <c r="C542" s="1783"/>
      <c r="D542" s="1783"/>
      <c r="E542" s="1783"/>
      <c r="F542" s="1783"/>
      <c r="G542" s="1783"/>
      <c r="H542" s="1783"/>
    </row>
    <row r="543" spans="1:8">
      <c r="A543" s="1783"/>
      <c r="B543" s="1783"/>
      <c r="C543" s="1783"/>
      <c r="D543" s="1783"/>
      <c r="E543" s="1783"/>
      <c r="F543" s="1783"/>
      <c r="G543" s="1783"/>
      <c r="H543" s="1783"/>
    </row>
    <row r="544" spans="1:8">
      <c r="A544" s="1783"/>
      <c r="B544" s="1783"/>
      <c r="C544" s="1783"/>
      <c r="D544" s="1783"/>
      <c r="E544" s="1783"/>
      <c r="F544" s="1783"/>
      <c r="G544" s="1783"/>
      <c r="H544" s="1783"/>
    </row>
    <row r="545" spans="1:8">
      <c r="A545" s="1783"/>
      <c r="B545" s="1783"/>
      <c r="C545" s="1783"/>
      <c r="D545" s="1783"/>
      <c r="E545" s="1783"/>
      <c r="F545" s="1783"/>
      <c r="G545" s="1783"/>
      <c r="H545" s="1783"/>
    </row>
    <row r="546" spans="1:8">
      <c r="A546" s="1783"/>
      <c r="B546" s="1783"/>
      <c r="C546" s="1783"/>
      <c r="D546" s="1783"/>
      <c r="E546" s="1783"/>
      <c r="F546" s="1783"/>
      <c r="G546" s="1783"/>
      <c r="H546" s="1783"/>
    </row>
    <row r="547" spans="1:8">
      <c r="A547" s="1783"/>
      <c r="B547" s="1783"/>
      <c r="C547" s="1783"/>
      <c r="D547" s="1783"/>
      <c r="E547" s="1783"/>
      <c r="F547" s="1783"/>
      <c r="G547" s="1783"/>
      <c r="H547" s="1783"/>
    </row>
    <row r="548" spans="1:8">
      <c r="A548" s="1783"/>
      <c r="B548" s="1783"/>
      <c r="C548" s="1783"/>
      <c r="D548" s="1783"/>
      <c r="E548" s="1783"/>
      <c r="F548" s="1783"/>
      <c r="G548" s="1783"/>
      <c r="H548" s="1783"/>
    </row>
    <row r="549" spans="1:8">
      <c r="A549" s="1783"/>
      <c r="B549" s="1783"/>
      <c r="C549" s="1783"/>
      <c r="D549" s="1783"/>
      <c r="E549" s="1783"/>
      <c r="F549" s="1783"/>
      <c r="G549" s="1783"/>
      <c r="H549" s="1783"/>
    </row>
    <row r="550" spans="1:8">
      <c r="A550" s="1783"/>
      <c r="B550" s="1783"/>
      <c r="C550" s="1783"/>
      <c r="D550" s="1783"/>
      <c r="E550" s="1783"/>
      <c r="F550" s="1783"/>
      <c r="G550" s="1783"/>
      <c r="H550" s="1783"/>
    </row>
    <row r="551" spans="1:8">
      <c r="A551" s="1783"/>
      <c r="B551" s="1783"/>
      <c r="C551" s="1783"/>
      <c r="D551" s="1783"/>
      <c r="E551" s="1783"/>
      <c r="F551" s="1783"/>
      <c r="G551" s="1783"/>
      <c r="H551" s="1783"/>
    </row>
    <row r="552" spans="1:8">
      <c r="A552" s="1783"/>
      <c r="B552" s="1783"/>
      <c r="C552" s="1783"/>
      <c r="D552" s="1783"/>
      <c r="E552" s="1783"/>
      <c r="F552" s="1783"/>
      <c r="G552" s="1783"/>
      <c r="H552" s="1783"/>
    </row>
    <row r="553" spans="1:8">
      <c r="A553" s="1783"/>
      <c r="B553" s="1783"/>
      <c r="C553" s="1783"/>
      <c r="D553" s="1783"/>
      <c r="E553" s="1783"/>
      <c r="F553" s="1783"/>
      <c r="G553" s="1783"/>
      <c r="H553" s="1783"/>
    </row>
    <row r="554" spans="1:8">
      <c r="A554" s="1783"/>
      <c r="B554" s="1783"/>
      <c r="C554" s="1783"/>
      <c r="D554" s="1783"/>
      <c r="E554" s="1783"/>
      <c r="F554" s="1783"/>
      <c r="G554" s="1783"/>
      <c r="H554" s="1783"/>
    </row>
    <row r="555" spans="1:8">
      <c r="A555" s="1783"/>
      <c r="B555" s="1783"/>
      <c r="C555" s="1783"/>
      <c r="D555" s="1783"/>
      <c r="E555" s="1783"/>
      <c r="F555" s="1783"/>
      <c r="G555" s="1783"/>
      <c r="H555" s="1783"/>
    </row>
    <row r="556" spans="1:8">
      <c r="A556" s="1783"/>
      <c r="B556" s="1783"/>
      <c r="C556" s="1783"/>
      <c r="D556" s="1783"/>
      <c r="E556" s="1783"/>
      <c r="F556" s="1783"/>
      <c r="G556" s="1783"/>
      <c r="H556" s="1783"/>
    </row>
    <row r="557" spans="1:8">
      <c r="A557" s="1783"/>
      <c r="B557" s="1783"/>
      <c r="C557" s="1783"/>
      <c r="D557" s="1783"/>
      <c r="E557" s="1783"/>
      <c r="F557" s="1783"/>
      <c r="G557" s="1783"/>
      <c r="H557" s="1783"/>
    </row>
    <row r="558" spans="1:8">
      <c r="A558" s="1783"/>
      <c r="B558" s="1783"/>
      <c r="C558" s="1783"/>
      <c r="D558" s="1783"/>
      <c r="E558" s="1783"/>
      <c r="F558" s="1783"/>
      <c r="G558" s="1783"/>
      <c r="H558" s="1783"/>
    </row>
    <row r="559" spans="1:8">
      <c r="A559" s="1783"/>
      <c r="B559" s="1783"/>
      <c r="C559" s="1783"/>
      <c r="D559" s="1783"/>
      <c r="E559" s="1783"/>
      <c r="F559" s="1783"/>
      <c r="G559" s="1783"/>
      <c r="H559" s="1783"/>
    </row>
    <row r="560" spans="1:8">
      <c r="A560" s="1783"/>
      <c r="B560" s="1783"/>
      <c r="C560" s="1783"/>
      <c r="D560" s="1783"/>
      <c r="E560" s="1783"/>
      <c r="F560" s="1783"/>
      <c r="G560" s="1783"/>
      <c r="H560" s="1783"/>
    </row>
    <row r="561" spans="1:8">
      <c r="A561" s="1783"/>
      <c r="B561" s="1783"/>
      <c r="C561" s="1783"/>
      <c r="D561" s="1783"/>
      <c r="E561" s="1783"/>
      <c r="F561" s="1783"/>
      <c r="G561" s="1783"/>
      <c r="H561" s="1783"/>
    </row>
    <row r="562" spans="1:8">
      <c r="A562" s="1783"/>
      <c r="B562" s="1783"/>
      <c r="C562" s="1783"/>
      <c r="D562" s="1783"/>
      <c r="E562" s="1783"/>
      <c r="F562" s="1783"/>
      <c r="G562" s="1783"/>
      <c r="H562" s="1783"/>
    </row>
    <row r="563" spans="1:8">
      <c r="A563" s="1783"/>
      <c r="B563" s="1783"/>
      <c r="C563" s="1783"/>
      <c r="D563" s="1783"/>
      <c r="E563" s="1783"/>
      <c r="F563" s="1783"/>
      <c r="G563" s="1783"/>
      <c r="H563" s="1783"/>
    </row>
    <row r="564" spans="1:8">
      <c r="A564" s="1783"/>
      <c r="B564" s="1783"/>
      <c r="C564" s="1783"/>
      <c r="D564" s="1783"/>
      <c r="E564" s="1783"/>
      <c r="F564" s="1783"/>
      <c r="G564" s="1783"/>
      <c r="H564" s="1783"/>
    </row>
    <row r="565" spans="1:8">
      <c r="A565" s="1783"/>
      <c r="B565" s="1783"/>
      <c r="C565" s="1783"/>
      <c r="D565" s="1783"/>
      <c r="E565" s="1783"/>
      <c r="F565" s="1783"/>
      <c r="G565" s="1783"/>
      <c r="H565" s="1783"/>
    </row>
    <row r="566" spans="1:8">
      <c r="A566" s="1783"/>
      <c r="B566" s="1783"/>
      <c r="C566" s="1783"/>
      <c r="D566" s="1783"/>
      <c r="E566" s="1783"/>
      <c r="F566" s="1783"/>
      <c r="G566" s="1783"/>
      <c r="H566" s="1783"/>
    </row>
    <row r="567" spans="1:8">
      <c r="A567" s="1783"/>
      <c r="B567" s="1783"/>
      <c r="C567" s="1783"/>
      <c r="D567" s="1783"/>
      <c r="E567" s="1783"/>
      <c r="F567" s="1783"/>
      <c r="G567" s="1783"/>
      <c r="H567" s="1783"/>
    </row>
    <row r="568" spans="1:8">
      <c r="A568" s="1783"/>
      <c r="B568" s="1783"/>
      <c r="C568" s="1783"/>
      <c r="D568" s="1783"/>
      <c r="E568" s="1783"/>
      <c r="F568" s="1783"/>
      <c r="G568" s="1783"/>
      <c r="H568" s="1783"/>
    </row>
    <row r="569" spans="1:8">
      <c r="A569" s="1783"/>
      <c r="B569" s="1783"/>
      <c r="C569" s="1783"/>
      <c r="D569" s="1783"/>
      <c r="E569" s="1783"/>
      <c r="F569" s="1783"/>
      <c r="G569" s="1783"/>
      <c r="H569" s="1783"/>
    </row>
    <row r="570" spans="1:8">
      <c r="A570" s="1783"/>
      <c r="B570" s="1783"/>
      <c r="C570" s="1783"/>
      <c r="D570" s="1783"/>
      <c r="E570" s="1783"/>
      <c r="F570" s="1783"/>
      <c r="G570" s="1783"/>
      <c r="H570" s="1783"/>
    </row>
    <row r="571" spans="1:8">
      <c r="A571" s="1783"/>
      <c r="B571" s="1783"/>
      <c r="C571" s="1783"/>
      <c r="D571" s="1783"/>
      <c r="E571" s="1783"/>
      <c r="F571" s="1783"/>
      <c r="G571" s="1783"/>
      <c r="H571" s="1783"/>
    </row>
    <row r="572" spans="1:8">
      <c r="A572" s="1783"/>
      <c r="B572" s="1783"/>
      <c r="C572" s="1783"/>
      <c r="D572" s="1783"/>
      <c r="E572" s="1783"/>
      <c r="F572" s="1783"/>
      <c r="G572" s="1783"/>
      <c r="H572" s="1783"/>
    </row>
    <row r="573" spans="1:8">
      <c r="A573" s="1783"/>
      <c r="B573" s="1783"/>
      <c r="C573" s="1783"/>
      <c r="D573" s="1783"/>
      <c r="E573" s="1783"/>
      <c r="F573" s="1783"/>
      <c r="G573" s="1783"/>
      <c r="H573" s="1783"/>
    </row>
    <row r="574" spans="1:8">
      <c r="A574" s="1783"/>
      <c r="B574" s="1783"/>
      <c r="C574" s="1783"/>
      <c r="D574" s="1783"/>
      <c r="E574" s="1783"/>
      <c r="F574" s="1783"/>
      <c r="G574" s="1783"/>
      <c r="H574" s="1783"/>
    </row>
    <row r="575" spans="1:8">
      <c r="A575" s="1783"/>
      <c r="B575" s="1783"/>
      <c r="C575" s="1783"/>
      <c r="D575" s="1783"/>
      <c r="E575" s="1783"/>
      <c r="F575" s="1783"/>
      <c r="G575" s="1783"/>
      <c r="H575" s="1783"/>
    </row>
    <row r="576" spans="1:8">
      <c r="A576" s="1783"/>
      <c r="B576" s="1783"/>
      <c r="C576" s="1783"/>
      <c r="D576" s="1783"/>
      <c r="E576" s="1783"/>
      <c r="F576" s="1783"/>
      <c r="G576" s="1783"/>
      <c r="H576" s="1783"/>
    </row>
    <row r="577" spans="1:8">
      <c r="A577" s="1783"/>
      <c r="B577" s="1783"/>
      <c r="C577" s="1783"/>
      <c r="D577" s="1783"/>
      <c r="E577" s="1783"/>
      <c r="F577" s="1783"/>
      <c r="G577" s="1783"/>
      <c r="H577" s="1783"/>
    </row>
    <row r="578" spans="1:8">
      <c r="A578" s="1783"/>
      <c r="B578" s="1783"/>
      <c r="C578" s="1783"/>
      <c r="D578" s="1783"/>
      <c r="E578" s="1783"/>
      <c r="F578" s="1783"/>
      <c r="G578" s="1783"/>
      <c r="H578" s="1783"/>
    </row>
    <row r="579" spans="1:8">
      <c r="A579" s="1783"/>
      <c r="B579" s="1783"/>
      <c r="C579" s="1783"/>
      <c r="D579" s="1783"/>
      <c r="E579" s="1783"/>
      <c r="F579" s="1783"/>
      <c r="G579" s="1783"/>
      <c r="H579" s="1783"/>
    </row>
    <row r="580" spans="1:8">
      <c r="A580" s="1783"/>
      <c r="B580" s="1783"/>
      <c r="C580" s="1783"/>
      <c r="D580" s="1783"/>
      <c r="E580" s="1783"/>
      <c r="F580" s="1783"/>
      <c r="G580" s="1783"/>
      <c r="H580" s="1783"/>
    </row>
    <row r="581" spans="1:8">
      <c r="A581" s="1783"/>
      <c r="B581" s="1783"/>
      <c r="C581" s="1783"/>
      <c r="D581" s="1783"/>
      <c r="E581" s="1783"/>
      <c r="F581" s="1783"/>
      <c r="G581" s="1783"/>
      <c r="H581" s="1783"/>
    </row>
    <row r="582" spans="1:8">
      <c r="A582" s="1783"/>
      <c r="B582" s="1783"/>
      <c r="C582" s="1783"/>
      <c r="D582" s="1783"/>
      <c r="E582" s="1783"/>
      <c r="F582" s="1783"/>
      <c r="G582" s="1783"/>
      <c r="H582" s="1783"/>
    </row>
    <row r="583" spans="1:8">
      <c r="A583" s="1783"/>
      <c r="B583" s="1783"/>
      <c r="C583" s="1783"/>
      <c r="D583" s="1783"/>
      <c r="E583" s="1783"/>
      <c r="F583" s="1783"/>
      <c r="G583" s="1783"/>
      <c r="H583" s="1783"/>
    </row>
    <row r="584" spans="1:8">
      <c r="A584" s="1783"/>
      <c r="B584" s="1783"/>
      <c r="C584" s="1783"/>
      <c r="D584" s="1783"/>
      <c r="E584" s="1783"/>
      <c r="F584" s="1783"/>
      <c r="G584" s="1783"/>
      <c r="H584" s="1783"/>
    </row>
    <row r="585" spans="1:8">
      <c r="A585" s="1783"/>
      <c r="B585" s="1783"/>
      <c r="C585" s="1783"/>
      <c r="D585" s="1783"/>
      <c r="E585" s="1783"/>
      <c r="F585" s="1783"/>
      <c r="G585" s="1783"/>
      <c r="H585" s="1783"/>
    </row>
    <row r="586" spans="1:8">
      <c r="A586" s="1783"/>
      <c r="B586" s="1783"/>
      <c r="C586" s="1783"/>
      <c r="D586" s="1783"/>
      <c r="E586" s="1783"/>
      <c r="F586" s="1783"/>
      <c r="G586" s="1783"/>
      <c r="H586" s="1783"/>
    </row>
    <row r="587" spans="1:8">
      <c r="A587" s="1783"/>
      <c r="B587" s="1783"/>
      <c r="C587" s="1783"/>
      <c r="D587" s="1783"/>
      <c r="E587" s="1783"/>
      <c r="F587" s="1783"/>
      <c r="G587" s="1783"/>
      <c r="H587" s="1783"/>
    </row>
    <row r="588" spans="1:8">
      <c r="A588" s="1783"/>
      <c r="B588" s="1783"/>
      <c r="C588" s="1783"/>
      <c r="D588" s="1783"/>
      <c r="E588" s="1783"/>
      <c r="F588" s="1783"/>
      <c r="G588" s="1783"/>
      <c r="H588" s="1783"/>
    </row>
    <row r="589" spans="1:8">
      <c r="A589" s="1783"/>
      <c r="B589" s="1783"/>
      <c r="C589" s="1783"/>
      <c r="D589" s="1783"/>
      <c r="E589" s="1783"/>
      <c r="F589" s="1783"/>
      <c r="G589" s="1783"/>
      <c r="H589" s="1783"/>
    </row>
    <row r="590" spans="1:8">
      <c r="A590" s="1783"/>
      <c r="B590" s="1783"/>
      <c r="C590" s="1783"/>
      <c r="D590" s="1783"/>
      <c r="E590" s="1783"/>
      <c r="F590" s="1783"/>
      <c r="G590" s="1783"/>
      <c r="H590" s="1783"/>
    </row>
    <row r="591" spans="1:8">
      <c r="A591" s="1783"/>
      <c r="B591" s="1783"/>
      <c r="C591" s="1783"/>
      <c r="D591" s="1783"/>
      <c r="E591" s="1783"/>
      <c r="F591" s="1783"/>
      <c r="G591" s="1783"/>
      <c r="H591" s="1783"/>
    </row>
    <row r="592" spans="1:8">
      <c r="A592" s="1783"/>
      <c r="B592" s="1783"/>
      <c r="C592" s="1783"/>
      <c r="D592" s="1783"/>
      <c r="E592" s="1783"/>
      <c r="F592" s="1783"/>
      <c r="G592" s="1783"/>
      <c r="H592" s="1783"/>
    </row>
    <row r="593" spans="1:8">
      <c r="A593" s="1783"/>
      <c r="B593" s="1783"/>
      <c r="C593" s="1783"/>
      <c r="D593" s="1783"/>
      <c r="E593" s="1783"/>
      <c r="F593" s="1783"/>
      <c r="G593" s="1783"/>
      <c r="H593" s="1783"/>
    </row>
    <row r="594" spans="1:8">
      <c r="A594" s="1783"/>
      <c r="B594" s="1783"/>
      <c r="C594" s="1783"/>
      <c r="D594" s="1783"/>
      <c r="E594" s="1783"/>
      <c r="F594" s="1783"/>
      <c r="G594" s="1783"/>
      <c r="H594" s="1783"/>
    </row>
    <row r="595" spans="1:8">
      <c r="A595" s="1783"/>
      <c r="B595" s="1783"/>
      <c r="C595" s="1783"/>
      <c r="D595" s="1783"/>
      <c r="E595" s="1783"/>
      <c r="F595" s="1783"/>
      <c r="G595" s="1783"/>
      <c r="H595" s="1783"/>
    </row>
    <row r="596" spans="1:8">
      <c r="A596" s="1783"/>
      <c r="B596" s="1783"/>
      <c r="C596" s="1783"/>
      <c r="D596" s="1783"/>
      <c r="E596" s="1783"/>
      <c r="F596" s="1783"/>
      <c r="G596" s="1783"/>
      <c r="H596" s="1783"/>
    </row>
    <row r="597" spans="1:8">
      <c r="A597" s="1783"/>
      <c r="B597" s="1783"/>
      <c r="C597" s="1783"/>
      <c r="D597" s="1783"/>
      <c r="E597" s="1783"/>
      <c r="F597" s="1783"/>
      <c r="G597" s="1783"/>
      <c r="H597" s="1783"/>
    </row>
    <row r="598" spans="1:8">
      <c r="A598" s="1783"/>
      <c r="B598" s="1783"/>
      <c r="C598" s="1783"/>
      <c r="D598" s="1783"/>
      <c r="E598" s="1783"/>
      <c r="F598" s="1783"/>
      <c r="G598" s="1783"/>
      <c r="H598" s="1783"/>
    </row>
    <row r="599" spans="1:8">
      <c r="A599" s="1783"/>
      <c r="B599" s="1783"/>
      <c r="C599" s="1783"/>
      <c r="D599" s="1783"/>
      <c r="E599" s="1783"/>
      <c r="F599" s="1783"/>
      <c r="G599" s="1783"/>
      <c r="H599" s="1783"/>
    </row>
    <row r="600" spans="1:8">
      <c r="A600" s="1783"/>
      <c r="B600" s="1783"/>
      <c r="C600" s="1783"/>
      <c r="D600" s="1783"/>
      <c r="E600" s="1783"/>
      <c r="F600" s="1783"/>
      <c r="G600" s="1783"/>
      <c r="H600" s="1783"/>
    </row>
    <row r="601" spans="1:8">
      <c r="A601" s="1783"/>
      <c r="B601" s="1783"/>
      <c r="C601" s="1783"/>
      <c r="D601" s="1783"/>
      <c r="E601" s="1783"/>
      <c r="F601" s="1783"/>
      <c r="G601" s="1783"/>
      <c r="H601" s="1783"/>
    </row>
    <row r="602" spans="1:8">
      <c r="A602" s="1783"/>
      <c r="B602" s="1783"/>
      <c r="C602" s="1783"/>
      <c r="D602" s="1783"/>
      <c r="E602" s="1783"/>
      <c r="F602" s="1783"/>
      <c r="G602" s="1783"/>
      <c r="H602" s="1783"/>
    </row>
    <row r="603" spans="1:8">
      <c r="A603" s="1783"/>
      <c r="B603" s="1783"/>
      <c r="C603" s="1783"/>
      <c r="D603" s="1783"/>
      <c r="E603" s="1783"/>
      <c r="F603" s="1783"/>
      <c r="G603" s="1783"/>
      <c r="H603" s="1783"/>
    </row>
    <row r="604" spans="1:8">
      <c r="A604" s="1783"/>
      <c r="B604" s="1783"/>
      <c r="C604" s="1783"/>
      <c r="D604" s="1783"/>
      <c r="E604" s="1783"/>
      <c r="F604" s="1783"/>
      <c r="G604" s="1783"/>
      <c r="H604" s="1783"/>
    </row>
    <row r="605" spans="1:8">
      <c r="A605" s="1783"/>
      <c r="B605" s="1783"/>
      <c r="C605" s="1783"/>
      <c r="D605" s="1783"/>
      <c r="E605" s="1783"/>
      <c r="F605" s="1783"/>
      <c r="G605" s="1783"/>
      <c r="H605" s="1783"/>
    </row>
    <row r="606" spans="1:8">
      <c r="A606" s="1783"/>
      <c r="B606" s="1783"/>
      <c r="C606" s="1783"/>
      <c r="D606" s="1783"/>
      <c r="E606" s="1783"/>
      <c r="F606" s="1783"/>
      <c r="G606" s="1783"/>
      <c r="H606" s="1783"/>
    </row>
    <row r="607" spans="1:8">
      <c r="A607" s="1783"/>
      <c r="B607" s="1783"/>
      <c r="C607" s="1783"/>
      <c r="D607" s="1783"/>
      <c r="E607" s="1783"/>
      <c r="F607" s="1783"/>
      <c r="G607" s="1783"/>
      <c r="H607" s="1783"/>
    </row>
    <row r="608" spans="1:8">
      <c r="A608" s="1783"/>
      <c r="B608" s="1783"/>
      <c r="C608" s="1783"/>
      <c r="D608" s="1783"/>
      <c r="E608" s="1783"/>
      <c r="F608" s="1783"/>
      <c r="G608" s="1783"/>
      <c r="H608" s="1783"/>
    </row>
    <row r="609" spans="1:8">
      <c r="A609" s="1783"/>
      <c r="B609" s="1783"/>
      <c r="C609" s="1783"/>
      <c r="D609" s="1783"/>
      <c r="E609" s="1783"/>
      <c r="F609" s="1783"/>
      <c r="G609" s="1783"/>
      <c r="H609" s="1783"/>
    </row>
    <row r="610" spans="1:8">
      <c r="A610" s="1783"/>
      <c r="B610" s="1783"/>
      <c r="C610" s="1783"/>
      <c r="D610" s="1783"/>
      <c r="E610" s="1783"/>
      <c r="F610" s="1783"/>
      <c r="G610" s="1783"/>
      <c r="H610" s="1783"/>
    </row>
    <row r="611" spans="1:8">
      <c r="A611" s="1783"/>
      <c r="B611" s="1783"/>
      <c r="C611" s="1783"/>
      <c r="D611" s="1783"/>
      <c r="E611" s="1783"/>
      <c r="F611" s="1783"/>
      <c r="G611" s="1783"/>
      <c r="H611" s="1783"/>
    </row>
    <row r="612" spans="1:8">
      <c r="A612" s="1783"/>
      <c r="B612" s="1783"/>
      <c r="C612" s="1783"/>
      <c r="D612" s="1783"/>
      <c r="E612" s="1783"/>
      <c r="F612" s="1783"/>
      <c r="G612" s="1783"/>
      <c r="H612" s="1783"/>
    </row>
    <row r="613" spans="1:8">
      <c r="A613" s="1783"/>
      <c r="B613" s="1783"/>
      <c r="C613" s="1783"/>
      <c r="D613" s="1783"/>
      <c r="E613" s="1783"/>
      <c r="F613" s="1783"/>
      <c r="G613" s="1783"/>
      <c r="H613" s="1783"/>
    </row>
    <row r="614" spans="1:8">
      <c r="A614" s="1783"/>
      <c r="B614" s="1783"/>
      <c r="C614" s="1783"/>
      <c r="D614" s="1783"/>
      <c r="E614" s="1783"/>
      <c r="F614" s="1783"/>
      <c r="G614" s="1783"/>
      <c r="H614" s="1783"/>
    </row>
    <row r="615" spans="1:8">
      <c r="A615" s="1783"/>
      <c r="B615" s="1783"/>
      <c r="C615" s="1783"/>
      <c r="D615" s="1783"/>
      <c r="E615" s="1783"/>
      <c r="F615" s="1783"/>
      <c r="G615" s="1783"/>
      <c r="H615" s="1783"/>
    </row>
    <row r="616" spans="1:8">
      <c r="A616" s="1783"/>
      <c r="B616" s="1783"/>
      <c r="C616" s="1783"/>
      <c r="D616" s="1783"/>
      <c r="E616" s="1783"/>
      <c r="F616" s="1783"/>
      <c r="G616" s="1783"/>
      <c r="H616" s="1783"/>
    </row>
    <row r="617" spans="1:8">
      <c r="A617" s="1783"/>
      <c r="B617" s="1783"/>
      <c r="C617" s="1783"/>
      <c r="D617" s="1783"/>
      <c r="E617" s="1783"/>
      <c r="F617" s="1783"/>
      <c r="G617" s="1783"/>
      <c r="H617" s="1783"/>
    </row>
    <row r="618" spans="1:8">
      <c r="A618" s="1783"/>
      <c r="B618" s="1783"/>
      <c r="C618" s="1783"/>
      <c r="D618" s="1783"/>
      <c r="E618" s="1783"/>
      <c r="F618" s="1783"/>
      <c r="G618" s="1783"/>
      <c r="H618" s="1783"/>
    </row>
    <row r="619" spans="1:8">
      <c r="A619" s="1783"/>
      <c r="B619" s="1783"/>
      <c r="C619" s="1783"/>
      <c r="D619" s="1783"/>
      <c r="E619" s="1783"/>
      <c r="F619" s="1783"/>
      <c r="G619" s="1783"/>
      <c r="H619" s="1783"/>
    </row>
    <row r="620" spans="1:8">
      <c r="A620" s="1783"/>
      <c r="B620" s="1783"/>
      <c r="C620" s="1783"/>
      <c r="D620" s="1783"/>
      <c r="E620" s="1783"/>
      <c r="F620" s="1783"/>
      <c r="G620" s="1783"/>
      <c r="H620" s="1783"/>
    </row>
    <row r="621" spans="1:8">
      <c r="A621" s="1783"/>
      <c r="B621" s="1783"/>
      <c r="C621" s="1783"/>
      <c r="D621" s="1783"/>
      <c r="E621" s="1783"/>
      <c r="F621" s="1783"/>
      <c r="G621" s="1783"/>
      <c r="H621" s="1783"/>
    </row>
    <row r="622" spans="1:8">
      <c r="A622" s="1783"/>
      <c r="B622" s="1783"/>
      <c r="C622" s="1783"/>
      <c r="D622" s="1783"/>
      <c r="E622" s="1783"/>
      <c r="F622" s="1783"/>
      <c r="G622" s="1783"/>
      <c r="H622" s="1783"/>
    </row>
    <row r="623" spans="1:8">
      <c r="A623" s="1783"/>
      <c r="B623" s="1783"/>
      <c r="C623" s="1783"/>
      <c r="D623" s="1783"/>
      <c r="E623" s="1783"/>
      <c r="F623" s="1783"/>
      <c r="G623" s="1783"/>
      <c r="H623" s="1783"/>
    </row>
    <row r="624" spans="1:8">
      <c r="A624" s="1783"/>
      <c r="B624" s="1783"/>
      <c r="C624" s="1783"/>
      <c r="D624" s="1783"/>
      <c r="E624" s="1783"/>
      <c r="F624" s="1783"/>
      <c r="G624" s="1783"/>
      <c r="H624" s="1783"/>
    </row>
    <row r="625" spans="1:8">
      <c r="A625" s="1783"/>
      <c r="B625" s="1783"/>
      <c r="C625" s="1783"/>
      <c r="D625" s="1783"/>
      <c r="E625" s="1783"/>
      <c r="F625" s="1783"/>
      <c r="G625" s="1783"/>
      <c r="H625" s="1783"/>
    </row>
    <row r="626" spans="1:8">
      <c r="A626" s="1783"/>
      <c r="B626" s="1783"/>
      <c r="C626" s="1783"/>
      <c r="D626" s="1783"/>
      <c r="E626" s="1783"/>
      <c r="F626" s="1783"/>
      <c r="G626" s="1783"/>
      <c r="H626" s="1783"/>
    </row>
    <row r="627" spans="1:8">
      <c r="A627" s="1783"/>
      <c r="B627" s="1783"/>
      <c r="C627" s="1783"/>
      <c r="D627" s="1783"/>
      <c r="E627" s="1783"/>
      <c r="F627" s="1783"/>
      <c r="G627" s="1783"/>
      <c r="H627" s="1783"/>
    </row>
    <row r="628" spans="1:8">
      <c r="A628" s="1783"/>
      <c r="B628" s="1783"/>
      <c r="C628" s="1783"/>
      <c r="D628" s="1783"/>
      <c r="E628" s="1783"/>
      <c r="F628" s="1783"/>
      <c r="G628" s="1783"/>
      <c r="H628" s="1783"/>
    </row>
    <row r="629" spans="1:8">
      <c r="A629" s="1783"/>
      <c r="B629" s="1783"/>
      <c r="C629" s="1783"/>
      <c r="D629" s="1783"/>
      <c r="E629" s="1783"/>
      <c r="F629" s="1783"/>
      <c r="G629" s="1783"/>
      <c r="H629" s="1783"/>
    </row>
    <row r="630" spans="1:8">
      <c r="A630" s="1783"/>
      <c r="B630" s="1783"/>
      <c r="C630" s="1783"/>
      <c r="D630" s="1783"/>
      <c r="E630" s="1783"/>
      <c r="F630" s="1783"/>
      <c r="G630" s="1783"/>
      <c r="H630" s="1783"/>
    </row>
    <row r="631" spans="1:8">
      <c r="A631" s="1783"/>
      <c r="B631" s="1783"/>
      <c r="C631" s="1783"/>
      <c r="D631" s="1783"/>
      <c r="E631" s="1783"/>
      <c r="F631" s="1783"/>
      <c r="G631" s="1783"/>
      <c r="H631" s="1783"/>
    </row>
    <row r="632" spans="1:8">
      <c r="A632" s="1783"/>
      <c r="B632" s="1783"/>
      <c r="C632" s="1783"/>
      <c r="D632" s="1783"/>
      <c r="E632" s="1783"/>
      <c r="F632" s="1783"/>
      <c r="G632" s="1783"/>
      <c r="H632" s="1783"/>
    </row>
    <row r="633" spans="1:8">
      <c r="A633" s="1783"/>
      <c r="B633" s="1783"/>
      <c r="C633" s="1783"/>
      <c r="D633" s="1783"/>
      <c r="E633" s="1783"/>
      <c r="F633" s="1783"/>
      <c r="G633" s="1783"/>
      <c r="H633" s="1783"/>
    </row>
    <row r="634" spans="1:8">
      <c r="A634" s="1783"/>
      <c r="B634" s="1783"/>
      <c r="C634" s="1783"/>
      <c r="D634" s="1783"/>
      <c r="E634" s="1783"/>
      <c r="F634" s="1783"/>
      <c r="G634" s="1783"/>
      <c r="H634" s="1783"/>
    </row>
    <row r="635" spans="1:8">
      <c r="A635" s="1783"/>
      <c r="B635" s="1783"/>
      <c r="C635" s="1783"/>
      <c r="D635" s="1783"/>
      <c r="E635" s="1783"/>
      <c r="F635" s="1783"/>
      <c r="G635" s="1783"/>
      <c r="H635" s="1783"/>
    </row>
    <row r="636" spans="1:8">
      <c r="A636" s="1783"/>
      <c r="B636" s="1783"/>
      <c r="C636" s="1783"/>
      <c r="D636" s="1783"/>
      <c r="E636" s="1783"/>
      <c r="F636" s="1783"/>
      <c r="G636" s="1783"/>
      <c r="H636" s="1783"/>
    </row>
    <row r="637" spans="1:8">
      <c r="A637" s="1783"/>
      <c r="B637" s="1783"/>
      <c r="C637" s="1783"/>
      <c r="D637" s="1783"/>
      <c r="E637" s="1783"/>
      <c r="F637" s="1783"/>
      <c r="G637" s="1783"/>
      <c r="H637" s="1783"/>
    </row>
    <row r="638" spans="1:8">
      <c r="A638" s="1783"/>
      <c r="B638" s="1783"/>
      <c r="C638" s="1783"/>
      <c r="D638" s="1783"/>
      <c r="E638" s="1783"/>
      <c r="F638" s="1783"/>
      <c r="G638" s="1783"/>
      <c r="H638" s="1783"/>
    </row>
    <row r="639" spans="1:8">
      <c r="A639" s="1783"/>
      <c r="B639" s="1783"/>
      <c r="C639" s="1783"/>
      <c r="D639" s="1783"/>
      <c r="E639" s="1783"/>
      <c r="F639" s="1783"/>
      <c r="G639" s="1783"/>
      <c r="H639" s="1783"/>
    </row>
    <row r="640" spans="1:8">
      <c r="A640" s="1783"/>
      <c r="B640" s="1783"/>
      <c r="C640" s="1783"/>
      <c r="D640" s="1783"/>
      <c r="E640" s="1783"/>
      <c r="F640" s="1783"/>
      <c r="G640" s="1783"/>
      <c r="H640" s="1783"/>
    </row>
    <row r="641" spans="1:8">
      <c r="A641" s="1783"/>
      <c r="B641" s="1783"/>
      <c r="C641" s="1783"/>
      <c r="D641" s="1783"/>
      <c r="E641" s="1783"/>
      <c r="F641" s="1783"/>
      <c r="G641" s="1783"/>
      <c r="H641" s="1783"/>
    </row>
    <row r="642" spans="1:8">
      <c r="A642" s="1783"/>
      <c r="B642" s="1783"/>
      <c r="C642" s="1783"/>
      <c r="D642" s="1783"/>
      <c r="E642" s="1783"/>
      <c r="F642" s="1783"/>
      <c r="G642" s="1783"/>
      <c r="H642" s="1783"/>
    </row>
    <row r="643" spans="1:8">
      <c r="A643" s="1783"/>
      <c r="B643" s="1783"/>
      <c r="C643" s="1783"/>
      <c r="D643" s="1783"/>
      <c r="E643" s="1783"/>
      <c r="F643" s="1783"/>
      <c r="G643" s="1783"/>
      <c r="H643" s="1783"/>
    </row>
    <row r="644" spans="1:8">
      <c r="A644" s="1783"/>
      <c r="B644" s="1783"/>
      <c r="C644" s="1783"/>
      <c r="D644" s="1783"/>
      <c r="E644" s="1783"/>
      <c r="F644" s="1783"/>
      <c r="G644" s="1783"/>
      <c r="H644" s="1783"/>
    </row>
    <row r="645" spans="1:8">
      <c r="A645" s="1783"/>
      <c r="B645" s="1783"/>
      <c r="C645" s="1783"/>
      <c r="D645" s="1783"/>
      <c r="E645" s="1783"/>
      <c r="F645" s="1783"/>
      <c r="G645" s="1783"/>
      <c r="H645" s="1783"/>
    </row>
    <row r="646" spans="1:8">
      <c r="A646" s="1783"/>
      <c r="B646" s="1783"/>
      <c r="C646" s="1783"/>
      <c r="D646" s="1783"/>
      <c r="E646" s="1783"/>
      <c r="F646" s="1783"/>
      <c r="G646" s="1783"/>
      <c r="H646" s="1783"/>
    </row>
    <row r="647" spans="1:8">
      <c r="A647" s="1783"/>
      <c r="B647" s="1783"/>
      <c r="C647" s="1783"/>
      <c r="D647" s="1783"/>
      <c r="E647" s="1783"/>
      <c r="F647" s="1783"/>
      <c r="G647" s="1783"/>
      <c r="H647" s="1783"/>
    </row>
    <row r="648" spans="1:8">
      <c r="A648" s="1783"/>
      <c r="B648" s="1783"/>
      <c r="C648" s="1783"/>
      <c r="D648" s="1783"/>
      <c r="E648" s="1783"/>
      <c r="F648" s="1783"/>
      <c r="G648" s="1783"/>
      <c r="H648" s="1783"/>
    </row>
    <row r="649" spans="1:8">
      <c r="A649" s="1783"/>
      <c r="B649" s="1783"/>
      <c r="C649" s="1783"/>
      <c r="D649" s="1783"/>
      <c r="E649" s="1783"/>
      <c r="F649" s="1783"/>
      <c r="G649" s="1783"/>
      <c r="H649" s="1783"/>
    </row>
    <row r="650" spans="1:8">
      <c r="A650" s="1783"/>
      <c r="B650" s="1783"/>
      <c r="C650" s="1783"/>
      <c r="D650" s="1783"/>
      <c r="E650" s="1783"/>
      <c r="F650" s="1783"/>
      <c r="G650" s="1783"/>
      <c r="H650" s="1783"/>
    </row>
    <row r="651" spans="1:8">
      <c r="A651" s="1783"/>
      <c r="B651" s="1783"/>
      <c r="C651" s="1783"/>
      <c r="D651" s="1783"/>
      <c r="E651" s="1783"/>
      <c r="F651" s="1783"/>
      <c r="G651" s="1783"/>
      <c r="H651" s="1783"/>
    </row>
  </sheetData>
  <protectedRanges>
    <protectedRange sqref="C47:D49" name="Range6"/>
    <protectedRange sqref="C38:E39" name="Range5"/>
    <protectedRange sqref="C34:E35" name="Range4"/>
    <protectedRange sqref="C24:D26" name="Range3"/>
    <protectedRange sqref="C15:E16" name="Range2"/>
    <protectedRange sqref="C11:E12" name="Range1"/>
  </protectedRanges>
  <mergeCells count="3">
    <mergeCell ref="B80:F81"/>
    <mergeCell ref="B82:F82"/>
    <mergeCell ref="B83:F8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M52"/>
  <sheetViews>
    <sheetView topLeftCell="A7" zoomScaleNormal="100" workbookViewId="0">
      <selection activeCell="E9" sqref="E9"/>
    </sheetView>
  </sheetViews>
  <sheetFormatPr defaultColWidth="0" defaultRowHeight="12.75" zeroHeight="1"/>
  <cols>
    <col min="1" max="1" width="3.5703125" style="617" customWidth="1"/>
    <col min="2" max="2" width="39.140625" style="617" customWidth="1"/>
    <col min="3" max="3" width="9.5703125" style="617" customWidth="1"/>
    <col min="4" max="5" width="13.5703125" style="617" customWidth="1"/>
    <col min="6" max="6" width="14.42578125" style="617" customWidth="1"/>
    <col min="7" max="7" width="13.5703125" style="617" customWidth="1"/>
    <col min="8" max="8" width="14.5703125" style="617" customWidth="1"/>
    <col min="9" max="9" width="13.5703125" style="617" customWidth="1"/>
    <col min="10" max="10" width="14.7109375" style="617" customWidth="1"/>
    <col min="11" max="11" width="6.85546875" style="617" customWidth="1"/>
    <col min="12" max="12" width="4" style="617" customWidth="1"/>
    <col min="13" max="13" width="2.28515625" style="617" customWidth="1"/>
    <col min="14" max="16384" width="0" style="617" hidden="1"/>
  </cols>
  <sheetData>
    <row r="1" spans="1:13" ht="15.75">
      <c r="A1" s="78"/>
      <c r="B1" s="86" t="s">
        <v>622</v>
      </c>
      <c r="C1" s="86"/>
      <c r="D1" s="632"/>
      <c r="E1" s="632"/>
      <c r="F1" s="632"/>
      <c r="G1" s="78"/>
      <c r="H1" s="78"/>
      <c r="I1" s="78"/>
      <c r="J1" s="78"/>
      <c r="K1" s="78"/>
      <c r="L1" s="78"/>
      <c r="M1" s="78"/>
    </row>
    <row r="2" spans="1:13" ht="15.75" thickBot="1">
      <c r="A2" s="2153" t="s">
        <v>2797</v>
      </c>
      <c r="B2" s="2136" t="s">
        <v>2792</v>
      </c>
      <c r="C2" s="2136" t="s">
        <v>2793</v>
      </c>
      <c r="D2" s="2136" t="s">
        <v>2794</v>
      </c>
      <c r="E2" s="2136" t="s">
        <v>2795</v>
      </c>
      <c r="F2" s="2136" t="s">
        <v>2792</v>
      </c>
      <c r="G2" s="2137" t="s">
        <v>2793</v>
      </c>
      <c r="H2" s="2137" t="s">
        <v>2794</v>
      </c>
      <c r="I2" s="2137" t="s">
        <v>2796</v>
      </c>
      <c r="J2" s="2137" t="s">
        <v>2787</v>
      </c>
      <c r="K2" s="78"/>
      <c r="L2" s="78"/>
      <c r="M2" s="78"/>
    </row>
    <row r="3" spans="1:13" ht="16.5" thickBot="1">
      <c r="A3" s="104"/>
      <c r="B3" s="104" t="s">
        <v>1179</v>
      </c>
      <c r="C3" s="104"/>
      <c r="D3" s="109"/>
      <c r="E3" s="109"/>
      <c r="F3" s="109"/>
      <c r="G3" s="887" t="s">
        <v>163</v>
      </c>
      <c r="H3" s="172"/>
      <c r="I3" s="2018" t="str">
        <f>'1 Summary'!$G$2</f>
        <v/>
      </c>
      <c r="J3" s="2019"/>
      <c r="K3" s="2020"/>
      <c r="L3" s="2021"/>
      <c r="M3" s="78"/>
    </row>
    <row r="4" spans="1:13" ht="16.5" thickBot="1">
      <c r="A4" s="104"/>
      <c r="B4" s="104" t="s">
        <v>2916</v>
      </c>
      <c r="C4" s="104"/>
      <c r="D4" s="109"/>
      <c r="E4" s="109"/>
      <c r="F4" s="109"/>
      <c r="G4" s="42" t="s">
        <v>653</v>
      </c>
      <c r="H4" s="158"/>
      <c r="I4" s="851">
        <f>'1 Summary'!$G$3</f>
        <v>0</v>
      </c>
      <c r="J4" s="200"/>
      <c r="K4" s="200"/>
      <c r="L4" s="812"/>
      <c r="M4" s="78"/>
    </row>
    <row r="5" spans="1:13" ht="15.75">
      <c r="A5" s="888"/>
      <c r="B5" s="104"/>
      <c r="C5" s="104"/>
      <c r="D5" s="104"/>
      <c r="E5" s="104"/>
      <c r="F5" s="104"/>
      <c r="G5" s="104"/>
      <c r="H5" s="104"/>
      <c r="I5" s="104"/>
      <c r="J5" s="104"/>
      <c r="K5" s="104"/>
      <c r="L5" s="78"/>
      <c r="M5" s="78"/>
    </row>
    <row r="6" spans="1:13" ht="15.75">
      <c r="A6" s="104"/>
      <c r="B6" s="86"/>
      <c r="C6" s="86"/>
      <c r="D6" s="78"/>
      <c r="E6" s="78"/>
      <c r="F6" s="78"/>
      <c r="G6" s="813"/>
      <c r="H6" s="814"/>
      <c r="I6" s="889"/>
      <c r="J6" s="815"/>
      <c r="K6" s="78"/>
      <c r="L6" s="78"/>
      <c r="M6" s="78"/>
    </row>
    <row r="7" spans="1:13" ht="15.75">
      <c r="A7" s="104"/>
      <c r="B7" s="86"/>
      <c r="C7" s="86" t="s">
        <v>789</v>
      </c>
      <c r="D7" s="2052" t="s">
        <v>180</v>
      </c>
      <c r="E7" s="2053"/>
      <c r="F7" s="2053"/>
      <c r="G7" s="2053"/>
      <c r="H7" s="2053"/>
      <c r="I7" s="2053"/>
      <c r="J7" s="2054"/>
      <c r="K7" s="78" t="s">
        <v>789</v>
      </c>
      <c r="L7" s="78" t="s">
        <v>789</v>
      </c>
      <c r="M7" s="78" t="s">
        <v>789</v>
      </c>
    </row>
    <row r="8" spans="1:13" ht="60.75">
      <c r="A8" s="104"/>
      <c r="B8" s="817" t="s">
        <v>179</v>
      </c>
      <c r="C8" s="817"/>
      <c r="D8" s="818" t="s">
        <v>1194</v>
      </c>
      <c r="E8" s="818" t="s">
        <v>1195</v>
      </c>
      <c r="F8" s="818" t="s">
        <v>1196</v>
      </c>
      <c r="G8" s="818" t="s">
        <v>1197</v>
      </c>
      <c r="H8" s="818" t="s">
        <v>734</v>
      </c>
      <c r="I8" s="818" t="s">
        <v>1795</v>
      </c>
      <c r="J8" s="818" t="s">
        <v>1796</v>
      </c>
      <c r="K8" s="78"/>
      <c r="L8" s="78"/>
      <c r="M8" s="78"/>
    </row>
    <row r="9" spans="1:13" ht="15.75">
      <c r="A9" s="78"/>
      <c r="B9" s="848" t="s">
        <v>204</v>
      </c>
      <c r="C9" s="848"/>
      <c r="D9" s="821" t="s">
        <v>205</v>
      </c>
      <c r="E9" s="821" t="s">
        <v>1884</v>
      </c>
      <c r="F9" s="821" t="s">
        <v>1885</v>
      </c>
      <c r="G9" s="821" t="s">
        <v>1886</v>
      </c>
      <c r="H9" s="821">
        <v>7</v>
      </c>
      <c r="I9" s="821">
        <v>8</v>
      </c>
      <c r="J9" s="821">
        <v>9</v>
      </c>
      <c r="K9" s="78"/>
      <c r="L9" s="78"/>
      <c r="M9" s="78"/>
    </row>
    <row r="10" spans="1:13" ht="15.75">
      <c r="A10" s="78"/>
      <c r="B10" s="822" t="s">
        <v>1311</v>
      </c>
      <c r="C10" s="823">
        <v>31</v>
      </c>
      <c r="D10" s="838"/>
      <c r="E10" s="838"/>
      <c r="F10" s="825"/>
      <c r="G10" s="838"/>
      <c r="H10" s="825"/>
      <c r="I10" s="838"/>
      <c r="J10" s="838"/>
      <c r="K10" s="78"/>
      <c r="L10" s="78"/>
      <c r="M10" s="78"/>
    </row>
    <row r="11" spans="1:13" ht="15.75">
      <c r="A11" s="78"/>
      <c r="B11" s="822" t="s">
        <v>2864</v>
      </c>
      <c r="C11" s="823">
        <v>32</v>
      </c>
      <c r="D11" s="838"/>
      <c r="E11" s="838"/>
      <c r="F11" s="825"/>
      <c r="G11" s="825"/>
      <c r="H11" s="825"/>
      <c r="I11" s="825"/>
      <c r="J11" s="825"/>
      <c r="K11" s="78"/>
      <c r="L11" s="78"/>
      <c r="M11" s="78"/>
    </row>
    <row r="12" spans="1:13" ht="15.75">
      <c r="A12" s="78"/>
      <c r="B12" s="822" t="s">
        <v>1813</v>
      </c>
      <c r="C12" s="823">
        <v>33.1</v>
      </c>
      <c r="D12" s="838"/>
      <c r="E12" s="838"/>
      <c r="F12" s="825"/>
      <c r="G12" s="825"/>
      <c r="H12" s="825"/>
      <c r="I12" s="825"/>
      <c r="J12" s="825"/>
      <c r="K12" s="78"/>
      <c r="L12" s="78"/>
      <c r="M12" s="78"/>
    </row>
    <row r="13" spans="1:13" ht="15.75">
      <c r="A13" s="78"/>
      <c r="B13" s="822" t="s">
        <v>2269</v>
      </c>
      <c r="C13" s="823">
        <v>33.200000000000003</v>
      </c>
      <c r="D13" s="838"/>
      <c r="E13" s="838"/>
      <c r="F13" s="825"/>
      <c r="G13" s="825"/>
      <c r="H13" s="825"/>
      <c r="I13" s="825"/>
      <c r="J13" s="825"/>
      <c r="K13" s="78"/>
      <c r="L13" s="78"/>
      <c r="M13" s="78"/>
    </row>
    <row r="14" spans="1:13" ht="30.75">
      <c r="A14" s="78"/>
      <c r="B14" s="817" t="s">
        <v>2126</v>
      </c>
      <c r="C14" s="827">
        <v>35</v>
      </c>
      <c r="D14" s="825"/>
      <c r="E14" s="825"/>
      <c r="F14" s="825"/>
      <c r="G14" s="838"/>
      <c r="H14" s="825"/>
      <c r="I14" s="838"/>
      <c r="J14" s="838"/>
      <c r="K14" s="78"/>
      <c r="L14" s="78"/>
      <c r="M14" s="78"/>
    </row>
    <row r="15" spans="1:13" ht="15.75">
      <c r="A15" s="78"/>
      <c r="B15" s="822" t="s">
        <v>1814</v>
      </c>
      <c r="C15" s="823">
        <v>34</v>
      </c>
      <c r="D15" s="825"/>
      <c r="E15" s="825"/>
      <c r="F15" s="825"/>
      <c r="G15" s="838"/>
      <c r="H15" s="838"/>
      <c r="I15" s="838"/>
      <c r="J15" s="838"/>
      <c r="K15" s="78"/>
      <c r="L15" s="78"/>
      <c r="M15" s="78"/>
    </row>
    <row r="16" spans="1:13" ht="30.75">
      <c r="A16" s="78"/>
      <c r="B16" s="817" t="s">
        <v>1543</v>
      </c>
      <c r="C16" s="827">
        <v>36</v>
      </c>
      <c r="D16" s="838"/>
      <c r="E16" s="838"/>
      <c r="F16" s="825"/>
      <c r="G16" s="838"/>
      <c r="H16" s="825"/>
      <c r="I16" s="838"/>
      <c r="J16" s="838"/>
      <c r="K16" s="78"/>
      <c r="L16" s="78"/>
      <c r="M16" s="78"/>
    </row>
    <row r="17" spans="1:13" ht="15.75">
      <c r="A17" s="78"/>
      <c r="B17" s="822" t="s">
        <v>197</v>
      </c>
      <c r="C17" s="823">
        <v>37</v>
      </c>
      <c r="D17" s="838"/>
      <c r="E17" s="838"/>
      <c r="F17" s="825"/>
      <c r="G17" s="838"/>
      <c r="H17" s="825"/>
      <c r="I17" s="828"/>
      <c r="J17" s="838"/>
      <c r="K17" s="78"/>
      <c r="L17" s="78"/>
      <c r="M17" s="78"/>
    </row>
    <row r="18" spans="1:13" ht="15.75">
      <c r="A18" s="78"/>
      <c r="B18" s="822" t="s">
        <v>1196</v>
      </c>
      <c r="C18" s="823">
        <v>38</v>
      </c>
      <c r="D18" s="838"/>
      <c r="E18" s="838"/>
      <c r="F18" s="838"/>
      <c r="G18" s="825"/>
      <c r="H18" s="825"/>
      <c r="I18" s="825"/>
      <c r="J18" s="825"/>
      <c r="K18" s="78"/>
      <c r="L18" s="78"/>
      <c r="M18" s="78"/>
    </row>
    <row r="19" spans="1:13" ht="15.75">
      <c r="A19" s="78"/>
      <c r="B19" s="817" t="s">
        <v>1389</v>
      </c>
      <c r="C19" s="827">
        <v>43</v>
      </c>
      <c r="D19" s="838"/>
      <c r="E19" s="838"/>
      <c r="F19" s="828"/>
      <c r="G19" s="828"/>
      <c r="H19" s="825"/>
      <c r="I19" s="825"/>
      <c r="J19" s="825"/>
      <c r="K19" s="78"/>
      <c r="L19" s="78"/>
      <c r="M19" s="78"/>
    </row>
    <row r="20" spans="1:13" ht="15.75">
      <c r="A20" s="78"/>
      <c r="B20" s="848" t="s">
        <v>1880</v>
      </c>
      <c r="C20" s="823"/>
      <c r="D20" s="849">
        <f>SUM(D10:D19)</f>
        <v>0</v>
      </c>
      <c r="E20" s="849">
        <f t="shared" ref="E20:G20" si="0">SUM(E10:E19)</f>
        <v>0</v>
      </c>
      <c r="F20" s="849">
        <f t="shared" si="0"/>
        <v>0</v>
      </c>
      <c r="G20" s="849">
        <f t="shared" si="0"/>
        <v>0</v>
      </c>
      <c r="H20" s="849">
        <f>SUM(H10:H19)</f>
        <v>0</v>
      </c>
      <c r="I20" s="849">
        <f>SUM(I10:I19)</f>
        <v>0</v>
      </c>
      <c r="J20" s="849">
        <f>SUM(J10:J19)</f>
        <v>0</v>
      </c>
      <c r="K20" s="78"/>
      <c r="L20" s="78"/>
      <c r="M20" s="78"/>
    </row>
    <row r="21" spans="1:13" ht="15.75">
      <c r="A21" s="78"/>
      <c r="B21" s="848" t="s">
        <v>623</v>
      </c>
      <c r="C21" s="840"/>
      <c r="D21" s="890"/>
      <c r="E21" s="891"/>
      <c r="F21" s="891"/>
      <c r="G21" s="891"/>
      <c r="H21" s="891"/>
      <c r="I21" s="892"/>
      <c r="J21" s="893"/>
      <c r="K21" s="1915"/>
      <c r="L21" s="200"/>
      <c r="M21" s="78"/>
    </row>
    <row r="22" spans="1:13" ht="15.75">
      <c r="A22" s="78"/>
      <c r="B22" s="817" t="s">
        <v>1388</v>
      </c>
      <c r="C22" s="827">
        <v>41</v>
      </c>
      <c r="D22" s="838"/>
      <c r="E22" s="838"/>
      <c r="F22" s="838"/>
      <c r="G22" s="838"/>
      <c r="H22" s="825"/>
      <c r="I22" s="825"/>
      <c r="J22" s="825"/>
      <c r="K22" s="78"/>
      <c r="L22" s="78"/>
      <c r="M22" s="78"/>
    </row>
    <row r="23" spans="1:13" ht="30.75">
      <c r="A23" s="78"/>
      <c r="B23" s="817" t="s">
        <v>2054</v>
      </c>
      <c r="C23" s="827">
        <v>42</v>
      </c>
      <c r="D23" s="838"/>
      <c r="E23" s="838"/>
      <c r="F23" s="838"/>
      <c r="G23" s="838"/>
      <c r="H23" s="838"/>
      <c r="I23" s="838"/>
      <c r="J23" s="838"/>
      <c r="K23" s="78"/>
      <c r="L23" s="78"/>
      <c r="M23" s="78"/>
    </row>
    <row r="24" spans="1:13" ht="15.75">
      <c r="A24" s="78"/>
      <c r="B24" s="822" t="s">
        <v>624</v>
      </c>
      <c r="C24" s="823">
        <v>39</v>
      </c>
      <c r="D24" s="838"/>
      <c r="E24" s="838"/>
      <c r="F24" s="828"/>
      <c r="G24" s="838"/>
      <c r="H24" s="828"/>
      <c r="I24" s="838"/>
      <c r="J24" s="838"/>
      <c r="K24" s="78"/>
      <c r="L24" s="78"/>
      <c r="M24" s="78"/>
    </row>
    <row r="25" spans="1:13" ht="15.75">
      <c r="A25" s="78"/>
      <c r="B25" s="848" t="s">
        <v>1223</v>
      </c>
      <c r="C25" s="823">
        <v>50</v>
      </c>
      <c r="D25" s="849">
        <f>SUM(D20:D24)</f>
        <v>0</v>
      </c>
      <c r="E25" s="849">
        <f>SUM(E20:E24)</f>
        <v>0</v>
      </c>
      <c r="F25" s="849">
        <f t="shared" ref="F25:G25" si="1">SUM(F20:F24)</f>
        <v>0</v>
      </c>
      <c r="G25" s="849">
        <f t="shared" si="1"/>
        <v>0</v>
      </c>
      <c r="H25" s="849">
        <f>SUM(H20:H24)</f>
        <v>0</v>
      </c>
      <c r="I25" s="849">
        <f>SUM(I20:I24)</f>
        <v>0</v>
      </c>
      <c r="J25" s="849">
        <f>SUM(J20:J24)</f>
        <v>0</v>
      </c>
      <c r="K25" s="78"/>
      <c r="L25" s="78"/>
      <c r="M25" s="78"/>
    </row>
    <row r="26" spans="1:13" ht="15">
      <c r="A26" s="78"/>
      <c r="B26" s="78"/>
      <c r="C26" s="78"/>
      <c r="D26" s="78"/>
      <c r="E26" s="78"/>
      <c r="F26" s="78"/>
      <c r="G26" s="78"/>
      <c r="H26" s="78"/>
      <c r="I26" s="78"/>
      <c r="J26" s="78"/>
      <c r="K26" s="78"/>
      <c r="L26" s="78"/>
      <c r="M26" s="78"/>
    </row>
    <row r="27" spans="1:13" ht="15">
      <c r="A27" s="78"/>
      <c r="B27" s="78"/>
      <c r="C27" s="78"/>
      <c r="D27" s="78"/>
      <c r="E27" s="78"/>
      <c r="F27" s="78"/>
      <c r="G27" s="78"/>
      <c r="H27" s="78"/>
      <c r="I27" s="78"/>
      <c r="J27" s="78"/>
      <c r="K27" s="78"/>
      <c r="L27" s="78"/>
      <c r="M27" s="78"/>
    </row>
    <row r="28" spans="1:13" ht="15">
      <c r="A28" s="78"/>
      <c r="B28" s="78"/>
      <c r="C28" s="78"/>
      <c r="D28" s="78"/>
      <c r="E28" s="78"/>
      <c r="F28" s="78"/>
      <c r="G28" s="78"/>
      <c r="H28" s="78"/>
      <c r="I28" s="78"/>
      <c r="J28" s="78"/>
      <c r="K28" s="78"/>
      <c r="L28" s="78"/>
      <c r="M28" s="78"/>
    </row>
    <row r="29" spans="1:13" ht="15">
      <c r="A29" s="78"/>
      <c r="B29" s="78"/>
      <c r="C29" s="78"/>
      <c r="D29" s="78"/>
      <c r="E29" s="78"/>
      <c r="F29" s="78"/>
      <c r="G29" s="78"/>
      <c r="H29" s="78"/>
      <c r="I29" s="78"/>
      <c r="J29" s="78"/>
      <c r="K29" s="78"/>
      <c r="L29" s="78"/>
      <c r="M29" s="78"/>
    </row>
    <row r="30" spans="1:13" ht="15.75">
      <c r="A30" s="78"/>
      <c r="B30" s="78" t="s">
        <v>789</v>
      </c>
      <c r="C30" s="78" t="s">
        <v>789</v>
      </c>
      <c r="D30" s="2052" t="str">
        <f>D7</f>
        <v>**********************************************************Expenses recorded on an adjusted compliance basis ONLY **********************************************************</v>
      </c>
      <c r="E30" s="2053"/>
      <c r="F30" s="2053"/>
      <c r="G30" s="2053"/>
      <c r="H30" s="2053"/>
      <c r="I30" s="2053"/>
      <c r="J30" s="2054"/>
      <c r="K30" s="78" t="s">
        <v>789</v>
      </c>
      <c r="L30" s="78" t="s">
        <v>789</v>
      </c>
      <c r="M30" s="78" t="s">
        <v>789</v>
      </c>
    </row>
    <row r="31" spans="1:13" ht="94.5">
      <c r="A31" s="78"/>
      <c r="B31" s="817" t="str">
        <f>B8</f>
        <v>Expense Categories (as used in Uniform Code of Accounts)</v>
      </c>
      <c r="C31" s="817"/>
      <c r="D31" s="818" t="s">
        <v>642</v>
      </c>
      <c r="E31" s="818" t="s">
        <v>539</v>
      </c>
      <c r="F31" s="818" t="s">
        <v>494</v>
      </c>
      <c r="G31" s="818" t="s">
        <v>495</v>
      </c>
      <c r="H31" s="894" t="s">
        <v>160</v>
      </c>
      <c r="I31" s="818" t="s">
        <v>496</v>
      </c>
      <c r="J31" s="894" t="s">
        <v>1011</v>
      </c>
      <c r="K31" s="78"/>
      <c r="L31" s="78"/>
      <c r="M31" s="78"/>
    </row>
    <row r="32" spans="1:13" ht="15.75">
      <c r="A32" s="78"/>
      <c r="B32" s="848" t="s">
        <v>204</v>
      </c>
      <c r="C32" s="848"/>
      <c r="D32" s="821">
        <v>10</v>
      </c>
      <c r="E32" s="821">
        <v>11</v>
      </c>
      <c r="F32" s="821">
        <v>12</v>
      </c>
      <c r="G32" s="821">
        <v>13</v>
      </c>
      <c r="H32" s="821">
        <v>14</v>
      </c>
      <c r="I32" s="821">
        <v>15</v>
      </c>
      <c r="J32" s="821">
        <v>16</v>
      </c>
      <c r="K32" s="78"/>
      <c r="L32" s="78"/>
      <c r="M32" s="78"/>
    </row>
    <row r="33" spans="1:13" ht="15.75">
      <c r="A33" s="78"/>
      <c r="B33" s="822" t="s">
        <v>1311</v>
      </c>
      <c r="C33" s="895">
        <v>31</v>
      </c>
      <c r="D33" s="825"/>
      <c r="E33" s="838"/>
      <c r="F33" s="838"/>
      <c r="G33" s="825"/>
      <c r="H33" s="826">
        <f t="shared" ref="H33:H42" si="2">SUM(D10:J10)+SUM(D33:G33)</f>
        <v>0</v>
      </c>
      <c r="I33" s="838"/>
      <c r="J33" s="896">
        <f t="shared" ref="J33:J41" si="3">+H33-I33</f>
        <v>0</v>
      </c>
      <c r="K33" s="815"/>
      <c r="L33" s="78"/>
      <c r="M33" s="78"/>
    </row>
    <row r="34" spans="1:13" ht="15.75">
      <c r="A34" s="78"/>
      <c r="B34" s="822" t="s">
        <v>1812</v>
      </c>
      <c r="C34" s="895">
        <v>32</v>
      </c>
      <c r="D34" s="825"/>
      <c r="E34" s="838"/>
      <c r="F34" s="825"/>
      <c r="G34" s="825"/>
      <c r="H34" s="826">
        <f t="shared" si="2"/>
        <v>0</v>
      </c>
      <c r="I34" s="838"/>
      <c r="J34" s="896">
        <f t="shared" si="3"/>
        <v>0</v>
      </c>
      <c r="K34" s="815"/>
      <c r="L34" s="78"/>
      <c r="M34" s="78"/>
    </row>
    <row r="35" spans="1:13" ht="15.75">
      <c r="A35" s="78"/>
      <c r="B35" s="822" t="s">
        <v>1813</v>
      </c>
      <c r="C35" s="823">
        <v>33.1</v>
      </c>
      <c r="D35" s="825"/>
      <c r="E35" s="838"/>
      <c r="F35" s="825"/>
      <c r="G35" s="825"/>
      <c r="H35" s="826">
        <f t="shared" si="2"/>
        <v>0</v>
      </c>
      <c r="I35" s="838"/>
      <c r="J35" s="896">
        <f t="shared" si="3"/>
        <v>0</v>
      </c>
      <c r="K35" s="815"/>
      <c r="L35" s="78"/>
      <c r="M35" s="78"/>
    </row>
    <row r="36" spans="1:13" ht="15.75">
      <c r="A36" s="78"/>
      <c r="B36" s="822" t="s">
        <v>2269</v>
      </c>
      <c r="C36" s="823">
        <v>33.200000000000003</v>
      </c>
      <c r="D36" s="825"/>
      <c r="E36" s="838"/>
      <c r="F36" s="825"/>
      <c r="G36" s="825"/>
      <c r="H36" s="826">
        <f t="shared" si="2"/>
        <v>0</v>
      </c>
      <c r="I36" s="838"/>
      <c r="J36" s="896">
        <f t="shared" si="3"/>
        <v>0</v>
      </c>
      <c r="K36" s="815"/>
      <c r="L36" s="78"/>
      <c r="M36" s="78"/>
    </row>
    <row r="37" spans="1:13" ht="30.75">
      <c r="A37" s="78"/>
      <c r="B37" s="817" t="s">
        <v>2126</v>
      </c>
      <c r="C37" s="895">
        <v>35</v>
      </c>
      <c r="D37" s="838"/>
      <c r="E37" s="838"/>
      <c r="F37" s="838"/>
      <c r="G37" s="828"/>
      <c r="H37" s="826">
        <f t="shared" si="2"/>
        <v>0</v>
      </c>
      <c r="I37" s="838"/>
      <c r="J37" s="896">
        <f t="shared" si="3"/>
        <v>0</v>
      </c>
      <c r="K37" s="815"/>
      <c r="L37" s="78"/>
      <c r="M37" s="78"/>
    </row>
    <row r="38" spans="1:13" ht="15.75">
      <c r="A38" s="78"/>
      <c r="B38" s="822" t="s">
        <v>1814</v>
      </c>
      <c r="C38" s="895">
        <v>34</v>
      </c>
      <c r="D38" s="825"/>
      <c r="E38" s="838"/>
      <c r="F38" s="838"/>
      <c r="G38" s="825"/>
      <c r="H38" s="826">
        <f t="shared" si="2"/>
        <v>0</v>
      </c>
      <c r="I38" s="838"/>
      <c r="J38" s="896">
        <f t="shared" si="3"/>
        <v>0</v>
      </c>
      <c r="K38" s="815"/>
      <c r="L38" s="78"/>
      <c r="M38" s="78"/>
    </row>
    <row r="39" spans="1:13" ht="30.75">
      <c r="A39" s="78"/>
      <c r="B39" s="817" t="s">
        <v>1543</v>
      </c>
      <c r="C39" s="895">
        <v>36</v>
      </c>
      <c r="D39" s="838"/>
      <c r="E39" s="838"/>
      <c r="F39" s="838"/>
      <c r="G39" s="828"/>
      <c r="H39" s="826">
        <f t="shared" si="2"/>
        <v>0</v>
      </c>
      <c r="I39" s="838"/>
      <c r="J39" s="896">
        <f t="shared" si="3"/>
        <v>0</v>
      </c>
      <c r="K39" s="815"/>
      <c r="L39" s="78"/>
      <c r="M39" s="78"/>
    </row>
    <row r="40" spans="1:13" ht="15.75">
      <c r="A40" s="78"/>
      <c r="B40" s="822" t="s">
        <v>197</v>
      </c>
      <c r="C40" s="895">
        <v>37</v>
      </c>
      <c r="D40" s="838"/>
      <c r="E40" s="838"/>
      <c r="F40" s="828"/>
      <c r="G40" s="828"/>
      <c r="H40" s="826">
        <f t="shared" si="2"/>
        <v>0</v>
      </c>
      <c r="I40" s="838"/>
      <c r="J40" s="896">
        <f t="shared" si="3"/>
        <v>0</v>
      </c>
      <c r="K40" s="815"/>
      <c r="L40" s="78"/>
      <c r="M40" s="78"/>
    </row>
    <row r="41" spans="1:13" ht="15.75">
      <c r="A41" s="78"/>
      <c r="B41" s="822" t="s">
        <v>1196</v>
      </c>
      <c r="C41" s="895">
        <v>38</v>
      </c>
      <c r="D41" s="838"/>
      <c r="E41" s="838"/>
      <c r="F41" s="828"/>
      <c r="G41" s="828"/>
      <c r="H41" s="826">
        <f t="shared" si="2"/>
        <v>0</v>
      </c>
      <c r="I41" s="838"/>
      <c r="J41" s="896">
        <f t="shared" si="3"/>
        <v>0</v>
      </c>
      <c r="K41" s="815"/>
      <c r="L41" s="78"/>
      <c r="M41" s="78"/>
    </row>
    <row r="42" spans="1:13" ht="15.75">
      <c r="A42" s="78"/>
      <c r="B42" s="817" t="s">
        <v>1389</v>
      </c>
      <c r="C42" s="895">
        <v>43</v>
      </c>
      <c r="D42" s="828"/>
      <c r="E42" s="838"/>
      <c r="F42" s="828"/>
      <c r="G42" s="828"/>
      <c r="H42" s="826">
        <f t="shared" si="2"/>
        <v>0</v>
      </c>
      <c r="I42" s="838"/>
      <c r="J42" s="896">
        <f>+H42-I42</f>
        <v>0</v>
      </c>
      <c r="K42" s="815"/>
      <c r="L42" s="78"/>
      <c r="M42" s="78"/>
    </row>
    <row r="43" spans="1:13" ht="15.75">
      <c r="A43" s="78"/>
      <c r="B43" s="848" t="s">
        <v>1880</v>
      </c>
      <c r="C43" s="895"/>
      <c r="D43" s="849">
        <f t="shared" ref="D43:J43" si="4">SUM(D33:D42)</f>
        <v>0</v>
      </c>
      <c r="E43" s="849">
        <f t="shared" si="4"/>
        <v>0</v>
      </c>
      <c r="F43" s="849">
        <f t="shared" si="4"/>
        <v>0</v>
      </c>
      <c r="G43" s="849">
        <f t="shared" si="4"/>
        <v>0</v>
      </c>
      <c r="H43" s="849">
        <f t="shared" si="4"/>
        <v>0</v>
      </c>
      <c r="I43" s="849">
        <f t="shared" si="4"/>
        <v>0</v>
      </c>
      <c r="J43" s="849">
        <f t="shared" si="4"/>
        <v>0</v>
      </c>
      <c r="K43" s="815"/>
      <c r="L43" s="78"/>
      <c r="M43" s="78"/>
    </row>
    <row r="44" spans="1:13" ht="15.75">
      <c r="A44" s="78"/>
      <c r="B44" s="848" t="s">
        <v>623</v>
      </c>
      <c r="C44" s="895"/>
      <c r="D44" s="893"/>
      <c r="E44" s="893"/>
      <c r="F44" s="893"/>
      <c r="G44" s="893"/>
      <c r="H44" s="897"/>
      <c r="I44" s="893"/>
      <c r="J44" s="893"/>
      <c r="K44" s="815"/>
      <c r="L44" s="78"/>
      <c r="M44" s="78"/>
    </row>
    <row r="45" spans="1:13" ht="15.75">
      <c r="A45" s="78"/>
      <c r="B45" s="817" t="s">
        <v>1388</v>
      </c>
      <c r="C45" s="895">
        <v>41</v>
      </c>
      <c r="D45" s="838"/>
      <c r="E45" s="838"/>
      <c r="F45" s="828"/>
      <c r="G45" s="828"/>
      <c r="H45" s="826">
        <f>SUM(D22:J22)+SUM(D45:G45)</f>
        <v>0</v>
      </c>
      <c r="I45" s="838"/>
      <c r="J45" s="896">
        <f>+H45-I45</f>
        <v>0</v>
      </c>
      <c r="K45" s="815"/>
      <c r="L45" s="78"/>
      <c r="M45" s="78"/>
    </row>
    <row r="46" spans="1:13" ht="30.75">
      <c r="A46" s="78"/>
      <c r="B46" s="817" t="s">
        <v>2054</v>
      </c>
      <c r="C46" s="895">
        <v>42</v>
      </c>
      <c r="D46" s="828"/>
      <c r="E46" s="838"/>
      <c r="F46" s="838"/>
      <c r="G46" s="828"/>
      <c r="H46" s="826">
        <f>SUM(D23:J23)+SUM(D46:G46)</f>
        <v>0</v>
      </c>
      <c r="I46" s="838"/>
      <c r="J46" s="896">
        <f>+H46-I46</f>
        <v>0</v>
      </c>
      <c r="K46" s="815"/>
      <c r="L46" s="78"/>
      <c r="M46" s="78"/>
    </row>
    <row r="47" spans="1:13" ht="15.75">
      <c r="A47" s="78"/>
      <c r="B47" s="822" t="s">
        <v>624</v>
      </c>
      <c r="C47" s="895">
        <v>39</v>
      </c>
      <c r="D47" s="838"/>
      <c r="E47" s="838"/>
      <c r="F47" s="838"/>
      <c r="G47" s="828"/>
      <c r="H47" s="826">
        <f>SUM(D24:J24)+SUM(D47:G47)</f>
        <v>0</v>
      </c>
      <c r="I47" s="838"/>
      <c r="J47" s="896">
        <f>+H47-I47</f>
        <v>0</v>
      </c>
      <c r="K47" s="815"/>
      <c r="L47" s="78"/>
      <c r="M47" s="78"/>
    </row>
    <row r="48" spans="1:13" ht="15.75">
      <c r="A48" s="78"/>
      <c r="B48" s="848" t="s">
        <v>1223</v>
      </c>
      <c r="C48" s="895">
        <v>50</v>
      </c>
      <c r="D48" s="849">
        <f t="shared" ref="D48:J48" si="5">SUM(D43:D47)</f>
        <v>0</v>
      </c>
      <c r="E48" s="849">
        <f t="shared" si="5"/>
        <v>0</v>
      </c>
      <c r="F48" s="849">
        <f t="shared" si="5"/>
        <v>0</v>
      </c>
      <c r="G48" s="849">
        <f t="shared" si="5"/>
        <v>0</v>
      </c>
      <c r="H48" s="849">
        <f t="shared" si="5"/>
        <v>0</v>
      </c>
      <c r="I48" s="849">
        <f t="shared" si="5"/>
        <v>0</v>
      </c>
      <c r="J48" s="849">
        <f t="shared" si="5"/>
        <v>0</v>
      </c>
      <c r="K48" s="815"/>
      <c r="L48" s="78"/>
      <c r="M48" s="78"/>
    </row>
    <row r="49" spans="1:13" ht="15">
      <c r="A49" s="78"/>
      <c r="B49" s="78"/>
      <c r="C49" s="78"/>
      <c r="D49" s="78"/>
      <c r="E49" s="78"/>
      <c r="F49" s="78"/>
      <c r="G49" s="78"/>
      <c r="H49" s="78"/>
      <c r="I49" s="78"/>
      <c r="J49" s="78"/>
      <c r="K49" s="78"/>
      <c r="L49" s="78"/>
      <c r="M49" s="78"/>
    </row>
    <row r="50" spans="1:13" ht="59.25" customHeight="1">
      <c r="A50" s="78"/>
      <c r="B50" s="2058" t="s">
        <v>1903</v>
      </c>
      <c r="C50" s="2057"/>
      <c r="D50" s="2057"/>
      <c r="E50" s="2057"/>
      <c r="F50" s="2057"/>
      <c r="G50" s="2057"/>
      <c r="H50" s="2057"/>
      <c r="I50" s="2057"/>
      <c r="J50" s="2057"/>
      <c r="K50" s="2057"/>
      <c r="L50" s="78"/>
      <c r="M50" s="78"/>
    </row>
    <row r="51" spans="1:13" ht="15">
      <c r="A51" s="78"/>
      <c r="B51" s="78"/>
      <c r="C51" s="78"/>
      <c r="D51" s="78"/>
      <c r="E51" s="78"/>
      <c r="F51" s="78"/>
      <c r="G51" s="78"/>
      <c r="H51" s="78"/>
      <c r="I51" s="78"/>
      <c r="J51" s="78"/>
      <c r="K51" s="78"/>
      <c r="L51" s="78"/>
      <c r="M51" s="78"/>
    </row>
    <row r="52" spans="1:13" ht="15">
      <c r="A52" s="78"/>
      <c r="B52" s="78"/>
      <c r="C52" s="78"/>
      <c r="D52" s="78"/>
      <c r="E52" s="78"/>
      <c r="F52" s="78"/>
      <c r="G52" s="78"/>
      <c r="H52" s="78"/>
      <c r="I52" s="78"/>
      <c r="J52" s="78"/>
      <c r="K52" s="78"/>
      <c r="L52" s="78"/>
      <c r="M52" s="78"/>
    </row>
  </sheetData>
  <sheetProtection password="C7B7" sheet="1" objects="1" scenarios="1"/>
  <protectedRanges>
    <protectedRange sqref="I45:I47" name="Range29"/>
    <protectedRange sqref="I33:I42" name="Range28"/>
    <protectedRange sqref="F46:F47" name="Range27"/>
    <protectedRange sqref="F37:F39" name="Range26"/>
    <protectedRange sqref="F33" name="Range25"/>
    <protectedRange sqref="E45:E47" name="Range24"/>
    <protectedRange sqref="E33:E42" name="Range23"/>
    <protectedRange sqref="D47" name="Range22"/>
    <protectedRange sqref="D45" name="Range21"/>
    <protectedRange sqref="D39:D41" name="Range20"/>
    <protectedRange sqref="I24:J24" name="Range18"/>
    <protectedRange sqref="H23:J23" name="Range17"/>
    <protectedRange sqref="G24" name="Range16"/>
    <protectedRange sqref="D24:E24" name="Range15"/>
    <protectedRange sqref="D22:G23" name="Range14"/>
    <protectedRange sqref="H15" name="Range5"/>
    <protectedRange sqref="G14:G15" name="Range4"/>
    <protectedRange sqref="I10:J10" name="Range3"/>
    <protectedRange sqref="G10" name="Range2"/>
    <protectedRange sqref="D10:E13" name="Range1"/>
    <protectedRange sqref="I14:J15" name="Range6"/>
    <protectedRange sqref="D16:E19" name="Range7"/>
    <protectedRange sqref="G16" name="Range8"/>
    <protectedRange sqref="I16:J16" name="Range9"/>
    <protectedRange sqref="D16:E19" name="Range10"/>
    <protectedRange sqref="F18" name="Range11"/>
    <protectedRange sqref="G17" name="Range12"/>
    <protectedRange sqref="J17" name="Range13"/>
    <protectedRange sqref="D37" name="Range19"/>
  </protectedRanges>
  <phoneticPr fontId="0" type="noConversion"/>
  <hyperlinks>
    <hyperlink ref="B2" location="CLASSROOM" display="Classroom"/>
    <hyperlink ref="C2" location="ClassroomSub_total" display="Classroom SubTotal"/>
    <hyperlink ref="D2" location="NON_CLASSROOM" display="NonClassroom"/>
    <hyperlink ref="E2" location="TOTAL_ELEMENTARY" display="Total Elementary"/>
    <hyperlink ref="F2" location="Classroom2" display="Classroom"/>
    <hyperlink ref="G2" location="ClassroomSub_total2" display="Classroom SubTotal"/>
    <hyperlink ref="H2" location="NonClassroom2" display="NonClassroom"/>
    <hyperlink ref="I2" location="TotalElementary2" display="TotalElementary"/>
    <hyperlink ref="J2" location="Note_1___In_cases_where_school_authorities_negotiate_specific_special_education_services_or_programs_over_and_above_the_regular_programs_provided_by_the_school__these_expenses_are_recovered_by_separate_billing_from_the_Agency_requesting_the_services._The" display="Note"/>
  </hyperlinks>
  <printOptions horizontalCentered="1"/>
  <pageMargins left="0" right="0" top="1" bottom="1" header="0.5" footer="0.5"/>
  <pageSetup scale="68" fitToHeight="0" orientation="landscape" copies="2" r:id="rId1"/>
  <headerFooter alignWithMargins="0">
    <oddFooter>&amp;L&amp;D,&amp;" ,Regular" &amp;T
&amp;CPage &amp;P of &amp;N&amp;R2015/16 School Authority Estimates
&amp;A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M51"/>
  <sheetViews>
    <sheetView topLeftCell="A7" zoomScaleNormal="100" workbookViewId="0">
      <selection activeCell="J8" sqref="J8"/>
    </sheetView>
  </sheetViews>
  <sheetFormatPr defaultColWidth="0" defaultRowHeight="12.75" zeroHeight="1"/>
  <cols>
    <col min="1" max="1" width="3.5703125" style="617" bestFit="1" customWidth="1"/>
    <col min="2" max="2" width="39.140625" style="617" customWidth="1"/>
    <col min="3" max="3" width="9.5703125" style="617" customWidth="1"/>
    <col min="4" max="5" width="13.5703125" style="617" customWidth="1"/>
    <col min="6" max="6" width="14.140625" style="617" customWidth="1"/>
    <col min="7" max="7" width="13.5703125" style="617" customWidth="1"/>
    <col min="8" max="8" width="14.42578125" style="617" customWidth="1"/>
    <col min="9" max="9" width="13.5703125" style="617" customWidth="1"/>
    <col min="10" max="10" width="14.7109375" style="617" customWidth="1"/>
    <col min="11" max="11" width="7.140625" style="617" customWidth="1"/>
    <col min="12" max="12" width="4" style="617" customWidth="1"/>
    <col min="13" max="13" width="2.28515625" style="617" customWidth="1"/>
    <col min="14" max="16384" width="0" style="617" hidden="1"/>
  </cols>
  <sheetData>
    <row r="1" spans="1:13" ht="15.75">
      <c r="A1" s="78"/>
      <c r="B1" s="86" t="s">
        <v>622</v>
      </c>
      <c r="C1" s="86"/>
      <c r="D1" s="632"/>
      <c r="E1" s="632"/>
      <c r="F1" s="632"/>
      <c r="G1" s="78"/>
      <c r="H1" s="78"/>
      <c r="I1" s="78"/>
      <c r="J1" s="78"/>
      <c r="K1" s="78"/>
      <c r="L1" s="78"/>
      <c r="M1" s="78"/>
    </row>
    <row r="2" spans="1:13" ht="15.75" thickBot="1">
      <c r="A2" s="2153" t="s">
        <v>2798</v>
      </c>
      <c r="B2" s="2136" t="s">
        <v>2792</v>
      </c>
      <c r="C2" s="2136" t="s">
        <v>2793</v>
      </c>
      <c r="D2" s="2136" t="s">
        <v>2794</v>
      </c>
      <c r="E2" s="2136" t="s">
        <v>2799</v>
      </c>
      <c r="F2" s="2136" t="s">
        <v>2792</v>
      </c>
      <c r="G2" s="2137" t="s">
        <v>2793</v>
      </c>
      <c r="H2" s="2137" t="s">
        <v>2794</v>
      </c>
      <c r="I2" s="2137" t="s">
        <v>2799</v>
      </c>
      <c r="J2" s="2137" t="s">
        <v>2787</v>
      </c>
      <c r="K2" s="78"/>
      <c r="L2" s="78"/>
      <c r="M2" s="78"/>
    </row>
    <row r="3" spans="1:13" ht="16.5" thickBot="1">
      <c r="A3" s="104"/>
      <c r="B3" s="104" t="s">
        <v>1180</v>
      </c>
      <c r="C3" s="104"/>
      <c r="D3" s="109"/>
      <c r="E3" s="109"/>
      <c r="F3" s="109"/>
      <c r="G3" s="887" t="s">
        <v>163</v>
      </c>
      <c r="H3" s="172"/>
      <c r="I3" s="2018" t="str">
        <f>'1 Summary'!$G$2</f>
        <v/>
      </c>
      <c r="J3" s="2019"/>
      <c r="K3" s="2020"/>
      <c r="L3" s="2021"/>
      <c r="M3" s="78"/>
    </row>
    <row r="4" spans="1:13" ht="16.5" thickBot="1">
      <c r="A4" s="104"/>
      <c r="B4" s="104" t="s">
        <v>2916</v>
      </c>
      <c r="C4" s="104"/>
      <c r="D4" s="109"/>
      <c r="E4" s="109"/>
      <c r="F4" s="109"/>
      <c r="G4" s="42" t="s">
        <v>653</v>
      </c>
      <c r="H4" s="158"/>
      <c r="I4" s="851">
        <f>'1 Summary'!$G$3</f>
        <v>0</v>
      </c>
      <c r="J4" s="200"/>
      <c r="K4" s="200"/>
      <c r="L4" s="812"/>
      <c r="M4" s="78"/>
    </row>
    <row r="5" spans="1:13" ht="15.75">
      <c r="A5" s="888"/>
      <c r="B5" s="104"/>
      <c r="C5" s="104"/>
      <c r="D5" s="104"/>
      <c r="E5" s="104"/>
      <c r="F5" s="104"/>
      <c r="G5" s="104"/>
      <c r="H5" s="104"/>
      <c r="I5" s="104"/>
      <c r="J5" s="104"/>
      <c r="K5" s="104"/>
      <c r="L5" s="78"/>
      <c r="M5" s="78"/>
    </row>
    <row r="6" spans="1:13" ht="15.75">
      <c r="A6" s="104"/>
      <c r="B6" s="86"/>
      <c r="C6" s="86"/>
      <c r="D6" s="78"/>
      <c r="E6" s="78"/>
      <c r="F6" s="78"/>
      <c r="G6" s="813"/>
      <c r="H6" s="814"/>
      <c r="I6" s="889"/>
      <c r="J6" s="815"/>
      <c r="K6" s="78"/>
      <c r="L6" s="78"/>
      <c r="M6" s="78"/>
    </row>
    <row r="7" spans="1:13" ht="15.75">
      <c r="A7" s="104"/>
      <c r="B7" s="86"/>
      <c r="C7" s="86" t="s">
        <v>789</v>
      </c>
      <c r="D7" s="2052" t="s">
        <v>180</v>
      </c>
      <c r="E7" s="2053"/>
      <c r="F7" s="2053"/>
      <c r="G7" s="2053"/>
      <c r="H7" s="2053"/>
      <c r="I7" s="2053"/>
      <c r="J7" s="2054"/>
      <c r="K7" s="78" t="s">
        <v>789</v>
      </c>
      <c r="L7" s="78" t="s">
        <v>789</v>
      </c>
      <c r="M7" s="78" t="s">
        <v>789</v>
      </c>
    </row>
    <row r="8" spans="1:13" ht="60.75">
      <c r="A8" s="104"/>
      <c r="B8" s="817" t="s">
        <v>179</v>
      </c>
      <c r="C8" s="817"/>
      <c r="D8" s="818" t="s">
        <v>1194</v>
      </c>
      <c r="E8" s="818" t="s">
        <v>1195</v>
      </c>
      <c r="F8" s="818" t="s">
        <v>1196</v>
      </c>
      <c r="G8" s="818" t="s">
        <v>1197</v>
      </c>
      <c r="H8" s="818" t="s">
        <v>734</v>
      </c>
      <c r="I8" s="818" t="s">
        <v>1795</v>
      </c>
      <c r="J8" s="818" t="s">
        <v>1796</v>
      </c>
      <c r="K8" s="78"/>
      <c r="L8" s="78"/>
      <c r="M8" s="78"/>
    </row>
    <row r="9" spans="1:13" ht="15.75">
      <c r="A9" s="78"/>
      <c r="B9" s="848" t="s">
        <v>204</v>
      </c>
      <c r="C9" s="848"/>
      <c r="D9" s="821">
        <v>22</v>
      </c>
      <c r="E9" s="821">
        <v>23</v>
      </c>
      <c r="F9" s="821">
        <v>24</v>
      </c>
      <c r="G9" s="821">
        <v>25</v>
      </c>
      <c r="H9" s="821">
        <v>27</v>
      </c>
      <c r="I9" s="821">
        <v>28</v>
      </c>
      <c r="J9" s="821">
        <v>29</v>
      </c>
      <c r="K9" s="78"/>
      <c r="L9" s="78"/>
      <c r="M9" s="78"/>
    </row>
    <row r="10" spans="1:13" ht="15.75">
      <c r="A10" s="78"/>
      <c r="B10" s="822" t="s">
        <v>1311</v>
      </c>
      <c r="C10" s="823">
        <v>31</v>
      </c>
      <c r="D10" s="838"/>
      <c r="E10" s="838"/>
      <c r="F10" s="825"/>
      <c r="G10" s="838"/>
      <c r="H10" s="825"/>
      <c r="I10" s="838"/>
      <c r="J10" s="838"/>
      <c r="K10" s="78"/>
      <c r="L10" s="78"/>
      <c r="M10" s="78"/>
    </row>
    <row r="11" spans="1:13" ht="15.75">
      <c r="A11" s="78"/>
      <c r="B11" s="822" t="s">
        <v>2864</v>
      </c>
      <c r="C11" s="823">
        <v>32</v>
      </c>
      <c r="D11" s="838"/>
      <c r="E11" s="838"/>
      <c r="F11" s="825"/>
      <c r="G11" s="825"/>
      <c r="H11" s="825"/>
      <c r="I11" s="825"/>
      <c r="J11" s="825"/>
      <c r="K11" s="78"/>
      <c r="L11" s="78"/>
      <c r="M11" s="78"/>
    </row>
    <row r="12" spans="1:13" ht="15.75">
      <c r="A12" s="78"/>
      <c r="B12" s="822" t="s">
        <v>1813</v>
      </c>
      <c r="C12" s="823">
        <v>33.1</v>
      </c>
      <c r="D12" s="838"/>
      <c r="E12" s="838"/>
      <c r="F12" s="825"/>
      <c r="G12" s="825"/>
      <c r="H12" s="825"/>
      <c r="I12" s="825"/>
      <c r="J12" s="825"/>
      <c r="K12" s="78"/>
      <c r="L12" s="78"/>
      <c r="M12" s="78"/>
    </row>
    <row r="13" spans="1:13" ht="30.75">
      <c r="A13" s="78"/>
      <c r="B13" s="817" t="s">
        <v>2126</v>
      </c>
      <c r="C13" s="827">
        <v>35</v>
      </c>
      <c r="D13" s="825"/>
      <c r="E13" s="825"/>
      <c r="F13" s="825"/>
      <c r="G13" s="838"/>
      <c r="H13" s="825" t="s">
        <v>789</v>
      </c>
      <c r="I13" s="838"/>
      <c r="J13" s="838"/>
      <c r="K13" s="78"/>
      <c r="L13" s="78"/>
      <c r="M13" s="78"/>
    </row>
    <row r="14" spans="1:13" ht="15.75">
      <c r="A14" s="78"/>
      <c r="B14" s="822" t="s">
        <v>1814</v>
      </c>
      <c r="C14" s="823">
        <v>34</v>
      </c>
      <c r="D14" s="825"/>
      <c r="E14" s="825"/>
      <c r="F14" s="825"/>
      <c r="G14" s="838"/>
      <c r="H14" s="838"/>
      <c r="I14" s="838"/>
      <c r="J14" s="838"/>
      <c r="K14" s="78"/>
      <c r="L14" s="78"/>
      <c r="M14" s="78"/>
    </row>
    <row r="15" spans="1:13" ht="30.75">
      <c r="A15" s="78"/>
      <c r="B15" s="817" t="s">
        <v>1543</v>
      </c>
      <c r="C15" s="827">
        <v>36</v>
      </c>
      <c r="D15" s="838"/>
      <c r="E15" s="838"/>
      <c r="F15" s="825"/>
      <c r="G15" s="838"/>
      <c r="H15" s="825" t="s">
        <v>789</v>
      </c>
      <c r="I15" s="838"/>
      <c r="J15" s="838"/>
      <c r="K15" s="78"/>
      <c r="L15" s="78"/>
      <c r="M15" s="78"/>
    </row>
    <row r="16" spans="1:13" ht="15.75">
      <c r="A16" s="78"/>
      <c r="B16" s="822" t="s">
        <v>197</v>
      </c>
      <c r="C16" s="823">
        <v>37</v>
      </c>
      <c r="D16" s="838"/>
      <c r="E16" s="838"/>
      <c r="F16" s="825"/>
      <c r="G16" s="838"/>
      <c r="H16" s="825"/>
      <c r="I16" s="828"/>
      <c r="J16" s="838"/>
      <c r="K16" s="78"/>
      <c r="L16" s="78"/>
      <c r="M16" s="78"/>
    </row>
    <row r="17" spans="1:13" ht="15.75">
      <c r="A17" s="78"/>
      <c r="B17" s="822" t="s">
        <v>1196</v>
      </c>
      <c r="C17" s="823">
        <v>38</v>
      </c>
      <c r="D17" s="838"/>
      <c r="E17" s="838"/>
      <c r="F17" s="838"/>
      <c r="G17" s="825"/>
      <c r="H17" s="825"/>
      <c r="I17" s="825"/>
      <c r="J17" s="825"/>
      <c r="K17" s="78"/>
      <c r="L17" s="78"/>
      <c r="M17" s="78"/>
    </row>
    <row r="18" spans="1:13" ht="15.75">
      <c r="A18" s="78"/>
      <c r="B18" s="817" t="s">
        <v>1389</v>
      </c>
      <c r="C18" s="827">
        <v>43</v>
      </c>
      <c r="D18" s="838"/>
      <c r="E18" s="838"/>
      <c r="F18" s="828"/>
      <c r="G18" s="828"/>
      <c r="H18" s="825"/>
      <c r="I18" s="825"/>
      <c r="J18" s="825"/>
      <c r="K18" s="78"/>
      <c r="L18" s="78"/>
      <c r="M18" s="78"/>
    </row>
    <row r="19" spans="1:13" ht="15.75">
      <c r="A19" s="78"/>
      <c r="B19" s="848" t="s">
        <v>1880</v>
      </c>
      <c r="C19" s="823"/>
      <c r="D19" s="849">
        <f>SUM(D10:D18)</f>
        <v>0</v>
      </c>
      <c r="E19" s="849">
        <f t="shared" ref="E19:G19" si="0">SUM(E10:E18)</f>
        <v>0</v>
      </c>
      <c r="F19" s="849">
        <f t="shared" si="0"/>
        <v>0</v>
      </c>
      <c r="G19" s="849">
        <f t="shared" si="0"/>
        <v>0</v>
      </c>
      <c r="H19" s="849">
        <f>SUM(H10:H18)</f>
        <v>0</v>
      </c>
      <c r="I19" s="849">
        <f>SUM(I10:I18)</f>
        <v>0</v>
      </c>
      <c r="J19" s="849">
        <f>SUM(J10:J18)</f>
        <v>0</v>
      </c>
      <c r="K19" s="78"/>
      <c r="L19" s="78"/>
      <c r="M19" s="78"/>
    </row>
    <row r="20" spans="1:13" ht="15.75">
      <c r="A20" s="78"/>
      <c r="B20" s="848" t="s">
        <v>623</v>
      </c>
      <c r="C20" s="840"/>
      <c r="D20" s="890"/>
      <c r="E20" s="891"/>
      <c r="F20" s="891"/>
      <c r="G20" s="891"/>
      <c r="H20" s="891"/>
      <c r="I20" s="892"/>
      <c r="J20" s="893"/>
      <c r="K20" s="1915"/>
      <c r="L20" s="200"/>
      <c r="M20" s="78"/>
    </row>
    <row r="21" spans="1:13" ht="15.75">
      <c r="A21" s="78"/>
      <c r="B21" s="817" t="s">
        <v>1388</v>
      </c>
      <c r="C21" s="827">
        <v>41</v>
      </c>
      <c r="D21" s="838"/>
      <c r="E21" s="838"/>
      <c r="F21" s="838"/>
      <c r="G21" s="838"/>
      <c r="H21" s="825"/>
      <c r="I21" s="825"/>
      <c r="J21" s="825"/>
      <c r="K21" s="78"/>
      <c r="L21" s="78"/>
      <c r="M21" s="78"/>
    </row>
    <row r="22" spans="1:13" ht="30.75">
      <c r="A22" s="78"/>
      <c r="B22" s="817" t="s">
        <v>2054</v>
      </c>
      <c r="C22" s="827">
        <v>42</v>
      </c>
      <c r="D22" s="838"/>
      <c r="E22" s="838"/>
      <c r="F22" s="838"/>
      <c r="G22" s="838"/>
      <c r="H22" s="838"/>
      <c r="I22" s="838"/>
      <c r="J22" s="838"/>
      <c r="K22" s="78"/>
      <c r="L22" s="78"/>
      <c r="M22" s="78"/>
    </row>
    <row r="23" spans="1:13" ht="15.75">
      <c r="A23" s="78"/>
      <c r="B23" s="822" t="s">
        <v>624</v>
      </c>
      <c r="C23" s="823">
        <v>39</v>
      </c>
      <c r="D23" s="838"/>
      <c r="E23" s="838"/>
      <c r="F23" s="828"/>
      <c r="G23" s="838"/>
      <c r="H23" s="828"/>
      <c r="I23" s="838"/>
      <c r="J23" s="838"/>
      <c r="K23" s="78"/>
      <c r="L23" s="78"/>
      <c r="M23" s="78"/>
    </row>
    <row r="24" spans="1:13" ht="15.75">
      <c r="A24" s="78"/>
      <c r="B24" s="848" t="s">
        <v>226</v>
      </c>
      <c r="C24" s="823">
        <v>50</v>
      </c>
      <c r="D24" s="849">
        <f t="shared" ref="D24:G24" si="1">SUM(D19:D23)</f>
        <v>0</v>
      </c>
      <c r="E24" s="849">
        <f t="shared" si="1"/>
        <v>0</v>
      </c>
      <c r="F24" s="849">
        <f t="shared" si="1"/>
        <v>0</v>
      </c>
      <c r="G24" s="849">
        <f t="shared" si="1"/>
        <v>0</v>
      </c>
      <c r="H24" s="849">
        <f>SUM(H19:H23)</f>
        <v>0</v>
      </c>
      <c r="I24" s="849">
        <f>SUM(I19:I23)</f>
        <v>0</v>
      </c>
      <c r="J24" s="849">
        <f>SUM(J19:J23)</f>
        <v>0</v>
      </c>
      <c r="K24" s="78"/>
      <c r="L24" s="78"/>
      <c r="M24" s="78"/>
    </row>
    <row r="25" spans="1:13" ht="15">
      <c r="A25" s="78"/>
      <c r="B25" s="78"/>
      <c r="C25" s="78"/>
      <c r="D25" s="78"/>
      <c r="E25" s="78"/>
      <c r="F25" s="78"/>
      <c r="G25" s="78"/>
      <c r="H25" s="78"/>
      <c r="I25" s="78"/>
      <c r="J25" s="78"/>
      <c r="K25" s="78"/>
      <c r="L25" s="78"/>
      <c r="M25" s="78"/>
    </row>
    <row r="26" spans="1:13" ht="15">
      <c r="A26" s="78"/>
      <c r="B26" s="78"/>
      <c r="C26" s="78"/>
      <c r="D26" s="78"/>
      <c r="E26" s="78"/>
      <c r="F26" s="78"/>
      <c r="G26" s="78"/>
      <c r="H26" s="78"/>
      <c r="I26" s="78"/>
      <c r="J26" s="78"/>
      <c r="K26" s="78"/>
      <c r="L26" s="78"/>
      <c r="M26" s="78"/>
    </row>
    <row r="27" spans="1:13" ht="15">
      <c r="A27" s="78"/>
      <c r="B27" s="78"/>
      <c r="C27" s="78"/>
      <c r="D27" s="78"/>
      <c r="E27" s="78"/>
      <c r="F27" s="78"/>
      <c r="G27" s="78"/>
      <c r="H27" s="78"/>
      <c r="I27" s="78"/>
      <c r="J27" s="78"/>
      <c r="K27" s="78"/>
      <c r="L27" s="78"/>
      <c r="M27" s="78"/>
    </row>
    <row r="28" spans="1:13" ht="15">
      <c r="A28" s="78"/>
      <c r="B28" s="78"/>
      <c r="C28" s="78"/>
      <c r="D28" s="78"/>
      <c r="E28" s="78"/>
      <c r="F28" s="78"/>
      <c r="G28" s="78"/>
      <c r="H28" s="78"/>
      <c r="I28" s="78"/>
      <c r="J28" s="78"/>
      <c r="K28" s="78"/>
      <c r="L28" s="78"/>
      <c r="M28" s="78"/>
    </row>
    <row r="29" spans="1:13" ht="15.75">
      <c r="A29" s="78"/>
      <c r="B29" s="78" t="s">
        <v>789</v>
      </c>
      <c r="C29" s="78" t="s">
        <v>789</v>
      </c>
      <c r="D29" s="2052" t="s">
        <v>180</v>
      </c>
      <c r="E29" s="2053"/>
      <c r="F29" s="2053"/>
      <c r="G29" s="2053"/>
      <c r="H29" s="2053"/>
      <c r="I29" s="2053"/>
      <c r="J29" s="2054"/>
      <c r="K29" s="78" t="s">
        <v>789</v>
      </c>
      <c r="L29" s="78" t="s">
        <v>789</v>
      </c>
      <c r="M29" s="78" t="s">
        <v>789</v>
      </c>
    </row>
    <row r="30" spans="1:13" ht="94.5">
      <c r="A30" s="78"/>
      <c r="B30" s="817" t="s">
        <v>179</v>
      </c>
      <c r="C30" s="817"/>
      <c r="D30" s="818" t="s">
        <v>642</v>
      </c>
      <c r="E30" s="818" t="s">
        <v>539</v>
      </c>
      <c r="F30" s="818" t="s">
        <v>2013</v>
      </c>
      <c r="G30" s="818" t="s">
        <v>323</v>
      </c>
      <c r="H30" s="894" t="s">
        <v>160</v>
      </c>
      <c r="I30" s="818" t="s">
        <v>496</v>
      </c>
      <c r="J30" s="894" t="s">
        <v>1011</v>
      </c>
      <c r="K30" s="78"/>
      <c r="L30" s="78"/>
      <c r="M30" s="78"/>
    </row>
    <row r="31" spans="1:13" ht="15.75">
      <c r="A31" s="78"/>
      <c r="B31" s="848" t="s">
        <v>204</v>
      </c>
      <c r="C31" s="848"/>
      <c r="D31" s="821">
        <v>30</v>
      </c>
      <c r="E31" s="821">
        <v>31</v>
      </c>
      <c r="F31" s="821">
        <v>32</v>
      </c>
      <c r="G31" s="821">
        <v>33</v>
      </c>
      <c r="H31" s="821">
        <v>34</v>
      </c>
      <c r="I31" s="821">
        <v>35</v>
      </c>
      <c r="J31" s="821">
        <v>36</v>
      </c>
      <c r="K31" s="78"/>
      <c r="L31" s="78"/>
      <c r="M31" s="78"/>
    </row>
    <row r="32" spans="1:13" ht="15.75">
      <c r="A32" s="78"/>
      <c r="B32" s="822" t="s">
        <v>1311</v>
      </c>
      <c r="C32" s="895">
        <v>31</v>
      </c>
      <c r="D32" s="825"/>
      <c r="E32" s="838"/>
      <c r="F32" s="838"/>
      <c r="G32" s="825"/>
      <c r="H32" s="826">
        <f t="shared" ref="H32:H40" si="2">SUM(D10:J10)+SUM(D32:G32)</f>
        <v>0</v>
      </c>
      <c r="I32" s="838"/>
      <c r="J32" s="896">
        <f t="shared" ref="J32:J39" si="3">+H32-I32</f>
        <v>0</v>
      </c>
      <c r="K32" s="78"/>
      <c r="L32" s="78"/>
      <c r="M32" s="78"/>
    </row>
    <row r="33" spans="1:13" ht="15.75">
      <c r="A33" s="78"/>
      <c r="B33" s="822" t="s">
        <v>1812</v>
      </c>
      <c r="C33" s="895">
        <v>32</v>
      </c>
      <c r="D33" s="825"/>
      <c r="E33" s="838"/>
      <c r="F33" s="825"/>
      <c r="G33" s="825"/>
      <c r="H33" s="826">
        <f t="shared" si="2"/>
        <v>0</v>
      </c>
      <c r="I33" s="838"/>
      <c r="J33" s="896">
        <f t="shared" si="3"/>
        <v>0</v>
      </c>
      <c r="K33" s="78"/>
      <c r="L33" s="78"/>
      <c r="M33" s="78"/>
    </row>
    <row r="34" spans="1:13" ht="15.75">
      <c r="A34" s="78"/>
      <c r="B34" s="822" t="s">
        <v>1813</v>
      </c>
      <c r="C34" s="823">
        <v>33.1</v>
      </c>
      <c r="D34" s="825"/>
      <c r="E34" s="838"/>
      <c r="F34" s="825"/>
      <c r="G34" s="825"/>
      <c r="H34" s="826">
        <f t="shared" si="2"/>
        <v>0</v>
      </c>
      <c r="I34" s="838"/>
      <c r="J34" s="896">
        <f t="shared" si="3"/>
        <v>0</v>
      </c>
      <c r="K34" s="78"/>
      <c r="L34" s="78"/>
      <c r="M34" s="78"/>
    </row>
    <row r="35" spans="1:13" ht="30.75">
      <c r="A35" s="78"/>
      <c r="B35" s="817" t="s">
        <v>2126</v>
      </c>
      <c r="C35" s="895">
        <v>35</v>
      </c>
      <c r="D35" s="838"/>
      <c r="E35" s="838"/>
      <c r="F35" s="838"/>
      <c r="G35" s="828"/>
      <c r="H35" s="826">
        <f t="shared" si="2"/>
        <v>0</v>
      </c>
      <c r="I35" s="838"/>
      <c r="J35" s="896">
        <f t="shared" si="3"/>
        <v>0</v>
      </c>
      <c r="K35" s="78"/>
      <c r="L35" s="78"/>
      <c r="M35" s="78"/>
    </row>
    <row r="36" spans="1:13" ht="15.75">
      <c r="A36" s="78"/>
      <c r="B36" s="822" t="s">
        <v>1814</v>
      </c>
      <c r="C36" s="895">
        <v>34</v>
      </c>
      <c r="D36" s="825"/>
      <c r="E36" s="838"/>
      <c r="F36" s="838"/>
      <c r="G36" s="825"/>
      <c r="H36" s="826">
        <f t="shared" si="2"/>
        <v>0</v>
      </c>
      <c r="I36" s="838"/>
      <c r="J36" s="896">
        <f t="shared" si="3"/>
        <v>0</v>
      </c>
      <c r="K36" s="78"/>
      <c r="L36" s="78"/>
      <c r="M36" s="78"/>
    </row>
    <row r="37" spans="1:13" ht="30.75">
      <c r="A37" s="78"/>
      <c r="B37" s="817" t="s">
        <v>1543</v>
      </c>
      <c r="C37" s="895">
        <v>36</v>
      </c>
      <c r="D37" s="838"/>
      <c r="E37" s="838"/>
      <c r="F37" s="838"/>
      <c r="G37" s="828"/>
      <c r="H37" s="826">
        <f t="shared" si="2"/>
        <v>0</v>
      </c>
      <c r="I37" s="838"/>
      <c r="J37" s="896">
        <f t="shared" si="3"/>
        <v>0</v>
      </c>
      <c r="K37" s="78"/>
      <c r="L37" s="78"/>
      <c r="M37" s="78"/>
    </row>
    <row r="38" spans="1:13" ht="15.75">
      <c r="A38" s="78"/>
      <c r="B38" s="822" t="s">
        <v>197</v>
      </c>
      <c r="C38" s="895">
        <v>37</v>
      </c>
      <c r="D38" s="838"/>
      <c r="E38" s="838"/>
      <c r="F38" s="828"/>
      <c r="G38" s="828"/>
      <c r="H38" s="826">
        <f t="shared" si="2"/>
        <v>0</v>
      </c>
      <c r="I38" s="838"/>
      <c r="J38" s="896">
        <f t="shared" si="3"/>
        <v>0</v>
      </c>
      <c r="K38" s="78"/>
      <c r="L38" s="78"/>
      <c r="M38" s="78"/>
    </row>
    <row r="39" spans="1:13" ht="15.75">
      <c r="A39" s="78"/>
      <c r="B39" s="822" t="s">
        <v>1196</v>
      </c>
      <c r="C39" s="895">
        <v>38</v>
      </c>
      <c r="D39" s="838"/>
      <c r="E39" s="838"/>
      <c r="F39" s="828"/>
      <c r="G39" s="828"/>
      <c r="H39" s="826">
        <f t="shared" si="2"/>
        <v>0</v>
      </c>
      <c r="I39" s="838"/>
      <c r="J39" s="896">
        <f t="shared" si="3"/>
        <v>0</v>
      </c>
      <c r="K39" s="78"/>
      <c r="L39" s="78"/>
      <c r="M39" s="78"/>
    </row>
    <row r="40" spans="1:13" ht="15.75">
      <c r="A40" s="78"/>
      <c r="B40" s="817" t="s">
        <v>1389</v>
      </c>
      <c r="C40" s="895">
        <v>43</v>
      </c>
      <c r="D40" s="828"/>
      <c r="E40" s="838"/>
      <c r="F40" s="828"/>
      <c r="G40" s="828"/>
      <c r="H40" s="826">
        <f t="shared" si="2"/>
        <v>0</v>
      </c>
      <c r="I40" s="838"/>
      <c r="J40" s="896">
        <f>+H40-I40</f>
        <v>0</v>
      </c>
      <c r="K40" s="78"/>
      <c r="L40" s="78"/>
      <c r="M40" s="78"/>
    </row>
    <row r="41" spans="1:13" ht="15.75">
      <c r="A41" s="78"/>
      <c r="B41" s="848" t="s">
        <v>1880</v>
      </c>
      <c r="C41" s="895"/>
      <c r="D41" s="849">
        <f t="shared" ref="D41:J41" si="4">SUM(D32:D40)</f>
        <v>0</v>
      </c>
      <c r="E41" s="849">
        <f t="shared" si="4"/>
        <v>0</v>
      </c>
      <c r="F41" s="849">
        <f t="shared" si="4"/>
        <v>0</v>
      </c>
      <c r="G41" s="849">
        <f t="shared" si="4"/>
        <v>0</v>
      </c>
      <c r="H41" s="849">
        <f t="shared" si="4"/>
        <v>0</v>
      </c>
      <c r="I41" s="849">
        <f t="shared" si="4"/>
        <v>0</v>
      </c>
      <c r="J41" s="849">
        <f t="shared" si="4"/>
        <v>0</v>
      </c>
      <c r="K41" s="78"/>
      <c r="L41" s="78"/>
      <c r="M41" s="78"/>
    </row>
    <row r="42" spans="1:13" ht="15.75">
      <c r="A42" s="78"/>
      <c r="B42" s="848" t="s">
        <v>623</v>
      </c>
      <c r="C42" s="895"/>
      <c r="D42" s="893"/>
      <c r="E42" s="893"/>
      <c r="F42" s="893"/>
      <c r="G42" s="893"/>
      <c r="H42" s="897"/>
      <c r="I42" s="893"/>
      <c r="J42" s="893"/>
      <c r="K42" s="78"/>
      <c r="L42" s="78"/>
      <c r="M42" s="78"/>
    </row>
    <row r="43" spans="1:13" ht="15.75">
      <c r="A43" s="78"/>
      <c r="B43" s="817" t="s">
        <v>1388</v>
      </c>
      <c r="C43" s="895">
        <v>41</v>
      </c>
      <c r="D43" s="838"/>
      <c r="E43" s="838"/>
      <c r="F43" s="828"/>
      <c r="G43" s="828"/>
      <c r="H43" s="826">
        <f>SUM(D21:J21)+SUM(D43:G43)</f>
        <v>0</v>
      </c>
      <c r="I43" s="838"/>
      <c r="J43" s="896">
        <f>+H43-I43</f>
        <v>0</v>
      </c>
      <c r="K43" s="78"/>
      <c r="L43" s="78"/>
      <c r="M43" s="78"/>
    </row>
    <row r="44" spans="1:13" ht="30.75">
      <c r="A44" s="78"/>
      <c r="B44" s="817" t="s">
        <v>2054</v>
      </c>
      <c r="C44" s="895">
        <v>42</v>
      </c>
      <c r="D44" s="828"/>
      <c r="E44" s="838"/>
      <c r="F44" s="838"/>
      <c r="G44" s="828"/>
      <c r="H44" s="826">
        <f>SUM(D22:J22)+SUM(D44:G44)</f>
        <v>0</v>
      </c>
      <c r="I44" s="838"/>
      <c r="J44" s="896">
        <f>+H44-I44</f>
        <v>0</v>
      </c>
      <c r="K44" s="78"/>
      <c r="L44" s="78"/>
      <c r="M44" s="78"/>
    </row>
    <row r="45" spans="1:13" ht="15.75">
      <c r="A45" s="78"/>
      <c r="B45" s="822" t="s">
        <v>624</v>
      </c>
      <c r="C45" s="895">
        <v>39</v>
      </c>
      <c r="D45" s="838"/>
      <c r="E45" s="838"/>
      <c r="F45" s="838"/>
      <c r="G45" s="828"/>
      <c r="H45" s="826">
        <f>SUM(D23:J23)+SUM(D45:G45)</f>
        <v>0</v>
      </c>
      <c r="I45" s="838"/>
      <c r="J45" s="896">
        <f>+H45-I45</f>
        <v>0</v>
      </c>
      <c r="K45" s="78"/>
      <c r="L45" s="78"/>
      <c r="M45" s="78"/>
    </row>
    <row r="46" spans="1:13" ht="15.75">
      <c r="A46" s="78"/>
      <c r="B46" s="848" t="s">
        <v>226</v>
      </c>
      <c r="C46" s="895">
        <v>50</v>
      </c>
      <c r="D46" s="849">
        <f t="shared" ref="D46:J46" si="5">SUM(D41:D45)</f>
        <v>0</v>
      </c>
      <c r="E46" s="849">
        <f t="shared" si="5"/>
        <v>0</v>
      </c>
      <c r="F46" s="849">
        <f t="shared" si="5"/>
        <v>0</v>
      </c>
      <c r="G46" s="849">
        <f t="shared" si="5"/>
        <v>0</v>
      </c>
      <c r="H46" s="849">
        <f t="shared" si="5"/>
        <v>0</v>
      </c>
      <c r="I46" s="849">
        <f t="shared" si="5"/>
        <v>0</v>
      </c>
      <c r="J46" s="849">
        <f t="shared" si="5"/>
        <v>0</v>
      </c>
      <c r="K46" s="78"/>
      <c r="L46" s="78"/>
      <c r="M46" s="78"/>
    </row>
    <row r="47" spans="1:13" ht="15">
      <c r="A47" s="78"/>
      <c r="B47" s="78"/>
      <c r="C47" s="78"/>
      <c r="D47" s="78"/>
      <c r="E47" s="78"/>
      <c r="F47" s="78"/>
      <c r="G47" s="78"/>
      <c r="H47" s="78"/>
      <c r="I47" s="78"/>
      <c r="J47" s="78"/>
      <c r="K47" s="78"/>
      <c r="L47" s="78"/>
      <c r="M47" s="78"/>
    </row>
    <row r="48" spans="1:13" ht="63" customHeight="1">
      <c r="A48" s="78"/>
      <c r="B48" s="2058" t="s">
        <v>567</v>
      </c>
      <c r="C48" s="2058"/>
      <c r="D48" s="2058"/>
      <c r="E48" s="2058"/>
      <c r="F48" s="2058"/>
      <c r="G48" s="2058"/>
      <c r="H48" s="2058"/>
      <c r="I48" s="2058"/>
      <c r="J48" s="2058"/>
      <c r="K48" s="2056"/>
      <c r="L48" s="78"/>
      <c r="M48" s="78"/>
    </row>
    <row r="49" spans="1:13" ht="15.75" hidden="1" customHeight="1">
      <c r="A49" s="898"/>
      <c r="B49" s="400"/>
      <c r="C49" s="400"/>
      <c r="D49" s="400"/>
      <c r="E49" s="400"/>
      <c r="F49" s="400"/>
      <c r="G49" s="400"/>
      <c r="H49" s="400"/>
      <c r="I49" s="400"/>
      <c r="J49" s="400"/>
      <c r="K49" s="400"/>
      <c r="L49" s="898"/>
      <c r="M49" s="898"/>
    </row>
    <row r="50" spans="1:13" ht="15">
      <c r="A50" s="78"/>
      <c r="B50" s="400"/>
      <c r="C50" s="400"/>
      <c r="D50" s="400"/>
      <c r="E50" s="400"/>
      <c r="F50" s="400"/>
      <c r="G50" s="400"/>
      <c r="H50" s="400"/>
      <c r="I50" s="400"/>
      <c r="J50" s="400"/>
      <c r="K50" s="400"/>
      <c r="L50" s="78"/>
      <c r="M50" s="78"/>
    </row>
    <row r="51" spans="1:13" ht="15">
      <c r="A51" s="78"/>
      <c r="B51" s="400"/>
      <c r="C51" s="400"/>
      <c r="D51" s="400"/>
      <c r="E51" s="400"/>
      <c r="F51" s="400"/>
      <c r="G51" s="400"/>
      <c r="H51" s="400"/>
      <c r="I51" s="400"/>
      <c r="J51" s="400"/>
      <c r="K51" s="400"/>
      <c r="L51" s="78"/>
      <c r="M51" s="78"/>
    </row>
  </sheetData>
  <sheetProtection password="C7B7" sheet="1" objects="1" scenarios="1"/>
  <protectedRanges>
    <protectedRange sqref="H14" name="Range5_1"/>
    <protectedRange sqref="G13:G14" name="Range4_1"/>
    <protectedRange sqref="I10:J10" name="Range3_1"/>
    <protectedRange sqref="G10" name="Range2_1"/>
    <protectedRange sqref="D10:E12" name="Range1_1"/>
    <protectedRange sqref="I13:J14" name="Range6_1"/>
    <protectedRange sqref="D15:E18" name="Range7_1"/>
    <protectedRange sqref="G15" name="Range8_1"/>
    <protectedRange sqref="I15:J15" name="Range9_1"/>
    <protectedRange sqref="D15:E18" name="Range10_1"/>
    <protectedRange sqref="F17" name="Range11_1"/>
    <protectedRange sqref="G16" name="Range12_1"/>
    <protectedRange sqref="J16" name="Range13_1"/>
    <protectedRange sqref="I23:J23" name="Range18_1"/>
    <protectedRange sqref="H22:J22" name="Range17_1"/>
    <protectedRange sqref="G23" name="Range16_1"/>
    <protectedRange sqref="D23:E23" name="Range15_1"/>
    <protectedRange sqref="D21:G22" name="Range14_1"/>
    <protectedRange sqref="F44:F45" name="Range27_1"/>
    <protectedRange sqref="F35:F37" name="Range26_1"/>
    <protectedRange sqref="F32" name="Range25_1"/>
    <protectedRange sqref="E43:E45" name="Range24_1"/>
    <protectedRange sqref="E32:E40" name="Range23_1"/>
    <protectedRange sqref="D45" name="Range22_1"/>
    <protectedRange sqref="D43" name="Range21_1"/>
    <protectedRange sqref="D37:D39" name="Range20_1"/>
    <protectedRange sqref="D35" name="Range19_1"/>
    <protectedRange sqref="I43:I45" name="Range29"/>
    <protectedRange sqref="I32:I40" name="Range28"/>
  </protectedRanges>
  <phoneticPr fontId="0" type="noConversion"/>
  <hyperlinks>
    <hyperlink ref="B2" location="Classroom3" display="Classroom"/>
    <hyperlink ref="C2" location="ClassroomSubTotal3" display="Classroom SubTotal"/>
    <hyperlink ref="D2" location="NonClassroom3" display="NonClassroom"/>
    <hyperlink ref="E2" location="TOTAL_SECONDARY" display="Total Secondary"/>
    <hyperlink ref="F2" location="Classroom4" display="Classroom"/>
    <hyperlink ref="G2" location="ClassroomsubTotal4" display="Classroom SubTotal"/>
    <hyperlink ref="I2" location="TotalSecondary2" display="Total Secondary"/>
    <hyperlink ref="J2" location="NoteSecondary" display="Note"/>
    <hyperlink ref="H2" location="NonClassroom4" display="NonClassroom"/>
  </hyperlinks>
  <printOptions horizontalCentered="1"/>
  <pageMargins left="0" right="0" top="1" bottom="1" header="0.5" footer="0.5"/>
  <pageSetup scale="68" fitToHeight="0" orientation="portrait" copies="2" r:id="rId1"/>
  <headerFooter alignWithMargins="0">
    <oddFooter>&amp;L&amp;D,&amp;" ,Regular" &amp;T
&amp;CPage &amp;P of &amp;N&amp;R2015/16 School Authority Estimates
&amp;A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G44"/>
  <sheetViews>
    <sheetView zoomScaleNormal="100" workbookViewId="0">
      <selection activeCell="D36" sqref="D36"/>
    </sheetView>
  </sheetViews>
  <sheetFormatPr defaultColWidth="0" defaultRowHeight="12.75" zeroHeight="1"/>
  <cols>
    <col min="1" max="1" width="4.85546875" style="617" customWidth="1"/>
    <col min="2" max="2" width="33.42578125" style="617" customWidth="1"/>
    <col min="3" max="3" width="41.85546875" style="617" customWidth="1"/>
    <col min="4" max="4" width="23" style="617" bestFit="1" customWidth="1"/>
    <col min="5" max="5" width="19.42578125" style="617" customWidth="1"/>
    <col min="6" max="6" width="17.85546875" style="617" customWidth="1"/>
    <col min="7" max="7" width="4.85546875" style="617" customWidth="1"/>
    <col min="8" max="16384" width="0" style="617" hidden="1"/>
  </cols>
  <sheetData>
    <row r="1" spans="1:7" ht="15.75">
      <c r="A1" s="899"/>
      <c r="B1" s="104" t="s">
        <v>622</v>
      </c>
      <c r="C1" s="109"/>
      <c r="D1" s="109"/>
      <c r="E1" s="109"/>
      <c r="F1" s="109"/>
      <c r="G1" s="78"/>
    </row>
    <row r="2" spans="1:7" ht="13.5" thickBot="1">
      <c r="A2" s="2154" t="s">
        <v>2800</v>
      </c>
      <c r="B2" s="2155" t="s">
        <v>541</v>
      </c>
      <c r="C2" s="2155" t="s">
        <v>546</v>
      </c>
      <c r="D2" s="2155" t="s">
        <v>547</v>
      </c>
      <c r="E2" s="2155" t="s">
        <v>1709</v>
      </c>
      <c r="F2" s="2155" t="s">
        <v>1710</v>
      </c>
      <c r="G2" s="2137" t="s">
        <v>1713</v>
      </c>
    </row>
    <row r="3" spans="1:7" ht="16.5" thickBot="1">
      <c r="A3" s="899"/>
      <c r="B3" s="104" t="s">
        <v>1184</v>
      </c>
      <c r="C3" s="109"/>
      <c r="D3" s="887" t="s">
        <v>163</v>
      </c>
      <c r="E3" s="850" t="str">
        <f>'1 Summary'!$G$2</f>
        <v/>
      </c>
      <c r="F3" s="900"/>
      <c r="G3" s="109"/>
    </row>
    <row r="4" spans="1:7" ht="16.5" thickBot="1">
      <c r="A4" s="899"/>
      <c r="B4" s="104" t="s">
        <v>2916</v>
      </c>
      <c r="C4" s="109"/>
      <c r="D4" s="42" t="s">
        <v>653</v>
      </c>
      <c r="E4" s="920">
        <f>'1 Summary'!$G$3</f>
        <v>0</v>
      </c>
      <c r="F4" s="88"/>
      <c r="G4" s="88"/>
    </row>
    <row r="5" spans="1:7" ht="15">
      <c r="A5" s="899"/>
      <c r="B5" s="901"/>
      <c r="C5" s="901"/>
      <c r="D5" s="901"/>
      <c r="E5" s="901"/>
      <c r="F5" s="901"/>
      <c r="G5" s="78"/>
    </row>
    <row r="6" spans="1:7" ht="15">
      <c r="A6" s="899"/>
      <c r="B6" s="901"/>
      <c r="C6" s="901"/>
      <c r="D6" s="901"/>
      <c r="E6" s="901"/>
      <c r="F6" s="901"/>
      <c r="G6" s="78"/>
    </row>
    <row r="7" spans="1:7" ht="15.75">
      <c r="A7" s="899"/>
      <c r="B7" s="2052" t="s">
        <v>569</v>
      </c>
      <c r="C7" s="2053"/>
      <c r="D7" s="2053"/>
      <c r="E7" s="2053"/>
      <c r="F7" s="2054"/>
      <c r="G7" s="902"/>
    </row>
    <row r="8" spans="1:7" ht="15">
      <c r="A8" s="899"/>
      <c r="B8" s="78"/>
      <c r="C8" s="78"/>
      <c r="D8" s="903" t="s">
        <v>2147</v>
      </c>
      <c r="E8" s="903" t="s">
        <v>2148</v>
      </c>
      <c r="F8" s="904" t="s">
        <v>2149</v>
      </c>
      <c r="G8" s="78"/>
    </row>
    <row r="9" spans="1:7" ht="15.75">
      <c r="A9" s="899"/>
      <c r="B9" s="905" t="s">
        <v>2698</v>
      </c>
      <c r="C9" s="905" t="s">
        <v>540</v>
      </c>
      <c r="D9" s="816" t="s">
        <v>1289</v>
      </c>
      <c r="E9" s="816" t="s">
        <v>1000</v>
      </c>
      <c r="F9" s="906" t="s">
        <v>568</v>
      </c>
      <c r="G9" s="78"/>
    </row>
    <row r="10" spans="1:7" ht="15.75">
      <c r="A10" s="899"/>
      <c r="B10" s="905" t="s">
        <v>541</v>
      </c>
      <c r="C10" s="907" t="s">
        <v>542</v>
      </c>
      <c r="D10" s="908"/>
      <c r="E10" s="908"/>
      <c r="F10" s="909">
        <f t="shared" ref="F10:F31" si="0">+D10+E10</f>
        <v>0</v>
      </c>
      <c r="G10" s="78"/>
    </row>
    <row r="11" spans="1:7" ht="15">
      <c r="A11" s="899"/>
      <c r="B11" s="907"/>
      <c r="C11" s="907" t="s">
        <v>543</v>
      </c>
      <c r="D11" s="910"/>
      <c r="E11" s="908"/>
      <c r="F11" s="909">
        <f t="shared" si="0"/>
        <v>0</v>
      </c>
      <c r="G11" s="78"/>
    </row>
    <row r="12" spans="1:7" ht="15">
      <c r="A12" s="899"/>
      <c r="B12" s="907"/>
      <c r="C12" s="907" t="s">
        <v>544</v>
      </c>
      <c r="D12" s="908"/>
      <c r="E12" s="908"/>
      <c r="F12" s="909">
        <f t="shared" si="0"/>
        <v>0</v>
      </c>
      <c r="G12" s="78"/>
    </row>
    <row r="13" spans="1:7" ht="15">
      <c r="A13" s="899"/>
      <c r="B13" s="907"/>
      <c r="C13" s="907" t="s">
        <v>545</v>
      </c>
      <c r="D13" s="910"/>
      <c r="E13" s="908"/>
      <c r="F13" s="909">
        <f t="shared" si="0"/>
        <v>0</v>
      </c>
      <c r="G13" s="78"/>
    </row>
    <row r="14" spans="1:7" ht="15">
      <c r="A14" s="899"/>
      <c r="B14" s="907"/>
      <c r="C14" s="907" t="s">
        <v>642</v>
      </c>
      <c r="D14" s="908"/>
      <c r="E14" s="908"/>
      <c r="F14" s="909">
        <f t="shared" si="0"/>
        <v>0</v>
      </c>
      <c r="G14" s="78"/>
    </row>
    <row r="15" spans="1:7" ht="15.75">
      <c r="A15" s="899"/>
      <c r="B15" s="905" t="s">
        <v>546</v>
      </c>
      <c r="C15" s="907" t="s">
        <v>542</v>
      </c>
      <c r="D15" s="910"/>
      <c r="E15" s="908"/>
      <c r="F15" s="909">
        <f t="shared" si="0"/>
        <v>0</v>
      </c>
      <c r="G15" s="78"/>
    </row>
    <row r="16" spans="1:7" ht="15">
      <c r="A16" s="899"/>
      <c r="B16" s="907"/>
      <c r="C16" s="907" t="s">
        <v>543</v>
      </c>
      <c r="D16" s="908"/>
      <c r="E16" s="908"/>
      <c r="F16" s="909">
        <f t="shared" si="0"/>
        <v>0</v>
      </c>
      <c r="G16" s="78"/>
    </row>
    <row r="17" spans="1:7" ht="15">
      <c r="A17" s="899"/>
      <c r="B17" s="907"/>
      <c r="C17" s="907" t="s">
        <v>544</v>
      </c>
      <c r="D17" s="910"/>
      <c r="E17" s="908"/>
      <c r="F17" s="909">
        <f t="shared" si="0"/>
        <v>0</v>
      </c>
      <c r="G17" s="78"/>
    </row>
    <row r="18" spans="1:7" ht="15">
      <c r="A18" s="899"/>
      <c r="B18" s="907"/>
      <c r="C18" s="907" t="s">
        <v>545</v>
      </c>
      <c r="D18" s="908"/>
      <c r="E18" s="908"/>
      <c r="F18" s="909">
        <f t="shared" si="0"/>
        <v>0</v>
      </c>
      <c r="G18" s="78"/>
    </row>
    <row r="19" spans="1:7" ht="15">
      <c r="A19" s="899"/>
      <c r="B19" s="907"/>
      <c r="C19" s="907" t="s">
        <v>642</v>
      </c>
      <c r="D19" s="910"/>
      <c r="E19" s="908"/>
      <c r="F19" s="909">
        <f t="shared" si="0"/>
        <v>0</v>
      </c>
      <c r="G19" s="78"/>
    </row>
    <row r="20" spans="1:7" ht="15.75">
      <c r="A20" s="899"/>
      <c r="B20" s="905" t="s">
        <v>547</v>
      </c>
      <c r="C20" s="907" t="s">
        <v>548</v>
      </c>
      <c r="D20" s="908"/>
      <c r="E20" s="908"/>
      <c r="F20" s="909">
        <f t="shared" si="0"/>
        <v>0</v>
      </c>
      <c r="G20" s="78"/>
    </row>
    <row r="21" spans="1:7" ht="15">
      <c r="A21" s="899"/>
      <c r="B21" s="907"/>
      <c r="C21" s="907" t="s">
        <v>549</v>
      </c>
      <c r="D21" s="910"/>
      <c r="E21" s="908"/>
      <c r="F21" s="909">
        <f t="shared" si="0"/>
        <v>0</v>
      </c>
      <c r="G21" s="78"/>
    </row>
    <row r="22" spans="1:7" ht="15">
      <c r="A22" s="899"/>
      <c r="B22" s="907"/>
      <c r="C22" s="907" t="s">
        <v>550</v>
      </c>
      <c r="D22" s="908"/>
      <c r="E22" s="908"/>
      <c r="F22" s="909">
        <f t="shared" si="0"/>
        <v>0</v>
      </c>
      <c r="G22" s="78"/>
    </row>
    <row r="23" spans="1:7" ht="15">
      <c r="A23" s="899"/>
      <c r="B23" s="907"/>
      <c r="C23" s="907" t="s">
        <v>551</v>
      </c>
      <c r="D23" s="910"/>
      <c r="E23" s="908"/>
      <c r="F23" s="909">
        <f t="shared" si="0"/>
        <v>0</v>
      </c>
      <c r="G23" s="78"/>
    </row>
    <row r="24" spans="1:7" ht="15">
      <c r="A24" s="899"/>
      <c r="B24" s="907"/>
      <c r="C24" s="907" t="s">
        <v>1485</v>
      </c>
      <c r="D24" s="908"/>
      <c r="E24" s="908"/>
      <c r="F24" s="909">
        <f t="shared" si="0"/>
        <v>0</v>
      </c>
      <c r="G24" s="78"/>
    </row>
    <row r="25" spans="1:7" ht="31.5">
      <c r="A25" s="899"/>
      <c r="B25" s="911" t="s">
        <v>1709</v>
      </c>
      <c r="C25" s="907" t="s">
        <v>542</v>
      </c>
      <c r="D25" s="910"/>
      <c r="E25" s="908"/>
      <c r="F25" s="909">
        <f t="shared" si="0"/>
        <v>0</v>
      </c>
      <c r="G25" s="78"/>
    </row>
    <row r="26" spans="1:7" ht="15">
      <c r="A26" s="899"/>
      <c r="B26" s="907"/>
      <c r="C26" s="907" t="s">
        <v>543</v>
      </c>
      <c r="D26" s="908"/>
      <c r="E26" s="908"/>
      <c r="F26" s="909">
        <f t="shared" si="0"/>
        <v>0</v>
      </c>
      <c r="G26" s="78"/>
    </row>
    <row r="27" spans="1:7" ht="15">
      <c r="A27" s="899"/>
      <c r="B27" s="907"/>
      <c r="C27" s="907" t="s">
        <v>544</v>
      </c>
      <c r="D27" s="910"/>
      <c r="E27" s="908"/>
      <c r="F27" s="909">
        <f t="shared" si="0"/>
        <v>0</v>
      </c>
      <c r="G27" s="78"/>
    </row>
    <row r="28" spans="1:7" ht="15">
      <c r="A28" s="899"/>
      <c r="B28" s="907"/>
      <c r="C28" s="907" t="s">
        <v>545</v>
      </c>
      <c r="D28" s="908"/>
      <c r="E28" s="908"/>
      <c r="F28" s="909">
        <f t="shared" si="0"/>
        <v>0</v>
      </c>
      <c r="G28" s="78"/>
    </row>
    <row r="29" spans="1:7" ht="15">
      <c r="A29" s="899"/>
      <c r="B29" s="907"/>
      <c r="C29" s="907" t="s">
        <v>642</v>
      </c>
      <c r="D29" s="910"/>
      <c r="E29" s="908"/>
      <c r="F29" s="909">
        <f t="shared" si="0"/>
        <v>0</v>
      </c>
      <c r="G29" s="78"/>
    </row>
    <row r="30" spans="1:7" ht="15">
      <c r="A30" s="899"/>
      <c r="B30" s="907"/>
      <c r="C30" s="907" t="s">
        <v>751</v>
      </c>
      <c r="D30" s="908"/>
      <c r="E30" s="908"/>
      <c r="F30" s="909">
        <f t="shared" si="0"/>
        <v>0</v>
      </c>
      <c r="G30" s="78"/>
    </row>
    <row r="31" spans="1:7" ht="16.5" thickBot="1">
      <c r="A31" s="899"/>
      <c r="B31" s="912" t="s">
        <v>1710</v>
      </c>
      <c r="C31" s="913" t="s">
        <v>1711</v>
      </c>
      <c r="D31" s="910"/>
      <c r="E31" s="908"/>
      <c r="F31" s="914">
        <f t="shared" si="0"/>
        <v>0</v>
      </c>
      <c r="G31" s="78"/>
    </row>
    <row r="32" spans="1:7" ht="16.5" thickBot="1">
      <c r="A32" s="899"/>
      <c r="B32" s="915" t="s">
        <v>1712</v>
      </c>
      <c r="C32" s="916"/>
      <c r="D32" s="917">
        <f>SUM(D10:D31)</f>
        <v>0</v>
      </c>
      <c r="E32" s="917">
        <f>SUM(E10:E31)</f>
        <v>0</v>
      </c>
      <c r="F32" s="917">
        <f>SUM(F10:F31)</f>
        <v>0</v>
      </c>
      <c r="G32" s="78"/>
    </row>
    <row r="33" spans="1:7" ht="15">
      <c r="A33" s="899"/>
      <c r="B33" s="78"/>
      <c r="C33" s="78"/>
      <c r="D33" s="78"/>
      <c r="E33" s="78"/>
      <c r="F33" s="78"/>
      <c r="G33" s="83"/>
    </row>
    <row r="34" spans="1:7" ht="15.75">
      <c r="A34" s="899"/>
      <c r="B34" s="86" t="s">
        <v>2932</v>
      </c>
      <c r="C34" s="902"/>
      <c r="D34" s="155"/>
      <c r="E34" s="155"/>
      <c r="F34" s="155"/>
      <c r="G34" s="78"/>
    </row>
    <row r="35" spans="1:7" ht="15.75">
      <c r="A35" s="899"/>
      <c r="B35" s="902"/>
      <c r="C35" s="902"/>
      <c r="D35" s="155"/>
      <c r="E35" s="155"/>
      <c r="F35" s="155"/>
      <c r="G35" s="78"/>
    </row>
    <row r="36" spans="1:7" ht="31.5">
      <c r="A36" s="899"/>
      <c r="B36" s="2022" t="s">
        <v>1713</v>
      </c>
      <c r="C36" s="1966"/>
      <c r="D36" s="1967"/>
      <c r="E36" s="1967"/>
      <c r="F36" s="1023">
        <f>D36+E36</f>
        <v>0</v>
      </c>
      <c r="G36" s="78"/>
    </row>
    <row r="37" spans="1:7" ht="15.75">
      <c r="A37" s="899"/>
      <c r="B37" s="2059"/>
      <c r="C37" s="1966"/>
      <c r="D37" s="1967"/>
      <c r="E37" s="1967"/>
      <c r="F37" s="1023">
        <f>D37+E37</f>
        <v>0</v>
      </c>
      <c r="G37" s="78"/>
    </row>
    <row r="38" spans="1:7" ht="15.75">
      <c r="A38" s="899"/>
      <c r="B38" s="2059"/>
      <c r="C38" s="1966"/>
      <c r="D38" s="1967"/>
      <c r="E38" s="1967"/>
      <c r="F38" s="1023">
        <f>D38+E38</f>
        <v>0</v>
      </c>
      <c r="G38" s="78"/>
    </row>
    <row r="39" spans="1:7" ht="15.75">
      <c r="A39" s="899"/>
      <c r="B39" s="2059"/>
      <c r="C39" s="1966"/>
      <c r="D39" s="1967"/>
      <c r="E39" s="1967"/>
      <c r="F39" s="1023">
        <f>D39+E39</f>
        <v>0</v>
      </c>
      <c r="G39" s="78"/>
    </row>
    <row r="40" spans="1:7" ht="15.75">
      <c r="A40" s="899"/>
      <c r="B40" s="2059"/>
      <c r="C40" s="1966"/>
      <c r="D40" s="1967"/>
      <c r="E40" s="1967"/>
      <c r="F40" s="1023">
        <f>D40+E40</f>
        <v>0</v>
      </c>
      <c r="G40" s="78"/>
    </row>
    <row r="41" spans="1:7" ht="15.75">
      <c r="A41" s="899"/>
      <c r="B41" s="1968" t="s">
        <v>570</v>
      </c>
      <c r="C41" s="918"/>
      <c r="D41" s="1399">
        <f>SUM(D36:D40)</f>
        <v>0</v>
      </c>
      <c r="E41" s="1399">
        <f>SUM(E36:E40)</f>
        <v>0</v>
      </c>
      <c r="F41" s="1399">
        <f>SUM(F36:F40)</f>
        <v>0</v>
      </c>
      <c r="G41" s="78"/>
    </row>
    <row r="42" spans="1:7" ht="15.75">
      <c r="A42" s="899"/>
      <c r="B42" s="223"/>
      <c r="C42" s="200"/>
      <c r="D42" s="200"/>
      <c r="E42" s="200"/>
      <c r="F42" s="223"/>
      <c r="G42" s="78"/>
    </row>
    <row r="43" spans="1:7" ht="15">
      <c r="A43" s="899"/>
      <c r="B43" s="78"/>
      <c r="C43" s="78"/>
      <c r="D43" s="78"/>
      <c r="E43" s="78"/>
      <c r="F43" s="78"/>
      <c r="G43" s="83"/>
    </row>
    <row r="44" spans="1:7" hidden="1"/>
  </sheetData>
  <sheetProtection password="C7B7" sheet="1" objects="1" scenarios="1"/>
  <protectedRanges>
    <protectedRange sqref="C36:E40" name="Range2"/>
    <protectedRange sqref="D10:E31" name="Range1"/>
  </protectedRanges>
  <phoneticPr fontId="13" type="noConversion"/>
  <hyperlinks>
    <hyperlink ref="B2" location="Custodial_Operations" display="Custodial Operations"/>
    <hyperlink ref="C2" location="Maintenance_Operations" display="Maintenance Operations"/>
    <hyperlink ref="D2" location="Utilities" display="Utilities"/>
    <hyperlink ref="E2" location="School_Operations_and_Maintenance_Administration" display="School Operations and Maintenance Administration"/>
    <hyperlink ref="F2" location="Leases" display="Leases"/>
    <hyperlink ref="G2" location="Detailed_description_by_project" display="Detailed description by project"/>
  </hyperlinks>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E65535"/>
  <sheetViews>
    <sheetView topLeftCell="B13" zoomScaleNormal="100" workbookViewId="0">
      <selection activeCell="B57" sqref="B57"/>
    </sheetView>
  </sheetViews>
  <sheetFormatPr defaultColWidth="0" defaultRowHeight="12.75" customHeight="1" zeroHeight="1"/>
  <cols>
    <col min="1" max="1" width="9.140625" customWidth="1"/>
    <col min="2" max="2" width="80.7109375" style="616" customWidth="1"/>
    <col min="3" max="3" width="2.85546875" customWidth="1"/>
    <col min="4" max="4" width="5.28515625" hidden="1" customWidth="1"/>
    <col min="5" max="5" width="3.140625" customWidth="1"/>
  </cols>
  <sheetData>
    <row r="1" spans="1:5">
      <c r="A1" s="2139" t="s">
        <v>2777</v>
      </c>
      <c r="B1" s="607"/>
      <c r="C1" s="116"/>
      <c r="D1" s="378"/>
      <c r="E1" s="5"/>
    </row>
    <row r="2" spans="1:5">
      <c r="A2" s="116"/>
      <c r="B2" s="608"/>
      <c r="C2" s="116"/>
      <c r="D2" s="378" t="s">
        <v>1032</v>
      </c>
      <c r="E2" s="5"/>
    </row>
    <row r="3" spans="1:5" ht="15.75">
      <c r="A3" s="116"/>
      <c r="B3" s="1916" t="s">
        <v>2911</v>
      </c>
      <c r="C3" s="116"/>
      <c r="D3" s="378">
        <v>1</v>
      </c>
      <c r="E3" s="5"/>
    </row>
    <row r="4" spans="1:5">
      <c r="A4" s="116"/>
      <c r="B4" s="610" t="s">
        <v>1033</v>
      </c>
      <c r="C4" s="116"/>
      <c r="D4" s="378">
        <v>2</v>
      </c>
      <c r="E4" s="5"/>
    </row>
    <row r="5" spans="1:5">
      <c r="A5" s="116"/>
      <c r="B5" s="115"/>
      <c r="C5" s="116"/>
      <c r="D5" s="378"/>
      <c r="E5" s="5"/>
    </row>
    <row r="6" spans="1:5">
      <c r="A6" s="380"/>
      <c r="B6" s="611" t="s">
        <v>745</v>
      </c>
      <c r="C6" s="116"/>
      <c r="D6" s="378"/>
      <c r="E6" s="5"/>
    </row>
    <row r="7" spans="1:5">
      <c r="A7" s="381"/>
      <c r="B7" s="612"/>
      <c r="C7" s="5"/>
      <c r="D7" s="381" t="s">
        <v>2073</v>
      </c>
      <c r="E7" s="5"/>
    </row>
    <row r="8" spans="1:5">
      <c r="A8" s="381">
        <v>1.1000000000000001</v>
      </c>
      <c r="B8" s="2122" t="s">
        <v>328</v>
      </c>
      <c r="C8" s="5"/>
      <c r="D8" s="381">
        <v>3</v>
      </c>
      <c r="E8" s="5"/>
    </row>
    <row r="9" spans="1:5">
      <c r="A9" s="381">
        <v>3</v>
      </c>
      <c r="B9" s="2122" t="s">
        <v>337</v>
      </c>
      <c r="C9" s="5"/>
      <c r="D9" s="381">
        <v>8</v>
      </c>
      <c r="E9" s="5"/>
    </row>
    <row r="10" spans="1:5">
      <c r="A10" s="382" t="s">
        <v>1927</v>
      </c>
      <c r="B10" s="2123" t="s">
        <v>2912</v>
      </c>
      <c r="C10" s="5"/>
      <c r="D10" s="381" t="s">
        <v>2073</v>
      </c>
      <c r="E10" s="5"/>
    </row>
    <row r="11" spans="1:5">
      <c r="A11" s="381">
        <v>5</v>
      </c>
      <c r="B11" s="2122" t="s">
        <v>1323</v>
      </c>
      <c r="C11" s="5"/>
      <c r="D11" s="381">
        <v>9</v>
      </c>
      <c r="E11" s="5"/>
    </row>
    <row r="12" spans="1:5">
      <c r="A12" s="381">
        <v>5.0999999999999996</v>
      </c>
      <c r="B12" s="2122" t="s">
        <v>1928</v>
      </c>
      <c r="C12" s="5"/>
      <c r="D12" s="381">
        <v>10</v>
      </c>
      <c r="E12" s="5"/>
    </row>
    <row r="13" spans="1:5">
      <c r="A13" s="381">
        <v>5.0999999999999996</v>
      </c>
      <c r="B13" s="2122" t="s">
        <v>1929</v>
      </c>
      <c r="C13" s="5"/>
      <c r="D13" s="381" t="s">
        <v>2073</v>
      </c>
      <c r="E13" s="5"/>
    </row>
    <row r="14" spans="1:5">
      <c r="A14" s="381">
        <v>9</v>
      </c>
      <c r="B14" s="2122" t="s">
        <v>38</v>
      </c>
      <c r="C14" s="5"/>
      <c r="D14" s="383">
        <v>11</v>
      </c>
      <c r="E14" s="5"/>
    </row>
    <row r="15" spans="1:5">
      <c r="A15" s="381">
        <v>10</v>
      </c>
      <c r="B15" s="2122" t="s">
        <v>1618</v>
      </c>
      <c r="C15" s="5"/>
      <c r="D15" s="381">
        <v>13</v>
      </c>
      <c r="E15" s="5"/>
    </row>
    <row r="16" spans="1:5">
      <c r="A16" s="381" t="s">
        <v>39</v>
      </c>
      <c r="B16" s="2122" t="s">
        <v>1178</v>
      </c>
      <c r="C16" s="5"/>
      <c r="D16" s="381">
        <v>14</v>
      </c>
      <c r="E16" s="5"/>
    </row>
    <row r="17" spans="1:5">
      <c r="A17" s="381">
        <v>10.3</v>
      </c>
      <c r="B17" s="613" t="s">
        <v>50</v>
      </c>
      <c r="C17" s="5"/>
      <c r="D17" s="381">
        <v>16</v>
      </c>
      <c r="E17" s="5"/>
    </row>
    <row r="18" spans="1:5">
      <c r="A18" s="381">
        <v>10.4</v>
      </c>
      <c r="B18" s="613" t="s">
        <v>26</v>
      </c>
      <c r="C18" s="5"/>
      <c r="D18" s="381">
        <v>17</v>
      </c>
      <c r="E18" s="5"/>
    </row>
    <row r="19" spans="1:5">
      <c r="A19" s="381" t="s">
        <v>311</v>
      </c>
      <c r="B19" s="2122" t="s">
        <v>1181</v>
      </c>
      <c r="C19" s="5"/>
      <c r="D19" s="381">
        <v>17</v>
      </c>
      <c r="E19" s="5"/>
    </row>
    <row r="20" spans="1:5">
      <c r="A20" s="381" t="s">
        <v>747</v>
      </c>
      <c r="B20" s="2122" t="s">
        <v>1182</v>
      </c>
      <c r="C20" s="5"/>
      <c r="D20" s="381">
        <v>18</v>
      </c>
      <c r="E20" s="5"/>
    </row>
    <row r="21" spans="1:5">
      <c r="A21" s="381" t="s">
        <v>1401</v>
      </c>
      <c r="B21" s="2122" t="s">
        <v>1183</v>
      </c>
      <c r="C21" s="5"/>
      <c r="D21" s="381">
        <v>19</v>
      </c>
      <c r="E21" s="5"/>
    </row>
    <row r="22" spans="1:5">
      <c r="A22" s="381" t="s">
        <v>857</v>
      </c>
      <c r="B22" s="2122" t="s">
        <v>1195</v>
      </c>
      <c r="C22" s="5"/>
      <c r="D22" s="381">
        <v>20</v>
      </c>
      <c r="E22" s="5"/>
    </row>
    <row r="23" spans="1:5">
      <c r="A23" s="381" t="s">
        <v>27</v>
      </c>
      <c r="B23" s="2122" t="s">
        <v>28</v>
      </c>
      <c r="C23" s="5"/>
      <c r="D23" s="381"/>
      <c r="E23" s="5"/>
    </row>
    <row r="24" spans="1:5">
      <c r="A24" s="381" t="s">
        <v>1064</v>
      </c>
      <c r="B24" s="2122" t="s">
        <v>2913</v>
      </c>
      <c r="C24" s="5"/>
      <c r="D24" s="381">
        <v>21</v>
      </c>
      <c r="E24" s="5"/>
    </row>
    <row r="25" spans="1:5">
      <c r="A25" s="381">
        <v>12</v>
      </c>
      <c r="B25" s="2122" t="s">
        <v>51</v>
      </c>
      <c r="C25" s="5"/>
      <c r="D25" s="381">
        <v>22</v>
      </c>
      <c r="E25" s="5"/>
    </row>
    <row r="26" spans="1:5">
      <c r="A26" s="381">
        <v>13</v>
      </c>
      <c r="B26" s="2122" t="s">
        <v>2038</v>
      </c>
      <c r="C26" s="5"/>
      <c r="D26" s="381">
        <v>23</v>
      </c>
      <c r="E26" s="5"/>
    </row>
    <row r="27" spans="1:5">
      <c r="A27" s="381">
        <v>14</v>
      </c>
      <c r="B27" s="2124" t="s">
        <v>1715</v>
      </c>
      <c r="C27" s="5"/>
      <c r="D27" s="381"/>
      <c r="E27" s="5"/>
    </row>
    <row r="28" spans="1:5">
      <c r="A28" s="378"/>
      <c r="B28" s="608"/>
      <c r="C28" s="116"/>
      <c r="D28" s="384"/>
      <c r="E28" s="5"/>
    </row>
    <row r="29" spans="1:5">
      <c r="A29" s="380"/>
      <c r="B29" s="611" t="s">
        <v>2039</v>
      </c>
      <c r="C29" s="116"/>
      <c r="D29" s="378"/>
      <c r="E29" s="5"/>
    </row>
    <row r="30" spans="1:5">
      <c r="A30" s="378">
        <v>1</v>
      </c>
      <c r="B30" s="2125" t="s">
        <v>2040</v>
      </c>
      <c r="C30" s="116"/>
      <c r="D30" s="378">
        <v>26</v>
      </c>
      <c r="E30" s="5"/>
    </row>
    <row r="31" spans="1:5">
      <c r="A31" s="378">
        <v>1.1000000000000001</v>
      </c>
      <c r="B31" s="2125" t="s">
        <v>232</v>
      </c>
      <c r="C31" s="116"/>
      <c r="D31" s="378">
        <v>27</v>
      </c>
      <c r="E31" s="5"/>
    </row>
    <row r="32" spans="1:5">
      <c r="A32" s="378">
        <v>1.3</v>
      </c>
      <c r="B32" s="2122" t="s">
        <v>233</v>
      </c>
      <c r="C32" s="116"/>
      <c r="D32" s="378">
        <v>29</v>
      </c>
      <c r="E32" s="5"/>
    </row>
    <row r="33" spans="1:5">
      <c r="A33" s="378">
        <v>2</v>
      </c>
      <c r="B33" s="2122" t="s">
        <v>2123</v>
      </c>
      <c r="C33" s="116"/>
      <c r="D33" s="378">
        <v>30</v>
      </c>
      <c r="E33" s="5"/>
    </row>
    <row r="34" spans="1:5">
      <c r="A34" s="378">
        <v>3</v>
      </c>
      <c r="B34" s="2122" t="s">
        <v>736</v>
      </c>
      <c r="C34" s="116"/>
      <c r="D34" s="378">
        <v>31</v>
      </c>
      <c r="E34" s="5"/>
    </row>
    <row r="35" spans="1:5">
      <c r="A35" s="378">
        <v>4</v>
      </c>
      <c r="B35" s="2122" t="s">
        <v>2311</v>
      </c>
      <c r="C35" s="116"/>
      <c r="D35" s="378">
        <v>32</v>
      </c>
      <c r="E35" s="5"/>
    </row>
    <row r="36" spans="1:5">
      <c r="A36" s="378">
        <v>5</v>
      </c>
      <c r="B36" s="2122" t="s">
        <v>463</v>
      </c>
      <c r="C36" s="116"/>
      <c r="D36" s="378">
        <v>33</v>
      </c>
      <c r="E36" s="5"/>
    </row>
    <row r="37" spans="1:5">
      <c r="A37" s="378" t="s">
        <v>1082</v>
      </c>
      <c r="B37" s="2122" t="s">
        <v>1960</v>
      </c>
      <c r="C37" s="116"/>
      <c r="D37" s="378">
        <v>34</v>
      </c>
      <c r="E37" s="5"/>
    </row>
    <row r="38" spans="1:5">
      <c r="A38" s="378">
        <v>6</v>
      </c>
      <c r="B38" s="2122" t="s">
        <v>1375</v>
      </c>
      <c r="C38" s="116"/>
      <c r="D38" s="378">
        <v>35</v>
      </c>
      <c r="E38" s="5"/>
    </row>
    <row r="39" spans="1:5">
      <c r="A39" s="378">
        <v>7</v>
      </c>
      <c r="B39" s="2122" t="s">
        <v>1897</v>
      </c>
      <c r="C39" s="116"/>
      <c r="D39" s="378">
        <v>36</v>
      </c>
      <c r="E39" s="5"/>
    </row>
    <row r="40" spans="1:5">
      <c r="A40" s="378" t="s">
        <v>1083</v>
      </c>
      <c r="B40" s="2122" t="s">
        <v>1084</v>
      </c>
      <c r="C40" s="116"/>
      <c r="D40" s="378">
        <v>43</v>
      </c>
      <c r="E40" s="5"/>
    </row>
    <row r="41" spans="1:5">
      <c r="A41" s="378">
        <v>9</v>
      </c>
      <c r="B41" s="2122" t="s">
        <v>464</v>
      </c>
      <c r="C41" s="116"/>
      <c r="D41" s="378">
        <v>44</v>
      </c>
      <c r="E41" s="5"/>
    </row>
    <row r="42" spans="1:5">
      <c r="A42" s="378">
        <v>10</v>
      </c>
      <c r="B42" s="2122" t="s">
        <v>1191</v>
      </c>
      <c r="C42" s="116"/>
      <c r="D42" s="378">
        <v>45</v>
      </c>
      <c r="E42" s="5"/>
    </row>
    <row r="43" spans="1:5">
      <c r="A43" s="378">
        <v>11</v>
      </c>
      <c r="B43" s="2122" t="s">
        <v>1396</v>
      </c>
      <c r="C43" s="116"/>
      <c r="D43" s="378">
        <v>46</v>
      </c>
      <c r="E43" s="5"/>
    </row>
    <row r="44" spans="1:5">
      <c r="A44" s="378" t="s">
        <v>1064</v>
      </c>
      <c r="B44" s="2122" t="s">
        <v>2142</v>
      </c>
      <c r="C44" s="116"/>
      <c r="D44" s="378">
        <v>47</v>
      </c>
      <c r="E44" s="5"/>
    </row>
    <row r="45" spans="1:5">
      <c r="A45" s="378">
        <v>12</v>
      </c>
      <c r="B45" s="2122" t="s">
        <v>922</v>
      </c>
      <c r="C45" s="116"/>
      <c r="D45" s="378">
        <v>48</v>
      </c>
      <c r="E45" s="5"/>
    </row>
    <row r="46" spans="1:5">
      <c r="A46" s="378">
        <v>13</v>
      </c>
      <c r="B46" s="2122" t="s">
        <v>2109</v>
      </c>
      <c r="C46" s="116"/>
      <c r="D46" s="378">
        <v>49</v>
      </c>
      <c r="E46" s="5"/>
    </row>
    <row r="47" spans="1:5">
      <c r="A47" s="378">
        <v>15</v>
      </c>
      <c r="B47" s="2122" t="s">
        <v>1751</v>
      </c>
      <c r="C47" s="116"/>
      <c r="D47" s="378">
        <v>51</v>
      </c>
      <c r="E47" s="5"/>
    </row>
    <row r="48" spans="1:5">
      <c r="A48" s="378">
        <v>16</v>
      </c>
      <c r="B48" s="2122" t="s">
        <v>978</v>
      </c>
      <c r="C48" s="116"/>
      <c r="D48" s="378">
        <v>52</v>
      </c>
      <c r="E48" s="5"/>
    </row>
    <row r="49" spans="1:5">
      <c r="A49" s="378">
        <v>18</v>
      </c>
      <c r="B49" s="2122" t="s">
        <v>3078</v>
      </c>
      <c r="C49" s="116"/>
      <c r="D49" s="378">
        <v>54</v>
      </c>
      <c r="E49" s="5"/>
    </row>
    <row r="50" spans="1:5">
      <c r="A50" s="378">
        <v>19</v>
      </c>
      <c r="B50" s="2122" t="s">
        <v>1956</v>
      </c>
      <c r="C50" s="116"/>
      <c r="D50" s="378">
        <v>55</v>
      </c>
      <c r="E50" s="5"/>
    </row>
    <row r="51" spans="1:5">
      <c r="A51" s="385"/>
      <c r="B51" s="608"/>
      <c r="C51" s="379"/>
      <c r="D51" s="385"/>
      <c r="E51" s="5"/>
    </row>
    <row r="52" spans="1:5">
      <c r="A52" s="380"/>
      <c r="B52" s="615" t="s">
        <v>1226</v>
      </c>
      <c r="C52" s="116"/>
      <c r="D52" s="378"/>
      <c r="E52" s="5"/>
    </row>
    <row r="53" spans="1:5">
      <c r="A53" s="378" t="s">
        <v>1440</v>
      </c>
      <c r="B53" s="2125" t="s">
        <v>476</v>
      </c>
      <c r="C53" s="116"/>
      <c r="D53" s="378">
        <v>56</v>
      </c>
      <c r="E53" s="5"/>
    </row>
    <row r="54" spans="1:5">
      <c r="A54" s="378" t="s">
        <v>1376</v>
      </c>
      <c r="B54" s="2125" t="s">
        <v>477</v>
      </c>
      <c r="C54" s="116"/>
      <c r="D54" s="378">
        <v>57</v>
      </c>
      <c r="E54" s="5"/>
    </row>
    <row r="55" spans="1:5">
      <c r="A55" s="378" t="s">
        <v>1098</v>
      </c>
      <c r="B55" s="2125" t="s">
        <v>143</v>
      </c>
      <c r="C55" s="116"/>
      <c r="D55" s="378">
        <v>58</v>
      </c>
      <c r="E55" s="5"/>
    </row>
    <row r="56" spans="1:5">
      <c r="A56" s="378" t="s">
        <v>144</v>
      </c>
      <c r="B56" s="2125" t="s">
        <v>145</v>
      </c>
      <c r="C56" s="116"/>
      <c r="D56" s="378">
        <v>59</v>
      </c>
      <c r="E56" s="5"/>
    </row>
    <row r="57" spans="1:5">
      <c r="A57" s="378" t="s">
        <v>146</v>
      </c>
      <c r="B57" s="2125" t="s">
        <v>147</v>
      </c>
      <c r="C57" s="116"/>
      <c r="D57" s="378">
        <v>60</v>
      </c>
      <c r="E57" s="5"/>
    </row>
    <row r="58" spans="1:5">
      <c r="A58" s="378" t="s">
        <v>658</v>
      </c>
      <c r="B58" s="609" t="s">
        <v>659</v>
      </c>
      <c r="C58" s="116"/>
      <c r="D58" s="378">
        <v>61</v>
      </c>
      <c r="E58" s="5"/>
    </row>
    <row r="59" spans="1:5">
      <c r="A59" s="378" t="s">
        <v>660</v>
      </c>
      <c r="B59" s="2125" t="s">
        <v>661</v>
      </c>
      <c r="C59" s="116"/>
      <c r="D59" s="378">
        <v>63</v>
      </c>
      <c r="E59" s="5"/>
    </row>
    <row r="60" spans="1:5">
      <c r="A60" s="378" t="s">
        <v>662</v>
      </c>
      <c r="B60" s="2125" t="s">
        <v>1225</v>
      </c>
      <c r="C60" s="116"/>
      <c r="D60" s="378">
        <v>64</v>
      </c>
      <c r="E60" s="5"/>
    </row>
    <row r="61" spans="1:5">
      <c r="A61" s="378"/>
      <c r="B61" s="611"/>
      <c r="C61" s="116"/>
      <c r="D61" s="378" t="s">
        <v>828</v>
      </c>
      <c r="E61" s="5"/>
    </row>
    <row r="62" spans="1:5">
      <c r="A62" s="386" t="s">
        <v>1227</v>
      </c>
      <c r="B62" s="2125" t="s">
        <v>102</v>
      </c>
      <c r="C62" s="117"/>
      <c r="D62" s="378">
        <v>62</v>
      </c>
      <c r="E62" s="5"/>
    </row>
    <row r="63" spans="1:5">
      <c r="A63" s="386" t="s">
        <v>70</v>
      </c>
      <c r="B63" s="2125" t="s">
        <v>491</v>
      </c>
      <c r="C63" s="117"/>
      <c r="D63" s="378">
        <v>64</v>
      </c>
      <c r="E63" s="5"/>
    </row>
    <row r="64" spans="1:5">
      <c r="A64" s="378" t="s">
        <v>1686</v>
      </c>
      <c r="B64" s="2122" t="s">
        <v>1687</v>
      </c>
      <c r="C64" s="116"/>
      <c r="D64" s="378">
        <v>67</v>
      </c>
      <c r="E64" s="5"/>
    </row>
    <row r="65" spans="1:5">
      <c r="A65" s="116"/>
      <c r="B65" s="115"/>
      <c r="C65" s="116"/>
      <c r="D65" s="378"/>
      <c r="E65" s="5"/>
    </row>
    <row r="66" spans="1:5" ht="12.75" hidden="1" customHeight="1"/>
    <row r="80" spans="1:5" ht="12.75" hidden="1" customHeight="1"/>
    <row r="65535" spans="1:3" ht="12.75" hidden="1" customHeight="1">
      <c r="A65535" s="617"/>
      <c r="C65535" s="606"/>
    </row>
  </sheetData>
  <sheetProtection password="C7B7" sheet="1" objects="1" scenarios="1"/>
  <phoneticPr fontId="13" type="noConversion"/>
  <hyperlinks>
    <hyperlink ref="B8" location="'Schedule 1.1 Cons Stmt of Ops.'!A1" display="Consolidated Statement of Operations"/>
    <hyperlink ref="B9" location="'Sch 3 Capital Exp.'!A1" display="Schedule 3 - Capital Expenditure - Moveable Assets - Additions and Betterments"/>
    <hyperlink ref="B10" location="'Sch 3C Tang Cap Asset Con'!A1" display="Schedule 3C - Tangible Capital Asset Continuity Schedule - 2016-17"/>
    <hyperlink ref="B11" location="'Schedule 5'!A1" display="Schedule 5 Detail of Accumulated Surplus/(Deficit)"/>
    <hyperlink ref="B12" location="'Schedule 9'!A1" display="Deferred Revenues - Operating"/>
    <hyperlink ref="B16" location="'Sch 10ADJ  Oper. Fund- Adj.'!A1" display="Operating Fund - Adjusted Expenses for Compliance Purposes"/>
    <hyperlink ref="B19" location="'Sch. 10A Spec Ed Expense - Elem'!A1" display="Special Education Expenses - Elementary"/>
    <hyperlink ref="B20" location="'Sch. 10B Spec Ed Expense - Sec'!A1" display="Special Education Expenses - Secondary"/>
    <hyperlink ref="B21" location="'Sch. 10C Oper. &amp; Maintenance'!A1" display="School Operations &amp; Maintenance Expenses"/>
    <hyperlink ref="B22" location="'Sch. 10F Employee Benefits'!A1" display="Employee Benefits"/>
    <hyperlink ref="B23" location="'Sch. 10G Amort of Liab'!A1" display="Supplementary Information on Retirement Benefits and Termination Benefits"/>
    <hyperlink ref="B24" location="'Sch 11A Tax Revenue'!A1" display="Schedule of Tax Revenue for the Calendar Year 2016"/>
    <hyperlink ref="B25" location="'Sch 12 ConEd Summer'!A1" display="Continuing Education, Summer School, PLAR"/>
    <hyperlink ref="B13" location="'Schedule 5.1'!A1" display="Deferred Revenues - Capital"/>
    <hyperlink ref="B14" location="'Schedule 9'!A1" display="Operating Fund - Revenues"/>
    <hyperlink ref="B15" location="'Sch. 10 Operating Fund - Exp'!A1" display="Operating Fund - Expenses"/>
    <hyperlink ref="B26" location="'Sch 13 Enrolment'!A1" display="Day School Enrolment"/>
    <hyperlink ref="B27" location="'Sch 14 School Generated Funds'!A1" display="School Generated Funds"/>
    <hyperlink ref="B30" location="'1 Summary'!A1" display="Summary of Allocations"/>
    <hyperlink ref="B31" location="'1.1 Pupil Foundation'!A1" display="Pupil Foundation Allocation"/>
    <hyperlink ref="B32" location="'1.3 School Foundation'!A1" display="School Foundation Allocation"/>
    <hyperlink ref="B33" location="'2 Special Ed'!A1" display="Special Education Allocation"/>
    <hyperlink ref="B34" location="'3 Language'!A1" display="Language Allocation"/>
    <hyperlink ref="B35" location="'4 Outlying Schools'!A1" display="Supported Schools Allocation"/>
    <hyperlink ref="B36" location="'5 Remote and Rural'!A1" display="Remote and Rural Allocation"/>
    <hyperlink ref="B37" location="'5A Rural and Small Comm'!A1" display="Rural and Small Community Allocation"/>
    <hyperlink ref="B38" location="'6 Continuing Education'!A1" display="Continuing Education and Other Programs"/>
    <hyperlink ref="B39" location="'7 Teacher Compensation'!A1" display="Cost Adjustment and Teacher Qualification and Experience Allocation"/>
    <hyperlink ref="B40" location="'7A ECE'!A1" display="New Teacher Induction Program"/>
    <hyperlink ref="B41" location="'9 Transportation'!A1" display="Transportation Allocation"/>
    <hyperlink ref="B42" location="'10 Admin and Governance'!A1" display="Administration and Governance Allocation"/>
    <hyperlink ref="B43" location="'11 Accommodations'!A1" display="Pupil Accommodation Allocation"/>
    <hyperlink ref="B44" location="'11A Community Use'!A1" display="Community Use of Schools Allocation"/>
    <hyperlink ref="B45" location="'12 Teacherage'!A1" display="Teacherages"/>
    <hyperlink ref="B46" location="'13 Learning Opportunities'!A1" display="Learning Opportunities Allocation"/>
    <hyperlink ref="B47" location="'15 Special Approvals'!A1" display="Special Approvals"/>
    <hyperlink ref="B48" location="'16 Declining Enrolment'!A1" display="Declining Enrolment Adjustment"/>
    <hyperlink ref="B49" location="'18 First Nation'!A1" display="First Nation, Métis and Inuit Education Supplemental Allocation"/>
    <hyperlink ref="B50" location="'19 Safe Schools'!A1" display="Safe Schools"/>
    <hyperlink ref="B53" location="'App B Calculation of Fees'!A1" display="Calculation of Fees"/>
    <hyperlink ref="B54" location="'App B1 Tuition Fees'!A1" display="Tuition Fee Revenue"/>
    <hyperlink ref="B55" location="'App F1 Transportation'!A1" display="Transportation - Contracted and Board-Owned Vehicles"/>
    <hyperlink ref="B56" location="'App F1.1 Board-Owned'!A1" display="Transportation - Board-Owned Vehicles - Details"/>
    <hyperlink ref="B57" location="'App F2 Board Lodging'!A1" display="Board and Lodging"/>
    <hyperlink ref="B59" location="'App G - Salary Grid'!A1" display="Board Teacher Salary Grid"/>
    <hyperlink ref="B60" location="'App H - Staffing'!A1" display="Staffing"/>
    <hyperlink ref="B62" location="'Error Messages'!A1" display="Error Messages"/>
    <hyperlink ref="B63" location="'Warning Messages'!A1" display="Warning Messages"/>
    <hyperlink ref="B64" location="'Data Analysis'!A1" display="Data Analysis"/>
  </hyperlinks>
  <printOptions horizontalCentered="1"/>
  <pageMargins left="0" right="0" top="1" bottom="1" header="0.5" footer="0.5"/>
  <pageSetup scale="68" orientation="portrait" r:id="rId1"/>
  <headerFooter alignWithMargins="0">
    <oddFooter>&amp;L&amp;D,&amp;" ,Regular" &amp;T
&amp;CPage &amp;P of &amp;N&amp;R2015/16 School Authority Estimates
&amp;A</oddFooter>
  </headerFooter>
  <rowBreaks count="1" manualBreakCount="1">
    <brk id="44"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U39"/>
  <sheetViews>
    <sheetView topLeftCell="E1" zoomScaleNormal="100" workbookViewId="0">
      <selection activeCell="R9" sqref="R9"/>
    </sheetView>
  </sheetViews>
  <sheetFormatPr defaultColWidth="0" defaultRowHeight="12.75" zeroHeight="1"/>
  <cols>
    <col min="1" max="1" width="1.7109375" style="617" customWidth="1"/>
    <col min="2" max="2" width="0" style="617" hidden="1" customWidth="1"/>
    <col min="3" max="3" width="4.140625" style="617" customWidth="1"/>
    <col min="4" max="4" width="40.5703125" style="617" customWidth="1"/>
    <col min="5" max="5" width="4.42578125" style="617" customWidth="1"/>
    <col min="6" max="6" width="14.7109375" style="617" customWidth="1"/>
    <col min="7" max="8" width="13.42578125" style="617" customWidth="1"/>
    <col min="9" max="9" width="16.42578125" style="617" customWidth="1"/>
    <col min="10" max="10" width="13.7109375" style="617" customWidth="1"/>
    <col min="11" max="11" width="17.5703125" style="617" customWidth="1"/>
    <col min="12" max="12" width="13.85546875" style="617" bestFit="1" customWidth="1"/>
    <col min="13" max="16" width="11.5703125" style="617" customWidth="1"/>
    <col min="17" max="18" width="14.42578125" style="617" customWidth="1"/>
    <col min="19" max="19" width="11.5703125" style="617" customWidth="1"/>
    <col min="20" max="20" width="12.7109375" style="617" customWidth="1"/>
    <col min="21" max="21" width="2.28515625" style="617" customWidth="1"/>
    <col min="22" max="16384" width="0" style="617" hidden="1"/>
  </cols>
  <sheetData>
    <row r="1" spans="1:21">
      <c r="A1" s="2153" t="s">
        <v>2801</v>
      </c>
      <c r="B1" s="30"/>
      <c r="C1" s="30"/>
      <c r="D1" s="30"/>
      <c r="E1" s="30"/>
      <c r="F1" s="30"/>
      <c r="G1" s="30"/>
      <c r="H1" s="30"/>
      <c r="I1" s="30"/>
      <c r="J1" s="30"/>
      <c r="K1" s="30"/>
      <c r="L1" s="30"/>
      <c r="M1" s="30"/>
      <c r="N1" s="30"/>
      <c r="O1" s="30"/>
      <c r="P1" s="30"/>
      <c r="Q1" s="30"/>
      <c r="R1" s="30"/>
      <c r="S1" s="30"/>
      <c r="T1" s="30"/>
      <c r="U1" s="30"/>
    </row>
    <row r="2" spans="1:21" ht="18">
      <c r="B2" s="30"/>
      <c r="C2" s="42"/>
      <c r="D2" s="43" t="s">
        <v>1867</v>
      </c>
      <c r="E2" s="30"/>
      <c r="F2" s="30"/>
      <c r="G2" s="30"/>
      <c r="H2" s="30"/>
      <c r="I2" s="30"/>
      <c r="J2" s="30"/>
      <c r="K2" s="30"/>
      <c r="L2" s="30"/>
      <c r="M2" s="30"/>
      <c r="N2" s="30"/>
      <c r="O2" s="30"/>
      <c r="P2" s="30"/>
      <c r="Q2" s="30"/>
      <c r="R2" s="30"/>
      <c r="S2" s="30"/>
      <c r="T2" s="30"/>
      <c r="U2" s="124"/>
    </row>
    <row r="3" spans="1:21" ht="18">
      <c r="A3" s="17" t="s">
        <v>1379</v>
      </c>
      <c r="B3" s="30"/>
      <c r="C3" s="30"/>
      <c r="D3" s="55"/>
      <c r="E3" s="30"/>
      <c r="F3" s="30"/>
      <c r="G3" s="30"/>
      <c r="H3" s="30"/>
      <c r="I3" s="30"/>
      <c r="J3" s="30"/>
      <c r="K3" s="30"/>
      <c r="L3" s="30"/>
      <c r="M3" s="30"/>
      <c r="N3" s="30"/>
      <c r="O3" s="30"/>
      <c r="P3" s="30"/>
      <c r="Q3" s="30"/>
      <c r="R3" s="30"/>
      <c r="S3" s="30"/>
      <c r="T3" s="30"/>
      <c r="U3" s="124"/>
    </row>
    <row r="4" spans="1:21" ht="18">
      <c r="A4" s="230"/>
      <c r="B4" s="230" t="s">
        <v>1380</v>
      </c>
      <c r="C4" s="230"/>
      <c r="D4" s="230" t="s">
        <v>926</v>
      </c>
      <c r="E4" s="30"/>
      <c r="F4" s="30"/>
      <c r="G4" s="30"/>
      <c r="H4" s="30"/>
      <c r="I4" s="30"/>
      <c r="J4" s="30"/>
      <c r="K4" s="30"/>
      <c r="L4" s="30"/>
      <c r="M4" s="30"/>
      <c r="N4" s="30"/>
      <c r="O4" s="30"/>
      <c r="P4" s="30"/>
      <c r="Q4" s="30"/>
      <c r="R4" s="30"/>
      <c r="S4" s="30"/>
      <c r="T4" s="30"/>
      <c r="U4" s="124"/>
    </row>
    <row r="5" spans="1:21" ht="18">
      <c r="A5" s="43"/>
      <c r="B5" s="43"/>
      <c r="C5" s="43"/>
      <c r="D5" s="43"/>
      <c r="E5" s="30"/>
      <c r="F5" s="43"/>
      <c r="G5" s="43"/>
      <c r="H5" s="43"/>
      <c r="I5" s="43"/>
      <c r="J5" s="43"/>
      <c r="K5" s="43"/>
      <c r="L5" s="43"/>
      <c r="M5" s="43"/>
      <c r="N5" s="43"/>
      <c r="O5" s="43"/>
      <c r="P5" s="43"/>
      <c r="Q5" s="43"/>
      <c r="R5" s="43"/>
      <c r="S5" s="43"/>
      <c r="T5" s="30"/>
      <c r="U5" s="124"/>
    </row>
    <row r="6" spans="1:21" ht="18">
      <c r="A6" s="43"/>
      <c r="B6" s="43"/>
      <c r="C6" s="43"/>
      <c r="D6" s="43"/>
      <c r="E6" s="30"/>
      <c r="F6" s="43"/>
      <c r="G6" s="43"/>
      <c r="H6" s="43"/>
      <c r="I6" s="43"/>
      <c r="J6" s="43"/>
      <c r="K6" s="43"/>
      <c r="L6" s="43"/>
      <c r="M6" s="43"/>
      <c r="N6" s="43"/>
      <c r="O6" s="43"/>
      <c r="P6" s="43"/>
      <c r="Q6" s="43"/>
      <c r="R6" s="43"/>
      <c r="S6" s="43"/>
      <c r="T6" s="30"/>
      <c r="U6" s="124"/>
    </row>
    <row r="7" spans="1:21" s="688" customFormat="1" ht="120.75">
      <c r="A7" s="43"/>
      <c r="B7" s="922"/>
      <c r="C7" s="1969"/>
      <c r="D7" s="1969"/>
      <c r="E7" s="1970"/>
      <c r="F7" s="1971" t="s">
        <v>571</v>
      </c>
      <c r="G7" s="818" t="s">
        <v>3103</v>
      </c>
      <c r="H7" s="818" t="s">
        <v>3104</v>
      </c>
      <c r="I7" s="818" t="s">
        <v>2654</v>
      </c>
      <c r="J7" s="818" t="s">
        <v>928</v>
      </c>
      <c r="K7" s="818" t="s">
        <v>572</v>
      </c>
      <c r="L7" s="818" t="s">
        <v>573</v>
      </c>
      <c r="M7" s="818" t="s">
        <v>574</v>
      </c>
      <c r="N7" s="818" t="s">
        <v>575</v>
      </c>
      <c r="O7" s="818" t="s">
        <v>576</v>
      </c>
      <c r="P7" s="818" t="s">
        <v>927</v>
      </c>
      <c r="Q7" s="818" t="s">
        <v>3105</v>
      </c>
      <c r="R7" s="818" t="s">
        <v>3106</v>
      </c>
      <c r="S7" s="818" t="s">
        <v>3008</v>
      </c>
      <c r="T7" s="818" t="s">
        <v>1001</v>
      </c>
      <c r="U7" s="651"/>
    </row>
    <row r="8" spans="1:21" s="688" customFormat="1" ht="15.75">
      <c r="A8" s="30"/>
      <c r="B8" s="189"/>
      <c r="C8" s="1616"/>
      <c r="D8" s="848"/>
      <c r="E8" s="1972"/>
      <c r="F8" s="1973" t="s">
        <v>1286</v>
      </c>
      <c r="G8" s="1974" t="s">
        <v>2012</v>
      </c>
      <c r="H8" s="1974" t="s">
        <v>3102</v>
      </c>
      <c r="I8" s="1974" t="s">
        <v>1288</v>
      </c>
      <c r="J8" s="1974" t="s">
        <v>842</v>
      </c>
      <c r="K8" s="1974" t="s">
        <v>843</v>
      </c>
      <c r="L8" s="1974" t="s">
        <v>844</v>
      </c>
      <c r="M8" s="1974" t="s">
        <v>2122</v>
      </c>
      <c r="N8" s="1974" t="s">
        <v>840</v>
      </c>
      <c r="O8" s="1974" t="s">
        <v>841</v>
      </c>
      <c r="P8" s="1974" t="s">
        <v>1317</v>
      </c>
      <c r="Q8" s="1974" t="s">
        <v>1318</v>
      </c>
      <c r="R8" s="1974" t="s">
        <v>3138</v>
      </c>
      <c r="S8" s="1974" t="s">
        <v>2110</v>
      </c>
      <c r="T8" s="1974" t="s">
        <v>2111</v>
      </c>
      <c r="U8" s="651"/>
    </row>
    <row r="9" spans="1:21" s="688" customFormat="1" ht="15" customHeight="1">
      <c r="A9" s="30"/>
      <c r="B9" s="923" t="s">
        <v>2145</v>
      </c>
      <c r="C9" s="1975">
        <v>1</v>
      </c>
      <c r="D9" s="1976" t="s">
        <v>1311</v>
      </c>
      <c r="E9" s="1977"/>
      <c r="F9" s="1978"/>
      <c r="G9" s="1978"/>
      <c r="H9" s="1978"/>
      <c r="I9" s="1978"/>
      <c r="J9" s="1978"/>
      <c r="K9" s="1978"/>
      <c r="L9" s="1978"/>
      <c r="M9" s="1978"/>
      <c r="N9" s="1978"/>
      <c r="O9" s="1978"/>
      <c r="P9" s="1978"/>
      <c r="Q9" s="1978"/>
      <c r="R9" s="1978"/>
      <c r="S9" s="1978"/>
      <c r="T9" s="909">
        <f>SUM(F9:S9)</f>
        <v>0</v>
      </c>
      <c r="U9" s="651"/>
    </row>
    <row r="10" spans="1:21" s="688" customFormat="1" ht="15" customHeight="1">
      <c r="A10" s="30"/>
      <c r="B10" s="923" t="s">
        <v>2124</v>
      </c>
      <c r="C10" s="1975">
        <v>2</v>
      </c>
      <c r="D10" s="1976" t="s">
        <v>2864</v>
      </c>
      <c r="E10" s="1977"/>
      <c r="F10" s="1978"/>
      <c r="G10" s="1978"/>
      <c r="H10" s="1978"/>
      <c r="I10" s="1978"/>
      <c r="J10" s="1978"/>
      <c r="K10" s="1978"/>
      <c r="L10" s="1978"/>
      <c r="M10" s="1978"/>
      <c r="N10" s="1978"/>
      <c r="O10" s="1978"/>
      <c r="P10" s="1978"/>
      <c r="Q10" s="1978"/>
      <c r="R10" s="1978"/>
      <c r="S10" s="1978"/>
      <c r="T10" s="909">
        <f t="shared" ref="T10:T27" si="0">SUM(F10:S10)</f>
        <v>0</v>
      </c>
      <c r="U10" s="651"/>
    </row>
    <row r="11" spans="1:21" s="688" customFormat="1" ht="15" customHeight="1">
      <c r="A11" s="30"/>
      <c r="B11" s="924" t="s">
        <v>2125</v>
      </c>
      <c r="C11" s="1975">
        <v>3</v>
      </c>
      <c r="D11" s="822" t="s">
        <v>1813</v>
      </c>
      <c r="E11" s="1979"/>
      <c r="F11" s="1978"/>
      <c r="G11" s="1978"/>
      <c r="H11" s="1978"/>
      <c r="I11" s="1978"/>
      <c r="J11" s="1978"/>
      <c r="K11" s="1978"/>
      <c r="L11" s="1978"/>
      <c r="M11" s="1978"/>
      <c r="N11" s="1978"/>
      <c r="O11" s="1978"/>
      <c r="P11" s="1978"/>
      <c r="Q11" s="1978"/>
      <c r="R11" s="1978"/>
      <c r="S11" s="1978"/>
      <c r="T11" s="909">
        <f t="shared" si="0"/>
        <v>0</v>
      </c>
      <c r="U11" s="651"/>
    </row>
    <row r="12" spans="1:21" s="688" customFormat="1" ht="15" customHeight="1">
      <c r="A12" s="30"/>
      <c r="B12" s="924"/>
      <c r="C12" s="1975">
        <v>4</v>
      </c>
      <c r="D12" s="822" t="s">
        <v>2269</v>
      </c>
      <c r="E12" s="1979"/>
      <c r="F12" s="1978"/>
      <c r="G12" s="1978"/>
      <c r="H12" s="1978"/>
      <c r="I12" s="1978"/>
      <c r="J12" s="1978"/>
      <c r="K12" s="1978"/>
      <c r="L12" s="1978"/>
      <c r="M12" s="1978"/>
      <c r="N12" s="1978"/>
      <c r="O12" s="1978"/>
      <c r="P12" s="1978"/>
      <c r="Q12" s="1978"/>
      <c r="R12" s="1978"/>
      <c r="S12" s="1978"/>
      <c r="T12" s="909">
        <f t="shared" si="0"/>
        <v>0</v>
      </c>
      <c r="U12" s="651"/>
    </row>
    <row r="13" spans="1:21" s="688" customFormat="1" ht="15" customHeight="1">
      <c r="A13" s="30"/>
      <c r="B13" s="924" t="s">
        <v>2127</v>
      </c>
      <c r="C13" s="1975">
        <v>5</v>
      </c>
      <c r="D13" s="817" t="s">
        <v>1543</v>
      </c>
      <c r="E13" s="1979"/>
      <c r="F13" s="1978"/>
      <c r="G13" s="1978"/>
      <c r="H13" s="1978"/>
      <c r="I13" s="1978"/>
      <c r="J13" s="1978"/>
      <c r="K13" s="1978"/>
      <c r="L13" s="1978"/>
      <c r="M13" s="1978"/>
      <c r="N13" s="1978"/>
      <c r="O13" s="1978"/>
      <c r="P13" s="1978"/>
      <c r="Q13" s="1978"/>
      <c r="R13" s="1978"/>
      <c r="S13" s="1978"/>
      <c r="T13" s="909">
        <f t="shared" si="0"/>
        <v>0</v>
      </c>
      <c r="U13" s="651"/>
    </row>
    <row r="14" spans="1:21" s="688" customFormat="1" ht="15" customHeight="1">
      <c r="A14" s="30"/>
      <c r="B14" s="924" t="s">
        <v>2128</v>
      </c>
      <c r="C14" s="1975">
        <v>6</v>
      </c>
      <c r="D14" s="822" t="s">
        <v>197</v>
      </c>
      <c r="E14" s="1979"/>
      <c r="F14" s="1978"/>
      <c r="G14" s="1978"/>
      <c r="H14" s="1978"/>
      <c r="I14" s="1978"/>
      <c r="J14" s="1978"/>
      <c r="K14" s="1978"/>
      <c r="L14" s="1978"/>
      <c r="M14" s="1978"/>
      <c r="N14" s="1978"/>
      <c r="O14" s="1978"/>
      <c r="P14" s="1978"/>
      <c r="Q14" s="1978"/>
      <c r="R14" s="1978"/>
      <c r="S14" s="1978"/>
      <c r="T14" s="909">
        <f t="shared" si="0"/>
        <v>0</v>
      </c>
      <c r="U14" s="651"/>
    </row>
    <row r="15" spans="1:21" s="688" customFormat="1" ht="15" customHeight="1">
      <c r="A15" s="30"/>
      <c r="B15" s="924" t="s">
        <v>2129</v>
      </c>
      <c r="C15" s="1975">
        <v>7</v>
      </c>
      <c r="D15" s="822" t="s">
        <v>1196</v>
      </c>
      <c r="E15" s="1979"/>
      <c r="F15" s="1978"/>
      <c r="G15" s="1978"/>
      <c r="H15" s="1978"/>
      <c r="I15" s="1978"/>
      <c r="J15" s="1978"/>
      <c r="K15" s="1978"/>
      <c r="L15" s="1978"/>
      <c r="M15" s="1978"/>
      <c r="N15" s="1978"/>
      <c r="O15" s="1978"/>
      <c r="P15" s="1978"/>
      <c r="Q15" s="1978"/>
      <c r="R15" s="1978"/>
      <c r="S15" s="1978"/>
      <c r="T15" s="909">
        <f t="shared" si="0"/>
        <v>0</v>
      </c>
      <c r="U15" s="651"/>
    </row>
    <row r="16" spans="1:21" s="688" customFormat="1" ht="15" customHeight="1">
      <c r="A16" s="30"/>
      <c r="B16" s="924" t="s">
        <v>929</v>
      </c>
      <c r="C16" s="1975">
        <v>8</v>
      </c>
      <c r="D16" s="817" t="s">
        <v>1389</v>
      </c>
      <c r="E16" s="1979"/>
      <c r="F16" s="1978"/>
      <c r="G16" s="1978"/>
      <c r="H16" s="1978"/>
      <c r="I16" s="1978"/>
      <c r="J16" s="1978"/>
      <c r="K16" s="1978"/>
      <c r="L16" s="1978"/>
      <c r="M16" s="1978"/>
      <c r="N16" s="1978"/>
      <c r="O16" s="1978"/>
      <c r="P16" s="1978"/>
      <c r="Q16" s="1978"/>
      <c r="R16" s="1978"/>
      <c r="S16" s="1978"/>
      <c r="T16" s="909">
        <f t="shared" si="0"/>
        <v>0</v>
      </c>
      <c r="U16" s="651"/>
    </row>
    <row r="17" spans="1:21" s="688" customFormat="1" ht="15" customHeight="1">
      <c r="A17" s="30"/>
      <c r="B17" s="924" t="s">
        <v>2130</v>
      </c>
      <c r="C17" s="1975">
        <v>9</v>
      </c>
      <c r="D17" s="817" t="s">
        <v>1388</v>
      </c>
      <c r="E17" s="1979"/>
      <c r="F17" s="1978"/>
      <c r="G17" s="1978"/>
      <c r="H17" s="1978"/>
      <c r="I17" s="1978"/>
      <c r="J17" s="1978"/>
      <c r="K17" s="1978"/>
      <c r="L17" s="1978"/>
      <c r="M17" s="1978"/>
      <c r="N17" s="1978"/>
      <c r="O17" s="1978"/>
      <c r="P17" s="1978"/>
      <c r="Q17" s="1978"/>
      <c r="R17" s="1978"/>
      <c r="S17" s="1978"/>
      <c r="T17" s="909">
        <f t="shared" si="0"/>
        <v>0</v>
      </c>
      <c r="U17" s="651"/>
    </row>
    <row r="18" spans="1:21" s="688" customFormat="1" ht="15" customHeight="1">
      <c r="A18" s="30"/>
      <c r="B18" s="924" t="s">
        <v>2131</v>
      </c>
      <c r="C18" s="1975">
        <v>10</v>
      </c>
      <c r="D18" s="817" t="s">
        <v>2054</v>
      </c>
      <c r="E18" s="1979"/>
      <c r="F18" s="1978"/>
      <c r="G18" s="1978"/>
      <c r="H18" s="1978"/>
      <c r="I18" s="1978"/>
      <c r="J18" s="1978"/>
      <c r="K18" s="1978"/>
      <c r="L18" s="1978"/>
      <c r="M18" s="1978"/>
      <c r="N18" s="1978"/>
      <c r="O18" s="1978"/>
      <c r="P18" s="1978"/>
      <c r="Q18" s="1978"/>
      <c r="R18" s="1978"/>
      <c r="S18" s="1978"/>
      <c r="T18" s="909">
        <f t="shared" si="0"/>
        <v>0</v>
      </c>
      <c r="U18" s="651"/>
    </row>
    <row r="19" spans="1:21" s="688" customFormat="1" ht="15" customHeight="1">
      <c r="A19" s="30"/>
      <c r="B19" s="924" t="s">
        <v>2132</v>
      </c>
      <c r="C19" s="1975">
        <v>11</v>
      </c>
      <c r="D19" s="822" t="s">
        <v>624</v>
      </c>
      <c r="E19" s="1979"/>
      <c r="F19" s="1978"/>
      <c r="G19" s="1978"/>
      <c r="H19" s="1978"/>
      <c r="I19" s="1978"/>
      <c r="J19" s="1978"/>
      <c r="K19" s="1978"/>
      <c r="L19" s="1978"/>
      <c r="M19" s="1978"/>
      <c r="N19" s="1978"/>
      <c r="O19" s="1978"/>
      <c r="P19" s="1978"/>
      <c r="Q19" s="1978"/>
      <c r="R19" s="1978"/>
      <c r="S19" s="1978"/>
      <c r="T19" s="909">
        <f t="shared" si="0"/>
        <v>0</v>
      </c>
      <c r="U19" s="651"/>
    </row>
    <row r="20" spans="1:21" s="688" customFormat="1" ht="33" customHeight="1">
      <c r="A20" s="30"/>
      <c r="B20" s="924" t="s">
        <v>2133</v>
      </c>
      <c r="C20" s="1975">
        <v>12</v>
      </c>
      <c r="D20" s="817" t="s">
        <v>2011</v>
      </c>
      <c r="E20" s="1979"/>
      <c r="F20" s="1978"/>
      <c r="G20" s="1978"/>
      <c r="H20" s="1978"/>
      <c r="I20" s="1978"/>
      <c r="J20" s="1978"/>
      <c r="K20" s="1978"/>
      <c r="L20" s="1978"/>
      <c r="M20" s="1978"/>
      <c r="N20" s="1978"/>
      <c r="O20" s="1978"/>
      <c r="P20" s="1978"/>
      <c r="Q20" s="1978"/>
      <c r="R20" s="1978"/>
      <c r="S20" s="1978"/>
      <c r="T20" s="909">
        <f t="shared" si="0"/>
        <v>0</v>
      </c>
      <c r="U20" s="651"/>
    </row>
    <row r="21" spans="1:21" s="688" customFormat="1" ht="15" customHeight="1">
      <c r="A21" s="30"/>
      <c r="B21" s="924" t="s">
        <v>2134</v>
      </c>
      <c r="C21" s="1975">
        <v>13</v>
      </c>
      <c r="D21" s="822" t="s">
        <v>743</v>
      </c>
      <c r="E21" s="1979"/>
      <c r="F21" s="1978"/>
      <c r="G21" s="1978"/>
      <c r="H21" s="1978"/>
      <c r="I21" s="1978"/>
      <c r="J21" s="1978"/>
      <c r="K21" s="1978"/>
      <c r="L21" s="1978"/>
      <c r="M21" s="1978"/>
      <c r="N21" s="1978"/>
      <c r="O21" s="1978"/>
      <c r="P21" s="1978"/>
      <c r="Q21" s="1978"/>
      <c r="R21" s="1978"/>
      <c r="S21" s="1978"/>
      <c r="T21" s="909">
        <f t="shared" si="0"/>
        <v>0</v>
      </c>
      <c r="U21" s="651"/>
    </row>
    <row r="22" spans="1:21" s="688" customFormat="1" ht="15" customHeight="1">
      <c r="A22" s="30"/>
      <c r="B22" s="924" t="s">
        <v>2135</v>
      </c>
      <c r="C22" s="1975">
        <v>14</v>
      </c>
      <c r="D22" s="822" t="s">
        <v>744</v>
      </c>
      <c r="E22" s="1979"/>
      <c r="F22" s="1978"/>
      <c r="G22" s="1978"/>
      <c r="H22" s="1978"/>
      <c r="I22" s="1978"/>
      <c r="J22" s="1978"/>
      <c r="K22" s="1978"/>
      <c r="L22" s="1978"/>
      <c r="M22" s="1978"/>
      <c r="N22" s="1978"/>
      <c r="O22" s="1978"/>
      <c r="P22" s="1978"/>
      <c r="Q22" s="1978"/>
      <c r="R22" s="1978"/>
      <c r="S22" s="1978"/>
      <c r="T22" s="909">
        <f t="shared" si="0"/>
        <v>0</v>
      </c>
      <c r="U22" s="651"/>
    </row>
    <row r="23" spans="1:21" s="688" customFormat="1" ht="15" customHeight="1">
      <c r="A23" s="30"/>
      <c r="B23" s="924" t="s">
        <v>344</v>
      </c>
      <c r="C23" s="1975">
        <v>15</v>
      </c>
      <c r="D23" s="817" t="s">
        <v>345</v>
      </c>
      <c r="E23" s="1979"/>
      <c r="F23" s="1978"/>
      <c r="G23" s="1978"/>
      <c r="H23" s="1978"/>
      <c r="I23" s="1978"/>
      <c r="J23" s="1978"/>
      <c r="K23" s="1978"/>
      <c r="L23" s="1978"/>
      <c r="M23" s="1978"/>
      <c r="N23" s="1978"/>
      <c r="O23" s="1978"/>
      <c r="P23" s="1978"/>
      <c r="Q23" s="1978"/>
      <c r="R23" s="1978"/>
      <c r="S23" s="1978"/>
      <c r="T23" s="909">
        <f t="shared" si="0"/>
        <v>0</v>
      </c>
      <c r="U23" s="651"/>
    </row>
    <row r="24" spans="1:21" s="688" customFormat="1" ht="15" customHeight="1">
      <c r="A24" s="30"/>
      <c r="B24" s="924" t="s">
        <v>903</v>
      </c>
      <c r="C24" s="1975">
        <v>16</v>
      </c>
      <c r="D24" s="817" t="s">
        <v>1602</v>
      </c>
      <c r="E24" s="1979"/>
      <c r="F24" s="1978"/>
      <c r="G24" s="1978"/>
      <c r="H24" s="1978"/>
      <c r="I24" s="1978"/>
      <c r="J24" s="1978"/>
      <c r="K24" s="1978"/>
      <c r="L24" s="1978"/>
      <c r="M24" s="1978"/>
      <c r="N24" s="1978"/>
      <c r="O24" s="1978"/>
      <c r="P24" s="1978"/>
      <c r="Q24" s="1978"/>
      <c r="R24" s="1978"/>
      <c r="S24" s="1978"/>
      <c r="T24" s="909">
        <f t="shared" si="0"/>
        <v>0</v>
      </c>
      <c r="U24" s="651"/>
    </row>
    <row r="25" spans="1:21" s="688" customFormat="1" ht="15" customHeight="1">
      <c r="A25" s="30"/>
      <c r="B25" s="924" t="s">
        <v>1961</v>
      </c>
      <c r="C25" s="1975">
        <v>17</v>
      </c>
      <c r="D25" s="817" t="s">
        <v>1605</v>
      </c>
      <c r="E25" s="1979"/>
      <c r="F25" s="1978"/>
      <c r="G25" s="1978"/>
      <c r="H25" s="1978"/>
      <c r="I25" s="1978"/>
      <c r="J25" s="1978"/>
      <c r="K25" s="1978"/>
      <c r="L25" s="1978"/>
      <c r="M25" s="1978"/>
      <c r="N25" s="1978"/>
      <c r="O25" s="1978"/>
      <c r="P25" s="1978"/>
      <c r="Q25" s="1978"/>
      <c r="R25" s="1978"/>
      <c r="S25" s="1978"/>
      <c r="T25" s="909">
        <f t="shared" si="0"/>
        <v>0</v>
      </c>
      <c r="U25" s="651"/>
    </row>
    <row r="26" spans="1:21" s="688" customFormat="1" ht="15" customHeight="1">
      <c r="A26" s="30"/>
      <c r="B26" s="924"/>
      <c r="C26" s="1975">
        <v>18</v>
      </c>
      <c r="D26" s="817" t="s">
        <v>922</v>
      </c>
      <c r="E26" s="1979"/>
      <c r="F26" s="1978"/>
      <c r="G26" s="1978"/>
      <c r="H26" s="1978"/>
      <c r="I26" s="1978"/>
      <c r="J26" s="1978"/>
      <c r="K26" s="1978"/>
      <c r="L26" s="1978"/>
      <c r="M26" s="1978"/>
      <c r="N26" s="1978"/>
      <c r="O26" s="1978"/>
      <c r="P26" s="1978"/>
      <c r="Q26" s="1978"/>
      <c r="R26" s="1978"/>
      <c r="S26" s="1978"/>
      <c r="T26" s="909">
        <f t="shared" si="0"/>
        <v>0</v>
      </c>
      <c r="U26" s="651"/>
    </row>
    <row r="27" spans="1:21" s="688" customFormat="1" ht="15" customHeight="1">
      <c r="A27" s="30"/>
      <c r="B27" s="924" t="s">
        <v>48</v>
      </c>
      <c r="C27" s="1975">
        <v>19</v>
      </c>
      <c r="D27" s="822" t="s">
        <v>2108</v>
      </c>
      <c r="E27" s="1979"/>
      <c r="F27" s="1978"/>
      <c r="G27" s="1978"/>
      <c r="H27" s="1978"/>
      <c r="I27" s="1978"/>
      <c r="J27" s="1978"/>
      <c r="K27" s="1978"/>
      <c r="L27" s="1978"/>
      <c r="M27" s="1978"/>
      <c r="N27" s="1978"/>
      <c r="O27" s="1978"/>
      <c r="P27" s="1978"/>
      <c r="Q27" s="1978"/>
      <c r="R27" s="1978"/>
      <c r="S27" s="1978"/>
      <c r="T27" s="909">
        <f t="shared" si="0"/>
        <v>0</v>
      </c>
      <c r="U27" s="651"/>
    </row>
    <row r="28" spans="1:21" s="688" customFormat="1" ht="15" customHeight="1">
      <c r="A28" s="30"/>
      <c r="B28" s="924" t="s">
        <v>1001</v>
      </c>
      <c r="C28" s="1975">
        <v>20</v>
      </c>
      <c r="D28" s="817" t="s">
        <v>1001</v>
      </c>
      <c r="E28" s="1980"/>
      <c r="F28" s="909">
        <f t="shared" ref="F28:K28" si="1">SUM(F9:F27)</f>
        <v>0</v>
      </c>
      <c r="G28" s="909">
        <f t="shared" si="1"/>
        <v>0</v>
      </c>
      <c r="H28" s="909">
        <f t="shared" si="1"/>
        <v>0</v>
      </c>
      <c r="I28" s="909">
        <f t="shared" si="1"/>
        <v>0</v>
      </c>
      <c r="J28" s="909">
        <f t="shared" si="1"/>
        <v>0</v>
      </c>
      <c r="K28" s="909">
        <f t="shared" si="1"/>
        <v>0</v>
      </c>
      <c r="L28" s="909">
        <f t="shared" ref="L28:T28" si="2">SUM(L9:L27)</f>
        <v>0</v>
      </c>
      <c r="M28" s="909">
        <f t="shared" si="2"/>
        <v>0</v>
      </c>
      <c r="N28" s="909">
        <f t="shared" si="2"/>
        <v>0</v>
      </c>
      <c r="O28" s="909">
        <f t="shared" si="2"/>
        <v>0</v>
      </c>
      <c r="P28" s="909">
        <f t="shared" si="2"/>
        <v>0</v>
      </c>
      <c r="Q28" s="909">
        <f t="shared" si="2"/>
        <v>0</v>
      </c>
      <c r="R28" s="909">
        <f>SUM(R9:R27)</f>
        <v>0</v>
      </c>
      <c r="S28" s="909">
        <f t="shared" si="2"/>
        <v>0</v>
      </c>
      <c r="T28" s="909">
        <f t="shared" si="2"/>
        <v>0</v>
      </c>
      <c r="U28" s="651"/>
    </row>
    <row r="29" spans="1:21" s="688" customFormat="1" ht="15.75">
      <c r="A29" s="30"/>
      <c r="B29" s="925"/>
      <c r="C29" s="1969"/>
      <c r="D29" s="889"/>
      <c r="E29" s="1981"/>
      <c r="F29" s="1915"/>
      <c r="G29" s="1915"/>
      <c r="H29" s="1915"/>
      <c r="I29" s="1915"/>
      <c r="J29" s="1915"/>
      <c r="K29" s="949"/>
      <c r="L29" s="949"/>
      <c r="M29" s="949"/>
      <c r="N29" s="949"/>
      <c r="O29" s="949"/>
      <c r="P29" s="949"/>
      <c r="Q29" s="949"/>
      <c r="R29" s="949"/>
      <c r="S29" s="949"/>
      <c r="T29" s="1183" t="s">
        <v>904</v>
      </c>
      <c r="U29" s="651"/>
    </row>
    <row r="30" spans="1:21" s="688" customFormat="1" ht="15">
      <c r="A30" s="30"/>
      <c r="B30" s="921" t="s">
        <v>905</v>
      </c>
      <c r="C30" s="889"/>
      <c r="D30" s="889" t="s">
        <v>905</v>
      </c>
      <c r="E30" s="1982"/>
      <c r="F30" s="1915"/>
      <c r="G30" s="1915"/>
      <c r="H30" s="1915"/>
      <c r="I30" s="1915"/>
      <c r="J30" s="1915"/>
      <c r="K30" s="1915"/>
      <c r="L30" s="1915"/>
      <c r="M30" s="1915"/>
      <c r="N30" s="1915"/>
      <c r="O30" s="1915"/>
      <c r="P30" s="1915"/>
      <c r="Q30" s="1915"/>
      <c r="R30" s="1915"/>
      <c r="S30" s="1915"/>
      <c r="T30" s="1915"/>
      <c r="U30" s="796"/>
    </row>
    <row r="31" spans="1:21" s="688" customFormat="1" ht="15">
      <c r="A31" s="30"/>
      <c r="B31" s="921" t="s">
        <v>906</v>
      </c>
      <c r="C31" s="889"/>
      <c r="D31" s="889" t="s">
        <v>907</v>
      </c>
      <c r="E31" s="947"/>
      <c r="F31" s="1915"/>
      <c r="G31" s="1915"/>
      <c r="H31" s="1915"/>
      <c r="I31" s="1915"/>
      <c r="J31" s="1915"/>
      <c r="K31" s="1915"/>
      <c r="L31" s="1915"/>
      <c r="M31" s="1915"/>
      <c r="N31" s="1915"/>
      <c r="O31" s="1915"/>
      <c r="P31" s="1915"/>
      <c r="Q31" s="1915"/>
      <c r="R31" s="1915"/>
      <c r="S31" s="1915"/>
      <c r="T31" s="1915"/>
      <c r="U31" s="796"/>
    </row>
    <row r="32" spans="1:21" s="688" customFormat="1" ht="15">
      <c r="A32" s="30"/>
      <c r="B32" s="921"/>
      <c r="C32" s="889"/>
      <c r="D32" s="889" t="s">
        <v>577</v>
      </c>
      <c r="E32" s="947"/>
      <c r="F32" s="1915"/>
      <c r="G32" s="1915"/>
      <c r="H32" s="1915"/>
      <c r="I32" s="1915"/>
      <c r="J32" s="1915"/>
      <c r="K32" s="1915"/>
      <c r="L32" s="1915"/>
      <c r="M32" s="1915"/>
      <c r="N32" s="1915"/>
      <c r="O32" s="1915"/>
      <c r="P32" s="1915"/>
      <c r="Q32" s="1915"/>
      <c r="R32" s="1915"/>
      <c r="S32" s="1915"/>
      <c r="T32" s="1915"/>
      <c r="U32" s="796"/>
    </row>
    <row r="33" spans="1:21" s="688" customFormat="1" ht="15.75">
      <c r="A33" s="30"/>
      <c r="B33" s="926" t="s">
        <v>217</v>
      </c>
      <c r="C33" s="889"/>
      <c r="D33" s="889" t="s">
        <v>578</v>
      </c>
      <c r="E33" s="1981"/>
      <c r="F33" s="1915"/>
      <c r="G33" s="1915"/>
      <c r="H33" s="1915"/>
      <c r="I33" s="1915"/>
      <c r="J33" s="1915"/>
      <c r="K33" s="1915"/>
      <c r="L33" s="1915"/>
      <c r="M33" s="1915"/>
      <c r="N33" s="1915"/>
      <c r="O33" s="1915"/>
      <c r="P33" s="1915"/>
      <c r="Q33" s="1915"/>
      <c r="R33" s="1915"/>
      <c r="S33" s="1915"/>
      <c r="T33" s="1915"/>
      <c r="U33" s="651"/>
    </row>
    <row r="34" spans="1:21" s="688" customFormat="1" ht="15.75">
      <c r="A34" s="30"/>
      <c r="B34" s="926" t="s">
        <v>552</v>
      </c>
      <c r="C34" s="889"/>
      <c r="D34" s="889" t="s">
        <v>925</v>
      </c>
      <c r="E34" s="1981"/>
      <c r="F34" s="1915"/>
      <c r="G34" s="1915"/>
      <c r="H34" s="1915"/>
      <c r="I34" s="1915"/>
      <c r="J34" s="1915"/>
      <c r="K34" s="1915"/>
      <c r="L34" s="1915"/>
      <c r="M34" s="1915"/>
      <c r="N34" s="1915"/>
      <c r="O34" s="1915"/>
      <c r="P34" s="1915"/>
      <c r="Q34" s="1915"/>
      <c r="R34" s="1915"/>
      <c r="S34" s="1915"/>
      <c r="T34" s="1915"/>
      <c r="U34" s="651"/>
    </row>
    <row r="35" spans="1:21" s="688" customFormat="1" ht="15.75">
      <c r="A35" s="30"/>
      <c r="B35" s="926" t="s">
        <v>553</v>
      </c>
      <c r="C35" s="889"/>
      <c r="D35" s="889" t="s">
        <v>579</v>
      </c>
      <c r="E35" s="1981"/>
      <c r="F35" s="1915"/>
      <c r="G35" s="1915"/>
      <c r="H35" s="1915"/>
      <c r="I35" s="1915"/>
      <c r="J35" s="1915"/>
      <c r="K35" s="1915"/>
      <c r="L35" s="1915"/>
      <c r="M35" s="1915"/>
      <c r="N35" s="1915"/>
      <c r="O35" s="1915"/>
      <c r="P35" s="1915"/>
      <c r="Q35" s="1915"/>
      <c r="R35" s="1915"/>
      <c r="S35" s="1915"/>
      <c r="T35" s="1915"/>
      <c r="U35" s="651"/>
    </row>
    <row r="36" spans="1:21" s="688" customFormat="1" ht="15">
      <c r="A36" s="30"/>
      <c r="B36" s="927" t="s">
        <v>554</v>
      </c>
      <c r="C36" s="929"/>
      <c r="D36" s="929"/>
      <c r="E36" s="928"/>
      <c r="F36" s="185"/>
      <c r="G36" s="185"/>
      <c r="H36" s="185"/>
      <c r="I36" s="185"/>
      <c r="J36" s="185"/>
      <c r="K36" s="185"/>
      <c r="L36" s="185"/>
      <c r="M36" s="185"/>
      <c r="N36" s="185"/>
      <c r="O36" s="185"/>
      <c r="P36" s="185"/>
      <c r="Q36" s="185"/>
      <c r="R36" s="185"/>
      <c r="S36" s="185"/>
      <c r="T36" s="185"/>
      <c r="U36" s="651"/>
    </row>
    <row r="37" spans="1:21">
      <c r="A37" s="124"/>
      <c r="B37" s="228"/>
      <c r="C37" s="228"/>
      <c r="D37" s="229"/>
      <c r="E37" s="227"/>
      <c r="F37" s="130"/>
      <c r="G37" s="130"/>
      <c r="H37" s="130"/>
      <c r="I37" s="130"/>
      <c r="J37" s="130"/>
      <c r="K37" s="130"/>
      <c r="L37" s="130"/>
      <c r="M37" s="130"/>
      <c r="N37" s="130"/>
      <c r="O37" s="130"/>
      <c r="P37" s="130"/>
      <c r="Q37" s="130"/>
      <c r="R37" s="130"/>
      <c r="S37" s="130"/>
      <c r="T37" s="130"/>
      <c r="U37" s="124"/>
    </row>
    <row r="38" spans="1:21" hidden="1"/>
    <row r="39" spans="1:21" hidden="1"/>
  </sheetData>
  <sheetProtection password="C7B7" sheet="1" objects="1" scenarios="1"/>
  <protectedRanges>
    <protectedRange sqref="K9:L9 N9:O9 J10 L10 N10 P10 S10 K11:L12 K14:L14 K16:L16 K18:L18 K20:L20 K22:L22 K24:L24 K26:L26 N11:O12 N14:O14 N16:O16 N18:O18 N20:O20 N22:O22 N24:O24 N26:O26 G9:H27 J13 J15 J17 J19 J21 J23 J25 J27 L13 L15 L17 L19 L21 L23 L25 L27 N13 N15 N17 N19 N21 N23 N25 N27 P13 P15 P17 P19 P21 P23 P25 P27 S13 S15 S17 S19 S21 S23 S25 S27 I9 I11:I12 I14 I16 I18 I20 I22 I24 I26 Q9:S9 Q11:S12 Q14:S14 Q16:S16 Q18:S18 Q20:S20 Q22:S22 Q24:S24 Q26:S26" name="Range2"/>
    <protectedRange sqref="J9 P9 I10 K10 O10 F9:F27 J11:J12 J14 J16 J18 J20 J22 J24 J26 P11:P12 P14 P16 P18 P20 P22 P24 P26 I13 I15 I17 I19 I21 I23 I25 I27 K13 K15 K17 K19 K21 K23 K25 K27 M9:M27 O13 O15 O17 O19 O21 O23 O25 O27 Q10:R10 Q13:R13 Q15:R15 Q17:R17 Q19:R19 Q21:R21 Q23:R23 Q25:R25 Q27:R27" name="Range1"/>
  </protectedRanges>
  <phoneticPr fontId="13" type="noConversion"/>
  <printOptions horizontalCentered="1"/>
  <pageMargins left="0" right="0" top="1" bottom="1" header="0.5" footer="0.5"/>
  <pageSetup scale="68" orientation="landscape" r:id="rId1"/>
  <headerFooter alignWithMargins="0">
    <oddFooter>&amp;L&amp;D,&amp;" ,Regular" &amp;T
&amp;CPage &amp;P of &amp;N&amp;R2015/16 School Authority Estimates
&amp;A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2"/>
  <sheetViews>
    <sheetView zoomScaleNormal="100" workbookViewId="0">
      <selection activeCell="E10" sqref="E10"/>
    </sheetView>
  </sheetViews>
  <sheetFormatPr defaultColWidth="0" defaultRowHeight="12.75" zeroHeight="1"/>
  <cols>
    <col min="1" max="1" width="20" style="69" customWidth="1"/>
    <col min="2" max="2" width="21" style="69" customWidth="1"/>
    <col min="3" max="9" width="16.7109375" style="69" customWidth="1"/>
  </cols>
  <sheetData>
    <row r="1" spans="1:9" ht="15.75">
      <c r="A1" s="109"/>
      <c r="B1" s="109" t="s">
        <v>622</v>
      </c>
      <c r="C1" s="109"/>
      <c r="D1" s="109"/>
      <c r="E1" s="109"/>
      <c r="F1" s="109"/>
      <c r="G1" s="109"/>
      <c r="H1" s="109"/>
      <c r="I1" s="1934"/>
    </row>
    <row r="2" spans="1:9" ht="16.5" thickBot="1">
      <c r="A2" s="109"/>
      <c r="B2" s="109"/>
      <c r="C2" s="109"/>
      <c r="D2" s="109"/>
      <c r="E2" s="109"/>
      <c r="F2" s="109"/>
      <c r="G2" s="109"/>
      <c r="H2" s="109"/>
      <c r="I2" s="1934"/>
    </row>
    <row r="3" spans="1:9" ht="48" customHeight="1" thickBot="1">
      <c r="A3" s="534"/>
      <c r="B3" s="2457" t="s">
        <v>512</v>
      </c>
      <c r="C3" s="2457"/>
      <c r="D3" s="2457"/>
      <c r="E3" s="2457"/>
      <c r="F3" s="2226" t="s">
        <v>304</v>
      </c>
      <c r="G3" s="2227" t="str">
        <f>'[3]1 Summary'!G2</f>
        <v/>
      </c>
      <c r="H3" s="2228"/>
      <c r="I3" s="2229"/>
    </row>
    <row r="4" spans="1:9" ht="16.5" thickBot="1">
      <c r="A4" s="534"/>
      <c r="B4" s="2225"/>
      <c r="C4" s="2225"/>
      <c r="D4" s="2225"/>
      <c r="E4" s="2225"/>
      <c r="F4" s="93" t="s">
        <v>653</v>
      </c>
      <c r="G4" s="2230">
        <f>'[3]1 Summary'!G3</f>
        <v>0</v>
      </c>
      <c r="H4" s="1850"/>
      <c r="I4" s="2231"/>
    </row>
    <row r="5" spans="1:9" ht="15.75">
      <c r="A5" s="534"/>
      <c r="B5" s="2225"/>
      <c r="C5" s="2225"/>
      <c r="D5" s="2225"/>
      <c r="E5" s="2225"/>
      <c r="F5" s="1098"/>
      <c r="G5" s="1098"/>
      <c r="H5" s="1098"/>
      <c r="I5" s="2231"/>
    </row>
    <row r="6" spans="1:9" ht="63.75">
      <c r="A6" s="1"/>
      <c r="B6" s="2232" t="s">
        <v>500</v>
      </c>
      <c r="C6" s="2233" t="s">
        <v>3017</v>
      </c>
      <c r="D6" s="2233" t="s">
        <v>3018</v>
      </c>
      <c r="E6" s="2233" t="s">
        <v>3019</v>
      </c>
      <c r="F6" s="2233" t="s">
        <v>3020</v>
      </c>
      <c r="G6" s="2233" t="s">
        <v>3021</v>
      </c>
      <c r="H6" s="2233" t="s">
        <v>3022</v>
      </c>
      <c r="I6" s="2231"/>
    </row>
    <row r="7" spans="1:9">
      <c r="A7" s="1"/>
      <c r="B7" s="2234"/>
      <c r="C7" s="638" t="s">
        <v>501</v>
      </c>
      <c r="D7" s="638" t="s">
        <v>205</v>
      </c>
      <c r="E7" s="638" t="s">
        <v>1884</v>
      </c>
      <c r="F7" s="638" t="s">
        <v>1885</v>
      </c>
      <c r="G7" s="638" t="s">
        <v>1886</v>
      </c>
      <c r="H7" s="638" t="s">
        <v>1887</v>
      </c>
      <c r="I7" s="2231"/>
    </row>
    <row r="8" spans="1:9" ht="25.5">
      <c r="A8" s="1">
        <v>1</v>
      </c>
      <c r="B8" s="2235" t="s">
        <v>571</v>
      </c>
      <c r="C8" s="2236">
        <f>IF($G$4=0,0,HLOOKUP($G$4,'[3]Table Sch 10G-1'!$C$7:$F$21,4,FALSE))</f>
        <v>0</v>
      </c>
      <c r="D8" s="2237"/>
      <c r="E8" s="2237"/>
      <c r="F8" s="2236">
        <f>+C8+D8-E8</f>
        <v>0</v>
      </c>
      <c r="G8" s="2237"/>
      <c r="H8" s="2236">
        <f>+F8+G8</f>
        <v>0</v>
      </c>
      <c r="I8" s="2231"/>
    </row>
    <row r="9" spans="1:9" ht="25.5">
      <c r="A9" s="1">
        <v>1.1000000000000001</v>
      </c>
      <c r="B9" s="2235" t="s">
        <v>2246</v>
      </c>
      <c r="C9" s="2236">
        <f>IF($G$4=0,0,HLOOKUP($G$4,'[3]Table Sch 10G-1'!$C$7:$F$21,5,FALSE))</f>
        <v>0</v>
      </c>
      <c r="D9" s="2237"/>
      <c r="E9" s="2237"/>
      <c r="F9" s="2236">
        <f>+C9+D9-E9</f>
        <v>0</v>
      </c>
      <c r="G9" s="2237"/>
      <c r="H9" s="2236">
        <f>+F9+G9</f>
        <v>0</v>
      </c>
      <c r="I9" s="2231"/>
    </row>
    <row r="10" spans="1:9" ht="38.25">
      <c r="A10" s="1">
        <v>2</v>
      </c>
      <c r="B10" s="2235" t="s">
        <v>2652</v>
      </c>
      <c r="C10" s="2236">
        <f>IF($G$4=0,0,HLOOKUP($G$4,'[3]Table Sch 10G-1'!$C$7:$F$21,6,FALSE))</f>
        <v>0</v>
      </c>
      <c r="D10" s="2237"/>
      <c r="E10" s="2237"/>
      <c r="F10" s="2236">
        <f>+C10+D10-E10</f>
        <v>0</v>
      </c>
      <c r="G10" s="2237"/>
      <c r="H10" s="2236">
        <f>+F10+G10</f>
        <v>0</v>
      </c>
      <c r="I10" s="2231"/>
    </row>
    <row r="11" spans="1:9" ht="25.5">
      <c r="A11" s="1">
        <v>3</v>
      </c>
      <c r="B11" s="2235" t="s">
        <v>2654</v>
      </c>
      <c r="C11" s="2236">
        <f>IF($G$4=0,0,HLOOKUP($G$4,'[3]Table Sch 10G-1'!$C$7:$F$21,7,FALSE))</f>
        <v>0</v>
      </c>
      <c r="D11" s="2237"/>
      <c r="E11" s="2237"/>
      <c r="F11" s="2236">
        <f>+C11+D11-E11</f>
        <v>0</v>
      </c>
      <c r="G11" s="2237"/>
      <c r="H11" s="2236">
        <f>+F11+G11</f>
        <v>0</v>
      </c>
      <c r="I11" s="2231"/>
    </row>
    <row r="12" spans="1:9">
      <c r="A12" s="66"/>
      <c r="B12" s="2238"/>
      <c r="C12" s="2238"/>
      <c r="D12" s="2238"/>
      <c r="E12" s="2238"/>
      <c r="F12" s="2238"/>
      <c r="G12" s="2238"/>
      <c r="H12" s="2238"/>
      <c r="I12" s="2231"/>
    </row>
    <row r="13" spans="1:9">
      <c r="A13" s="1"/>
      <c r="B13" s="2239" t="s">
        <v>505</v>
      </c>
      <c r="C13" s="2240"/>
      <c r="D13" s="2240"/>
      <c r="E13" s="2240"/>
      <c r="F13" s="2240"/>
      <c r="G13" s="2240"/>
      <c r="H13" s="2241"/>
      <c r="I13" s="2231"/>
    </row>
    <row r="14" spans="1:9" ht="25.5">
      <c r="A14" s="1">
        <v>4</v>
      </c>
      <c r="B14" s="2235" t="s">
        <v>2653</v>
      </c>
      <c r="C14" s="2236">
        <f>IF($G$4=0,0,HLOOKUP($G$4,'[3]Table Sch 10G-1'!$C$7:$F$21,10,FALSE))</f>
        <v>0</v>
      </c>
      <c r="D14" s="2237"/>
      <c r="E14" s="2237"/>
      <c r="F14" s="2236">
        <f t="shared" ref="F14:F19" si="0">+C14+D14-E14</f>
        <v>0</v>
      </c>
      <c r="G14" s="2237"/>
      <c r="H14" s="2236">
        <f t="shared" ref="H14:H19" si="1">+F14+G14</f>
        <v>0</v>
      </c>
      <c r="I14" s="2231"/>
    </row>
    <row r="15" spans="1:9" ht="25.5">
      <c r="A15" s="1">
        <v>5</v>
      </c>
      <c r="B15" s="2235" t="s">
        <v>572</v>
      </c>
      <c r="C15" s="2236">
        <f>IF($G$4=0,0,HLOOKUP($G$4,'[3]Table Sch 10G-1'!$C$7:$F$21,11,FALSE))</f>
        <v>0</v>
      </c>
      <c r="D15" s="2237"/>
      <c r="E15" s="2237"/>
      <c r="F15" s="2236">
        <f t="shared" si="0"/>
        <v>0</v>
      </c>
      <c r="G15" s="2237"/>
      <c r="H15" s="2236">
        <f t="shared" si="1"/>
        <v>0</v>
      </c>
      <c r="I15" s="2231"/>
    </row>
    <row r="16" spans="1:9">
      <c r="A16" s="1">
        <v>6</v>
      </c>
      <c r="B16" s="2235" t="s">
        <v>573</v>
      </c>
      <c r="C16" s="2236">
        <f>IF($G$4=0,0,HLOOKUP($G$4,'[3]Table Sch 10G-1'!$C$7:$F$21,12,FALSE))</f>
        <v>0</v>
      </c>
      <c r="D16" s="2237"/>
      <c r="E16" s="2237"/>
      <c r="F16" s="2236">
        <f t="shared" si="0"/>
        <v>0</v>
      </c>
      <c r="G16" s="2237"/>
      <c r="H16" s="2236">
        <f t="shared" si="1"/>
        <v>0</v>
      </c>
      <c r="I16" s="2231"/>
    </row>
    <row r="17" spans="1:9" ht="25.5">
      <c r="A17" s="1">
        <v>7</v>
      </c>
      <c r="B17" s="2235" t="s">
        <v>508</v>
      </c>
      <c r="C17" s="2236">
        <f>IF($G$4=0,0,HLOOKUP($G$4,'[3]Table Sch 10G-1'!$C$7:$F$21,13,FALSE))</f>
        <v>0</v>
      </c>
      <c r="D17" s="2237"/>
      <c r="E17" s="2237"/>
      <c r="F17" s="2236">
        <f t="shared" si="0"/>
        <v>0</v>
      </c>
      <c r="G17" s="2237"/>
      <c r="H17" s="2236">
        <f t="shared" si="1"/>
        <v>0</v>
      </c>
      <c r="I17" s="2231"/>
    </row>
    <row r="18" spans="1:9">
      <c r="A18" s="1">
        <v>8</v>
      </c>
      <c r="B18" s="2235" t="s">
        <v>509</v>
      </c>
      <c r="C18" s="2236">
        <f>IF($G$4=0,0,HLOOKUP($G$4,'[3]Table Sch 10G-1'!$C$7:$F$21,14,FALSE))</f>
        <v>0</v>
      </c>
      <c r="D18" s="2237"/>
      <c r="E18" s="2237"/>
      <c r="F18" s="2236">
        <f t="shared" si="0"/>
        <v>0</v>
      </c>
      <c r="G18" s="2237"/>
      <c r="H18" s="2236">
        <f t="shared" si="1"/>
        <v>0</v>
      </c>
      <c r="I18" s="2231"/>
    </row>
    <row r="19" spans="1:9" ht="25.5">
      <c r="A19" s="1">
        <v>9</v>
      </c>
      <c r="B19" s="2235" t="s">
        <v>3008</v>
      </c>
      <c r="C19" s="2236">
        <f>IF($G$4=0,0,HLOOKUP($G$4,'[3]Table Sch 10G-1'!$C$7:$F$21,15,FALSE))</f>
        <v>0</v>
      </c>
      <c r="D19" s="2237"/>
      <c r="E19" s="2237"/>
      <c r="F19" s="2236">
        <f t="shared" si="0"/>
        <v>0</v>
      </c>
      <c r="G19" s="2237"/>
      <c r="H19" s="2236">
        <f t="shared" si="1"/>
        <v>0</v>
      </c>
      <c r="I19" s="2231"/>
    </row>
    <row r="20" spans="1:9" ht="25.5">
      <c r="A20" s="1">
        <v>10</v>
      </c>
      <c r="B20" s="2242" t="s">
        <v>3009</v>
      </c>
      <c r="C20" s="2243">
        <f t="shared" ref="C20:H20" si="2">SUM(C14:C19)</f>
        <v>0</v>
      </c>
      <c r="D20" s="2243">
        <f t="shared" si="2"/>
        <v>0</v>
      </c>
      <c r="E20" s="2243">
        <f t="shared" si="2"/>
        <v>0</v>
      </c>
      <c r="F20" s="2243">
        <f t="shared" si="2"/>
        <v>0</v>
      </c>
      <c r="G20" s="2243">
        <f t="shared" si="2"/>
        <v>0</v>
      </c>
      <c r="H20" s="2243">
        <f t="shared" si="2"/>
        <v>0</v>
      </c>
      <c r="I20" s="2231"/>
    </row>
    <row r="21" spans="1:9">
      <c r="A21" s="66" t="s">
        <v>789</v>
      </c>
      <c r="B21" s="2238" t="s">
        <v>789</v>
      </c>
      <c r="C21" s="2238"/>
      <c r="D21" s="2238"/>
      <c r="E21" s="2238"/>
      <c r="F21" s="2238" t="s">
        <v>789</v>
      </c>
      <c r="G21" s="2238"/>
      <c r="H21" s="2238" t="s">
        <v>789</v>
      </c>
      <c r="I21" s="2231"/>
    </row>
    <row r="22" spans="1:9" ht="51">
      <c r="A22" s="1">
        <v>11</v>
      </c>
      <c r="B22" s="2242" t="s">
        <v>3010</v>
      </c>
      <c r="C22" s="2244">
        <f t="shared" ref="C22:H22" si="3">SUM(C8:C19)</f>
        <v>0</v>
      </c>
      <c r="D22" s="2244">
        <f t="shared" si="3"/>
        <v>0</v>
      </c>
      <c r="E22" s="2244">
        <f t="shared" si="3"/>
        <v>0</v>
      </c>
      <c r="F22" s="2244">
        <f t="shared" si="3"/>
        <v>0</v>
      </c>
      <c r="G22" s="2244">
        <f t="shared" si="3"/>
        <v>0</v>
      </c>
      <c r="H22" s="2244">
        <f t="shared" si="3"/>
        <v>0</v>
      </c>
      <c r="I22" s="2231"/>
    </row>
    <row r="23" spans="1:9">
      <c r="A23" s="1"/>
      <c r="B23" s="1934"/>
      <c r="C23" s="1934"/>
      <c r="D23" s="1934"/>
      <c r="E23" s="1934"/>
      <c r="F23" s="1934"/>
      <c r="G23" s="1934"/>
      <c r="H23" s="1934"/>
      <c r="I23" s="2231"/>
    </row>
    <row r="24" spans="1:9">
      <c r="A24" s="1"/>
      <c r="B24" s="1934"/>
      <c r="C24" s="1934"/>
      <c r="D24" s="1934"/>
      <c r="E24" s="1934"/>
      <c r="F24" s="1934"/>
      <c r="G24" s="1934"/>
      <c r="H24" s="1934"/>
      <c r="I24" s="2231"/>
    </row>
    <row r="25" spans="1:9" ht="13.5" thickBot="1">
      <c r="A25" s="1"/>
      <c r="B25" s="2215" t="s">
        <v>2655</v>
      </c>
      <c r="C25" s="2215"/>
      <c r="D25" s="2215"/>
      <c r="E25" s="2215"/>
      <c r="F25" s="2215"/>
      <c r="G25" s="2215"/>
      <c r="H25" s="2215"/>
      <c r="I25" s="2245"/>
    </row>
    <row r="26" spans="1:9" ht="25.5">
      <c r="A26" s="1"/>
      <c r="B26" s="2246" t="s">
        <v>500</v>
      </c>
      <c r="C26" s="2247" t="s">
        <v>516</v>
      </c>
      <c r="D26" s="2248" t="s">
        <v>2656</v>
      </c>
      <c r="E26" s="2247" t="s">
        <v>3011</v>
      </c>
      <c r="F26" s="2248" t="s">
        <v>3012</v>
      </c>
      <c r="G26" s="2247" t="s">
        <v>3013</v>
      </c>
      <c r="H26" s="2248" t="s">
        <v>3014</v>
      </c>
      <c r="I26" s="2245"/>
    </row>
    <row r="27" spans="1:9">
      <c r="A27" s="1"/>
      <c r="B27" s="2249"/>
      <c r="C27" s="1851" t="s">
        <v>502</v>
      </c>
      <c r="D27" s="638" t="s">
        <v>503</v>
      </c>
      <c r="E27" s="638" t="s">
        <v>504</v>
      </c>
      <c r="F27" s="1852" t="s">
        <v>2657</v>
      </c>
      <c r="G27" s="1851" t="s">
        <v>2658</v>
      </c>
      <c r="H27" s="638" t="s">
        <v>2659</v>
      </c>
      <c r="I27" s="1853"/>
    </row>
    <row r="28" spans="1:9" ht="25.5">
      <c r="A28" s="1">
        <v>12</v>
      </c>
      <c r="B28" s="2235" t="s">
        <v>571</v>
      </c>
      <c r="C28" s="2250"/>
      <c r="D28" s="2251"/>
      <c r="E28" s="2250"/>
      <c r="F28" s="2251"/>
      <c r="G28" s="2250"/>
      <c r="H28" s="2237"/>
      <c r="I28" s="2252"/>
    </row>
    <row r="29" spans="1:9" ht="38.25">
      <c r="A29" s="1">
        <v>13</v>
      </c>
      <c r="B29" s="2235" t="s">
        <v>2652</v>
      </c>
      <c r="C29" s="2250"/>
      <c r="D29" s="2251"/>
      <c r="E29" s="2250"/>
      <c r="F29" s="2251"/>
      <c r="G29" s="2250"/>
      <c r="H29" s="2237"/>
      <c r="I29" s="2252"/>
    </row>
    <row r="30" spans="1:9" ht="25.5">
      <c r="A30" s="1">
        <v>14</v>
      </c>
      <c r="B30" s="2235" t="s">
        <v>2654</v>
      </c>
      <c r="C30" s="2250"/>
      <c r="D30" s="2251"/>
      <c r="E30" s="2250"/>
      <c r="F30" s="2251"/>
      <c r="G30" s="2250"/>
      <c r="H30" s="2237"/>
      <c r="I30" s="2252"/>
    </row>
    <row r="31" spans="1:9">
      <c r="A31" s="1"/>
      <c r="B31" s="2238"/>
      <c r="C31" s="2238"/>
      <c r="D31" s="2238"/>
      <c r="E31" s="2238"/>
      <c r="F31" s="2238"/>
      <c r="G31" s="2238"/>
      <c r="H31" s="2238"/>
      <c r="I31" s="2252"/>
    </row>
    <row r="32" spans="1:9">
      <c r="A32" s="1"/>
      <c r="B32" s="2239" t="s">
        <v>505</v>
      </c>
      <c r="C32" s="2240"/>
      <c r="D32" s="2240"/>
      <c r="E32" s="2240"/>
      <c r="F32" s="2240"/>
      <c r="G32" s="2240"/>
      <c r="H32" s="2241"/>
      <c r="I32" s="2252"/>
    </row>
    <row r="33" spans="1:9" ht="25.5">
      <c r="A33" s="1">
        <v>15</v>
      </c>
      <c r="B33" s="2235" t="s">
        <v>2653</v>
      </c>
      <c r="C33" s="2250"/>
      <c r="D33" s="2251"/>
      <c r="E33" s="2250"/>
      <c r="F33" s="2251"/>
      <c r="G33" s="2250"/>
      <c r="H33" s="2237"/>
      <c r="I33" s="2252"/>
    </row>
    <row r="34" spans="1:9" ht="25.5">
      <c r="A34" s="1">
        <v>16</v>
      </c>
      <c r="B34" s="2235" t="s">
        <v>572</v>
      </c>
      <c r="C34" s="2250"/>
      <c r="D34" s="2251"/>
      <c r="E34" s="2250"/>
      <c r="F34" s="2251"/>
      <c r="G34" s="2250"/>
      <c r="H34" s="2237"/>
      <c r="I34" s="2252"/>
    </row>
    <row r="35" spans="1:9" ht="13.5" thickBot="1">
      <c r="A35" s="1">
        <v>17</v>
      </c>
      <c r="B35" s="2235" t="s">
        <v>573</v>
      </c>
      <c r="C35" s="2253"/>
      <c r="D35" s="2254"/>
      <c r="E35" s="2253"/>
      <c r="F35" s="2254"/>
      <c r="G35" s="2253"/>
      <c r="H35" s="2255"/>
      <c r="I35" s="2252"/>
    </row>
    <row r="36" spans="1:9" ht="26.25" thickBot="1">
      <c r="A36" s="1">
        <v>18</v>
      </c>
      <c r="B36" s="2235" t="s">
        <v>508</v>
      </c>
      <c r="C36" s="2253"/>
      <c r="D36" s="2254"/>
      <c r="E36" s="2253"/>
      <c r="F36" s="2254"/>
      <c r="G36" s="2253"/>
      <c r="H36" s="2255"/>
      <c r="I36" s="2252"/>
    </row>
    <row r="37" spans="1:9" ht="13.5" thickBot="1">
      <c r="A37" s="1">
        <v>19</v>
      </c>
      <c r="B37" s="2235" t="s">
        <v>509</v>
      </c>
      <c r="C37" s="2253"/>
      <c r="D37" s="2254"/>
      <c r="E37" s="2253"/>
      <c r="F37" s="2254"/>
      <c r="G37" s="2253"/>
      <c r="H37" s="2255"/>
      <c r="I37" s="2252"/>
    </row>
    <row r="38" spans="1:9" ht="13.5" thickBot="1">
      <c r="A38" s="1">
        <v>20</v>
      </c>
      <c r="B38" s="2235" t="s">
        <v>642</v>
      </c>
      <c r="C38" s="2253"/>
      <c r="D38" s="2254"/>
      <c r="E38" s="2253"/>
      <c r="F38" s="2254"/>
      <c r="G38" s="2253"/>
      <c r="H38" s="2255"/>
      <c r="I38" s="2252"/>
    </row>
    <row r="39" spans="1:9" ht="25.5">
      <c r="A39" s="1">
        <v>21</v>
      </c>
      <c r="B39" s="2242" t="s">
        <v>3009</v>
      </c>
      <c r="C39" s="2243">
        <f t="shared" ref="C39:H39" si="4">SUM(C33:C38)</f>
        <v>0</v>
      </c>
      <c r="D39" s="2243">
        <f t="shared" si="4"/>
        <v>0</v>
      </c>
      <c r="E39" s="2243">
        <f t="shared" si="4"/>
        <v>0</v>
      </c>
      <c r="F39" s="2243">
        <f t="shared" si="4"/>
        <v>0</v>
      </c>
      <c r="G39" s="2243">
        <f t="shared" si="4"/>
        <v>0</v>
      </c>
      <c r="H39" s="2243">
        <f t="shared" si="4"/>
        <v>0</v>
      </c>
      <c r="I39" s="2252"/>
    </row>
    <row r="40" spans="1:9">
      <c r="A40" s="66" t="s">
        <v>789</v>
      </c>
      <c r="B40" s="2238" t="s">
        <v>789</v>
      </c>
      <c r="C40" s="2238"/>
      <c r="D40" s="2238"/>
      <c r="E40" s="2238"/>
      <c r="F40" s="2238" t="s">
        <v>789</v>
      </c>
      <c r="G40" s="2238"/>
      <c r="H40" s="2238" t="s">
        <v>789</v>
      </c>
      <c r="I40" s="2231"/>
    </row>
    <row r="41" spans="1:9" ht="51">
      <c r="A41" s="1">
        <v>22</v>
      </c>
      <c r="B41" s="2242" t="s">
        <v>3010</v>
      </c>
      <c r="C41" s="2244">
        <f t="shared" ref="C41:H41" si="5">SUM(C28:C38)</f>
        <v>0</v>
      </c>
      <c r="D41" s="2244">
        <f t="shared" si="5"/>
        <v>0</v>
      </c>
      <c r="E41" s="2244">
        <f t="shared" si="5"/>
        <v>0</v>
      </c>
      <c r="F41" s="2244">
        <f t="shared" si="5"/>
        <v>0</v>
      </c>
      <c r="G41" s="2244">
        <f t="shared" si="5"/>
        <v>0</v>
      </c>
      <c r="H41" s="2244">
        <f t="shared" si="5"/>
        <v>0</v>
      </c>
      <c r="I41" s="2231"/>
    </row>
    <row r="42" spans="1:9">
      <c r="A42" s="1"/>
      <c r="B42" s="1934"/>
      <c r="C42" s="1934"/>
      <c r="D42" s="1934"/>
      <c r="E42" s="1934"/>
      <c r="F42" s="1934"/>
      <c r="G42" s="1934"/>
      <c r="H42" s="1934"/>
      <c r="I42" s="1934"/>
    </row>
    <row r="43" spans="1:9">
      <c r="A43" s="1"/>
      <c r="B43" s="1934"/>
      <c r="C43" s="1934"/>
      <c r="D43" s="1934"/>
      <c r="E43" s="1934"/>
      <c r="F43" s="1934"/>
      <c r="G43" s="1934"/>
      <c r="H43" s="1934"/>
      <c r="I43" s="1934"/>
    </row>
    <row r="44" spans="1:9">
      <c r="A44" s="1"/>
      <c r="B44" s="2246" t="s">
        <v>3015</v>
      </c>
      <c r="C44" s="2256"/>
      <c r="D44" s="2256"/>
      <c r="E44" s="2256"/>
      <c r="F44" s="2256"/>
      <c r="G44" s="2257"/>
      <c r="H44" s="1854">
        <v>21</v>
      </c>
      <c r="I44" s="1934"/>
    </row>
    <row r="45" spans="1:9">
      <c r="A45" s="1"/>
      <c r="B45" s="2249" t="s">
        <v>520</v>
      </c>
      <c r="C45" s="2256"/>
      <c r="D45" s="2256"/>
      <c r="E45" s="2256"/>
      <c r="F45" s="2256"/>
      <c r="G45" s="2257"/>
      <c r="H45" s="2258">
        <v>0</v>
      </c>
      <c r="I45" s="1934"/>
    </row>
    <row r="46" spans="1:9">
      <c r="A46" s="1"/>
      <c r="B46" s="2249" t="s">
        <v>519</v>
      </c>
      <c r="C46" s="2256"/>
      <c r="D46" s="2256"/>
      <c r="E46" s="2256"/>
      <c r="F46" s="2256"/>
      <c r="G46" s="2257"/>
      <c r="H46" s="2258">
        <v>0</v>
      </c>
      <c r="I46" s="1934"/>
    </row>
    <row r="47" spans="1:9">
      <c r="A47" s="1"/>
      <c r="B47" s="1934"/>
      <c r="C47" s="1934"/>
      <c r="D47" s="1934"/>
      <c r="E47" s="1934"/>
      <c r="F47" s="1934"/>
      <c r="G47" s="1934"/>
      <c r="H47" s="1934"/>
      <c r="I47" s="1934"/>
    </row>
    <row r="48" spans="1:9">
      <c r="A48" s="1"/>
      <c r="B48" s="1934" t="s">
        <v>521</v>
      </c>
      <c r="C48" s="1934"/>
      <c r="D48" s="1934"/>
      <c r="E48" s="1934"/>
      <c r="F48" s="1934"/>
      <c r="G48" s="1934"/>
      <c r="H48" s="1934"/>
      <c r="I48" s="1934"/>
    </row>
    <row r="49" spans="1:9">
      <c r="A49" s="1"/>
      <c r="B49" s="1934" t="s">
        <v>522</v>
      </c>
      <c r="C49" s="1934"/>
      <c r="D49" s="1934"/>
      <c r="E49" s="1934"/>
      <c r="F49" s="1934"/>
      <c r="G49" s="1934"/>
      <c r="H49" s="1934"/>
      <c r="I49" s="1934"/>
    </row>
    <row r="50" spans="1:9">
      <c r="A50" s="1"/>
      <c r="B50" s="1934" t="s">
        <v>3016</v>
      </c>
      <c r="C50" s="1934"/>
      <c r="D50" s="1934"/>
      <c r="E50" s="1934"/>
      <c r="F50" s="1934"/>
      <c r="G50" s="1934"/>
      <c r="H50" s="1934"/>
      <c r="I50" s="1934"/>
    </row>
    <row r="51" spans="1:9">
      <c r="A51" s="1"/>
      <c r="B51" s="1934"/>
      <c r="C51" s="1934"/>
      <c r="D51" s="1934"/>
      <c r="E51" s="1934"/>
      <c r="F51" s="1934"/>
      <c r="G51" s="1934"/>
      <c r="H51" s="1934"/>
      <c r="I51" s="1934"/>
    </row>
    <row r="52" spans="1:9" hidden="1"/>
    <row r="53" spans="1:9" hidden="1"/>
    <row r="54" spans="1:9" hidden="1"/>
    <row r="55" spans="1:9" hidden="1"/>
    <row r="56" spans="1:9" hidden="1"/>
    <row r="57" spans="1:9" hidden="1"/>
    <row r="58" spans="1:9" hidden="1"/>
    <row r="59" spans="1:9" hidden="1"/>
    <row r="60" spans="1:9" hidden="1"/>
    <row r="61" spans="1:9" hidden="1"/>
    <row r="62" spans="1:9" hidden="1"/>
    <row r="63" spans="1:9" hidden="1"/>
    <row r="64" spans="1:9"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sheetData>
  <mergeCells count="1">
    <mergeCell ref="B3:E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R102"/>
  <sheetViews>
    <sheetView zoomScaleNormal="100" workbookViewId="0">
      <selection activeCell="C67" sqref="C67"/>
    </sheetView>
  </sheetViews>
  <sheetFormatPr defaultColWidth="0" defaultRowHeight="12.75" zeroHeight="1"/>
  <cols>
    <col min="1" max="1" width="9.140625" customWidth="1"/>
    <col min="2" max="2" width="62.140625" customWidth="1"/>
    <col min="3" max="3" width="38.28515625" customWidth="1"/>
    <col min="4" max="4" width="31.42578125" customWidth="1"/>
    <col min="5" max="5" width="30" customWidth="1"/>
  </cols>
  <sheetData>
    <row r="1" spans="1:5" ht="15.75" customHeight="1">
      <c r="A1" s="1048" t="s">
        <v>622</v>
      </c>
      <c r="B1" s="2063"/>
      <c r="C1" s="2063"/>
      <c r="D1" s="195"/>
      <c r="E1" s="195"/>
    </row>
    <row r="2" spans="1:5" ht="16.5" thickBot="1">
      <c r="A2" s="2156" t="s">
        <v>2802</v>
      </c>
      <c r="B2" s="109"/>
      <c r="C2" s="109"/>
      <c r="D2" s="195"/>
      <c r="E2" s="195"/>
    </row>
    <row r="3" spans="1:5" ht="32.25" customHeight="1" thickBot="1">
      <c r="A3" s="1048" t="s">
        <v>512</v>
      </c>
      <c r="B3" s="1048"/>
      <c r="C3" s="1048"/>
      <c r="D3" s="1983" t="s">
        <v>163</v>
      </c>
      <c r="E3" s="2062" t="str">
        <f>'1 Summary'!G2</f>
        <v/>
      </c>
    </row>
    <row r="4" spans="1:5" ht="16.5" thickBot="1">
      <c r="A4" s="492"/>
      <c r="B4" s="36"/>
      <c r="C4" s="36"/>
      <c r="D4" s="401" t="s">
        <v>653</v>
      </c>
      <c r="E4" s="930">
        <f>'1 Summary'!G3</f>
        <v>0</v>
      </c>
    </row>
    <row r="5" spans="1:5" ht="15.75">
      <c r="A5" s="492"/>
      <c r="B5" s="36"/>
      <c r="C5" s="36"/>
      <c r="D5" s="36"/>
      <c r="E5" s="36"/>
    </row>
    <row r="6" spans="1:5" hidden="1">
      <c r="A6" s="3"/>
      <c r="B6" s="35" t="s">
        <v>500</v>
      </c>
      <c r="C6" s="171" t="s">
        <v>511</v>
      </c>
      <c r="D6" s="171" t="s">
        <v>2201</v>
      </c>
      <c r="E6" s="171" t="s">
        <v>2202</v>
      </c>
    </row>
    <row r="7" spans="1:5" hidden="1">
      <c r="A7" s="3"/>
      <c r="B7" s="35"/>
      <c r="C7" s="38"/>
      <c r="D7" s="38"/>
      <c r="E7" s="38"/>
    </row>
    <row r="8" spans="1:5" ht="12.75" hidden="1" customHeight="1">
      <c r="A8" s="3"/>
      <c r="B8" s="35"/>
      <c r="C8" s="493" t="s">
        <v>501</v>
      </c>
      <c r="D8" s="493" t="s">
        <v>205</v>
      </c>
      <c r="E8" s="493" t="s">
        <v>1884</v>
      </c>
    </row>
    <row r="9" spans="1:5" ht="12.75" hidden="1" customHeight="1">
      <c r="A9" s="3">
        <v>1</v>
      </c>
      <c r="B9" s="494" t="s">
        <v>571</v>
      </c>
      <c r="C9" s="495"/>
      <c r="D9" s="495"/>
      <c r="E9" s="495"/>
    </row>
    <row r="10" spans="1:5" ht="12.75" hidden="1" customHeight="1">
      <c r="A10" s="3"/>
      <c r="B10" s="494" t="s">
        <v>505</v>
      </c>
      <c r="C10" s="111"/>
      <c r="D10" s="111"/>
      <c r="E10" s="111"/>
    </row>
    <row r="11" spans="1:5" hidden="1">
      <c r="A11" s="3">
        <v>2</v>
      </c>
      <c r="B11" s="503" t="s">
        <v>506</v>
      </c>
      <c r="C11" s="495"/>
      <c r="D11" s="499"/>
      <c r="E11" s="498"/>
    </row>
    <row r="12" spans="1:5" ht="12.75" hidden="1" customHeight="1">
      <c r="A12" s="3">
        <v>3</v>
      </c>
      <c r="B12" s="494" t="s">
        <v>507</v>
      </c>
      <c r="C12" s="495"/>
      <c r="D12" s="495"/>
      <c r="E12" s="495"/>
    </row>
    <row r="13" spans="1:5" hidden="1">
      <c r="A13" s="3">
        <v>4</v>
      </c>
      <c r="B13" s="494" t="s">
        <v>572</v>
      </c>
      <c r="C13" s="495"/>
      <c r="D13" s="495"/>
      <c r="E13" s="495"/>
    </row>
    <row r="14" spans="1:5" hidden="1">
      <c r="A14" s="3">
        <v>5</v>
      </c>
      <c r="B14" s="494" t="s">
        <v>573</v>
      </c>
      <c r="C14" s="504"/>
      <c r="D14" s="504"/>
      <c r="E14" s="504"/>
    </row>
    <row r="15" spans="1:5" hidden="1">
      <c r="A15" s="3">
        <v>6</v>
      </c>
      <c r="B15" s="35" t="s">
        <v>508</v>
      </c>
      <c r="C15" s="501"/>
      <c r="D15" s="501"/>
      <c r="E15" s="501"/>
    </row>
    <row r="16" spans="1:5" hidden="1">
      <c r="A16" s="3">
        <v>7</v>
      </c>
      <c r="B16" s="35" t="s">
        <v>509</v>
      </c>
      <c r="C16" s="501"/>
      <c r="D16" s="501"/>
      <c r="E16" s="501"/>
    </row>
    <row r="17" spans="1:5" hidden="1">
      <c r="A17" s="3">
        <v>8</v>
      </c>
      <c r="B17" s="35" t="s">
        <v>642</v>
      </c>
      <c r="C17" s="501"/>
      <c r="D17" s="501"/>
      <c r="E17" s="501"/>
    </row>
    <row r="18" spans="1:5" hidden="1">
      <c r="A18" s="3">
        <v>9</v>
      </c>
      <c r="B18" s="35" t="s">
        <v>510</v>
      </c>
      <c r="C18" s="111">
        <f>SUM(C11:C17)</f>
        <v>0</v>
      </c>
      <c r="D18" s="111">
        <f>SUM(D11:D17)</f>
        <v>0</v>
      </c>
      <c r="E18" s="111">
        <f>SUM(E11:E17)</f>
        <v>0</v>
      </c>
    </row>
    <row r="19" spans="1:5" hidden="1">
      <c r="A19" s="3"/>
      <c r="B19" s="35"/>
      <c r="C19" s="35"/>
      <c r="D19" s="35"/>
      <c r="E19" s="35"/>
    </row>
    <row r="20" spans="1:5" hidden="1">
      <c r="A20" s="3">
        <v>10</v>
      </c>
      <c r="B20" s="35" t="s">
        <v>1001</v>
      </c>
      <c r="C20" s="111">
        <f>C18+C9</f>
        <v>0</v>
      </c>
      <c r="D20" s="111">
        <f>D18+D9</f>
        <v>0</v>
      </c>
      <c r="E20" s="111">
        <f>E18+E9</f>
        <v>0</v>
      </c>
    </row>
    <row r="21" spans="1:5" hidden="1">
      <c r="A21" s="3"/>
      <c r="B21" s="3"/>
      <c r="C21" s="3"/>
      <c r="D21" s="3"/>
      <c r="E21" s="3"/>
    </row>
    <row r="22" spans="1:5" hidden="1">
      <c r="A22" s="3"/>
      <c r="B22" s="3"/>
      <c r="C22" s="3"/>
      <c r="D22" s="3"/>
      <c r="E22" s="3"/>
    </row>
    <row r="23" spans="1:5" ht="13.5" hidden="1" thickBot="1">
      <c r="A23" s="1"/>
      <c r="B23" s="17" t="s">
        <v>513</v>
      </c>
      <c r="C23" s="119"/>
      <c r="D23" s="119"/>
      <c r="E23" s="119"/>
    </row>
    <row r="24" spans="1:5" hidden="1">
      <c r="A24" s="3"/>
      <c r="B24" s="87" t="s">
        <v>500</v>
      </c>
      <c r="C24" s="625" t="s">
        <v>514</v>
      </c>
      <c r="D24" s="626" t="s">
        <v>515</v>
      </c>
      <c r="E24" s="625" t="s">
        <v>516</v>
      </c>
    </row>
    <row r="25" spans="1:5" hidden="1">
      <c r="A25" s="3"/>
      <c r="B25" s="87"/>
      <c r="C25" s="496" t="s">
        <v>502</v>
      </c>
      <c r="D25" s="493" t="s">
        <v>503</v>
      </c>
      <c r="E25" s="493" t="s">
        <v>504</v>
      </c>
    </row>
    <row r="26" spans="1:5" hidden="1">
      <c r="A26" s="3">
        <v>11</v>
      </c>
      <c r="B26" s="494" t="s">
        <v>571</v>
      </c>
      <c r="C26" s="498"/>
      <c r="D26" s="499"/>
      <c r="E26" s="498"/>
    </row>
    <row r="27" spans="1:5" hidden="1">
      <c r="A27" s="3"/>
      <c r="B27" s="494"/>
      <c r="C27" s="505"/>
      <c r="D27" s="506"/>
      <c r="E27" s="505"/>
    </row>
    <row r="28" spans="1:5" hidden="1">
      <c r="A28" s="3"/>
      <c r="B28" s="494" t="s">
        <v>505</v>
      </c>
      <c r="C28" s="505"/>
      <c r="D28" s="506"/>
      <c r="E28" s="505"/>
    </row>
    <row r="29" spans="1:5" hidden="1">
      <c r="A29" s="3">
        <v>12</v>
      </c>
      <c r="B29" s="503" t="s">
        <v>506</v>
      </c>
      <c r="C29" s="498"/>
      <c r="D29" s="499"/>
      <c r="E29" s="498"/>
    </row>
    <row r="30" spans="1:5" hidden="1">
      <c r="A30" s="3">
        <v>13</v>
      </c>
      <c r="B30" s="494" t="s">
        <v>507</v>
      </c>
      <c r="C30" s="498"/>
      <c r="D30" s="499"/>
      <c r="E30" s="498"/>
    </row>
    <row r="31" spans="1:5" hidden="1">
      <c r="A31" s="3">
        <v>14</v>
      </c>
      <c r="B31" s="494" t="s">
        <v>572</v>
      </c>
      <c r="C31" s="498"/>
      <c r="D31" s="499"/>
      <c r="E31" s="498"/>
    </row>
    <row r="32" spans="1:5" hidden="1">
      <c r="A32" s="3">
        <v>15</v>
      </c>
      <c r="B32" s="494" t="s">
        <v>573</v>
      </c>
      <c r="C32" s="498"/>
      <c r="D32" s="499"/>
      <c r="E32" s="498"/>
    </row>
    <row r="33" spans="1:5" hidden="1">
      <c r="A33" s="3">
        <v>16</v>
      </c>
      <c r="B33" s="35" t="s">
        <v>508</v>
      </c>
      <c r="C33" s="498"/>
      <c r="D33" s="499"/>
      <c r="E33" s="498"/>
    </row>
    <row r="34" spans="1:5" hidden="1">
      <c r="A34" s="3">
        <v>17</v>
      </c>
      <c r="B34" s="35" t="s">
        <v>509</v>
      </c>
      <c r="C34" s="498"/>
      <c r="D34" s="499"/>
      <c r="E34" s="498"/>
    </row>
    <row r="35" spans="1:5" hidden="1">
      <c r="A35" s="3">
        <v>18</v>
      </c>
      <c r="B35" s="35" t="s">
        <v>642</v>
      </c>
      <c r="C35" s="498"/>
      <c r="D35" s="499"/>
      <c r="E35" s="498"/>
    </row>
    <row r="36" spans="1:5" hidden="1">
      <c r="A36" s="3">
        <v>19</v>
      </c>
      <c r="B36" s="507" t="s">
        <v>517</v>
      </c>
      <c r="C36" s="508">
        <f>SUM(C29:C35)</f>
        <v>0</v>
      </c>
      <c r="D36" s="508">
        <f>SUM(D29:D35)</f>
        <v>0</v>
      </c>
      <c r="E36" s="508">
        <f>SUM(E29:E35)</f>
        <v>0</v>
      </c>
    </row>
    <row r="37" spans="1:5" hidden="1">
      <c r="A37" s="3"/>
      <c r="B37" s="497"/>
      <c r="C37" s="505"/>
      <c r="D37" s="506"/>
      <c r="E37" s="505"/>
    </row>
    <row r="38" spans="1:5" ht="13.5" hidden="1" thickBot="1">
      <c r="A38" s="3">
        <v>20</v>
      </c>
      <c r="B38" s="497" t="s">
        <v>1001</v>
      </c>
      <c r="C38" s="500">
        <f>C36+C26</f>
        <v>0</v>
      </c>
      <c r="D38" s="500">
        <f>D36+D26</f>
        <v>0</v>
      </c>
      <c r="E38" s="500">
        <f>E36+E26</f>
        <v>0</v>
      </c>
    </row>
    <row r="39" spans="1:5" hidden="1">
      <c r="A39" s="3"/>
      <c r="B39" s="502"/>
      <c r="C39" s="112"/>
      <c r="D39" s="112"/>
      <c r="E39" s="112"/>
    </row>
    <row r="40" spans="1:5" hidden="1">
      <c r="A40" s="3"/>
      <c r="B40" s="87"/>
      <c r="C40" s="179"/>
      <c r="D40" s="179"/>
      <c r="E40" s="179"/>
    </row>
    <row r="41" spans="1:5" ht="12.75" hidden="1" customHeight="1">
      <c r="A41" s="3"/>
      <c r="B41" s="2060" t="s">
        <v>518</v>
      </c>
      <c r="C41" s="2061"/>
      <c r="D41" s="2061"/>
      <c r="E41" s="2061"/>
    </row>
    <row r="42" spans="1:5" hidden="1">
      <c r="A42" s="3"/>
      <c r="B42" s="37"/>
      <c r="C42" s="3"/>
      <c r="D42" s="3"/>
      <c r="E42" s="3"/>
    </row>
    <row r="43" spans="1:5" hidden="1">
      <c r="A43" s="3"/>
      <c r="B43" s="3"/>
      <c r="C43" s="3"/>
      <c r="D43" s="3"/>
      <c r="E43" s="3"/>
    </row>
    <row r="44" spans="1:5" hidden="1">
      <c r="A44" s="3"/>
      <c r="B44" s="87"/>
      <c r="C44" s="179"/>
      <c r="D44" s="179"/>
      <c r="E44" s="179"/>
    </row>
    <row r="45" spans="1:5" hidden="1">
      <c r="A45" s="3"/>
      <c r="B45" s="87"/>
      <c r="C45" s="179"/>
      <c r="D45" s="179"/>
      <c r="E45" s="179"/>
    </row>
    <row r="46" spans="1:5" hidden="1">
      <c r="A46" s="3"/>
      <c r="B46" s="87" t="s">
        <v>520</v>
      </c>
      <c r="C46" s="179"/>
      <c r="D46" s="179"/>
      <c r="E46" s="179"/>
    </row>
    <row r="47" spans="1:5" hidden="1">
      <c r="A47" s="3"/>
      <c r="B47" s="87" t="s">
        <v>519</v>
      </c>
      <c r="C47" s="179"/>
      <c r="D47" s="179"/>
      <c r="E47" s="179"/>
    </row>
    <row r="48" spans="1:5" hidden="1">
      <c r="A48" s="3"/>
      <c r="B48" s="3"/>
      <c r="C48" s="3"/>
      <c r="D48" s="3"/>
      <c r="E48" s="3"/>
    </row>
    <row r="49" spans="1:252" hidden="1">
      <c r="A49" s="3"/>
      <c r="B49" s="3" t="s">
        <v>521</v>
      </c>
      <c r="C49" s="3"/>
      <c r="D49" s="3"/>
      <c r="E49" s="3"/>
    </row>
    <row r="50" spans="1:252" hidden="1">
      <c r="A50" s="3"/>
      <c r="B50" s="3" t="s">
        <v>522</v>
      </c>
      <c r="C50" s="3"/>
      <c r="D50" s="3"/>
      <c r="E50" s="3"/>
    </row>
    <row r="51" spans="1:252" hidden="1">
      <c r="A51" s="3"/>
      <c r="B51" s="3"/>
      <c r="C51" s="3"/>
      <c r="D51" s="3"/>
      <c r="E51" s="3"/>
    </row>
    <row r="52" spans="1:252" hidden="1">
      <c r="A52" s="3"/>
      <c r="B52" s="3"/>
      <c r="C52" s="3"/>
      <c r="D52" s="3"/>
      <c r="E52" s="3"/>
    </row>
    <row r="53" spans="1:252" hidden="1">
      <c r="A53" s="3"/>
      <c r="B53" s="1" t="s">
        <v>2243</v>
      </c>
      <c r="C53" s="3"/>
      <c r="D53" s="3"/>
      <c r="E53" s="3"/>
    </row>
    <row r="54" spans="1:252" hidden="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row>
    <row r="55" spans="1:252">
      <c r="A55" s="3"/>
      <c r="B55" s="3"/>
      <c r="C55" s="3"/>
      <c r="D55" s="3"/>
      <c r="E55" s="3"/>
    </row>
    <row r="56" spans="1:252" ht="31.5">
      <c r="A56" s="78"/>
      <c r="B56" s="907" t="s">
        <v>789</v>
      </c>
      <c r="C56" s="906" t="s">
        <v>571</v>
      </c>
      <c r="D56" s="906" t="s">
        <v>2246</v>
      </c>
      <c r="E56" s="3"/>
    </row>
    <row r="57" spans="1:252" ht="15.75">
      <c r="A57" s="78"/>
      <c r="B57" s="907"/>
      <c r="C57" s="1984" t="s">
        <v>2245</v>
      </c>
      <c r="D57" s="1984" t="s">
        <v>757</v>
      </c>
      <c r="E57" s="3"/>
    </row>
    <row r="58" spans="1:252" ht="15">
      <c r="A58" s="78">
        <v>1</v>
      </c>
      <c r="B58" s="1985" t="s">
        <v>2933</v>
      </c>
      <c r="C58" s="1986">
        <v>0</v>
      </c>
      <c r="D58" s="1986">
        <v>0</v>
      </c>
      <c r="E58" s="3"/>
    </row>
    <row r="59" spans="1:252" ht="15">
      <c r="A59" s="78"/>
      <c r="B59" s="1985" t="s">
        <v>789</v>
      </c>
      <c r="C59" s="973"/>
      <c r="D59" s="973"/>
      <c r="E59" s="3"/>
    </row>
    <row r="60" spans="1:252" ht="30">
      <c r="A60" s="78">
        <v>2</v>
      </c>
      <c r="B60" s="1987" t="s">
        <v>518</v>
      </c>
      <c r="C60" s="1988">
        <v>0</v>
      </c>
      <c r="D60" s="1988">
        <v>0</v>
      </c>
      <c r="E60" s="3"/>
    </row>
    <row r="61" spans="1:252" ht="15">
      <c r="A61" s="78">
        <v>3</v>
      </c>
      <c r="B61" s="1985" t="s">
        <v>2244</v>
      </c>
      <c r="C61" s="973">
        <f>IF(C60=0,0,-C58/C60)</f>
        <v>0</v>
      </c>
      <c r="D61" s="973">
        <f>IF(D60=0,0,-D58/D60)</f>
        <v>0</v>
      </c>
      <c r="E61" s="3"/>
    </row>
    <row r="62" spans="1:252" ht="15">
      <c r="A62" s="78" t="s">
        <v>789</v>
      </c>
      <c r="B62" s="1985" t="s">
        <v>2250</v>
      </c>
      <c r="C62" s="973"/>
      <c r="D62" s="973"/>
      <c r="E62" s="3"/>
    </row>
    <row r="63" spans="1:252" ht="15">
      <c r="A63" s="78"/>
      <c r="B63" s="78"/>
      <c r="C63" s="78"/>
      <c r="D63" s="78"/>
      <c r="E63" s="3"/>
    </row>
    <row r="64" spans="1:252" ht="15">
      <c r="A64" s="78"/>
      <c r="B64" s="78"/>
      <c r="C64" s="78"/>
      <c r="D64" s="78"/>
      <c r="E64" s="3"/>
    </row>
    <row r="65" spans="1:5" ht="31.5">
      <c r="A65" s="78"/>
      <c r="B65" s="907" t="s">
        <v>789</v>
      </c>
      <c r="C65" s="906" t="s">
        <v>2247</v>
      </c>
      <c r="D65" s="78"/>
      <c r="E65" s="3"/>
    </row>
    <row r="66" spans="1:5" ht="15.75">
      <c r="A66" s="78"/>
      <c r="B66" s="907"/>
      <c r="C66" s="1984" t="s">
        <v>2248</v>
      </c>
      <c r="D66" s="78"/>
      <c r="E66" s="3"/>
    </row>
    <row r="67" spans="1:5" ht="15">
      <c r="A67" s="78">
        <v>1</v>
      </c>
      <c r="B67" s="1985" t="s">
        <v>2933</v>
      </c>
      <c r="C67" s="1986">
        <v>0</v>
      </c>
      <c r="D67" s="78"/>
      <c r="E67" s="3"/>
    </row>
    <row r="68" spans="1:5" ht="15">
      <c r="A68" s="78"/>
      <c r="B68" s="1985" t="s">
        <v>789</v>
      </c>
      <c r="C68" s="973"/>
      <c r="D68" s="78"/>
      <c r="E68" s="3"/>
    </row>
    <row r="69" spans="1:5" ht="30">
      <c r="A69" s="78">
        <v>2</v>
      </c>
      <c r="B69" s="1987" t="s">
        <v>2249</v>
      </c>
      <c r="C69" s="1988">
        <v>0</v>
      </c>
      <c r="D69" s="78"/>
      <c r="E69" s="3"/>
    </row>
    <row r="70" spans="1:5" ht="15">
      <c r="A70" s="78">
        <v>3</v>
      </c>
      <c r="B70" s="1985" t="s">
        <v>2244</v>
      </c>
      <c r="C70" s="973">
        <f>IF(C69=0,0,-C67/C69)</f>
        <v>0</v>
      </c>
      <c r="D70" s="78"/>
      <c r="E70" s="3"/>
    </row>
    <row r="71" spans="1:5" ht="15">
      <c r="A71" s="78" t="s">
        <v>789</v>
      </c>
      <c r="B71" s="1985" t="s">
        <v>2250</v>
      </c>
      <c r="C71" s="973"/>
      <c r="D71" s="78"/>
      <c r="E71" s="3"/>
    </row>
    <row r="72" spans="1:5" ht="15">
      <c r="A72" s="78"/>
      <c r="B72" s="78"/>
      <c r="C72" s="78"/>
      <c r="D72" s="78"/>
      <c r="E72" s="3"/>
    </row>
    <row r="73" spans="1:5">
      <c r="A73" s="3"/>
      <c r="B73" s="3"/>
      <c r="C73" s="3"/>
      <c r="D73" s="3"/>
      <c r="E73" s="3"/>
    </row>
    <row r="74" spans="1:5">
      <c r="A74" s="3"/>
      <c r="B74" s="3"/>
      <c r="C74" s="3"/>
      <c r="D74" s="3"/>
      <c r="E74" s="3"/>
    </row>
    <row r="75" spans="1:5">
      <c r="A75" s="3"/>
      <c r="B75" s="3"/>
      <c r="C75" s="3"/>
      <c r="D75" s="3"/>
      <c r="E75" s="3"/>
    </row>
    <row r="76" spans="1:5">
      <c r="A76" s="3"/>
      <c r="B76" s="3"/>
      <c r="C76" s="3"/>
      <c r="D76" s="3"/>
      <c r="E76" s="3"/>
    </row>
    <row r="77" spans="1:5">
      <c r="A77" s="3"/>
      <c r="B77" s="3"/>
      <c r="C77" s="3"/>
      <c r="D77" s="3"/>
      <c r="E77" s="3"/>
    </row>
    <row r="78" spans="1:5">
      <c r="A78" s="3"/>
      <c r="B78" s="3"/>
      <c r="C78" s="3"/>
      <c r="D78" s="3"/>
      <c r="E78" s="3"/>
    </row>
    <row r="79" spans="1:5">
      <c r="A79" s="3"/>
      <c r="B79" s="3"/>
      <c r="C79" s="3"/>
      <c r="D79" s="3"/>
      <c r="E79" s="3"/>
    </row>
    <row r="80" spans="1:5">
      <c r="A80" s="3"/>
      <c r="B80" s="3"/>
      <c r="C80" s="3"/>
      <c r="D80" s="3"/>
      <c r="E80" s="3"/>
    </row>
    <row r="81" spans="1:5">
      <c r="A81" s="3"/>
      <c r="B81" s="3"/>
      <c r="C81" s="3"/>
      <c r="D81" s="3"/>
      <c r="E81" s="3"/>
    </row>
    <row r="82" spans="1:5">
      <c r="A82" s="3"/>
      <c r="B82" s="3"/>
      <c r="C82" s="3"/>
      <c r="D82" s="3"/>
      <c r="E82" s="3"/>
    </row>
    <row r="83" spans="1:5">
      <c r="A83" s="3"/>
      <c r="B83" s="3"/>
      <c r="C83" s="3"/>
      <c r="D83" s="3"/>
      <c r="E83" s="3"/>
    </row>
    <row r="84" spans="1:5">
      <c r="A84" s="3"/>
      <c r="B84" s="3"/>
      <c r="C84" s="3"/>
      <c r="D84" s="3"/>
      <c r="E84" s="3"/>
    </row>
    <row r="85" spans="1:5">
      <c r="A85" s="3"/>
      <c r="B85" s="3"/>
      <c r="C85" s="3"/>
      <c r="D85" s="3"/>
      <c r="E85" s="3"/>
    </row>
    <row r="86" spans="1:5">
      <c r="A86" s="3"/>
      <c r="B86" s="3"/>
      <c r="C86" s="3"/>
      <c r="D86" s="3"/>
      <c r="E86" s="3"/>
    </row>
    <row r="87" spans="1:5">
      <c r="A87" s="3"/>
      <c r="B87" s="3"/>
      <c r="C87" s="3"/>
      <c r="D87" s="3"/>
      <c r="E87" s="3"/>
    </row>
    <row r="88" spans="1:5">
      <c r="A88" s="3"/>
      <c r="B88" s="3"/>
      <c r="C88" s="3"/>
      <c r="D88" s="3"/>
      <c r="E88" s="3"/>
    </row>
    <row r="89" spans="1:5">
      <c r="A89" s="3"/>
      <c r="B89" s="3"/>
      <c r="C89" s="3"/>
      <c r="D89" s="3"/>
      <c r="E89" s="3"/>
    </row>
    <row r="90" spans="1:5">
      <c r="A90" s="3"/>
      <c r="B90" s="3"/>
      <c r="C90" s="3"/>
      <c r="D90" s="3"/>
      <c r="E90" s="3"/>
    </row>
    <row r="91" spans="1:5">
      <c r="A91" s="3"/>
      <c r="B91" s="3"/>
      <c r="C91" s="3"/>
      <c r="D91" s="3"/>
      <c r="E91" s="3"/>
    </row>
    <row r="92" spans="1:5">
      <c r="A92" s="3"/>
      <c r="B92" s="3"/>
      <c r="C92" s="3"/>
      <c r="D92" s="3"/>
      <c r="E92" s="3"/>
    </row>
    <row r="93" spans="1:5">
      <c r="A93" s="3"/>
      <c r="B93" s="3"/>
      <c r="C93" s="3"/>
      <c r="D93" s="3"/>
      <c r="E93" s="3"/>
    </row>
    <row r="94" spans="1:5"/>
    <row r="95" spans="1:5"/>
    <row r="96" spans="1:5"/>
    <row r="97"/>
    <row r="98"/>
    <row r="99"/>
    <row r="100"/>
    <row r="101"/>
    <row r="102"/>
  </sheetData>
  <sheetProtection password="C7B7" sheet="1" objects="1" scenarios="1"/>
  <phoneticPr fontId="13" type="noConversion"/>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58"/>
  <sheetViews>
    <sheetView zoomScaleNormal="100" workbookViewId="0">
      <selection activeCell="B11" sqref="B11"/>
    </sheetView>
  </sheetViews>
  <sheetFormatPr defaultColWidth="0" defaultRowHeight="0" customHeight="1" zeroHeight="1"/>
  <cols>
    <col min="1" max="1" width="27.5703125" style="688" customWidth="1"/>
    <col min="2" max="2" width="13.140625" style="688" customWidth="1"/>
    <col min="3" max="6" width="15.140625" style="688" customWidth="1"/>
    <col min="7" max="7" width="17" style="688" customWidth="1"/>
    <col min="8" max="8" width="14" style="688" customWidth="1"/>
    <col min="9" max="9" width="13.5703125" style="688" customWidth="1"/>
  </cols>
  <sheetData>
    <row r="1" spans="1:9" ht="4.5" customHeight="1" thickBot="1">
      <c r="A1" s="2138" t="s">
        <v>2803</v>
      </c>
      <c r="B1" s="3"/>
      <c r="C1" s="3"/>
      <c r="D1" s="3"/>
      <c r="E1" s="3"/>
      <c r="F1" s="3"/>
      <c r="G1" s="3"/>
      <c r="H1" s="3"/>
      <c r="I1" s="3"/>
    </row>
    <row r="2" spans="1:9" ht="15" thickBot="1">
      <c r="A2" s="1" t="s">
        <v>622</v>
      </c>
      <c r="B2" s="30"/>
      <c r="C2" s="30"/>
      <c r="D2" s="30"/>
      <c r="E2" s="180" t="s">
        <v>163</v>
      </c>
      <c r="F2" s="30"/>
      <c r="G2" s="197" t="str">
        <f>'1 Summary'!G2</f>
        <v/>
      </c>
      <c r="H2" s="931"/>
      <c r="I2" s="932"/>
    </row>
    <row r="3" spans="1:9" ht="18.75" thickBot="1">
      <c r="A3" s="6" t="s">
        <v>1550</v>
      </c>
      <c r="B3" s="30"/>
      <c r="C3" s="30"/>
      <c r="D3" s="30"/>
      <c r="E3" s="180" t="s">
        <v>162</v>
      </c>
      <c r="F3" s="30"/>
      <c r="G3" s="198">
        <f>'1 Summary'!G3</f>
        <v>0</v>
      </c>
      <c r="H3" s="89"/>
      <c r="I3" s="933"/>
    </row>
    <row r="4" spans="1:9" ht="18">
      <c r="A4" s="6" t="s">
        <v>2913</v>
      </c>
      <c r="B4" s="30"/>
      <c r="C4" s="30"/>
      <c r="D4" s="30"/>
      <c r="E4" s="149"/>
      <c r="F4" s="30"/>
      <c r="G4" s="934"/>
      <c r="H4" s="149"/>
      <c r="I4" s="149"/>
    </row>
    <row r="5" spans="1:9" ht="12.75">
      <c r="A5" s="30"/>
      <c r="B5" s="30"/>
      <c r="C5" s="30"/>
      <c r="D5" s="30"/>
      <c r="E5" s="149"/>
      <c r="F5" s="30"/>
      <c r="G5" s="934"/>
      <c r="H5" s="149"/>
      <c r="I5" s="149"/>
    </row>
    <row r="6" spans="1:9" ht="15">
      <c r="A6" s="901" t="s">
        <v>1286</v>
      </c>
      <c r="B6" s="901" t="s">
        <v>1287</v>
      </c>
      <c r="C6" s="901" t="s">
        <v>1288</v>
      </c>
      <c r="D6" s="901" t="s">
        <v>842</v>
      </c>
      <c r="E6" s="901" t="s">
        <v>843</v>
      </c>
      <c r="F6" s="901" t="s">
        <v>844</v>
      </c>
      <c r="G6" s="901" t="s">
        <v>2122</v>
      </c>
      <c r="H6" s="901" t="s">
        <v>840</v>
      </c>
      <c r="I6" s="901" t="s">
        <v>841</v>
      </c>
    </row>
    <row r="7" spans="1:9" ht="15" customHeight="1">
      <c r="A7" s="901"/>
      <c r="B7" s="901"/>
      <c r="C7" s="901"/>
      <c r="D7" s="901"/>
      <c r="E7" s="901"/>
      <c r="F7" s="901"/>
      <c r="G7" s="901"/>
      <c r="H7" s="901"/>
      <c r="I7" s="901"/>
    </row>
    <row r="8" spans="1:9" ht="45">
      <c r="A8" s="1985" t="s">
        <v>735</v>
      </c>
      <c r="B8" s="1586" t="s">
        <v>607</v>
      </c>
      <c r="C8" s="1586" t="s">
        <v>1402</v>
      </c>
      <c r="D8" s="1586" t="s">
        <v>1403</v>
      </c>
      <c r="E8" s="1586" t="s">
        <v>998</v>
      </c>
      <c r="F8" s="1586" t="s">
        <v>608</v>
      </c>
      <c r="G8" s="1586" t="s">
        <v>2699</v>
      </c>
      <c r="H8" s="1586" t="s">
        <v>2700</v>
      </c>
      <c r="I8" s="1989" t="s">
        <v>2701</v>
      </c>
    </row>
    <row r="9" spans="1:9" ht="15.75" hidden="1" customHeight="1">
      <c r="A9" s="314"/>
      <c r="B9" s="314"/>
      <c r="C9" s="314">
        <v>2007</v>
      </c>
      <c r="D9" s="314">
        <v>2008</v>
      </c>
      <c r="E9" s="314">
        <v>2022</v>
      </c>
      <c r="F9" s="314">
        <v>2016</v>
      </c>
      <c r="G9" s="314">
        <v>2011</v>
      </c>
      <c r="H9" s="1990">
        <v>2012</v>
      </c>
      <c r="I9" s="1991">
        <v>2014</v>
      </c>
    </row>
    <row r="10" spans="1:9" ht="15">
      <c r="A10" s="1992"/>
      <c r="B10" s="1994"/>
      <c r="C10" s="1994"/>
      <c r="D10" s="1994"/>
      <c r="E10" s="1994"/>
      <c r="F10" s="1994"/>
      <c r="G10" s="1994"/>
      <c r="H10" s="1994"/>
      <c r="I10" s="1994"/>
    </row>
    <row r="11" spans="1:9" ht="15">
      <c r="A11" s="1992"/>
      <c r="B11" s="1994"/>
      <c r="C11" s="1994"/>
      <c r="D11" s="1994"/>
      <c r="E11" s="1994"/>
      <c r="F11" s="1994"/>
      <c r="G11" s="1994"/>
      <c r="H11" s="1994"/>
      <c r="I11" s="1994"/>
    </row>
    <row r="12" spans="1:9" ht="15">
      <c r="A12" s="1992"/>
      <c r="B12" s="1994"/>
      <c r="C12" s="1994"/>
      <c r="D12" s="1994"/>
      <c r="E12" s="1994"/>
      <c r="F12" s="1994"/>
      <c r="G12" s="1994"/>
      <c r="H12" s="1994"/>
      <c r="I12" s="1994"/>
    </row>
    <row r="13" spans="1:9" ht="15">
      <c r="A13" s="1992"/>
      <c r="B13" s="1994"/>
      <c r="C13" s="1994"/>
      <c r="D13" s="1994"/>
      <c r="E13" s="1994"/>
      <c r="F13" s="1994"/>
      <c r="G13" s="1994"/>
      <c r="H13" s="1994"/>
      <c r="I13" s="1994"/>
    </row>
    <row r="14" spans="1:9" ht="15">
      <c r="A14" s="1992"/>
      <c r="B14" s="1994"/>
      <c r="C14" s="1994"/>
      <c r="D14" s="1994"/>
      <c r="E14" s="1994"/>
      <c r="F14" s="1994"/>
      <c r="G14" s="1994"/>
      <c r="H14" s="1994"/>
      <c r="I14" s="1994"/>
    </row>
    <row r="15" spans="1:9" ht="15">
      <c r="A15" s="1992"/>
      <c r="B15" s="1994"/>
      <c r="C15" s="1994"/>
      <c r="D15" s="1994"/>
      <c r="E15" s="1994"/>
      <c r="F15" s="1994"/>
      <c r="G15" s="1994"/>
      <c r="H15" s="1994"/>
      <c r="I15" s="1994"/>
    </row>
    <row r="16" spans="1:9" ht="15">
      <c r="A16" s="1992"/>
      <c r="B16" s="1994"/>
      <c r="C16" s="1994"/>
      <c r="D16" s="1994"/>
      <c r="E16" s="1994"/>
      <c r="F16" s="1994"/>
      <c r="G16" s="1994"/>
      <c r="H16" s="1994"/>
      <c r="I16" s="1994"/>
    </row>
    <row r="17" spans="1:9" ht="15">
      <c r="A17" s="1992"/>
      <c r="B17" s="1994"/>
      <c r="C17" s="1994"/>
      <c r="D17" s="1994"/>
      <c r="E17" s="1994"/>
      <c r="F17" s="1994"/>
      <c r="G17" s="1994"/>
      <c r="H17" s="1994"/>
      <c r="I17" s="1994"/>
    </row>
    <row r="18" spans="1:9" ht="15">
      <c r="A18" s="1992"/>
      <c r="B18" s="1994"/>
      <c r="C18" s="1994"/>
      <c r="D18" s="1994"/>
      <c r="E18" s="1994"/>
      <c r="F18" s="1994"/>
      <c r="G18" s="1994"/>
      <c r="H18" s="1994"/>
      <c r="I18" s="1994"/>
    </row>
    <row r="19" spans="1:9" ht="15">
      <c r="A19" s="1992"/>
      <c r="B19" s="1994"/>
      <c r="C19" s="1994"/>
      <c r="D19" s="1994"/>
      <c r="E19" s="1994"/>
      <c r="F19" s="1994"/>
      <c r="G19" s="1994"/>
      <c r="H19" s="1994"/>
      <c r="I19" s="1994"/>
    </row>
    <row r="20" spans="1:9" ht="15">
      <c r="A20" s="1992"/>
      <c r="B20" s="1994"/>
      <c r="C20" s="1994"/>
      <c r="D20" s="1994"/>
      <c r="E20" s="1994"/>
      <c r="F20" s="1994"/>
      <c r="G20" s="1994"/>
      <c r="H20" s="1994"/>
      <c r="I20" s="1994"/>
    </row>
    <row r="21" spans="1:9" ht="15">
      <c r="A21" s="1992"/>
      <c r="B21" s="1994"/>
      <c r="C21" s="1994"/>
      <c r="D21" s="1994"/>
      <c r="E21" s="1994"/>
      <c r="F21" s="1994"/>
      <c r="G21" s="1994"/>
      <c r="H21" s="1994"/>
      <c r="I21" s="1994"/>
    </row>
    <row r="22" spans="1:9" ht="15">
      <c r="A22" s="1992"/>
      <c r="B22" s="1994"/>
      <c r="C22" s="1994"/>
      <c r="D22" s="1994"/>
      <c r="E22" s="1994"/>
      <c r="F22" s="1994"/>
      <c r="G22" s="1994"/>
      <c r="H22" s="1994"/>
      <c r="I22" s="1994"/>
    </row>
    <row r="23" spans="1:9" ht="15">
      <c r="A23" s="1992"/>
      <c r="B23" s="1994"/>
      <c r="C23" s="1994"/>
      <c r="D23" s="1994"/>
      <c r="E23" s="1994"/>
      <c r="F23" s="1994"/>
      <c r="G23" s="1994"/>
      <c r="H23" s="1994"/>
      <c r="I23" s="1994"/>
    </row>
    <row r="24" spans="1:9" ht="15">
      <c r="A24" s="1992"/>
      <c r="B24" s="1994"/>
      <c r="C24" s="1994"/>
      <c r="D24" s="1994"/>
      <c r="E24" s="1994"/>
      <c r="F24" s="1994"/>
      <c r="G24" s="1994"/>
      <c r="H24" s="1994"/>
      <c r="I24" s="1994"/>
    </row>
    <row r="25" spans="1:9" ht="15">
      <c r="A25" s="1992"/>
      <c r="B25" s="1994"/>
      <c r="C25" s="1994"/>
      <c r="D25" s="1994"/>
      <c r="E25" s="1994"/>
      <c r="F25" s="1994"/>
      <c r="G25" s="1994"/>
      <c r="H25" s="1994"/>
      <c r="I25" s="1994"/>
    </row>
    <row r="26" spans="1:9" ht="15">
      <c r="A26" s="1992"/>
      <c r="B26" s="1992"/>
      <c r="C26" s="1992"/>
      <c r="D26" s="1992"/>
      <c r="E26" s="1992"/>
      <c r="F26" s="1992"/>
      <c r="G26" s="1994"/>
      <c r="H26" s="1994"/>
      <c r="I26" s="1994"/>
    </row>
    <row r="27" spans="1:9" ht="15">
      <c r="A27" s="1992"/>
      <c r="B27" s="1992"/>
      <c r="C27" s="1992"/>
      <c r="D27" s="1992"/>
      <c r="E27" s="1992"/>
      <c r="F27" s="1992"/>
      <c r="G27" s="1994"/>
      <c r="H27" s="1994"/>
      <c r="I27" s="1994"/>
    </row>
    <row r="28" spans="1:9" ht="15">
      <c r="A28" s="1992"/>
      <c r="B28" s="1992"/>
      <c r="C28" s="1992"/>
      <c r="D28" s="1992"/>
      <c r="E28" s="1992"/>
      <c r="F28" s="1992"/>
      <c r="G28" s="1994"/>
      <c r="H28" s="1994"/>
      <c r="I28" s="1994"/>
    </row>
    <row r="29" spans="1:9" ht="15">
      <c r="A29" s="1992"/>
      <c r="B29" s="1992"/>
      <c r="C29" s="1992"/>
      <c r="D29" s="1992"/>
      <c r="E29" s="1992"/>
      <c r="F29" s="1992"/>
      <c r="G29" s="1994"/>
      <c r="H29" s="1994"/>
      <c r="I29" s="1994"/>
    </row>
    <row r="30" spans="1:9" ht="15">
      <c r="A30" s="1992"/>
      <c r="B30" s="1992"/>
      <c r="C30" s="1992"/>
      <c r="D30" s="1992"/>
      <c r="E30" s="1992"/>
      <c r="F30" s="1992"/>
      <c r="G30" s="1994"/>
      <c r="H30" s="1994"/>
      <c r="I30" s="1994"/>
    </row>
    <row r="31" spans="1:9" ht="15">
      <c r="A31" s="1992"/>
      <c r="B31" s="1992"/>
      <c r="C31" s="1992"/>
      <c r="D31" s="1992"/>
      <c r="E31" s="1992"/>
      <c r="F31" s="1992"/>
      <c r="G31" s="1994"/>
      <c r="H31" s="1994"/>
      <c r="I31" s="1994"/>
    </row>
    <row r="32" spans="1:9" ht="15">
      <c r="A32" s="1992"/>
      <c r="B32" s="1992"/>
      <c r="C32" s="1992"/>
      <c r="D32" s="1992"/>
      <c r="E32" s="1992"/>
      <c r="F32" s="1992"/>
      <c r="G32" s="1994"/>
      <c r="H32" s="1994"/>
      <c r="I32" s="1994"/>
    </row>
    <row r="33" spans="1:9" ht="15">
      <c r="A33" s="1992"/>
      <c r="B33" s="1992"/>
      <c r="C33" s="1992"/>
      <c r="D33" s="1992"/>
      <c r="E33" s="1992"/>
      <c r="F33" s="1992"/>
      <c r="G33" s="1994"/>
      <c r="H33" s="1994"/>
      <c r="I33" s="1994"/>
    </row>
    <row r="34" spans="1:9" ht="15">
      <c r="A34" s="1992"/>
      <c r="B34" s="1992"/>
      <c r="C34" s="1992"/>
      <c r="D34" s="1992"/>
      <c r="E34" s="1992"/>
      <c r="F34" s="1992"/>
      <c r="G34" s="1994"/>
      <c r="H34" s="1994"/>
      <c r="I34" s="1994"/>
    </row>
    <row r="35" spans="1:9" ht="15">
      <c r="A35" s="1992"/>
      <c r="B35" s="1992"/>
      <c r="C35" s="1992"/>
      <c r="D35" s="1992"/>
      <c r="E35" s="1992"/>
      <c r="F35" s="1992"/>
      <c r="G35" s="1994"/>
      <c r="H35" s="1994"/>
      <c r="I35" s="1994"/>
    </row>
    <row r="36" spans="1:9" ht="15">
      <c r="A36" s="1992"/>
      <c r="B36" s="1992"/>
      <c r="C36" s="1992"/>
      <c r="D36" s="1992"/>
      <c r="E36" s="1992"/>
      <c r="F36" s="1992"/>
      <c r="G36" s="1994"/>
      <c r="H36" s="1994"/>
      <c r="I36" s="1994"/>
    </row>
    <row r="37" spans="1:9" ht="15">
      <c r="A37" s="1992"/>
      <c r="B37" s="1992"/>
      <c r="C37" s="1992"/>
      <c r="D37" s="1992"/>
      <c r="E37" s="1992"/>
      <c r="F37" s="1992"/>
      <c r="G37" s="1994"/>
      <c r="H37" s="1994"/>
      <c r="I37" s="1994"/>
    </row>
    <row r="38" spans="1:9" ht="15">
      <c r="A38" s="1992"/>
      <c r="B38" s="1992"/>
      <c r="C38" s="1992"/>
      <c r="D38" s="1992"/>
      <c r="E38" s="1992"/>
      <c r="F38" s="1992"/>
      <c r="G38" s="1994"/>
      <c r="H38" s="1994"/>
      <c r="I38" s="1994"/>
    </row>
    <row r="39" spans="1:9" ht="15">
      <c r="A39" s="1992"/>
      <c r="B39" s="1992"/>
      <c r="C39" s="1992"/>
      <c r="D39" s="1992"/>
      <c r="E39" s="1992"/>
      <c r="F39" s="1992"/>
      <c r="G39" s="1994"/>
      <c r="H39" s="1994"/>
      <c r="I39" s="1994"/>
    </row>
    <row r="40" spans="1:9" ht="15">
      <c r="A40" s="1992"/>
      <c r="B40" s="1992"/>
      <c r="C40" s="1992"/>
      <c r="D40" s="1992"/>
      <c r="E40" s="1992"/>
      <c r="F40" s="1992"/>
      <c r="G40" s="1994"/>
      <c r="H40" s="1994"/>
      <c r="I40" s="1994"/>
    </row>
    <row r="41" spans="1:9" ht="15">
      <c r="A41" s="1992"/>
      <c r="B41" s="1992"/>
      <c r="C41" s="1992"/>
      <c r="D41" s="1992"/>
      <c r="E41" s="1992"/>
      <c r="F41" s="1992"/>
      <c r="G41" s="1994"/>
      <c r="H41" s="1994"/>
      <c r="I41" s="1994"/>
    </row>
    <row r="42" spans="1:9" ht="15">
      <c r="A42" s="1992"/>
      <c r="B42" s="1992"/>
      <c r="C42" s="1992"/>
      <c r="D42" s="1992"/>
      <c r="E42" s="1992"/>
      <c r="F42" s="1992"/>
      <c r="G42" s="1994"/>
      <c r="H42" s="1994"/>
      <c r="I42" s="1994"/>
    </row>
    <row r="43" spans="1:9" ht="15">
      <c r="A43" s="1992"/>
      <c r="B43" s="1992"/>
      <c r="C43" s="1992"/>
      <c r="D43" s="1992"/>
      <c r="E43" s="1992"/>
      <c r="F43" s="1992"/>
      <c r="G43" s="1994"/>
      <c r="H43" s="1994"/>
      <c r="I43" s="1994"/>
    </row>
    <row r="44" spans="1:9" ht="12.75" customHeight="1">
      <c r="A44" s="1992"/>
      <c r="B44" s="1992"/>
      <c r="C44" s="1992"/>
      <c r="D44" s="1992"/>
      <c r="E44" s="1992"/>
      <c r="F44" s="1992"/>
      <c r="G44" s="1994"/>
      <c r="H44" s="1994"/>
      <c r="I44" s="1994"/>
    </row>
    <row r="45" spans="1:9" ht="15">
      <c r="A45" s="1134"/>
      <c r="B45" s="904" t="s">
        <v>160</v>
      </c>
      <c r="C45" s="1993">
        <f t="shared" ref="C45:I45" si="0">SUM(C10:C44)</f>
        <v>0</v>
      </c>
      <c r="D45" s="1993">
        <f t="shared" si="0"/>
        <v>0</v>
      </c>
      <c r="E45" s="1993">
        <f t="shared" si="0"/>
        <v>0</v>
      </c>
      <c r="F45" s="1993">
        <f t="shared" si="0"/>
        <v>0</v>
      </c>
      <c r="G45" s="1993">
        <f t="shared" si="0"/>
        <v>0</v>
      </c>
      <c r="H45" s="1993">
        <f t="shared" si="0"/>
        <v>0</v>
      </c>
      <c r="I45" s="1993">
        <f t="shared" si="0"/>
        <v>0</v>
      </c>
    </row>
    <row r="46" spans="1:9" ht="15.75">
      <c r="A46" s="632"/>
      <c r="B46" s="632"/>
      <c r="C46" s="314">
        <v>300</v>
      </c>
      <c r="D46" s="314">
        <v>301</v>
      </c>
      <c r="E46" s="314">
        <v>302</v>
      </c>
      <c r="F46" s="314">
        <v>303</v>
      </c>
      <c r="G46" s="314">
        <v>305</v>
      </c>
      <c r="H46" s="1990">
        <v>306</v>
      </c>
      <c r="I46" s="1991">
        <v>312</v>
      </c>
    </row>
    <row r="47" spans="1:9" ht="15">
      <c r="A47" s="78"/>
      <c r="B47" s="632"/>
      <c r="C47" s="632"/>
      <c r="D47" s="632"/>
      <c r="E47" s="632"/>
      <c r="F47" s="632"/>
      <c r="G47" s="632"/>
      <c r="H47" s="632"/>
      <c r="I47" s="632"/>
    </row>
    <row r="48" spans="1:9" ht="15">
      <c r="A48" s="78"/>
      <c r="B48" s="632"/>
      <c r="C48" s="632"/>
      <c r="D48" s="632"/>
      <c r="E48" s="632"/>
      <c r="F48" s="632"/>
      <c r="G48" s="632"/>
      <c r="H48" s="632"/>
      <c r="I48" s="632"/>
    </row>
    <row r="49" spans="1:9" ht="15" hidden="1">
      <c r="A49" s="100" t="s">
        <v>312</v>
      </c>
      <c r="B49" s="698"/>
      <c r="C49" s="698"/>
      <c r="D49" s="698"/>
      <c r="E49" s="698"/>
      <c r="F49" s="698"/>
      <c r="G49" s="698"/>
      <c r="H49" s="698"/>
      <c r="I49" s="698"/>
    </row>
    <row r="50" spans="1:9" ht="14.25">
      <c r="A50" s="42"/>
      <c r="B50" s="698"/>
      <c r="C50" s="698"/>
      <c r="D50" s="698"/>
      <c r="E50" s="698"/>
      <c r="F50" s="698"/>
      <c r="G50" s="698"/>
      <c r="H50" s="698"/>
      <c r="I50" s="698"/>
    </row>
    <row r="51" spans="1:9" ht="15">
      <c r="A51" s="41" t="s">
        <v>1198</v>
      </c>
      <c r="B51" s="100"/>
      <c r="C51" s="100"/>
      <c r="D51" s="100"/>
      <c r="E51" s="100"/>
      <c r="F51" s="100"/>
      <c r="G51" s="100"/>
      <c r="H51" s="100"/>
      <c r="I51" s="100"/>
    </row>
    <row r="52" spans="1:9" ht="14.25" hidden="1">
      <c r="A52" s="792"/>
      <c r="B52" s="792"/>
      <c r="C52" s="792"/>
      <c r="D52" s="792"/>
      <c r="E52" s="792"/>
      <c r="F52" s="792"/>
      <c r="G52" s="792"/>
      <c r="H52" s="792"/>
      <c r="I52" s="792"/>
    </row>
    <row r="53" spans="1:9" ht="14.25" hidden="1">
      <c r="A53" s="698" t="s">
        <v>313</v>
      </c>
      <c r="B53" s="792"/>
      <c r="C53" s="792"/>
      <c r="D53" s="792"/>
      <c r="E53" s="792"/>
      <c r="F53" s="792"/>
      <c r="G53" s="792"/>
      <c r="H53" s="792"/>
      <c r="I53" s="792"/>
    </row>
    <row r="54" spans="1:9" ht="14.25">
      <c r="A54" s="698" t="s">
        <v>314</v>
      </c>
      <c r="B54" s="42"/>
      <c r="C54" s="42"/>
      <c r="D54" s="42"/>
      <c r="E54" s="42"/>
      <c r="F54" s="42"/>
      <c r="G54" s="42"/>
      <c r="H54" s="42"/>
      <c r="I54" s="42"/>
    </row>
    <row r="55" spans="1:9" ht="14.25">
      <c r="A55" s="698" t="s">
        <v>315</v>
      </c>
      <c r="B55" s="42"/>
      <c r="C55" s="42"/>
      <c r="D55" s="42"/>
      <c r="E55" s="42"/>
      <c r="F55" s="42"/>
      <c r="G55" s="42"/>
      <c r="H55" s="42"/>
      <c r="I55" s="42"/>
    </row>
    <row r="56" spans="1:9" ht="14.25" hidden="1">
      <c r="A56" s="698" t="s">
        <v>316</v>
      </c>
      <c r="B56" s="42"/>
      <c r="C56" s="42"/>
      <c r="D56" s="42"/>
      <c r="E56" s="42"/>
      <c r="F56" s="42"/>
      <c r="G56" s="42"/>
      <c r="H56" s="42"/>
      <c r="I56" s="42"/>
    </row>
    <row r="57" spans="1:9" ht="12.75" customHeight="1">
      <c r="A57" s="698" t="s">
        <v>914</v>
      </c>
      <c r="B57" s="42"/>
      <c r="C57" s="42"/>
      <c r="D57" s="42"/>
      <c r="E57" s="42"/>
      <c r="F57" s="42"/>
      <c r="G57" s="42"/>
      <c r="H57" s="42"/>
      <c r="I57" s="42"/>
    </row>
    <row r="58" spans="1:9" ht="14.25" hidden="1">
      <c r="A58" s="698" t="s">
        <v>1542</v>
      </c>
      <c r="B58" s="42"/>
      <c r="C58" s="42"/>
      <c r="D58" s="42"/>
      <c r="E58" s="42"/>
      <c r="F58" s="42"/>
      <c r="G58" s="42"/>
      <c r="H58" s="42"/>
      <c r="I58" s="42"/>
    </row>
  </sheetData>
  <sheetProtection password="C7B7" sheet="1" objects="1" scenarios="1"/>
  <protectedRanges>
    <protectedRange sqref="G11:I44 I10" name="Range2"/>
    <protectedRange sqref="A11:F44 A10:H10" name="Range1"/>
  </protectedRanges>
  <phoneticPr fontId="13"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87"/>
  <sheetViews>
    <sheetView topLeftCell="A28" zoomScaleNormal="100" workbookViewId="0">
      <selection activeCell="J66" sqref="J66"/>
    </sheetView>
  </sheetViews>
  <sheetFormatPr defaultColWidth="0" defaultRowHeight="12.75" zeroHeight="1"/>
  <cols>
    <col min="1" max="1" width="9.28515625" style="69" customWidth="1"/>
    <col min="2" max="2" width="43.28515625" style="69" customWidth="1"/>
    <col min="3" max="3" width="5.7109375" style="69" customWidth="1"/>
    <col min="4" max="4" width="12.7109375" style="69" customWidth="1"/>
    <col min="5" max="5" width="4" style="69" customWidth="1"/>
    <col min="6" max="6" width="12.7109375" style="69" customWidth="1"/>
    <col min="7" max="7" width="8.42578125" style="69" customWidth="1"/>
    <col min="8" max="8" width="12.7109375" style="69" customWidth="1"/>
    <col min="9" max="9" width="8.28515625" style="69" customWidth="1"/>
    <col min="10" max="10" width="15.7109375" style="69" customWidth="1"/>
    <col min="11" max="11" width="9.140625" style="69" customWidth="1"/>
    <col min="12" max="255" width="0" style="69" hidden="1" customWidth="1"/>
    <col min="256" max="16384" width="0.140625" style="69" hidden="1"/>
  </cols>
  <sheetData>
    <row r="1" spans="1:11" ht="4.5" customHeight="1" thickBot="1">
      <c r="A1" s="2153" t="s">
        <v>2804</v>
      </c>
      <c r="B1" s="3"/>
      <c r="C1" s="3"/>
      <c r="D1" s="3"/>
      <c r="E1" s="3"/>
      <c r="F1" s="3"/>
      <c r="G1" s="3"/>
      <c r="H1" s="3"/>
      <c r="I1" s="3"/>
      <c r="J1" s="3"/>
      <c r="K1" s="3"/>
    </row>
    <row r="2" spans="1:11" ht="18.75" thickBot="1">
      <c r="A2" s="43" t="s">
        <v>621</v>
      </c>
      <c r="B2" s="3"/>
      <c r="C2" s="3"/>
      <c r="D2" s="3"/>
      <c r="E2" s="180" t="s">
        <v>163</v>
      </c>
      <c r="F2" s="3"/>
      <c r="G2" s="47"/>
      <c r="H2" s="2002" t="str">
        <f>+'1 Summary'!G2</f>
        <v/>
      </c>
      <c r="I2" s="48"/>
      <c r="J2" s="62"/>
      <c r="K2" s="63"/>
    </row>
    <row r="3" spans="1:11" ht="18.75" thickBot="1">
      <c r="A3" s="43" t="s">
        <v>2455</v>
      </c>
      <c r="B3" s="3"/>
      <c r="C3" s="3"/>
      <c r="D3" s="3"/>
      <c r="E3" s="180" t="s">
        <v>162</v>
      </c>
      <c r="F3" s="3"/>
      <c r="G3" s="49"/>
      <c r="H3" s="2003">
        <f>+'1 Summary'!G3</f>
        <v>0</v>
      </c>
      <c r="I3" s="23"/>
      <c r="J3" s="50"/>
      <c r="K3" s="51"/>
    </row>
    <row r="4" spans="1:11" ht="18">
      <c r="A4" s="43" t="s">
        <v>2456</v>
      </c>
      <c r="B4" s="3"/>
      <c r="C4" s="3"/>
      <c r="D4" s="3"/>
      <c r="E4" s="3"/>
      <c r="F4" s="47"/>
      <c r="G4" s="47"/>
      <c r="H4" s="33"/>
      <c r="I4" s="33"/>
      <c r="J4" s="52"/>
      <c r="K4" s="8"/>
    </row>
    <row r="5" spans="1:11">
      <c r="A5" s="11"/>
      <c r="B5" s="3"/>
      <c r="C5" s="3"/>
      <c r="D5" s="3"/>
      <c r="E5" s="3"/>
      <c r="F5" s="47"/>
      <c r="G5" s="47"/>
      <c r="H5" s="33"/>
      <c r="I5" s="33"/>
      <c r="J5" s="52"/>
      <c r="K5" s="53"/>
    </row>
    <row r="6" spans="1:11">
      <c r="A6" s="3"/>
      <c r="B6" s="3"/>
      <c r="C6" s="3"/>
      <c r="D6" s="3"/>
      <c r="E6" s="3"/>
      <c r="F6" s="3"/>
      <c r="G6" s="3"/>
      <c r="H6" s="3"/>
      <c r="I6" s="3"/>
      <c r="J6" s="52"/>
      <c r="K6" s="8"/>
    </row>
    <row r="7" spans="1:11" ht="15">
      <c r="A7" s="85" t="s">
        <v>2702</v>
      </c>
      <c r="B7" s="698" t="s">
        <v>2934</v>
      </c>
      <c r="C7" s="21"/>
      <c r="D7" s="21"/>
      <c r="E7" s="21"/>
      <c r="F7" s="3"/>
      <c r="G7" s="3"/>
      <c r="H7" s="3"/>
      <c r="I7" s="3"/>
      <c r="J7" s="1995">
        <f>ROUND('Sch 11A Tax Revenue'!C45,0)</f>
        <v>0</v>
      </c>
      <c r="K7" s="700" t="str">
        <f>A7</f>
        <v>11.1.1</v>
      </c>
    </row>
    <row r="8" spans="1:11" ht="9" customHeight="1">
      <c r="A8" s="85"/>
      <c r="B8" s="698"/>
      <c r="C8" s="21"/>
      <c r="D8" s="21"/>
      <c r="E8" s="22"/>
      <c r="F8" s="3"/>
      <c r="G8" s="3"/>
      <c r="H8" s="3"/>
      <c r="I8" s="3"/>
      <c r="J8" s="1996"/>
      <c r="K8" s="700"/>
    </row>
    <row r="9" spans="1:11" ht="15">
      <c r="A9" s="85" t="s">
        <v>2703</v>
      </c>
      <c r="B9" s="698" t="s">
        <v>2935</v>
      </c>
      <c r="C9" s="21"/>
      <c r="D9" s="21"/>
      <c r="E9" s="21"/>
      <c r="F9" s="3"/>
      <c r="G9" s="3"/>
      <c r="H9" s="3"/>
      <c r="I9" s="3"/>
      <c r="J9" s="1995">
        <f>ROUND('Sch 11A Tax Revenue'!D45,0)</f>
        <v>0</v>
      </c>
      <c r="K9" s="700" t="str">
        <f>A9</f>
        <v>11.1.2</v>
      </c>
    </row>
    <row r="10" spans="1:11" ht="11.25" customHeight="1">
      <c r="A10" s="85"/>
      <c r="B10" s="698"/>
      <c r="C10" s="21"/>
      <c r="D10" s="21"/>
      <c r="E10" s="3"/>
      <c r="F10" s="3"/>
      <c r="G10" s="3"/>
      <c r="H10" s="3"/>
      <c r="I10" s="21"/>
      <c r="J10" s="1996"/>
      <c r="K10" s="700"/>
    </row>
    <row r="11" spans="1:11" ht="15">
      <c r="A11" s="85" t="s">
        <v>2704</v>
      </c>
      <c r="B11" s="698" t="s">
        <v>2936</v>
      </c>
      <c r="C11" s="21"/>
      <c r="D11" s="21"/>
      <c r="E11" s="3"/>
      <c r="F11" s="3"/>
      <c r="G11" s="3"/>
      <c r="H11" s="3"/>
      <c r="I11" s="3"/>
      <c r="J11" s="1995">
        <f>ROUND('Sch 11A Tax Revenue'!E45,0)</f>
        <v>0</v>
      </c>
      <c r="K11" s="700" t="str">
        <f>A11</f>
        <v>11.1.3</v>
      </c>
    </row>
    <row r="12" spans="1:11" ht="12" customHeight="1">
      <c r="A12" s="85"/>
      <c r="B12" s="698"/>
      <c r="C12" s="21"/>
      <c r="D12" s="21"/>
      <c r="E12" s="3"/>
      <c r="F12" s="3"/>
      <c r="G12" s="3"/>
      <c r="H12" s="3"/>
      <c r="I12" s="22"/>
      <c r="J12" s="1996"/>
      <c r="K12" s="700"/>
    </row>
    <row r="13" spans="1:11" ht="15">
      <c r="A13" s="85" t="s">
        <v>2705</v>
      </c>
      <c r="B13" s="698" t="s">
        <v>2937</v>
      </c>
      <c r="C13" s="21"/>
      <c r="D13" s="21"/>
      <c r="E13" s="3"/>
      <c r="F13" s="3"/>
      <c r="G13" s="3"/>
      <c r="H13" s="3"/>
      <c r="I13" s="3"/>
      <c r="J13" s="1995">
        <f>ROUND('Sch 11A Tax Revenue'!F45,0)</f>
        <v>0</v>
      </c>
      <c r="K13" s="700" t="str">
        <f>A13</f>
        <v>11.1.4</v>
      </c>
    </row>
    <row r="14" spans="1:11" ht="7.5" customHeight="1">
      <c r="A14" s="14"/>
      <c r="B14" s="21"/>
      <c r="C14" s="21"/>
      <c r="D14" s="21"/>
      <c r="E14" s="22"/>
      <c r="F14" s="3"/>
      <c r="G14" s="3"/>
      <c r="H14" s="3"/>
      <c r="I14" s="3"/>
      <c r="J14" s="1996"/>
      <c r="K14" s="700"/>
    </row>
    <row r="15" spans="1:11" ht="15">
      <c r="A15" s="85" t="s">
        <v>2706</v>
      </c>
      <c r="B15" s="698" t="s">
        <v>2718</v>
      </c>
      <c r="C15" s="21"/>
      <c r="D15" s="21"/>
      <c r="E15" s="3"/>
      <c r="F15" s="3"/>
      <c r="G15" s="3"/>
      <c r="H15" s="3"/>
      <c r="I15" s="3"/>
      <c r="J15" s="1997">
        <v>0.38</v>
      </c>
      <c r="K15" s="700" t="str">
        <f>A15</f>
        <v>11.1.5</v>
      </c>
    </row>
    <row r="16" spans="1:11" ht="15">
      <c r="A16" s="14"/>
      <c r="B16" s="21"/>
      <c r="C16" s="21"/>
      <c r="D16" s="21"/>
      <c r="E16" s="22"/>
      <c r="F16" s="3"/>
      <c r="G16" s="3"/>
      <c r="H16" s="3"/>
      <c r="I16" s="3"/>
      <c r="J16" s="1996"/>
      <c r="K16" s="700"/>
    </row>
    <row r="17" spans="1:11" ht="15">
      <c r="A17" s="85">
        <v>11.1</v>
      </c>
      <c r="B17" s="100" t="s">
        <v>2720</v>
      </c>
      <c r="C17" s="21"/>
      <c r="D17" s="21"/>
      <c r="E17" s="21"/>
      <c r="F17" s="3"/>
      <c r="G17" s="3"/>
      <c r="H17" s="3"/>
      <c r="I17" s="3"/>
      <c r="J17" s="1998">
        <f>ROUND(SUM(J7:J13)*J15,0)</f>
        <v>0</v>
      </c>
      <c r="K17" s="700">
        <f>A17</f>
        <v>11.1</v>
      </c>
    </row>
    <row r="18" spans="1:11" ht="15">
      <c r="A18" s="14"/>
      <c r="B18" s="21"/>
      <c r="C18" s="21"/>
      <c r="D18" s="21"/>
      <c r="E18" s="21"/>
      <c r="F18" s="3"/>
      <c r="G18" s="3"/>
      <c r="H18" s="3"/>
      <c r="I18" s="3"/>
      <c r="J18" s="54"/>
      <c r="K18" s="700"/>
    </row>
    <row r="19" spans="1:11" ht="15">
      <c r="A19" s="85" t="s">
        <v>2319</v>
      </c>
      <c r="B19" s="698" t="s">
        <v>2934</v>
      </c>
      <c r="C19" s="21"/>
      <c r="D19" s="21"/>
      <c r="E19" s="21"/>
      <c r="F19" s="3"/>
      <c r="G19" s="3"/>
      <c r="H19" s="3"/>
      <c r="I19" s="3"/>
      <c r="J19" s="1999">
        <f>ROUND('Sch 11A Tax Revenue'!C45,0)</f>
        <v>0</v>
      </c>
      <c r="K19" s="700" t="str">
        <f>A19</f>
        <v>11.2.1</v>
      </c>
    </row>
    <row r="20" spans="1:11" ht="15">
      <c r="A20" s="85" t="s">
        <v>2320</v>
      </c>
      <c r="B20" s="698" t="s">
        <v>2707</v>
      </c>
      <c r="C20" s="21"/>
      <c r="D20" s="21"/>
      <c r="E20" s="22"/>
      <c r="F20" s="3"/>
      <c r="G20" s="3"/>
      <c r="H20" s="3"/>
      <c r="I20" s="3"/>
      <c r="J20" s="2169"/>
      <c r="K20" s="700" t="str">
        <f>A20</f>
        <v>11.2.2</v>
      </c>
    </row>
    <row r="21" spans="1:11" ht="15">
      <c r="A21" s="85" t="s">
        <v>2708</v>
      </c>
      <c r="B21" s="698" t="s">
        <v>2938</v>
      </c>
      <c r="C21" s="21"/>
      <c r="D21" s="21"/>
      <c r="E21" s="21"/>
      <c r="F21" s="3"/>
      <c r="G21" s="3"/>
      <c r="H21" s="3"/>
      <c r="I21" s="3"/>
      <c r="J21" s="1999">
        <f>ROUND(J19*((J20/100)+1),0)</f>
        <v>0</v>
      </c>
      <c r="K21" s="700" t="str">
        <f>A21</f>
        <v>11.2.3</v>
      </c>
    </row>
    <row r="22" spans="1:11" ht="14.25">
      <c r="A22" s="14"/>
      <c r="B22" s="698" t="s">
        <v>2709</v>
      </c>
      <c r="C22" s="21"/>
      <c r="D22" s="21"/>
      <c r="E22" s="22"/>
      <c r="F22" s="3"/>
      <c r="G22" s="3"/>
      <c r="H22" s="3"/>
      <c r="I22" s="3"/>
      <c r="J22" s="52"/>
      <c r="K22" s="8"/>
    </row>
    <row r="23" spans="1:11" ht="15">
      <c r="A23" s="85" t="s">
        <v>2710</v>
      </c>
      <c r="B23" s="698" t="s">
        <v>2935</v>
      </c>
      <c r="C23" s="21"/>
      <c r="D23" s="21"/>
      <c r="E23" s="21"/>
      <c r="F23" s="3"/>
      <c r="G23" s="3"/>
      <c r="H23" s="3"/>
      <c r="I23" s="3"/>
      <c r="J23" s="1995">
        <f>ROUND('Sch 11A Tax Revenue'!D45,0)</f>
        <v>0</v>
      </c>
      <c r="K23" s="700" t="str">
        <f>A23</f>
        <v>11.2.4</v>
      </c>
    </row>
    <row r="24" spans="1:11" ht="15">
      <c r="A24" s="85" t="s">
        <v>2711</v>
      </c>
      <c r="B24" s="698" t="s">
        <v>2715</v>
      </c>
      <c r="C24" s="21"/>
      <c r="D24" s="21"/>
      <c r="E24" s="22"/>
      <c r="F24" s="3"/>
      <c r="G24" s="3"/>
      <c r="H24" s="3"/>
      <c r="I24" s="3"/>
      <c r="J24" s="2169"/>
      <c r="K24" s="700" t="str">
        <f>A24</f>
        <v>11.2.5</v>
      </c>
    </row>
    <row r="25" spans="1:11" ht="15">
      <c r="A25" s="85" t="s">
        <v>2712</v>
      </c>
      <c r="B25" s="698" t="s">
        <v>2714</v>
      </c>
      <c r="C25" s="21"/>
      <c r="D25" s="21"/>
      <c r="E25" s="22"/>
      <c r="F25" s="3"/>
      <c r="G25" s="3"/>
      <c r="H25" s="3"/>
      <c r="I25" s="3"/>
      <c r="J25" s="2000"/>
      <c r="K25" s="700" t="str">
        <f>A25</f>
        <v>11.2.6</v>
      </c>
    </row>
    <row r="26" spans="1:11" ht="15">
      <c r="A26" s="85" t="s">
        <v>2713</v>
      </c>
      <c r="B26" s="698" t="s">
        <v>2939</v>
      </c>
      <c r="C26" s="21"/>
      <c r="D26" s="21"/>
      <c r="E26" s="21"/>
      <c r="F26" s="3"/>
      <c r="G26" s="3"/>
      <c r="H26" s="3"/>
      <c r="I26" s="3"/>
      <c r="J26" s="1999">
        <f>ROUND(J23*((J24/100)+1)-J25,0)</f>
        <v>0</v>
      </c>
      <c r="K26" s="700" t="str">
        <f>A26</f>
        <v>11.2.7</v>
      </c>
    </row>
    <row r="27" spans="1:11" ht="14.25">
      <c r="A27" s="14"/>
      <c r="B27" s="698" t="s">
        <v>2723</v>
      </c>
      <c r="C27" s="21"/>
      <c r="D27" s="21"/>
      <c r="E27" s="22"/>
      <c r="F27" s="3"/>
      <c r="G27" s="3"/>
      <c r="H27" s="3"/>
      <c r="I27" s="3"/>
      <c r="J27" s="52"/>
      <c r="K27" s="8"/>
    </row>
    <row r="28" spans="1:11" ht="6" customHeight="1">
      <c r="A28" s="14"/>
      <c r="B28" s="698"/>
      <c r="C28" s="21"/>
      <c r="D28" s="21"/>
      <c r="E28" s="22"/>
      <c r="F28" s="3"/>
      <c r="G28" s="3"/>
      <c r="H28" s="3"/>
      <c r="I28" s="3"/>
      <c r="J28" s="52"/>
      <c r="K28" s="8"/>
    </row>
    <row r="29" spans="1:11" ht="15">
      <c r="A29" s="85" t="s">
        <v>2716</v>
      </c>
      <c r="B29" s="698" t="s">
        <v>2936</v>
      </c>
      <c r="C29" s="21"/>
      <c r="D29" s="21"/>
      <c r="E29" s="3"/>
      <c r="F29" s="3"/>
      <c r="G29" s="3"/>
      <c r="H29" s="3"/>
      <c r="I29" s="3"/>
      <c r="J29" s="1995">
        <f>ROUND('Sch 11A Tax Revenue'!E45,0)</f>
        <v>0</v>
      </c>
      <c r="K29" s="700" t="str">
        <f>A29</f>
        <v>11.2.8</v>
      </c>
    </row>
    <row r="30" spans="1:11" ht="8.25" customHeight="1">
      <c r="A30" s="85"/>
      <c r="B30" s="698"/>
      <c r="C30" s="21"/>
      <c r="D30" s="21"/>
      <c r="E30" s="3"/>
      <c r="F30" s="3"/>
      <c r="G30" s="3"/>
      <c r="H30" s="3"/>
      <c r="I30" s="22"/>
      <c r="J30" s="1996"/>
      <c r="K30" s="700"/>
    </row>
    <row r="31" spans="1:11" ht="15">
      <c r="A31" s="85" t="s">
        <v>2717</v>
      </c>
      <c r="B31" s="698" t="s">
        <v>2937</v>
      </c>
      <c r="C31" s="21"/>
      <c r="D31" s="21"/>
      <c r="E31" s="3"/>
      <c r="F31" s="3"/>
      <c r="G31" s="3"/>
      <c r="H31" s="3"/>
      <c r="I31" s="3"/>
      <c r="J31" s="1995">
        <f>ROUND('Sch 11A Tax Revenue'!F45,0)</f>
        <v>0</v>
      </c>
      <c r="K31" s="700" t="str">
        <f>A31</f>
        <v>11.2.9</v>
      </c>
    </row>
    <row r="32" spans="1:11" ht="8.25" customHeight="1">
      <c r="A32" s="14"/>
      <c r="B32" s="1934" t="s">
        <v>789</v>
      </c>
      <c r="C32" s="21"/>
      <c r="D32" s="21"/>
      <c r="E32" s="21"/>
      <c r="F32" s="3"/>
      <c r="G32" s="3"/>
      <c r="H32" s="3"/>
      <c r="I32" s="3"/>
      <c r="J32" s="50"/>
      <c r="K32" s="8"/>
    </row>
    <row r="33" spans="1:11" ht="15">
      <c r="A33" s="85" t="s">
        <v>2719</v>
      </c>
      <c r="B33" s="698" t="s">
        <v>2940</v>
      </c>
      <c r="C33" s="21"/>
      <c r="D33" s="21"/>
      <c r="E33" s="3"/>
      <c r="F33" s="3"/>
      <c r="G33" s="3"/>
      <c r="H33" s="3"/>
      <c r="I33" s="3"/>
      <c r="J33" s="1997">
        <v>0.62</v>
      </c>
      <c r="K33" s="700" t="str">
        <f>A33</f>
        <v>11.2.10</v>
      </c>
    </row>
    <row r="34" spans="1:11" ht="10.5" customHeight="1">
      <c r="A34" s="85"/>
      <c r="B34" s="85"/>
      <c r="C34" s="85"/>
      <c r="D34" s="85"/>
      <c r="E34" s="85"/>
      <c r="F34" s="85"/>
      <c r="G34" s="85"/>
      <c r="H34" s="85"/>
      <c r="I34" s="85"/>
      <c r="J34" s="85"/>
      <c r="K34" s="85"/>
    </row>
    <row r="35" spans="1:11" s="792" customFormat="1" ht="15">
      <c r="A35" s="85">
        <v>11.2</v>
      </c>
      <c r="B35" s="41" t="s">
        <v>2941</v>
      </c>
      <c r="C35" s="698"/>
      <c r="D35" s="698"/>
      <c r="E35" s="698"/>
      <c r="F35" s="42"/>
      <c r="G35" s="42"/>
      <c r="H35" s="42"/>
      <c r="I35" s="42"/>
      <c r="J35" s="2001">
        <f>ROUND((J21+J26+J29+J31)*J33,0)</f>
        <v>0</v>
      </c>
      <c r="K35" s="700">
        <f>A35</f>
        <v>11.2</v>
      </c>
    </row>
    <row r="36" spans="1:11">
      <c r="A36" s="14"/>
      <c r="B36" s="21"/>
      <c r="C36" s="21"/>
      <c r="D36" s="21"/>
      <c r="E36" s="21"/>
      <c r="F36" s="3"/>
      <c r="G36" s="3"/>
      <c r="H36" s="3"/>
      <c r="I36" s="3"/>
      <c r="J36" s="50"/>
      <c r="K36" s="8"/>
    </row>
    <row r="37" spans="1:11" ht="15">
      <c r="A37" s="85">
        <v>11.3</v>
      </c>
      <c r="B37" s="698" t="s">
        <v>2699</v>
      </c>
      <c r="C37" s="21"/>
      <c r="D37" s="21"/>
      <c r="E37" s="21"/>
      <c r="F37" s="3"/>
      <c r="G37" s="3"/>
      <c r="H37" s="3"/>
      <c r="I37" s="3"/>
      <c r="J37" s="1995">
        <f>ROUND('Sch 11A Tax Revenue'!G45,0)</f>
        <v>0</v>
      </c>
      <c r="K37" s="700">
        <f>A37</f>
        <v>11.3</v>
      </c>
    </row>
    <row r="38" spans="1:11" ht="6.75" customHeight="1">
      <c r="A38" s="85"/>
      <c r="B38" s="698"/>
      <c r="C38" s="21"/>
      <c r="D38" s="21"/>
      <c r="E38" s="21"/>
      <c r="F38" s="3"/>
      <c r="G38" s="3"/>
      <c r="H38" s="3"/>
      <c r="I38" s="3"/>
      <c r="J38" s="730"/>
      <c r="K38" s="700"/>
    </row>
    <row r="39" spans="1:11" ht="15">
      <c r="A39" s="85">
        <v>11.4</v>
      </c>
      <c r="B39" s="698" t="s">
        <v>2700</v>
      </c>
      <c r="C39" s="21"/>
      <c r="D39" s="21"/>
      <c r="E39" s="21"/>
      <c r="F39" s="3"/>
      <c r="G39" s="3"/>
      <c r="H39" s="3"/>
      <c r="I39" s="3"/>
      <c r="J39" s="1995">
        <f>ROUND('Sch 11A Tax Revenue'!H45,0)</f>
        <v>0</v>
      </c>
      <c r="K39" s="700">
        <f>A39</f>
        <v>11.4</v>
      </c>
    </row>
    <row r="40" spans="1:11" ht="9.75" customHeight="1">
      <c r="A40" s="85"/>
      <c r="B40" s="698"/>
      <c r="C40" s="21"/>
      <c r="D40" s="21"/>
      <c r="E40" s="21"/>
      <c r="F40" s="3"/>
      <c r="G40" s="3"/>
      <c r="H40" s="3"/>
      <c r="I40" s="3"/>
      <c r="J40" s="730"/>
      <c r="K40" s="700"/>
    </row>
    <row r="41" spans="1:11" ht="15">
      <c r="A41" s="85">
        <v>11.5</v>
      </c>
      <c r="B41" s="698" t="s">
        <v>2701</v>
      </c>
      <c r="C41" s="21"/>
      <c r="D41" s="21"/>
      <c r="E41" s="21"/>
      <c r="F41" s="3"/>
      <c r="G41" s="3"/>
      <c r="H41" s="3"/>
      <c r="I41" s="3"/>
      <c r="J41" s="1995">
        <f>ROUND('Sch 11A Tax Revenue'!I45,0)</f>
        <v>0</v>
      </c>
      <c r="K41" s="700">
        <f>A41</f>
        <v>11.5</v>
      </c>
    </row>
    <row r="42" spans="1:11" ht="12" customHeight="1">
      <c r="A42" s="85"/>
      <c r="B42" s="698"/>
      <c r="C42" s="21"/>
      <c r="D42" s="21"/>
      <c r="E42" s="21"/>
      <c r="F42" s="3"/>
      <c r="G42" s="3"/>
      <c r="H42" s="3"/>
      <c r="I42" s="3"/>
      <c r="J42" s="730"/>
      <c r="K42" s="700"/>
    </row>
    <row r="43" spans="1:11" ht="15">
      <c r="A43" s="85">
        <v>11.6</v>
      </c>
      <c r="B43" s="100" t="s">
        <v>2722</v>
      </c>
      <c r="C43" s="21"/>
      <c r="D43" s="21"/>
      <c r="E43" s="21"/>
      <c r="F43" s="3"/>
      <c r="G43" s="3"/>
      <c r="H43" s="3"/>
      <c r="I43" s="3"/>
      <c r="J43" s="2001">
        <f>J17+J35+J37-J39-J41</f>
        <v>0</v>
      </c>
      <c r="K43" s="700">
        <f>A43</f>
        <v>11.6</v>
      </c>
    </row>
    <row r="44" spans="1:11" ht="15">
      <c r="A44" s="85"/>
      <c r="B44" s="698" t="s">
        <v>2724</v>
      </c>
      <c r="C44" s="21"/>
      <c r="D44" s="21"/>
      <c r="E44" s="21"/>
      <c r="F44" s="3"/>
      <c r="G44" s="3"/>
      <c r="H44" s="3"/>
      <c r="I44" s="3"/>
      <c r="J44" s="730"/>
      <c r="K44" s="700"/>
    </row>
    <row r="45" spans="1:11">
      <c r="A45" s="17"/>
      <c r="B45" s="101"/>
      <c r="C45" s="81"/>
      <c r="D45" s="56"/>
      <c r="E45" s="8"/>
      <c r="F45" s="3"/>
      <c r="G45" s="3"/>
      <c r="H45" s="3"/>
      <c r="I45" s="3"/>
      <c r="J45" s="52"/>
      <c r="K45" s="8"/>
    </row>
    <row r="46" spans="1:11" ht="15">
      <c r="A46" s="85" t="s">
        <v>2857</v>
      </c>
      <c r="B46" s="698" t="s">
        <v>2942</v>
      </c>
      <c r="C46" s="81"/>
      <c r="D46" s="56"/>
      <c r="E46" s="8"/>
      <c r="F46" s="3"/>
      <c r="G46" s="3"/>
      <c r="H46" s="3"/>
      <c r="I46" s="3"/>
      <c r="J46" s="1995">
        <f>J72</f>
        <v>0</v>
      </c>
      <c r="K46" s="700" t="str">
        <f>A46</f>
        <v>11.6.1</v>
      </c>
    </row>
    <row r="47" spans="1:11">
      <c r="A47" s="17"/>
      <c r="B47" s="101"/>
      <c r="C47" s="81"/>
      <c r="D47" s="56"/>
      <c r="E47" s="8"/>
      <c r="F47" s="3"/>
      <c r="G47" s="3"/>
      <c r="H47" s="3"/>
      <c r="I47" s="3"/>
      <c r="J47" s="52"/>
      <c r="K47" s="8"/>
    </row>
    <row r="48" spans="1:11" ht="15">
      <c r="A48" s="85">
        <v>11.7</v>
      </c>
      <c r="B48" s="698" t="s">
        <v>2721</v>
      </c>
      <c r="C48" s="39"/>
      <c r="D48" s="56"/>
      <c r="E48" s="8"/>
      <c r="F48" s="3"/>
      <c r="G48" s="3"/>
      <c r="H48" s="3"/>
      <c r="I48" s="3"/>
      <c r="J48" s="2000"/>
      <c r="K48" s="700">
        <f>+A48</f>
        <v>11.7</v>
      </c>
    </row>
    <row r="49" spans="1:11" ht="15">
      <c r="A49" s="85"/>
      <c r="B49" s="39"/>
      <c r="C49" s="15"/>
      <c r="D49" s="102"/>
      <c r="E49" s="8"/>
      <c r="F49" s="3"/>
      <c r="G49" s="3"/>
      <c r="H49" s="3"/>
      <c r="I49" s="3"/>
      <c r="J49" s="102"/>
      <c r="K49" s="13"/>
    </row>
    <row r="50" spans="1:11" ht="18">
      <c r="A50" s="85">
        <v>11.8</v>
      </c>
      <c r="B50" s="24" t="s">
        <v>719</v>
      </c>
      <c r="C50" s="15"/>
      <c r="D50" s="103"/>
      <c r="E50" s="8"/>
      <c r="F50" s="3"/>
      <c r="G50" s="3"/>
      <c r="H50" s="3"/>
      <c r="I50" s="3"/>
      <c r="J50" s="919">
        <f>J43-J48</f>
        <v>0</v>
      </c>
      <c r="K50" s="8">
        <f>A50</f>
        <v>11.8</v>
      </c>
    </row>
    <row r="51" spans="1:11" ht="14.25">
      <c r="A51" s="30"/>
      <c r="B51" s="84" t="s">
        <v>2725</v>
      </c>
      <c r="C51" s="3"/>
      <c r="D51" s="3"/>
      <c r="E51" s="3"/>
      <c r="F51" s="3"/>
      <c r="G51" s="3"/>
      <c r="H51" s="3"/>
      <c r="I51" s="15"/>
      <c r="J51" s="15"/>
      <c r="K51" s="15"/>
    </row>
    <row r="52" spans="1:11">
      <c r="A52" s="3"/>
      <c r="B52" s="3"/>
      <c r="C52" s="3"/>
      <c r="D52" s="3"/>
      <c r="E52" s="3"/>
      <c r="F52" s="3"/>
      <c r="G52" s="3"/>
      <c r="H52" s="3"/>
      <c r="I52" s="3"/>
      <c r="J52" s="52"/>
      <c r="K52" s="8"/>
    </row>
    <row r="53" spans="1:11" s="2173" customFormat="1" ht="18" hidden="1">
      <c r="B53" s="2174" t="s">
        <v>2859</v>
      </c>
      <c r="J53" s="2175"/>
      <c r="K53" s="2176"/>
    </row>
    <row r="54" spans="1:11" s="2173" customFormat="1" hidden="1">
      <c r="J54" s="2175"/>
      <c r="K54" s="2176"/>
    </row>
    <row r="55" spans="1:11" s="2173" customFormat="1" ht="14.25" hidden="1">
      <c r="A55" s="2177" t="s">
        <v>2845</v>
      </c>
      <c r="B55" s="2178" t="s">
        <v>2846</v>
      </c>
      <c r="J55" s="2179">
        <v>0</v>
      </c>
      <c r="K55" s="2176"/>
    </row>
    <row r="56" spans="1:11" s="2173" customFormat="1" ht="14.25" hidden="1">
      <c r="A56" s="2177"/>
      <c r="B56" s="2178"/>
      <c r="J56" s="2175"/>
      <c r="K56" s="2176"/>
    </row>
    <row r="57" spans="1:11" s="2173" customFormat="1" ht="14.25" hidden="1">
      <c r="A57" s="2177" t="s">
        <v>2847</v>
      </c>
      <c r="B57" s="2178" t="s">
        <v>2848</v>
      </c>
      <c r="J57" s="2179">
        <v>0</v>
      </c>
      <c r="K57" s="2176"/>
    </row>
    <row r="58" spans="1:11" s="2173" customFormat="1" ht="14.25" hidden="1">
      <c r="A58" s="2177"/>
      <c r="B58" s="2178"/>
      <c r="J58" s="2175"/>
      <c r="K58" s="2176"/>
    </row>
    <row r="59" spans="1:11" s="2173" customFormat="1" ht="14.25" hidden="1">
      <c r="A59" s="2177" t="s">
        <v>2849</v>
      </c>
      <c r="B59" s="2178" t="s">
        <v>2850</v>
      </c>
      <c r="J59" s="2179">
        <f>+J55-J57</f>
        <v>0</v>
      </c>
      <c r="K59" s="2176"/>
    </row>
    <row r="60" spans="1:11" s="2173" customFormat="1" ht="14.25" hidden="1">
      <c r="A60" s="2177"/>
      <c r="B60" s="2178" t="s">
        <v>2851</v>
      </c>
      <c r="J60" s="2175"/>
      <c r="K60" s="2176"/>
    </row>
    <row r="61" spans="1:11" s="2173" customFormat="1" ht="14.25" hidden="1">
      <c r="A61" s="2177" t="s">
        <v>2852</v>
      </c>
      <c r="B61" s="2178" t="s">
        <v>2858</v>
      </c>
      <c r="J61" s="2180">
        <f>ROUND(J59*62%,0)</f>
        <v>0</v>
      </c>
      <c r="K61" s="2176"/>
    </row>
    <row r="62" spans="1:11" s="2173" customFormat="1" ht="14.25" hidden="1">
      <c r="A62" s="2177" t="s">
        <v>789</v>
      </c>
      <c r="B62" s="2178" t="s">
        <v>2853</v>
      </c>
      <c r="E62" s="2176"/>
      <c r="J62" s="2175"/>
    </row>
    <row r="63" spans="1:11" ht="14.25">
      <c r="A63" s="1"/>
      <c r="B63" s="698"/>
      <c r="C63" s="3"/>
      <c r="D63" s="3"/>
      <c r="E63" s="3"/>
      <c r="F63" s="3"/>
      <c r="G63" s="3"/>
      <c r="H63" s="3"/>
      <c r="I63" s="3"/>
      <c r="J63" s="3"/>
      <c r="K63" s="3"/>
    </row>
    <row r="64" spans="1:11" ht="18">
      <c r="A64" s="2343"/>
      <c r="B64" s="2344" t="s">
        <v>3123</v>
      </c>
      <c r="C64" s="2343"/>
      <c r="D64" s="2343"/>
      <c r="E64" s="2343"/>
      <c r="F64" s="2343"/>
      <c r="G64" s="2343"/>
      <c r="H64" s="2343"/>
      <c r="I64" s="2343"/>
      <c r="J64" s="2345"/>
      <c r="K64" s="2346"/>
    </row>
    <row r="65" spans="1:11">
      <c r="A65" s="2343"/>
      <c r="B65" s="2343"/>
      <c r="C65" s="2343"/>
      <c r="D65" s="2343"/>
      <c r="E65" s="2343"/>
      <c r="F65" s="2343"/>
      <c r="G65" s="2343"/>
      <c r="H65" s="2343"/>
      <c r="I65" s="2343"/>
      <c r="J65" s="2345"/>
      <c r="K65" s="2346"/>
    </row>
    <row r="66" spans="1:11">
      <c r="A66" s="2347" t="s">
        <v>2845</v>
      </c>
      <c r="B66" s="2260" t="s">
        <v>2846</v>
      </c>
      <c r="C66" s="2343"/>
      <c r="D66" s="2343"/>
      <c r="E66" s="2343"/>
      <c r="F66" s="2343"/>
      <c r="G66" s="2343"/>
      <c r="H66" s="2343"/>
      <c r="I66" s="2343"/>
      <c r="J66" s="2373">
        <v>0</v>
      </c>
      <c r="K66" s="93" t="s">
        <v>2845</v>
      </c>
    </row>
    <row r="67" spans="1:11">
      <c r="A67" s="2347"/>
      <c r="B67" s="2343"/>
      <c r="C67" s="2343"/>
      <c r="D67" s="2343"/>
      <c r="E67" s="2343"/>
      <c r="F67" s="2343"/>
      <c r="G67" s="2343"/>
      <c r="H67" s="2343"/>
      <c r="I67" s="2343"/>
      <c r="J67" s="2345"/>
      <c r="K67" s="2346"/>
    </row>
    <row r="68" spans="1:11">
      <c r="A68" s="2347" t="s">
        <v>2847</v>
      </c>
      <c r="B68" s="2343" t="s">
        <v>2848</v>
      </c>
      <c r="C68" s="2343"/>
      <c r="D68" s="2343"/>
      <c r="E68" s="2343"/>
      <c r="F68" s="2343"/>
      <c r="G68" s="2343"/>
      <c r="H68" s="2343"/>
      <c r="I68" s="2343"/>
      <c r="J68" s="2348">
        <v>0</v>
      </c>
      <c r="K68" s="93" t="s">
        <v>2847</v>
      </c>
    </row>
    <row r="69" spans="1:11">
      <c r="A69" s="2347"/>
      <c r="B69" s="2343"/>
      <c r="C69" s="2343"/>
      <c r="D69" s="2343"/>
      <c r="E69" s="2343"/>
      <c r="F69" s="2343"/>
      <c r="G69" s="2343"/>
      <c r="H69" s="2343"/>
      <c r="I69" s="2343"/>
      <c r="J69" s="2345"/>
      <c r="K69" s="2346"/>
    </row>
    <row r="70" spans="1:11">
      <c r="A70" s="2347" t="s">
        <v>2849</v>
      </c>
      <c r="B70" s="2343" t="s">
        <v>2850</v>
      </c>
      <c r="C70" s="2343"/>
      <c r="D70" s="2343"/>
      <c r="E70" s="2343"/>
      <c r="F70" s="2343"/>
      <c r="G70" s="2343"/>
      <c r="H70" s="2343"/>
      <c r="I70" s="2343"/>
      <c r="J70" s="2351">
        <f>+J66-J68</f>
        <v>0</v>
      </c>
      <c r="K70" s="93" t="s">
        <v>2849</v>
      </c>
    </row>
    <row r="71" spans="1:11">
      <c r="A71" s="2347"/>
      <c r="B71" s="2343" t="s">
        <v>2851</v>
      </c>
      <c r="C71" s="2343"/>
      <c r="D71" s="2343"/>
      <c r="E71" s="2343"/>
      <c r="F71" s="2343"/>
      <c r="G71" s="2343"/>
      <c r="H71" s="2343"/>
      <c r="I71" s="2343"/>
      <c r="J71" s="2345"/>
      <c r="K71" s="2346"/>
    </row>
    <row r="72" spans="1:11">
      <c r="A72" s="2347" t="s">
        <v>2852</v>
      </c>
      <c r="B72" s="2260" t="s">
        <v>3124</v>
      </c>
      <c r="C72" s="2343"/>
      <c r="D72" s="2343"/>
      <c r="E72" s="2343"/>
      <c r="F72" s="2343"/>
      <c r="G72" s="2343"/>
      <c r="H72" s="2343"/>
      <c r="I72" s="2343"/>
      <c r="J72" s="2350">
        <f>ROUND(J70*62%,0)</f>
        <v>0</v>
      </c>
      <c r="K72" s="93" t="s">
        <v>2852</v>
      </c>
    </row>
    <row r="73" spans="1:11">
      <c r="A73" s="2347" t="s">
        <v>789</v>
      </c>
      <c r="B73" s="2343" t="s">
        <v>2853</v>
      </c>
      <c r="C73" s="2343"/>
      <c r="D73" s="2343"/>
      <c r="E73" s="2346"/>
      <c r="F73" s="2343"/>
      <c r="G73" s="2343"/>
      <c r="H73" s="2343"/>
      <c r="I73" s="2343"/>
      <c r="J73" s="2345"/>
      <c r="K73" s="2343"/>
    </row>
    <row r="74" spans="1:11">
      <c r="A74" s="2343"/>
      <c r="B74" s="2343"/>
      <c r="C74" s="2343"/>
      <c r="D74" s="2343"/>
      <c r="E74" s="2343"/>
      <c r="F74" s="2343"/>
      <c r="G74" s="2343"/>
      <c r="H74" s="2343"/>
      <c r="I74" s="2343"/>
      <c r="J74" s="2343"/>
      <c r="K74" s="2343"/>
    </row>
    <row r="75" spans="1:11">
      <c r="A75" s="2349" t="s">
        <v>2854</v>
      </c>
      <c r="B75" s="2260" t="s">
        <v>2855</v>
      </c>
      <c r="C75" s="2343"/>
      <c r="D75" s="2343"/>
      <c r="E75" s="2343"/>
      <c r="F75" s="2343"/>
      <c r="G75" s="2343"/>
      <c r="H75" s="2343"/>
      <c r="I75" s="2343"/>
      <c r="J75" s="2343"/>
      <c r="K75" s="2343"/>
    </row>
    <row r="76" spans="1:11">
      <c r="A76" s="2349" t="s">
        <v>2856</v>
      </c>
      <c r="B76" s="2260" t="s">
        <v>2943</v>
      </c>
      <c r="C76" s="2343"/>
      <c r="D76" s="2343"/>
      <c r="E76" s="2343"/>
      <c r="F76" s="2343"/>
      <c r="G76" s="2343"/>
      <c r="H76" s="2343"/>
      <c r="I76" s="2343"/>
      <c r="J76" s="2343"/>
      <c r="K76" s="2343"/>
    </row>
    <row r="77" spans="1:11">
      <c r="A77" s="3"/>
      <c r="B77" s="3"/>
      <c r="C77" s="3"/>
      <c r="D77" s="3"/>
      <c r="E77" s="3"/>
      <c r="F77" s="3"/>
      <c r="G77" s="3"/>
      <c r="H77" s="3"/>
      <c r="I77" s="3"/>
      <c r="J77" s="3"/>
      <c r="K77" s="3"/>
    </row>
    <row r="78" spans="1:11">
      <c r="A78" s="3"/>
      <c r="B78" s="3"/>
      <c r="C78" s="3"/>
      <c r="D78" s="3"/>
      <c r="E78" s="3"/>
      <c r="F78" s="3"/>
      <c r="G78" s="3"/>
      <c r="H78" s="3"/>
      <c r="I78" s="3"/>
      <c r="J78" s="3"/>
      <c r="K78" s="3"/>
    </row>
    <row r="79" spans="1:11" hidden="1"/>
    <row r="80" spans="1:11" hidden="1"/>
    <row r="81" hidden="1"/>
    <row r="82" hidden="1"/>
    <row r="83" hidden="1"/>
    <row r="84" hidden="1"/>
    <row r="85" hidden="1"/>
    <row r="86" hidden="1"/>
    <row r="87" hidden="1"/>
  </sheetData>
  <sheetProtection password="C7B7" sheet="1" objects="1" scenarios="1"/>
  <protectedRanges>
    <protectedRange sqref="J48 J20 J24:J25" name="Range2"/>
    <protectedRange sqref="J55" name="Range4_1"/>
    <protectedRange sqref="J69" name="Range2_1"/>
  </protectedRanges>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34"/>
  <sheetViews>
    <sheetView workbookViewId="0">
      <selection activeCell="B6" sqref="B6"/>
    </sheetView>
  </sheetViews>
  <sheetFormatPr defaultRowHeight="12.75"/>
  <cols>
    <col min="1" max="1" width="5.7109375" customWidth="1"/>
    <col min="2" max="8" width="14.42578125" customWidth="1"/>
    <col min="9" max="9" width="16.28515625" customWidth="1"/>
    <col min="10" max="10" width="5.7109375" customWidth="1"/>
  </cols>
  <sheetData>
    <row r="1" spans="1:29" ht="13.5" thickBot="1">
      <c r="A1" s="3"/>
      <c r="B1" s="3"/>
      <c r="C1" s="3"/>
      <c r="D1" s="3"/>
      <c r="E1" s="3"/>
      <c r="F1" s="3"/>
      <c r="G1" s="3"/>
      <c r="H1" s="3"/>
      <c r="I1" s="3"/>
      <c r="J1" s="3"/>
      <c r="K1" s="1783"/>
      <c r="L1" s="1783"/>
      <c r="M1" s="1783"/>
      <c r="N1" s="1783"/>
      <c r="O1" s="1783"/>
      <c r="P1" s="1783"/>
      <c r="Q1" s="1783"/>
      <c r="R1" s="1783"/>
      <c r="S1" s="1783"/>
      <c r="T1" s="1783"/>
      <c r="U1" s="1783"/>
      <c r="V1" s="1783"/>
      <c r="W1" s="1783"/>
      <c r="X1" s="1783"/>
      <c r="Y1" s="1783"/>
      <c r="Z1" s="1783"/>
      <c r="AA1" s="1783"/>
      <c r="AB1" s="1783"/>
      <c r="AC1" s="1783"/>
    </row>
    <row r="2" spans="1:29" ht="13.5" thickBot="1">
      <c r="A2" s="3"/>
      <c r="B2" s="17" t="s">
        <v>1867</v>
      </c>
      <c r="C2" s="1"/>
      <c r="D2" s="3"/>
      <c r="E2" s="3"/>
      <c r="F2" s="149" t="s">
        <v>163</v>
      </c>
      <c r="G2" s="3"/>
      <c r="H2" s="1855" t="str">
        <f>'[4]1 Summary'!G2</f>
        <v/>
      </c>
      <c r="I2" s="1803"/>
      <c r="J2" s="15"/>
      <c r="K2" s="1783"/>
      <c r="L2" s="1783"/>
      <c r="M2" s="1783"/>
      <c r="N2" s="1783"/>
      <c r="O2" s="1783"/>
      <c r="P2" s="1783"/>
      <c r="Q2" s="1783"/>
      <c r="R2" s="1783"/>
      <c r="S2" s="1783"/>
      <c r="T2" s="1783"/>
      <c r="U2" s="1783"/>
      <c r="V2" s="1783"/>
      <c r="W2" s="1783"/>
      <c r="X2" s="1783"/>
      <c r="Y2" s="1783"/>
      <c r="Z2" s="1783"/>
      <c r="AA2" s="1783"/>
      <c r="AB2" s="1783"/>
      <c r="AC2" s="1783"/>
    </row>
    <row r="3" spans="1:29" ht="13.5" thickBot="1">
      <c r="A3" s="3"/>
      <c r="B3" s="17"/>
      <c r="C3" s="1"/>
      <c r="D3" s="3"/>
      <c r="E3" s="3"/>
      <c r="F3" s="149" t="s">
        <v>162</v>
      </c>
      <c r="G3" s="3"/>
      <c r="H3" s="1805">
        <f>'[4]1 Summary'!G3</f>
        <v>0</v>
      </c>
      <c r="I3" s="3"/>
      <c r="J3" s="3"/>
      <c r="K3" s="1783"/>
      <c r="L3" s="1783"/>
      <c r="M3" s="1783"/>
      <c r="N3" s="1783"/>
      <c r="O3" s="1783"/>
      <c r="P3" s="1783"/>
      <c r="Q3" s="1783"/>
      <c r="R3" s="1783"/>
      <c r="S3" s="1783"/>
      <c r="T3" s="1783"/>
      <c r="U3" s="1783"/>
      <c r="V3" s="1783"/>
      <c r="W3" s="1783"/>
      <c r="X3" s="1783"/>
      <c r="Y3" s="1783"/>
      <c r="Z3" s="1783"/>
      <c r="AA3" s="1783"/>
      <c r="AB3" s="1783"/>
      <c r="AC3" s="1783"/>
    </row>
    <row r="4" spans="1:29" ht="18">
      <c r="A4" s="3"/>
      <c r="B4" s="6"/>
      <c r="C4" s="6"/>
      <c r="D4" s="3"/>
      <c r="E4" s="3"/>
      <c r="F4" s="3"/>
      <c r="G4" s="3"/>
      <c r="H4" s="3"/>
      <c r="I4" s="3"/>
      <c r="J4" s="3"/>
      <c r="K4" s="1783"/>
      <c r="L4" s="1783"/>
      <c r="M4" s="1783"/>
      <c r="N4" s="1783"/>
      <c r="O4" s="1783"/>
      <c r="P4" s="1783"/>
      <c r="Q4" s="1783"/>
      <c r="R4" s="1783"/>
      <c r="S4" s="1783"/>
      <c r="T4" s="1783"/>
      <c r="U4" s="1783"/>
      <c r="V4" s="1783"/>
      <c r="W4" s="1783"/>
      <c r="X4" s="1783"/>
      <c r="Y4" s="1783"/>
      <c r="Z4" s="1783"/>
      <c r="AA4" s="1783"/>
      <c r="AB4" s="1783"/>
      <c r="AC4" s="1783"/>
    </row>
    <row r="5" spans="1:29" ht="18">
      <c r="A5" s="3"/>
      <c r="B5" s="6" t="s">
        <v>3057</v>
      </c>
      <c r="C5" s="6"/>
      <c r="D5" s="3"/>
      <c r="E5" s="3"/>
      <c r="F5" s="3"/>
      <c r="G5" s="1856"/>
      <c r="H5" s="3"/>
      <c r="I5" s="1857"/>
      <c r="J5" s="3"/>
      <c r="K5" s="1783"/>
      <c r="L5" s="1783"/>
      <c r="M5" s="1783"/>
      <c r="N5" s="1783"/>
      <c r="O5" s="1783"/>
      <c r="P5" s="1783"/>
      <c r="Q5" s="1783"/>
      <c r="R5" s="1783"/>
      <c r="S5" s="1783"/>
      <c r="T5" s="1783"/>
      <c r="U5" s="1783"/>
      <c r="V5" s="1783"/>
      <c r="W5" s="1783"/>
      <c r="X5" s="1783"/>
      <c r="Y5" s="1783"/>
      <c r="Z5" s="1783"/>
      <c r="AA5" s="1783"/>
      <c r="AB5" s="1783"/>
      <c r="AC5" s="1783"/>
    </row>
    <row r="6" spans="1:29">
      <c r="A6" s="3"/>
      <c r="B6" s="1858" t="s">
        <v>1198</v>
      </c>
      <c r="C6" s="1"/>
      <c r="D6" s="3"/>
      <c r="E6" s="3"/>
      <c r="F6" s="3"/>
      <c r="G6" s="1856"/>
      <c r="H6" s="3"/>
      <c r="I6" s="1857"/>
      <c r="J6" s="3"/>
      <c r="K6" s="1783"/>
      <c r="L6" s="1783"/>
      <c r="M6" s="1783"/>
      <c r="N6" s="1783"/>
      <c r="O6" s="1783"/>
      <c r="P6" s="1783"/>
      <c r="Q6" s="1783"/>
      <c r="R6" s="1783"/>
      <c r="S6" s="1783"/>
      <c r="T6" s="1783"/>
      <c r="U6" s="1783"/>
      <c r="V6" s="1783"/>
      <c r="W6" s="1783"/>
      <c r="X6" s="1783"/>
      <c r="Y6" s="1783"/>
      <c r="Z6" s="1783"/>
      <c r="AA6" s="1783"/>
      <c r="AB6" s="1783"/>
      <c r="AC6" s="1783"/>
    </row>
    <row r="7" spans="1:29">
      <c r="A7" s="3"/>
      <c r="B7" s="1859" t="s">
        <v>314</v>
      </c>
      <c r="C7" s="22"/>
      <c r="D7" s="3"/>
      <c r="E7" s="3"/>
      <c r="F7" s="3"/>
      <c r="G7" s="1856"/>
      <c r="H7" s="3"/>
      <c r="I7" s="1857"/>
      <c r="J7" s="3"/>
      <c r="K7" s="1783"/>
      <c r="L7" s="1783"/>
      <c r="M7" s="1783"/>
      <c r="N7" s="1783"/>
      <c r="O7" s="1783"/>
      <c r="P7" s="1783"/>
      <c r="Q7" s="1783"/>
      <c r="R7" s="1783"/>
      <c r="S7" s="1783"/>
      <c r="T7" s="1783"/>
      <c r="U7" s="1783"/>
      <c r="V7" s="1783"/>
      <c r="W7" s="1783"/>
      <c r="X7" s="1783"/>
      <c r="Y7" s="1783"/>
      <c r="Z7" s="1783"/>
      <c r="AA7" s="1783"/>
      <c r="AB7" s="1783"/>
      <c r="AC7" s="1783"/>
    </row>
    <row r="8" spans="1:29">
      <c r="A8" s="3"/>
      <c r="B8" s="1859" t="s">
        <v>315</v>
      </c>
      <c r="C8" s="22"/>
      <c r="D8" s="3"/>
      <c r="E8" s="3"/>
      <c r="F8" s="3"/>
      <c r="G8" s="1856"/>
      <c r="H8" s="3"/>
      <c r="I8" s="1857"/>
      <c r="J8" s="3"/>
      <c r="K8" s="1783"/>
      <c r="L8" s="1783"/>
      <c r="M8" s="1783"/>
      <c r="N8" s="1783"/>
      <c r="O8" s="1783"/>
      <c r="P8" s="1783"/>
      <c r="Q8" s="1783"/>
      <c r="R8" s="1783"/>
      <c r="S8" s="1783"/>
      <c r="T8" s="1783"/>
      <c r="U8" s="1783"/>
      <c r="V8" s="1783"/>
      <c r="W8" s="1783"/>
      <c r="X8" s="1783"/>
      <c r="Y8" s="1783"/>
      <c r="Z8" s="1783"/>
      <c r="AA8" s="1783"/>
      <c r="AB8" s="1783"/>
      <c r="AC8" s="1783"/>
    </row>
    <row r="9" spans="1:29">
      <c r="A9" s="3"/>
      <c r="B9" s="1859" t="s">
        <v>914</v>
      </c>
      <c r="C9" s="22"/>
      <c r="D9" s="3"/>
      <c r="E9" s="3"/>
      <c r="F9" s="3"/>
      <c r="G9" s="1856"/>
      <c r="H9" s="3"/>
      <c r="I9" s="1857"/>
      <c r="J9" s="3"/>
      <c r="K9" s="1783"/>
      <c r="L9" s="1783"/>
      <c r="M9" s="1783"/>
      <c r="N9" s="1783"/>
      <c r="O9" s="1783"/>
      <c r="P9" s="1783"/>
      <c r="Q9" s="1783"/>
      <c r="R9" s="1783"/>
      <c r="S9" s="1783"/>
      <c r="T9" s="1783"/>
      <c r="U9" s="1783"/>
      <c r="V9" s="1783"/>
      <c r="W9" s="1783"/>
      <c r="X9" s="1783"/>
      <c r="Y9" s="1783"/>
      <c r="Z9" s="1783"/>
      <c r="AA9" s="1783"/>
      <c r="AB9" s="1783"/>
      <c r="AC9" s="1783"/>
    </row>
    <row r="10" spans="1:29">
      <c r="A10" s="3"/>
      <c r="B10" s="1859" t="s">
        <v>2660</v>
      </c>
      <c r="C10" s="22"/>
      <c r="D10" s="3"/>
      <c r="E10" s="3"/>
      <c r="F10" s="3"/>
      <c r="G10" s="1856"/>
      <c r="H10" s="3"/>
      <c r="I10" s="1857"/>
      <c r="J10" s="3"/>
      <c r="K10" s="1783"/>
      <c r="L10" s="1783"/>
      <c r="M10" s="1783"/>
      <c r="N10" s="1783"/>
      <c r="O10" s="1783"/>
      <c r="P10" s="1783"/>
      <c r="Q10" s="1783"/>
      <c r="R10" s="1783"/>
      <c r="S10" s="1783"/>
      <c r="T10" s="1783"/>
      <c r="U10" s="1783"/>
      <c r="V10" s="1783"/>
      <c r="W10" s="1783"/>
      <c r="X10" s="1783"/>
      <c r="Y10" s="1783"/>
      <c r="Z10" s="1783"/>
      <c r="AA10" s="1783"/>
      <c r="AB10" s="1783"/>
      <c r="AC10" s="1783"/>
    </row>
    <row r="11" spans="1:29">
      <c r="A11" s="3"/>
      <c r="B11" s="1860" t="s">
        <v>2661</v>
      </c>
      <c r="C11" s="39"/>
      <c r="D11" s="3"/>
      <c r="E11" s="1861"/>
      <c r="F11" s="3"/>
      <c r="G11" s="1856"/>
      <c r="H11" s="3"/>
      <c r="I11" s="1857"/>
      <c r="J11" s="3"/>
      <c r="K11" s="1783"/>
      <c r="L11" s="1783"/>
      <c r="M11" s="1783"/>
      <c r="N11" s="1783"/>
      <c r="O11" s="1783"/>
      <c r="P11" s="1783"/>
      <c r="Q11" s="1783"/>
      <c r="R11" s="1783"/>
      <c r="S11" s="1783"/>
      <c r="T11" s="1783"/>
      <c r="U11" s="1783"/>
      <c r="V11" s="1783"/>
      <c r="W11" s="1783"/>
      <c r="X11" s="1783"/>
      <c r="Y11" s="1783"/>
      <c r="Z11" s="1783"/>
      <c r="AA11" s="1783"/>
      <c r="AB11" s="1783"/>
      <c r="AC11" s="1783"/>
    </row>
    <row r="12" spans="1:29">
      <c r="A12" s="3"/>
      <c r="B12" s="3"/>
      <c r="C12" s="1"/>
      <c r="D12" s="3"/>
      <c r="E12" s="3"/>
      <c r="F12" s="3"/>
      <c r="G12" s="1856"/>
      <c r="H12" s="3"/>
      <c r="I12" s="1857"/>
      <c r="J12" s="3"/>
      <c r="K12" s="1783"/>
      <c r="L12" s="1783"/>
      <c r="M12" s="1783"/>
      <c r="N12" s="1783"/>
      <c r="O12" s="1783"/>
      <c r="P12" s="1783"/>
      <c r="Q12" s="1783"/>
      <c r="R12" s="1783"/>
      <c r="S12" s="1783"/>
      <c r="T12" s="1783"/>
      <c r="U12" s="1783"/>
      <c r="V12" s="1783"/>
      <c r="W12" s="1783"/>
      <c r="X12" s="1783"/>
      <c r="Y12" s="1783"/>
      <c r="Z12" s="1783"/>
      <c r="AA12" s="1783"/>
      <c r="AB12" s="1783"/>
      <c r="AC12" s="1783"/>
    </row>
    <row r="13" spans="1:29">
      <c r="A13" s="3"/>
      <c r="B13" s="3"/>
      <c r="C13" s="3"/>
      <c r="D13" s="1862"/>
      <c r="E13" s="1863">
        <f>SUM(E18:E71)</f>
        <v>0</v>
      </c>
      <c r="F13" s="1863">
        <f>SUM(F18:F71)</f>
        <v>0</v>
      </c>
      <c r="G13" s="1863">
        <f>SUM(G18:G71)</f>
        <v>0</v>
      </c>
      <c r="H13" s="1863">
        <f>SUM(H18:H71)</f>
        <v>0</v>
      </c>
      <c r="I13" s="1863">
        <f>SUM(I18:I71)</f>
        <v>0</v>
      </c>
      <c r="J13" s="3"/>
      <c r="K13" s="1783"/>
      <c r="L13" s="1783"/>
      <c r="M13" s="1783"/>
      <c r="N13" s="1783"/>
      <c r="O13" s="1783"/>
      <c r="P13" s="1783"/>
      <c r="Q13" s="1783"/>
      <c r="R13" s="1783"/>
      <c r="S13" s="1783"/>
      <c r="T13" s="1783"/>
      <c r="U13" s="1783"/>
      <c r="V13" s="1783"/>
      <c r="W13" s="1783"/>
      <c r="X13" s="1783"/>
      <c r="Y13" s="1783"/>
      <c r="Z13" s="1783"/>
      <c r="AA13" s="1783"/>
      <c r="AB13" s="1783"/>
      <c r="AC13" s="1783"/>
    </row>
    <row r="14" spans="1:29">
      <c r="A14" s="3"/>
      <c r="B14" s="3"/>
      <c r="C14" s="21"/>
      <c r="D14" s="21"/>
      <c r="E14" s="61">
        <v>350</v>
      </c>
      <c r="F14" s="61">
        <v>351</v>
      </c>
      <c r="G14" s="61">
        <v>352</v>
      </c>
      <c r="H14" s="61">
        <v>353</v>
      </c>
      <c r="I14" s="61">
        <v>354</v>
      </c>
      <c r="J14" s="3"/>
      <c r="K14" s="1783"/>
      <c r="L14" s="1783"/>
      <c r="M14" s="1783"/>
      <c r="N14" s="1783"/>
      <c r="O14" s="1783"/>
      <c r="P14" s="1783"/>
      <c r="Q14" s="1783"/>
      <c r="R14" s="1783"/>
      <c r="S14" s="1783"/>
      <c r="T14" s="1783"/>
      <c r="U14" s="1783"/>
      <c r="V14" s="1783"/>
      <c r="W14" s="1783"/>
      <c r="X14" s="1783"/>
      <c r="Y14" s="1783"/>
      <c r="Z14" s="1783"/>
      <c r="AA14" s="1783"/>
      <c r="AB14" s="1783"/>
      <c r="AC14" s="1783"/>
    </row>
    <row r="15" spans="1:29">
      <c r="A15" s="3"/>
      <c r="B15" s="3"/>
      <c r="C15" s="1864" t="s">
        <v>1286</v>
      </c>
      <c r="D15" s="1864" t="s">
        <v>1287</v>
      </c>
      <c r="E15" s="1864" t="s">
        <v>1288</v>
      </c>
      <c r="F15" s="1864" t="s">
        <v>842</v>
      </c>
      <c r="G15" s="1864" t="s">
        <v>843</v>
      </c>
      <c r="H15" s="1864" t="s">
        <v>844</v>
      </c>
      <c r="I15" s="1864" t="s">
        <v>2122</v>
      </c>
      <c r="J15" s="3"/>
      <c r="K15" s="1783"/>
      <c r="L15" s="1783"/>
      <c r="M15" s="1783"/>
      <c r="N15" s="1783"/>
      <c r="O15" s="1783"/>
      <c r="P15" s="1783"/>
      <c r="Q15" s="1783"/>
      <c r="R15" s="1783"/>
      <c r="S15" s="1783"/>
      <c r="T15" s="1783"/>
      <c r="U15" s="1783"/>
      <c r="V15" s="1783"/>
      <c r="W15" s="1783"/>
      <c r="X15" s="1783"/>
      <c r="Y15" s="1783"/>
      <c r="Z15" s="1783"/>
      <c r="AA15" s="1783"/>
      <c r="AB15" s="1783"/>
      <c r="AC15" s="1783"/>
    </row>
    <row r="16" spans="1:29">
      <c r="A16" s="3"/>
      <c r="B16" s="3"/>
      <c r="C16" s="1864"/>
      <c r="D16" s="1864"/>
      <c r="E16" s="1865"/>
      <c r="F16" s="1865"/>
      <c r="G16" s="1865"/>
      <c r="H16" s="1865"/>
      <c r="I16" s="1865"/>
      <c r="J16" s="3"/>
      <c r="K16" s="1783"/>
      <c r="L16" s="1783"/>
      <c r="M16" s="1783"/>
      <c r="N16" s="1783"/>
      <c r="O16" s="1783"/>
      <c r="P16" s="1783"/>
      <c r="Q16" s="1783"/>
      <c r="R16" s="1783"/>
      <c r="S16" s="1783"/>
      <c r="T16" s="1783"/>
      <c r="U16" s="1783"/>
      <c r="V16" s="1783"/>
      <c r="W16" s="1783"/>
      <c r="X16" s="1783"/>
      <c r="Y16" s="1783"/>
      <c r="Z16" s="1783"/>
      <c r="AA16" s="1783"/>
      <c r="AB16" s="1783"/>
      <c r="AC16" s="1783"/>
    </row>
    <row r="17" spans="1:29" ht="51">
      <c r="A17" s="3"/>
      <c r="B17" s="1866" t="s">
        <v>2662</v>
      </c>
      <c r="C17" s="171" t="s">
        <v>2663</v>
      </c>
      <c r="D17" s="1867" t="s">
        <v>2664</v>
      </c>
      <c r="E17" s="38" t="s">
        <v>2665</v>
      </c>
      <c r="F17" s="38" t="s">
        <v>2666</v>
      </c>
      <c r="G17" s="38" t="s">
        <v>2667</v>
      </c>
      <c r="H17" s="38" t="s">
        <v>608</v>
      </c>
      <c r="I17" s="38" t="s">
        <v>2668</v>
      </c>
      <c r="J17" s="3"/>
      <c r="K17" s="1783"/>
      <c r="L17" s="1783"/>
      <c r="M17" s="1783"/>
      <c r="N17" s="1783"/>
      <c r="O17" s="1783"/>
      <c r="P17" s="1783"/>
      <c r="Q17" s="1783"/>
      <c r="R17" s="1783"/>
      <c r="S17" s="1783"/>
      <c r="T17" s="1783"/>
      <c r="U17" s="1783"/>
      <c r="V17" s="1783"/>
      <c r="W17" s="1783"/>
      <c r="X17" s="1783"/>
      <c r="Y17" s="1783"/>
      <c r="Z17" s="1783"/>
      <c r="AA17" s="1783"/>
      <c r="AB17" s="1783"/>
      <c r="AC17" s="1783"/>
    </row>
    <row r="18" spans="1:29">
      <c r="A18" s="3"/>
      <c r="B18" s="1866"/>
      <c r="C18" s="1868"/>
      <c r="D18" s="1866"/>
      <c r="E18" s="1863"/>
      <c r="F18" s="1863"/>
      <c r="G18" s="1863"/>
      <c r="H18" s="1863"/>
      <c r="I18" s="1863"/>
      <c r="J18" s="3"/>
      <c r="K18" s="1783"/>
      <c r="L18" s="1783"/>
      <c r="M18" s="1783"/>
      <c r="N18" s="1783"/>
      <c r="O18" s="1783"/>
      <c r="P18" s="1783"/>
      <c r="Q18" s="1783"/>
      <c r="R18" s="1783"/>
      <c r="S18" s="1783"/>
      <c r="T18" s="1783"/>
      <c r="U18" s="1783"/>
      <c r="V18" s="1783"/>
      <c r="W18" s="1783"/>
      <c r="X18" s="1783"/>
      <c r="Y18" s="1783"/>
      <c r="Z18" s="1783"/>
      <c r="AA18" s="1783"/>
      <c r="AB18" s="1783"/>
      <c r="AC18" s="1783"/>
    </row>
    <row r="19" spans="1:29">
      <c r="A19" s="3"/>
      <c r="B19" s="1869"/>
      <c r="C19" s="1870"/>
      <c r="D19" s="1871"/>
      <c r="E19" s="1872"/>
      <c r="F19" s="1872"/>
      <c r="G19" s="1872"/>
      <c r="H19" s="1872"/>
      <c r="I19" s="1863">
        <f t="shared" ref="I19:I71" si="0">SUM(E19:H19)</f>
        <v>0</v>
      </c>
      <c r="J19" s="3"/>
      <c r="K19" s="1783"/>
      <c r="L19" s="1783"/>
      <c r="M19" s="1783"/>
      <c r="N19" s="1783"/>
      <c r="O19" s="1783"/>
      <c r="P19" s="1783"/>
      <c r="Q19" s="1783"/>
      <c r="R19" s="1783"/>
      <c r="S19" s="1783"/>
      <c r="T19" s="1783"/>
      <c r="U19" s="1783"/>
      <c r="V19" s="1783"/>
      <c r="W19" s="1783"/>
      <c r="X19" s="1783"/>
      <c r="Y19" s="1783"/>
      <c r="Z19" s="1783"/>
      <c r="AA19" s="1783"/>
      <c r="AB19" s="1783"/>
      <c r="AC19" s="1783"/>
    </row>
    <row r="20" spans="1:29">
      <c r="A20" s="3"/>
      <c r="B20" s="1869"/>
      <c r="C20" s="1870"/>
      <c r="D20" s="1873"/>
      <c r="E20" s="1872"/>
      <c r="F20" s="1872"/>
      <c r="G20" s="1872"/>
      <c r="H20" s="1874"/>
      <c r="I20" s="1863">
        <f t="shared" si="0"/>
        <v>0</v>
      </c>
      <c r="J20" s="3"/>
      <c r="K20" s="1783"/>
      <c r="L20" s="1783"/>
      <c r="M20" s="1783"/>
      <c r="N20" s="1783"/>
      <c r="O20" s="1783"/>
      <c r="P20" s="1783"/>
      <c r="Q20" s="1783"/>
      <c r="R20" s="1783"/>
      <c r="S20" s="1783"/>
      <c r="T20" s="1783"/>
      <c r="U20" s="1783"/>
      <c r="V20" s="1783"/>
      <c r="W20" s="1783"/>
      <c r="X20" s="1783"/>
      <c r="Y20" s="1783"/>
      <c r="Z20" s="1783"/>
      <c r="AA20" s="1783"/>
      <c r="AB20" s="1783"/>
      <c r="AC20" s="1783"/>
    </row>
    <row r="21" spans="1:29">
      <c r="A21" s="3"/>
      <c r="B21" s="1869"/>
      <c r="C21" s="1870"/>
      <c r="D21" s="1871"/>
      <c r="E21" s="1872"/>
      <c r="F21" s="1872"/>
      <c r="G21" s="1872"/>
      <c r="H21" s="1872"/>
      <c r="I21" s="1863">
        <f t="shared" si="0"/>
        <v>0</v>
      </c>
      <c r="J21" s="3"/>
      <c r="K21" s="1783"/>
      <c r="L21" s="1783"/>
      <c r="M21" s="1783"/>
      <c r="N21" s="1783"/>
      <c r="O21" s="1783"/>
      <c r="P21" s="1783"/>
      <c r="Q21" s="1783"/>
      <c r="R21" s="1783"/>
      <c r="S21" s="1783"/>
      <c r="T21" s="1783"/>
      <c r="U21" s="1783"/>
      <c r="V21" s="1783"/>
      <c r="W21" s="1783"/>
      <c r="X21" s="1783"/>
      <c r="Y21" s="1783"/>
      <c r="Z21" s="1783"/>
      <c r="AA21" s="1783"/>
      <c r="AB21" s="1783"/>
      <c r="AC21" s="1783"/>
    </row>
    <row r="22" spans="1:29">
      <c r="A22" s="3"/>
      <c r="B22" s="1869"/>
      <c r="C22" s="1870"/>
      <c r="D22" s="1875"/>
      <c r="E22" s="1872"/>
      <c r="F22" s="1872"/>
      <c r="G22" s="1872"/>
      <c r="H22" s="1872"/>
      <c r="I22" s="1863">
        <f t="shared" si="0"/>
        <v>0</v>
      </c>
      <c r="J22" s="3"/>
      <c r="K22" s="1783"/>
      <c r="L22" s="1783"/>
      <c r="M22" s="1783"/>
      <c r="N22" s="1783"/>
      <c r="O22" s="1783"/>
      <c r="P22" s="1783"/>
      <c r="Q22" s="1783"/>
      <c r="R22" s="1783"/>
      <c r="S22" s="1783"/>
      <c r="T22" s="1783"/>
      <c r="U22" s="1783"/>
      <c r="V22" s="1783"/>
      <c r="W22" s="1783"/>
      <c r="X22" s="1783"/>
      <c r="Y22" s="1783"/>
      <c r="Z22" s="1783"/>
      <c r="AA22" s="1783"/>
      <c r="AB22" s="1783"/>
      <c r="AC22" s="1783"/>
    </row>
    <row r="23" spans="1:29">
      <c r="A23" s="3"/>
      <c r="B23" s="1869"/>
      <c r="C23" s="1870"/>
      <c r="D23" s="1875"/>
      <c r="E23" s="1872"/>
      <c r="F23" s="1872"/>
      <c r="G23" s="1872"/>
      <c r="H23" s="1872"/>
      <c r="I23" s="1863">
        <f t="shared" si="0"/>
        <v>0</v>
      </c>
      <c r="J23" s="3"/>
      <c r="K23" s="1783"/>
      <c r="L23" s="1783"/>
      <c r="M23" s="1783"/>
      <c r="N23" s="1783"/>
      <c r="O23" s="1783"/>
      <c r="P23" s="1783"/>
      <c r="Q23" s="1783"/>
      <c r="R23" s="1783"/>
      <c r="S23" s="1783"/>
      <c r="T23" s="1783"/>
      <c r="U23" s="1783"/>
      <c r="V23" s="1783"/>
      <c r="W23" s="1783"/>
      <c r="X23" s="1783"/>
      <c r="Y23" s="1783"/>
      <c r="Z23" s="1783"/>
      <c r="AA23" s="1783"/>
      <c r="AB23" s="1783"/>
      <c r="AC23" s="1783"/>
    </row>
    <row r="24" spans="1:29">
      <c r="A24" s="3"/>
      <c r="B24" s="1869"/>
      <c r="C24" s="1870"/>
      <c r="D24" s="1875"/>
      <c r="E24" s="1872"/>
      <c r="F24" s="1872"/>
      <c r="G24" s="1872"/>
      <c r="H24" s="1872"/>
      <c r="I24" s="1863">
        <f t="shared" si="0"/>
        <v>0</v>
      </c>
      <c r="J24" s="3"/>
      <c r="K24" s="1783"/>
      <c r="L24" s="1783"/>
      <c r="M24" s="1783"/>
      <c r="N24" s="1783"/>
      <c r="O24" s="1783"/>
      <c r="P24" s="1783"/>
      <c r="Q24" s="1783"/>
      <c r="R24" s="1783"/>
      <c r="S24" s="1783"/>
      <c r="T24" s="1783"/>
      <c r="U24" s="1783"/>
      <c r="V24" s="1783"/>
      <c r="W24" s="1783"/>
      <c r="X24" s="1783"/>
      <c r="Y24" s="1783"/>
      <c r="Z24" s="1783"/>
      <c r="AA24" s="1783"/>
      <c r="AB24" s="1783"/>
      <c r="AC24" s="1783"/>
    </row>
    <row r="25" spans="1:29">
      <c r="A25" s="3"/>
      <c r="B25" s="1869"/>
      <c r="C25" s="1870"/>
      <c r="D25" s="1875"/>
      <c r="E25" s="1872"/>
      <c r="F25" s="1872"/>
      <c r="G25" s="1872"/>
      <c r="H25" s="1872"/>
      <c r="I25" s="1863">
        <f t="shared" si="0"/>
        <v>0</v>
      </c>
      <c r="J25" s="3"/>
      <c r="K25" s="1783"/>
      <c r="L25" s="1783"/>
      <c r="M25" s="1783"/>
      <c r="N25" s="1783"/>
      <c r="O25" s="1783"/>
      <c r="P25" s="1783"/>
      <c r="Q25" s="1783"/>
      <c r="R25" s="1783"/>
      <c r="S25" s="1783"/>
      <c r="T25" s="1783"/>
      <c r="U25" s="1783"/>
      <c r="V25" s="1783"/>
      <c r="W25" s="1783"/>
      <c r="X25" s="1783"/>
      <c r="Y25" s="1783"/>
      <c r="Z25" s="1783"/>
      <c r="AA25" s="1783"/>
      <c r="AB25" s="1783"/>
      <c r="AC25" s="1783"/>
    </row>
    <row r="26" spans="1:29">
      <c r="A26" s="3"/>
      <c r="B26" s="1869"/>
      <c r="C26" s="1870"/>
      <c r="D26" s="1875"/>
      <c r="E26" s="1872"/>
      <c r="F26" s="1872"/>
      <c r="G26" s="1872"/>
      <c r="H26" s="1872"/>
      <c r="I26" s="1863">
        <f t="shared" si="0"/>
        <v>0</v>
      </c>
      <c r="J26" s="3"/>
      <c r="K26" s="1783"/>
      <c r="L26" s="1783"/>
      <c r="M26" s="1783"/>
      <c r="N26" s="1783"/>
      <c r="O26" s="1783"/>
      <c r="P26" s="1783"/>
      <c r="Q26" s="1783"/>
      <c r="R26" s="1783"/>
      <c r="S26" s="1783"/>
      <c r="T26" s="1783"/>
      <c r="U26" s="1783"/>
      <c r="V26" s="1783"/>
      <c r="W26" s="1783"/>
      <c r="X26" s="1783"/>
      <c r="Y26" s="1783"/>
      <c r="Z26" s="1783"/>
      <c r="AA26" s="1783"/>
      <c r="AB26" s="1783"/>
      <c r="AC26" s="1783"/>
    </row>
    <row r="27" spans="1:29">
      <c r="A27" s="3"/>
      <c r="B27" s="1869"/>
      <c r="C27" s="1870"/>
      <c r="D27" s="1875"/>
      <c r="E27" s="1872"/>
      <c r="F27" s="1872"/>
      <c r="G27" s="1872"/>
      <c r="H27" s="1872"/>
      <c r="I27" s="1863">
        <f t="shared" si="0"/>
        <v>0</v>
      </c>
      <c r="J27" s="3"/>
      <c r="K27" s="1783"/>
      <c r="L27" s="1783"/>
      <c r="M27" s="1783"/>
      <c r="N27" s="1783"/>
      <c r="O27" s="1783"/>
      <c r="P27" s="1783"/>
      <c r="Q27" s="1783"/>
      <c r="R27" s="1783"/>
      <c r="S27" s="1783"/>
      <c r="T27" s="1783"/>
      <c r="U27" s="1783"/>
      <c r="V27" s="1783"/>
      <c r="W27" s="1783"/>
      <c r="X27" s="1783"/>
      <c r="Y27" s="1783"/>
      <c r="Z27" s="1783"/>
      <c r="AA27" s="1783"/>
      <c r="AB27" s="1783"/>
      <c r="AC27" s="1783"/>
    </row>
    <row r="28" spans="1:29">
      <c r="A28" s="3"/>
      <c r="B28" s="1869"/>
      <c r="C28" s="1870"/>
      <c r="D28" s="1875"/>
      <c r="E28" s="1872"/>
      <c r="F28" s="1872"/>
      <c r="G28" s="1872"/>
      <c r="H28" s="1872"/>
      <c r="I28" s="1863">
        <f t="shared" si="0"/>
        <v>0</v>
      </c>
      <c r="J28" s="3"/>
      <c r="K28" s="1783"/>
      <c r="L28" s="1783"/>
      <c r="M28" s="1783"/>
      <c r="N28" s="1783"/>
      <c r="O28" s="1783"/>
      <c r="P28" s="1783"/>
      <c r="Q28" s="1783"/>
      <c r="R28" s="1783"/>
      <c r="S28" s="1783"/>
      <c r="T28" s="1783"/>
      <c r="U28" s="1783"/>
      <c r="V28" s="1783"/>
      <c r="W28" s="1783"/>
      <c r="X28" s="1783"/>
      <c r="Y28" s="1783"/>
      <c r="Z28" s="1783"/>
      <c r="AA28" s="1783"/>
      <c r="AB28" s="1783"/>
      <c r="AC28" s="1783"/>
    </row>
    <row r="29" spans="1:29">
      <c r="A29" s="3"/>
      <c r="B29" s="1869"/>
      <c r="C29" s="1870"/>
      <c r="D29" s="1875"/>
      <c r="E29" s="1872"/>
      <c r="F29" s="1872"/>
      <c r="G29" s="1872"/>
      <c r="H29" s="1872"/>
      <c r="I29" s="1863">
        <f t="shared" si="0"/>
        <v>0</v>
      </c>
      <c r="J29" s="3"/>
      <c r="K29" s="1783"/>
      <c r="L29" s="1783"/>
      <c r="M29" s="1783"/>
      <c r="N29" s="1783"/>
      <c r="O29" s="1783"/>
      <c r="P29" s="1783"/>
      <c r="Q29" s="1783"/>
      <c r="R29" s="1783"/>
      <c r="S29" s="1783"/>
      <c r="T29" s="1783"/>
      <c r="U29" s="1783"/>
      <c r="V29" s="1783"/>
      <c r="W29" s="1783"/>
      <c r="X29" s="1783"/>
      <c r="Y29" s="1783"/>
      <c r="Z29" s="1783"/>
      <c r="AA29" s="1783"/>
      <c r="AB29" s="1783"/>
      <c r="AC29" s="1783"/>
    </row>
    <row r="30" spans="1:29">
      <c r="A30" s="3"/>
      <c r="B30" s="1869"/>
      <c r="C30" s="1870"/>
      <c r="D30" s="1875"/>
      <c r="E30" s="1872"/>
      <c r="F30" s="1872"/>
      <c r="G30" s="1872"/>
      <c r="H30" s="1872"/>
      <c r="I30" s="1863">
        <f t="shared" si="0"/>
        <v>0</v>
      </c>
      <c r="J30" s="3"/>
      <c r="K30" s="1783"/>
      <c r="L30" s="1783"/>
      <c r="M30" s="1783"/>
      <c r="N30" s="1783"/>
      <c r="O30" s="1783"/>
      <c r="P30" s="1783"/>
      <c r="Q30" s="1783"/>
      <c r="R30" s="1783"/>
      <c r="S30" s="1783"/>
      <c r="T30" s="1783"/>
      <c r="U30" s="1783"/>
      <c r="V30" s="1783"/>
      <c r="W30" s="1783"/>
      <c r="X30" s="1783"/>
      <c r="Y30" s="1783"/>
      <c r="Z30" s="1783"/>
      <c r="AA30" s="1783"/>
      <c r="AB30" s="1783"/>
      <c r="AC30" s="1783"/>
    </row>
    <row r="31" spans="1:29">
      <c r="A31" s="3"/>
      <c r="B31" s="1869"/>
      <c r="C31" s="1870"/>
      <c r="D31" s="1875"/>
      <c r="E31" s="1872"/>
      <c r="F31" s="1872"/>
      <c r="G31" s="1872"/>
      <c r="H31" s="1872"/>
      <c r="I31" s="1863">
        <f t="shared" si="0"/>
        <v>0</v>
      </c>
      <c r="J31" s="3"/>
      <c r="K31" s="1783"/>
      <c r="L31" s="1783"/>
      <c r="M31" s="1783"/>
      <c r="N31" s="1783"/>
      <c r="O31" s="1783"/>
      <c r="P31" s="1783"/>
      <c r="Q31" s="1783"/>
      <c r="R31" s="1783"/>
      <c r="S31" s="1783"/>
      <c r="T31" s="1783"/>
      <c r="U31" s="1783"/>
      <c r="V31" s="1783"/>
      <c r="W31" s="1783"/>
      <c r="X31" s="1783"/>
      <c r="Y31" s="1783"/>
      <c r="Z31" s="1783"/>
      <c r="AA31" s="1783"/>
      <c r="AB31" s="1783"/>
      <c r="AC31" s="1783"/>
    </row>
    <row r="32" spans="1:29">
      <c r="A32" s="3"/>
      <c r="B32" s="1869"/>
      <c r="C32" s="1870"/>
      <c r="D32" s="1875"/>
      <c r="E32" s="1872"/>
      <c r="F32" s="1872"/>
      <c r="G32" s="1872"/>
      <c r="H32" s="1872"/>
      <c r="I32" s="1863">
        <f t="shared" si="0"/>
        <v>0</v>
      </c>
      <c r="J32" s="3"/>
      <c r="K32" s="1783"/>
      <c r="L32" s="1783"/>
      <c r="M32" s="1783"/>
      <c r="N32" s="1783"/>
      <c r="O32" s="1783"/>
      <c r="P32" s="1783"/>
      <c r="Q32" s="1783"/>
      <c r="R32" s="1783"/>
      <c r="S32" s="1783"/>
      <c r="T32" s="1783"/>
      <c r="U32" s="1783"/>
      <c r="V32" s="1783"/>
      <c r="W32" s="1783"/>
      <c r="X32" s="1783"/>
      <c r="Y32" s="1783"/>
      <c r="Z32" s="1783"/>
      <c r="AA32" s="1783"/>
      <c r="AB32" s="1783"/>
      <c r="AC32" s="1783"/>
    </row>
    <row r="33" spans="1:29">
      <c r="A33" s="3"/>
      <c r="B33" s="1869"/>
      <c r="C33" s="1870"/>
      <c r="D33" s="1875"/>
      <c r="E33" s="1872"/>
      <c r="F33" s="1872"/>
      <c r="G33" s="1872"/>
      <c r="H33" s="1872"/>
      <c r="I33" s="1863">
        <f t="shared" si="0"/>
        <v>0</v>
      </c>
      <c r="J33" s="3"/>
      <c r="K33" s="1783"/>
      <c r="L33" s="1783"/>
      <c r="M33" s="1783"/>
      <c r="N33" s="1783"/>
      <c r="O33" s="1783"/>
      <c r="P33" s="1783"/>
      <c r="Q33" s="1783"/>
      <c r="R33" s="1783"/>
      <c r="S33" s="1783"/>
      <c r="T33" s="1783"/>
      <c r="U33" s="1783"/>
      <c r="V33" s="1783"/>
      <c r="W33" s="1783"/>
      <c r="X33" s="1783"/>
      <c r="Y33" s="1783"/>
      <c r="Z33" s="1783"/>
      <c r="AA33" s="1783"/>
      <c r="AB33" s="1783"/>
      <c r="AC33" s="1783"/>
    </row>
    <row r="34" spans="1:29">
      <c r="A34" s="3"/>
      <c r="B34" s="1869"/>
      <c r="C34" s="1870"/>
      <c r="D34" s="1875"/>
      <c r="E34" s="1872"/>
      <c r="F34" s="1872"/>
      <c r="G34" s="1872"/>
      <c r="H34" s="1872"/>
      <c r="I34" s="1863">
        <f t="shared" si="0"/>
        <v>0</v>
      </c>
      <c r="J34" s="3"/>
      <c r="K34" s="1783"/>
      <c r="L34" s="1783"/>
      <c r="M34" s="1783"/>
      <c r="N34" s="1783"/>
      <c r="O34" s="1783"/>
      <c r="P34" s="1783"/>
      <c r="Q34" s="1783"/>
      <c r="R34" s="1783"/>
      <c r="S34" s="1783"/>
      <c r="T34" s="1783"/>
      <c r="U34" s="1783"/>
      <c r="V34" s="1783"/>
      <c r="W34" s="1783"/>
      <c r="X34" s="1783"/>
      <c r="Y34" s="1783"/>
      <c r="Z34" s="1783"/>
      <c r="AA34" s="1783"/>
      <c r="AB34" s="1783"/>
      <c r="AC34" s="1783"/>
    </row>
    <row r="35" spans="1:29">
      <c r="A35" s="3"/>
      <c r="B35" s="1869"/>
      <c r="C35" s="1870"/>
      <c r="D35" s="1875"/>
      <c r="E35" s="1872"/>
      <c r="F35" s="1872"/>
      <c r="G35" s="1872"/>
      <c r="H35" s="1872"/>
      <c r="I35" s="1863">
        <f t="shared" si="0"/>
        <v>0</v>
      </c>
      <c r="J35" s="3"/>
      <c r="K35" s="1783"/>
      <c r="L35" s="1783"/>
      <c r="M35" s="1783"/>
      <c r="N35" s="1783"/>
      <c r="O35" s="1783"/>
      <c r="P35" s="1783"/>
      <c r="Q35" s="1783"/>
      <c r="R35" s="1783"/>
      <c r="S35" s="1783"/>
      <c r="T35" s="1783"/>
      <c r="U35" s="1783"/>
      <c r="V35" s="1783"/>
      <c r="W35" s="1783"/>
      <c r="X35" s="1783"/>
      <c r="Y35" s="1783"/>
      <c r="Z35" s="1783"/>
      <c r="AA35" s="1783"/>
      <c r="AB35" s="1783"/>
      <c r="AC35" s="1783"/>
    </row>
    <row r="36" spans="1:29">
      <c r="A36" s="3"/>
      <c r="B36" s="1869"/>
      <c r="C36" s="1870"/>
      <c r="D36" s="1875"/>
      <c r="E36" s="1872"/>
      <c r="F36" s="1872"/>
      <c r="G36" s="1872"/>
      <c r="H36" s="1872"/>
      <c r="I36" s="1863">
        <f t="shared" si="0"/>
        <v>0</v>
      </c>
      <c r="J36" s="3"/>
      <c r="K36" s="1783"/>
      <c r="L36" s="1783"/>
      <c r="M36" s="1783"/>
      <c r="N36" s="1783"/>
      <c r="O36" s="1783"/>
      <c r="P36" s="1783"/>
      <c r="Q36" s="1783"/>
      <c r="R36" s="1783"/>
      <c r="S36" s="1783"/>
      <c r="T36" s="1783"/>
      <c r="U36" s="1783"/>
      <c r="V36" s="1783"/>
      <c r="W36" s="1783"/>
      <c r="X36" s="1783"/>
      <c r="Y36" s="1783"/>
      <c r="Z36" s="1783"/>
      <c r="AA36" s="1783"/>
      <c r="AB36" s="1783"/>
      <c r="AC36" s="1783"/>
    </row>
    <row r="37" spans="1:29">
      <c r="A37" s="3"/>
      <c r="B37" s="1869"/>
      <c r="C37" s="1870"/>
      <c r="D37" s="1875"/>
      <c r="E37" s="1872"/>
      <c r="F37" s="1872"/>
      <c r="G37" s="1872"/>
      <c r="H37" s="1872"/>
      <c r="I37" s="1863">
        <f t="shared" si="0"/>
        <v>0</v>
      </c>
      <c r="J37" s="3"/>
      <c r="K37" s="1783"/>
      <c r="L37" s="1783"/>
      <c r="M37" s="1783"/>
      <c r="N37" s="1783"/>
      <c r="O37" s="1783"/>
      <c r="P37" s="1783"/>
      <c r="Q37" s="1783"/>
      <c r="R37" s="1783"/>
      <c r="S37" s="1783"/>
      <c r="T37" s="1783"/>
      <c r="U37" s="1783"/>
      <c r="V37" s="1783"/>
      <c r="W37" s="1783"/>
      <c r="X37" s="1783"/>
      <c r="Y37" s="1783"/>
      <c r="Z37" s="1783"/>
      <c r="AA37" s="1783"/>
      <c r="AB37" s="1783"/>
      <c r="AC37" s="1783"/>
    </row>
    <row r="38" spans="1:29">
      <c r="A38" s="3"/>
      <c r="B38" s="1869"/>
      <c r="C38" s="1870"/>
      <c r="D38" s="1875"/>
      <c r="E38" s="1872"/>
      <c r="F38" s="1872"/>
      <c r="G38" s="1872"/>
      <c r="H38" s="1872"/>
      <c r="I38" s="1863">
        <f t="shared" si="0"/>
        <v>0</v>
      </c>
      <c r="J38" s="3"/>
      <c r="K38" s="1783"/>
      <c r="L38" s="1783"/>
      <c r="M38" s="1783"/>
      <c r="N38" s="1783"/>
      <c r="O38" s="1783"/>
      <c r="P38" s="1783"/>
      <c r="Q38" s="1783"/>
      <c r="R38" s="1783"/>
      <c r="S38" s="1783"/>
      <c r="T38" s="1783"/>
      <c r="U38" s="1783"/>
      <c r="V38" s="1783"/>
      <c r="W38" s="1783"/>
      <c r="X38" s="1783"/>
      <c r="Y38" s="1783"/>
      <c r="Z38" s="1783"/>
      <c r="AA38" s="1783"/>
      <c r="AB38" s="1783"/>
      <c r="AC38" s="1783"/>
    </row>
    <row r="39" spans="1:29">
      <c r="A39" s="3"/>
      <c r="B39" s="1869"/>
      <c r="C39" s="1870"/>
      <c r="D39" s="1875"/>
      <c r="E39" s="1872"/>
      <c r="F39" s="1872"/>
      <c r="G39" s="1872"/>
      <c r="H39" s="1872"/>
      <c r="I39" s="1863">
        <f t="shared" si="0"/>
        <v>0</v>
      </c>
      <c r="J39" s="3"/>
      <c r="K39" s="1783"/>
      <c r="L39" s="1783"/>
      <c r="M39" s="1783"/>
      <c r="N39" s="1783"/>
      <c r="O39" s="1783"/>
      <c r="P39" s="1783"/>
      <c r="Q39" s="1783"/>
      <c r="R39" s="1783"/>
      <c r="S39" s="1783"/>
      <c r="T39" s="1783"/>
      <c r="U39" s="1783"/>
      <c r="V39" s="1783"/>
      <c r="W39" s="1783"/>
      <c r="X39" s="1783"/>
      <c r="Y39" s="1783"/>
      <c r="Z39" s="1783"/>
      <c r="AA39" s="1783"/>
      <c r="AB39" s="1783"/>
      <c r="AC39" s="1783"/>
    </row>
    <row r="40" spans="1:29">
      <c r="A40" s="3"/>
      <c r="B40" s="1869"/>
      <c r="C40" s="1870"/>
      <c r="D40" s="1875"/>
      <c r="E40" s="1872"/>
      <c r="F40" s="1872"/>
      <c r="G40" s="1872"/>
      <c r="H40" s="1872"/>
      <c r="I40" s="1863">
        <f t="shared" si="0"/>
        <v>0</v>
      </c>
      <c r="J40" s="3"/>
      <c r="K40" s="1783"/>
      <c r="L40" s="1783"/>
      <c r="M40" s="1783"/>
      <c r="N40" s="1783"/>
      <c r="O40" s="1783"/>
      <c r="P40" s="1783"/>
      <c r="Q40" s="1783"/>
      <c r="R40" s="1783"/>
      <c r="S40" s="1783"/>
      <c r="T40" s="1783"/>
      <c r="U40" s="1783"/>
      <c r="V40" s="1783"/>
      <c r="W40" s="1783"/>
      <c r="X40" s="1783"/>
      <c r="Y40" s="1783"/>
      <c r="Z40" s="1783"/>
      <c r="AA40" s="1783"/>
      <c r="AB40" s="1783"/>
      <c r="AC40" s="1783"/>
    </row>
    <row r="41" spans="1:29">
      <c r="A41" s="3"/>
      <c r="B41" s="1869"/>
      <c r="C41" s="1870"/>
      <c r="D41" s="1875"/>
      <c r="E41" s="1872"/>
      <c r="F41" s="1872"/>
      <c r="G41" s="1872"/>
      <c r="H41" s="1872"/>
      <c r="I41" s="1863">
        <f t="shared" si="0"/>
        <v>0</v>
      </c>
      <c r="J41" s="3"/>
      <c r="K41" s="1783"/>
      <c r="L41" s="1783"/>
      <c r="M41" s="1783"/>
      <c r="N41" s="1783"/>
      <c r="O41" s="1783"/>
      <c r="P41" s="1783"/>
      <c r="Q41" s="1783"/>
      <c r="R41" s="1783"/>
      <c r="S41" s="1783"/>
      <c r="T41" s="1783"/>
      <c r="U41" s="1783"/>
      <c r="V41" s="1783"/>
      <c r="W41" s="1783"/>
      <c r="X41" s="1783"/>
      <c r="Y41" s="1783"/>
      <c r="Z41" s="1783"/>
      <c r="AA41" s="1783"/>
      <c r="AB41" s="1783"/>
      <c r="AC41" s="1783"/>
    </row>
    <row r="42" spans="1:29">
      <c r="A42" s="3"/>
      <c r="B42" s="1869"/>
      <c r="C42" s="1870"/>
      <c r="D42" s="1875"/>
      <c r="E42" s="1872"/>
      <c r="F42" s="1872"/>
      <c r="G42" s="1872"/>
      <c r="H42" s="1872"/>
      <c r="I42" s="1863">
        <f t="shared" si="0"/>
        <v>0</v>
      </c>
      <c r="J42" s="3"/>
      <c r="K42" s="1783"/>
      <c r="L42" s="1783"/>
      <c r="M42" s="1783"/>
      <c r="N42" s="1783"/>
      <c r="O42" s="1783"/>
      <c r="P42" s="1783"/>
      <c r="Q42" s="1783"/>
      <c r="R42" s="1783"/>
      <c r="S42" s="1783"/>
      <c r="T42" s="1783"/>
      <c r="U42" s="1783"/>
      <c r="V42" s="1783"/>
      <c r="W42" s="1783"/>
      <c r="X42" s="1783"/>
      <c r="Y42" s="1783"/>
      <c r="Z42" s="1783"/>
      <c r="AA42" s="1783"/>
      <c r="AB42" s="1783"/>
      <c r="AC42" s="1783"/>
    </row>
    <row r="43" spans="1:29">
      <c r="A43" s="3"/>
      <c r="B43" s="1869"/>
      <c r="C43" s="1870"/>
      <c r="D43" s="1875"/>
      <c r="E43" s="1872"/>
      <c r="F43" s="1872"/>
      <c r="G43" s="1872"/>
      <c r="H43" s="1872"/>
      <c r="I43" s="1863">
        <f t="shared" si="0"/>
        <v>0</v>
      </c>
      <c r="J43" s="3"/>
      <c r="K43" s="1783"/>
      <c r="L43" s="1783"/>
      <c r="M43" s="1783"/>
      <c r="N43" s="1783"/>
      <c r="O43" s="1783"/>
      <c r="P43" s="1783"/>
      <c r="Q43" s="1783"/>
      <c r="R43" s="1783"/>
      <c r="S43" s="1783"/>
      <c r="T43" s="1783"/>
      <c r="U43" s="1783"/>
      <c r="V43" s="1783"/>
      <c r="W43" s="1783"/>
      <c r="X43" s="1783"/>
      <c r="Y43" s="1783"/>
      <c r="Z43" s="1783"/>
      <c r="AA43" s="1783"/>
      <c r="AB43" s="1783"/>
      <c r="AC43" s="1783"/>
    </row>
    <row r="44" spans="1:29">
      <c r="A44" s="3"/>
      <c r="B44" s="1869"/>
      <c r="C44" s="1870"/>
      <c r="D44" s="1875"/>
      <c r="E44" s="1872"/>
      <c r="F44" s="1872"/>
      <c r="G44" s="1872"/>
      <c r="H44" s="1872"/>
      <c r="I44" s="1863">
        <f t="shared" si="0"/>
        <v>0</v>
      </c>
      <c r="J44" s="3"/>
      <c r="K44" s="1783"/>
      <c r="L44" s="1783"/>
      <c r="M44" s="1783"/>
      <c r="N44" s="1783"/>
      <c r="O44" s="1783"/>
      <c r="P44" s="1783"/>
      <c r="Q44" s="1783"/>
      <c r="R44" s="1783"/>
      <c r="S44" s="1783"/>
      <c r="T44" s="1783"/>
      <c r="U44" s="1783"/>
      <c r="V44" s="1783"/>
      <c r="W44" s="1783"/>
      <c r="X44" s="1783"/>
      <c r="Y44" s="1783"/>
      <c r="Z44" s="1783"/>
      <c r="AA44" s="1783"/>
      <c r="AB44" s="1783"/>
      <c r="AC44" s="1783"/>
    </row>
    <row r="45" spans="1:29">
      <c r="A45" s="3"/>
      <c r="B45" s="1869"/>
      <c r="C45" s="1870"/>
      <c r="D45" s="1875"/>
      <c r="E45" s="1872"/>
      <c r="F45" s="1872"/>
      <c r="G45" s="1872"/>
      <c r="H45" s="1872"/>
      <c r="I45" s="1863">
        <f t="shared" si="0"/>
        <v>0</v>
      </c>
      <c r="J45" s="3"/>
      <c r="K45" s="1783"/>
      <c r="L45" s="1783"/>
      <c r="M45" s="1783"/>
      <c r="N45" s="1783"/>
      <c r="O45" s="1783"/>
      <c r="P45" s="1783"/>
      <c r="Q45" s="1783"/>
      <c r="R45" s="1783"/>
      <c r="S45" s="1783"/>
      <c r="T45" s="1783"/>
      <c r="U45" s="1783"/>
      <c r="V45" s="1783"/>
      <c r="W45" s="1783"/>
      <c r="X45" s="1783"/>
      <c r="Y45" s="1783"/>
      <c r="Z45" s="1783"/>
      <c r="AA45" s="1783"/>
      <c r="AB45" s="1783"/>
      <c r="AC45" s="1783"/>
    </row>
    <row r="46" spans="1:29">
      <c r="A46" s="3"/>
      <c r="B46" s="1869"/>
      <c r="C46" s="1870"/>
      <c r="D46" s="1875"/>
      <c r="E46" s="1872"/>
      <c r="F46" s="1872"/>
      <c r="G46" s="1872"/>
      <c r="H46" s="1872"/>
      <c r="I46" s="1863">
        <f t="shared" si="0"/>
        <v>0</v>
      </c>
      <c r="J46" s="3"/>
      <c r="K46" s="1783"/>
      <c r="L46" s="1783"/>
      <c r="M46" s="1783"/>
      <c r="N46" s="1783"/>
      <c r="O46" s="1783"/>
      <c r="P46" s="1783"/>
      <c r="Q46" s="1783"/>
      <c r="R46" s="1783"/>
      <c r="S46" s="1783"/>
      <c r="T46" s="1783"/>
      <c r="U46" s="1783"/>
      <c r="V46" s="1783"/>
      <c r="W46" s="1783"/>
      <c r="X46" s="1783"/>
      <c r="Y46" s="1783"/>
      <c r="Z46" s="1783"/>
      <c r="AA46" s="1783"/>
      <c r="AB46" s="1783"/>
      <c r="AC46" s="1783"/>
    </row>
    <row r="47" spans="1:29">
      <c r="A47" s="3"/>
      <c r="B47" s="1869"/>
      <c r="C47" s="1870"/>
      <c r="D47" s="1875"/>
      <c r="E47" s="1872"/>
      <c r="F47" s="1872"/>
      <c r="G47" s="1872"/>
      <c r="H47" s="1872"/>
      <c r="I47" s="1863">
        <f t="shared" si="0"/>
        <v>0</v>
      </c>
      <c r="J47" s="3"/>
      <c r="K47" s="1783"/>
      <c r="L47" s="1783"/>
      <c r="M47" s="1783"/>
      <c r="N47" s="1783"/>
      <c r="O47" s="1783"/>
      <c r="P47" s="1783"/>
      <c r="Q47" s="1783"/>
      <c r="R47" s="1783"/>
      <c r="S47" s="1783"/>
      <c r="T47" s="1783"/>
      <c r="U47" s="1783"/>
      <c r="V47" s="1783"/>
      <c r="W47" s="1783"/>
      <c r="X47" s="1783"/>
      <c r="Y47" s="1783"/>
      <c r="Z47" s="1783"/>
      <c r="AA47" s="1783"/>
      <c r="AB47" s="1783"/>
      <c r="AC47" s="1783"/>
    </row>
    <row r="48" spans="1:29">
      <c r="A48" s="3"/>
      <c r="B48" s="1869"/>
      <c r="C48" s="1870"/>
      <c r="D48" s="1875"/>
      <c r="E48" s="1872"/>
      <c r="F48" s="1872"/>
      <c r="G48" s="1872"/>
      <c r="H48" s="1872"/>
      <c r="I48" s="1863">
        <f t="shared" si="0"/>
        <v>0</v>
      </c>
      <c r="J48" s="3"/>
      <c r="K48" s="1783"/>
      <c r="L48" s="1783"/>
      <c r="M48" s="1783"/>
      <c r="N48" s="1783"/>
      <c r="O48" s="1783"/>
      <c r="P48" s="1783"/>
      <c r="Q48" s="1783"/>
      <c r="R48" s="1783"/>
      <c r="S48" s="1783"/>
      <c r="T48" s="1783"/>
      <c r="U48" s="1783"/>
      <c r="V48" s="1783"/>
      <c r="W48" s="1783"/>
      <c r="X48" s="1783"/>
      <c r="Y48" s="1783"/>
      <c r="Z48" s="1783"/>
      <c r="AA48" s="1783"/>
      <c r="AB48" s="1783"/>
      <c r="AC48" s="1783"/>
    </row>
    <row r="49" spans="1:29">
      <c r="A49" s="3"/>
      <c r="B49" s="1869"/>
      <c r="C49" s="1870"/>
      <c r="D49" s="1875"/>
      <c r="E49" s="1872"/>
      <c r="F49" s="1872"/>
      <c r="G49" s="1872"/>
      <c r="H49" s="1872"/>
      <c r="I49" s="1863">
        <f t="shared" si="0"/>
        <v>0</v>
      </c>
      <c r="J49" s="3"/>
      <c r="K49" s="1783"/>
      <c r="L49" s="1783"/>
      <c r="M49" s="1783"/>
      <c r="N49" s="1783"/>
      <c r="O49" s="1783"/>
      <c r="P49" s="1783"/>
      <c r="Q49" s="1783"/>
      <c r="R49" s="1783"/>
      <c r="S49" s="1783"/>
      <c r="T49" s="1783"/>
      <c r="U49" s="1783"/>
      <c r="V49" s="1783"/>
      <c r="W49" s="1783"/>
      <c r="X49" s="1783"/>
      <c r="Y49" s="1783"/>
      <c r="Z49" s="1783"/>
      <c r="AA49" s="1783"/>
      <c r="AB49" s="1783"/>
      <c r="AC49" s="1783"/>
    </row>
    <row r="50" spans="1:29">
      <c r="A50" s="3"/>
      <c r="B50" s="1869"/>
      <c r="C50" s="1870"/>
      <c r="D50" s="1875"/>
      <c r="E50" s="1872"/>
      <c r="F50" s="1872"/>
      <c r="G50" s="1872"/>
      <c r="H50" s="1872"/>
      <c r="I50" s="1863">
        <f t="shared" si="0"/>
        <v>0</v>
      </c>
      <c r="J50" s="3"/>
      <c r="K50" s="1783"/>
      <c r="L50" s="1783"/>
      <c r="M50" s="1783"/>
      <c r="N50" s="1783"/>
      <c r="O50" s="1783"/>
      <c r="P50" s="1783"/>
      <c r="Q50" s="1783"/>
      <c r="R50" s="1783"/>
      <c r="S50" s="1783"/>
      <c r="T50" s="1783"/>
      <c r="U50" s="1783"/>
      <c r="V50" s="1783"/>
      <c r="W50" s="1783"/>
      <c r="X50" s="1783"/>
      <c r="Y50" s="1783"/>
      <c r="Z50" s="1783"/>
      <c r="AA50" s="1783"/>
      <c r="AB50" s="1783"/>
      <c r="AC50" s="1783"/>
    </row>
    <row r="51" spans="1:29">
      <c r="A51" s="3"/>
      <c r="B51" s="1869"/>
      <c r="C51" s="1870"/>
      <c r="D51" s="1875"/>
      <c r="E51" s="1872"/>
      <c r="F51" s="1872"/>
      <c r="G51" s="1872"/>
      <c r="H51" s="1872"/>
      <c r="I51" s="1863">
        <f t="shared" si="0"/>
        <v>0</v>
      </c>
      <c r="J51" s="3"/>
      <c r="K51" s="1783"/>
      <c r="L51" s="1783"/>
      <c r="M51" s="1783"/>
      <c r="N51" s="1783"/>
      <c r="O51" s="1783"/>
      <c r="P51" s="1783"/>
      <c r="Q51" s="1783"/>
      <c r="R51" s="1783"/>
      <c r="S51" s="1783"/>
      <c r="T51" s="1783"/>
      <c r="U51" s="1783"/>
      <c r="V51" s="1783"/>
      <c r="W51" s="1783"/>
      <c r="X51" s="1783"/>
      <c r="Y51" s="1783"/>
      <c r="Z51" s="1783"/>
      <c r="AA51" s="1783"/>
      <c r="AB51" s="1783"/>
      <c r="AC51" s="1783"/>
    </row>
    <row r="52" spans="1:29">
      <c r="A52" s="3"/>
      <c r="B52" s="1869"/>
      <c r="C52" s="1870"/>
      <c r="D52" s="1875"/>
      <c r="E52" s="1872"/>
      <c r="F52" s="1872"/>
      <c r="G52" s="1872"/>
      <c r="H52" s="1872"/>
      <c r="I52" s="1863">
        <f t="shared" si="0"/>
        <v>0</v>
      </c>
      <c r="J52" s="3"/>
      <c r="K52" s="1783"/>
      <c r="L52" s="1783"/>
      <c r="M52" s="1783"/>
      <c r="N52" s="1783"/>
      <c r="O52" s="1783"/>
      <c r="P52" s="1783"/>
      <c r="Q52" s="1783"/>
      <c r="R52" s="1783"/>
      <c r="S52" s="1783"/>
      <c r="T52" s="1783"/>
      <c r="U52" s="1783"/>
      <c r="V52" s="1783"/>
      <c r="W52" s="1783"/>
      <c r="X52" s="1783"/>
      <c r="Y52" s="1783"/>
      <c r="Z52" s="1783"/>
      <c r="AA52" s="1783"/>
      <c r="AB52" s="1783"/>
      <c r="AC52" s="1783"/>
    </row>
    <row r="53" spans="1:29">
      <c r="A53" s="3"/>
      <c r="B53" s="1869"/>
      <c r="C53" s="1870"/>
      <c r="D53" s="1875"/>
      <c r="E53" s="1872"/>
      <c r="F53" s="1872"/>
      <c r="G53" s="1872"/>
      <c r="H53" s="1872"/>
      <c r="I53" s="1863">
        <f t="shared" si="0"/>
        <v>0</v>
      </c>
      <c r="J53" s="3"/>
      <c r="K53" s="1783"/>
      <c r="L53" s="1783"/>
      <c r="M53" s="1783"/>
      <c r="N53" s="1783"/>
      <c r="O53" s="1783"/>
      <c r="P53" s="1783"/>
      <c r="Q53" s="1783"/>
      <c r="R53" s="1783"/>
      <c r="S53" s="1783"/>
      <c r="T53" s="1783"/>
      <c r="U53" s="1783"/>
      <c r="V53" s="1783"/>
      <c r="W53" s="1783"/>
      <c r="X53" s="1783"/>
      <c r="Y53" s="1783"/>
      <c r="Z53" s="1783"/>
      <c r="AA53" s="1783"/>
      <c r="AB53" s="1783"/>
      <c r="AC53" s="1783"/>
    </row>
    <row r="54" spans="1:29">
      <c r="A54" s="3"/>
      <c r="B54" s="1869"/>
      <c r="C54" s="1870"/>
      <c r="D54" s="1875"/>
      <c r="E54" s="1872"/>
      <c r="F54" s="1872"/>
      <c r="G54" s="1872"/>
      <c r="H54" s="1872"/>
      <c r="I54" s="1863">
        <f t="shared" si="0"/>
        <v>0</v>
      </c>
      <c r="J54" s="3"/>
      <c r="K54" s="1783"/>
      <c r="L54" s="1783"/>
      <c r="M54" s="1783"/>
      <c r="N54" s="1783"/>
      <c r="O54" s="1783"/>
      <c r="P54" s="1783"/>
      <c r="Q54" s="1783"/>
      <c r="R54" s="1783"/>
      <c r="S54" s="1783"/>
      <c r="T54" s="1783"/>
      <c r="U54" s="1783"/>
      <c r="V54" s="1783"/>
      <c r="W54" s="1783"/>
      <c r="X54" s="1783"/>
      <c r="Y54" s="1783"/>
      <c r="Z54" s="1783"/>
      <c r="AA54" s="1783"/>
      <c r="AB54" s="1783"/>
      <c r="AC54" s="1783"/>
    </row>
    <row r="55" spans="1:29">
      <c r="A55" s="3"/>
      <c r="B55" s="1869"/>
      <c r="C55" s="1870"/>
      <c r="D55" s="1875"/>
      <c r="E55" s="1872"/>
      <c r="F55" s="1872"/>
      <c r="G55" s="1872"/>
      <c r="H55" s="1872"/>
      <c r="I55" s="1863">
        <f t="shared" si="0"/>
        <v>0</v>
      </c>
      <c r="J55" s="3"/>
      <c r="K55" s="1783"/>
      <c r="L55" s="1783"/>
      <c r="M55" s="1783"/>
      <c r="N55" s="1783"/>
      <c r="O55" s="1783"/>
      <c r="P55" s="1783"/>
      <c r="Q55" s="1783"/>
      <c r="R55" s="1783"/>
      <c r="S55" s="1783"/>
      <c r="T55" s="1783"/>
      <c r="U55" s="1783"/>
      <c r="V55" s="1783"/>
      <c r="W55" s="1783"/>
      <c r="X55" s="1783"/>
      <c r="Y55" s="1783"/>
      <c r="Z55" s="1783"/>
      <c r="AA55" s="1783"/>
      <c r="AB55" s="1783"/>
      <c r="AC55" s="1783"/>
    </row>
    <row r="56" spans="1:29">
      <c r="A56" s="3"/>
      <c r="B56" s="1869"/>
      <c r="C56" s="1870"/>
      <c r="D56" s="1875"/>
      <c r="E56" s="1872"/>
      <c r="F56" s="1872"/>
      <c r="G56" s="1872"/>
      <c r="H56" s="1872"/>
      <c r="I56" s="1863">
        <f t="shared" si="0"/>
        <v>0</v>
      </c>
      <c r="J56" s="3"/>
      <c r="K56" s="1783"/>
      <c r="L56" s="1783"/>
      <c r="M56" s="1783"/>
      <c r="N56" s="1783"/>
      <c r="O56" s="1783"/>
      <c r="P56" s="1783"/>
      <c r="Q56" s="1783"/>
      <c r="R56" s="1783"/>
      <c r="S56" s="1783"/>
      <c r="T56" s="1783"/>
      <c r="U56" s="1783"/>
      <c r="V56" s="1783"/>
      <c r="W56" s="1783"/>
      <c r="X56" s="1783"/>
      <c r="Y56" s="1783"/>
      <c r="Z56" s="1783"/>
      <c r="AA56" s="1783"/>
      <c r="AB56" s="1783"/>
      <c r="AC56" s="1783"/>
    </row>
    <row r="57" spans="1:29">
      <c r="A57" s="3"/>
      <c r="B57" s="1869"/>
      <c r="C57" s="1870"/>
      <c r="D57" s="1875"/>
      <c r="E57" s="1872"/>
      <c r="F57" s="1872"/>
      <c r="G57" s="1872"/>
      <c r="H57" s="1872"/>
      <c r="I57" s="1863">
        <f t="shared" si="0"/>
        <v>0</v>
      </c>
      <c r="J57" s="3"/>
      <c r="K57" s="1783"/>
      <c r="L57" s="1783"/>
      <c r="M57" s="1783"/>
      <c r="N57" s="1783"/>
      <c r="O57" s="1783"/>
      <c r="P57" s="1783"/>
      <c r="Q57" s="1783"/>
      <c r="R57" s="1783"/>
      <c r="S57" s="1783"/>
      <c r="T57" s="1783"/>
      <c r="U57" s="1783"/>
      <c r="V57" s="1783"/>
      <c r="W57" s="1783"/>
      <c r="X57" s="1783"/>
      <c r="Y57" s="1783"/>
      <c r="Z57" s="1783"/>
      <c r="AA57" s="1783"/>
      <c r="AB57" s="1783"/>
      <c r="AC57" s="1783"/>
    </row>
    <row r="58" spans="1:29">
      <c r="A58" s="3"/>
      <c r="B58" s="1869"/>
      <c r="C58" s="1870"/>
      <c r="D58" s="1875"/>
      <c r="E58" s="1872"/>
      <c r="F58" s="1872"/>
      <c r="G58" s="1872"/>
      <c r="H58" s="1872"/>
      <c r="I58" s="1863">
        <f t="shared" si="0"/>
        <v>0</v>
      </c>
      <c r="J58" s="3"/>
      <c r="K58" s="1783"/>
      <c r="L58" s="1783"/>
      <c r="M58" s="1783"/>
      <c r="N58" s="1783"/>
      <c r="O58" s="1783"/>
      <c r="P58" s="1783"/>
      <c r="Q58" s="1783"/>
      <c r="R58" s="1783"/>
      <c r="S58" s="1783"/>
      <c r="T58" s="1783"/>
      <c r="U58" s="1783"/>
      <c r="V58" s="1783"/>
      <c r="W58" s="1783"/>
      <c r="X58" s="1783"/>
      <c r="Y58" s="1783"/>
      <c r="Z58" s="1783"/>
      <c r="AA58" s="1783"/>
      <c r="AB58" s="1783"/>
      <c r="AC58" s="1783"/>
    </row>
    <row r="59" spans="1:29">
      <c r="A59" s="3"/>
      <c r="B59" s="1869"/>
      <c r="C59" s="1870"/>
      <c r="D59" s="1875"/>
      <c r="E59" s="1872"/>
      <c r="F59" s="1872"/>
      <c r="G59" s="1872"/>
      <c r="H59" s="1872"/>
      <c r="I59" s="1863">
        <f t="shared" si="0"/>
        <v>0</v>
      </c>
      <c r="J59" s="3"/>
      <c r="K59" s="1783"/>
      <c r="L59" s="1783"/>
      <c r="M59" s="1783"/>
      <c r="N59" s="1783"/>
      <c r="O59" s="1783"/>
      <c r="P59" s="1783"/>
      <c r="Q59" s="1783"/>
      <c r="R59" s="1783"/>
      <c r="S59" s="1783"/>
      <c r="T59" s="1783"/>
      <c r="U59" s="1783"/>
      <c r="V59" s="1783"/>
      <c r="W59" s="1783"/>
      <c r="X59" s="1783"/>
      <c r="Y59" s="1783"/>
      <c r="Z59" s="1783"/>
      <c r="AA59" s="1783"/>
      <c r="AB59" s="1783"/>
      <c r="AC59" s="1783"/>
    </row>
    <row r="60" spans="1:29">
      <c r="A60" s="3"/>
      <c r="B60" s="1869"/>
      <c r="C60" s="1870"/>
      <c r="D60" s="1875"/>
      <c r="E60" s="1872"/>
      <c r="F60" s="1872"/>
      <c r="G60" s="1872"/>
      <c r="H60" s="1872"/>
      <c r="I60" s="1863">
        <f t="shared" si="0"/>
        <v>0</v>
      </c>
      <c r="J60" s="3"/>
      <c r="K60" s="1783"/>
      <c r="L60" s="1783"/>
      <c r="M60" s="1783"/>
      <c r="N60" s="1783"/>
      <c r="O60" s="1783"/>
      <c r="P60" s="1783"/>
      <c r="Q60" s="1783"/>
      <c r="R60" s="1783"/>
      <c r="S60" s="1783"/>
      <c r="T60" s="1783"/>
      <c r="U60" s="1783"/>
      <c r="V60" s="1783"/>
      <c r="W60" s="1783"/>
      <c r="X60" s="1783"/>
      <c r="Y60" s="1783"/>
      <c r="Z60" s="1783"/>
      <c r="AA60" s="1783"/>
      <c r="AB60" s="1783"/>
      <c r="AC60" s="1783"/>
    </row>
    <row r="61" spans="1:29">
      <c r="A61" s="3"/>
      <c r="B61" s="1869"/>
      <c r="C61" s="1870"/>
      <c r="D61" s="1875"/>
      <c r="E61" s="1872"/>
      <c r="F61" s="1872"/>
      <c r="G61" s="1872"/>
      <c r="H61" s="1872"/>
      <c r="I61" s="1863">
        <f t="shared" si="0"/>
        <v>0</v>
      </c>
      <c r="J61" s="3"/>
      <c r="K61" s="1783"/>
      <c r="L61" s="1783"/>
      <c r="M61" s="1783"/>
      <c r="N61" s="1783"/>
      <c r="O61" s="1783"/>
      <c r="P61" s="1783"/>
      <c r="Q61" s="1783"/>
      <c r="R61" s="1783"/>
      <c r="S61" s="1783"/>
      <c r="T61" s="1783"/>
      <c r="U61" s="1783"/>
      <c r="V61" s="1783"/>
      <c r="W61" s="1783"/>
      <c r="X61" s="1783"/>
      <c r="Y61" s="1783"/>
      <c r="Z61" s="1783"/>
      <c r="AA61" s="1783"/>
      <c r="AB61" s="1783"/>
      <c r="AC61" s="1783"/>
    </row>
    <row r="62" spans="1:29">
      <c r="A62" s="3"/>
      <c r="B62" s="1869"/>
      <c r="C62" s="1870"/>
      <c r="D62" s="1875"/>
      <c r="E62" s="1872"/>
      <c r="F62" s="1872"/>
      <c r="G62" s="1872"/>
      <c r="H62" s="1872"/>
      <c r="I62" s="1863">
        <f t="shared" si="0"/>
        <v>0</v>
      </c>
      <c r="J62" s="3"/>
      <c r="K62" s="1783"/>
      <c r="L62" s="1783"/>
      <c r="M62" s="1783"/>
      <c r="N62" s="1783"/>
      <c r="O62" s="1783"/>
      <c r="P62" s="1783"/>
      <c r="Q62" s="1783"/>
      <c r="R62" s="1783"/>
      <c r="S62" s="1783"/>
      <c r="T62" s="1783"/>
      <c r="U62" s="1783"/>
      <c r="V62" s="1783"/>
      <c r="W62" s="1783"/>
      <c r="X62" s="1783"/>
      <c r="Y62" s="1783"/>
      <c r="Z62" s="1783"/>
      <c r="AA62" s="1783"/>
      <c r="AB62" s="1783"/>
      <c r="AC62" s="1783"/>
    </row>
    <row r="63" spans="1:29">
      <c r="A63" s="3"/>
      <c r="B63" s="1869"/>
      <c r="C63" s="1870"/>
      <c r="D63" s="1875"/>
      <c r="E63" s="1872"/>
      <c r="F63" s="1872"/>
      <c r="G63" s="1872"/>
      <c r="H63" s="1872"/>
      <c r="I63" s="1863">
        <f t="shared" si="0"/>
        <v>0</v>
      </c>
      <c r="J63" s="3"/>
      <c r="K63" s="1783"/>
      <c r="L63" s="1783"/>
      <c r="M63" s="1783"/>
      <c r="N63" s="1783"/>
      <c r="O63" s="1783"/>
      <c r="P63" s="1783"/>
      <c r="Q63" s="1783"/>
      <c r="R63" s="1783"/>
      <c r="S63" s="1783"/>
      <c r="T63" s="1783"/>
      <c r="U63" s="1783"/>
      <c r="V63" s="1783"/>
      <c r="W63" s="1783"/>
      <c r="X63" s="1783"/>
      <c r="Y63" s="1783"/>
      <c r="Z63" s="1783"/>
      <c r="AA63" s="1783"/>
      <c r="AB63" s="1783"/>
      <c r="AC63" s="1783"/>
    </row>
    <row r="64" spans="1:29">
      <c r="A64" s="3"/>
      <c r="B64" s="1869"/>
      <c r="C64" s="1870"/>
      <c r="D64" s="1875"/>
      <c r="E64" s="1872"/>
      <c r="F64" s="1872"/>
      <c r="G64" s="1872"/>
      <c r="H64" s="1872"/>
      <c r="I64" s="1863">
        <f t="shared" si="0"/>
        <v>0</v>
      </c>
      <c r="J64" s="3"/>
      <c r="K64" s="1783"/>
      <c r="L64" s="1783"/>
      <c r="M64" s="1783"/>
      <c r="N64" s="1783"/>
      <c r="O64" s="1783"/>
      <c r="P64" s="1783"/>
      <c r="Q64" s="1783"/>
      <c r="R64" s="1783"/>
      <c r="S64" s="1783"/>
      <c r="T64" s="1783"/>
      <c r="U64" s="1783"/>
      <c r="V64" s="1783"/>
      <c r="W64" s="1783"/>
      <c r="X64" s="1783"/>
      <c r="Y64" s="1783"/>
      <c r="Z64" s="1783"/>
      <c r="AA64" s="1783"/>
      <c r="AB64" s="1783"/>
      <c r="AC64" s="1783"/>
    </row>
    <row r="65" spans="1:29">
      <c r="A65" s="3"/>
      <c r="B65" s="1869"/>
      <c r="C65" s="1870"/>
      <c r="D65" s="1875"/>
      <c r="E65" s="1872"/>
      <c r="F65" s="1872"/>
      <c r="G65" s="1872"/>
      <c r="H65" s="1872"/>
      <c r="I65" s="1863">
        <f t="shared" si="0"/>
        <v>0</v>
      </c>
      <c r="J65" s="3"/>
      <c r="K65" s="1783"/>
      <c r="L65" s="1783"/>
      <c r="M65" s="1783"/>
      <c r="N65" s="1783"/>
      <c r="O65" s="1783"/>
      <c r="P65" s="1783"/>
      <c r="Q65" s="1783"/>
      <c r="R65" s="1783"/>
      <c r="S65" s="1783"/>
      <c r="T65" s="1783"/>
      <c r="U65" s="1783"/>
      <c r="V65" s="1783"/>
      <c r="W65" s="1783"/>
      <c r="X65" s="1783"/>
      <c r="Y65" s="1783"/>
      <c r="Z65" s="1783"/>
      <c r="AA65" s="1783"/>
      <c r="AB65" s="1783"/>
      <c r="AC65" s="1783"/>
    </row>
    <row r="66" spans="1:29">
      <c r="A66" s="3"/>
      <c r="B66" s="1869"/>
      <c r="C66" s="1870"/>
      <c r="D66" s="1875"/>
      <c r="E66" s="1872"/>
      <c r="F66" s="1872"/>
      <c r="G66" s="1872"/>
      <c r="H66" s="1872"/>
      <c r="I66" s="1863">
        <f t="shared" si="0"/>
        <v>0</v>
      </c>
      <c r="J66" s="3"/>
      <c r="K66" s="1783"/>
      <c r="L66" s="1783"/>
      <c r="M66" s="1783"/>
      <c r="N66" s="1783"/>
      <c r="O66" s="1783"/>
      <c r="P66" s="1783"/>
      <c r="Q66" s="1783"/>
      <c r="R66" s="1783"/>
      <c r="S66" s="1783"/>
      <c r="T66" s="1783"/>
      <c r="U66" s="1783"/>
      <c r="V66" s="1783"/>
      <c r="W66" s="1783"/>
      <c r="X66" s="1783"/>
      <c r="Y66" s="1783"/>
      <c r="Z66" s="1783"/>
      <c r="AA66" s="1783"/>
      <c r="AB66" s="1783"/>
      <c r="AC66" s="1783"/>
    </row>
    <row r="67" spans="1:29">
      <c r="A67" s="3"/>
      <c r="B67" s="1869"/>
      <c r="C67" s="1870"/>
      <c r="D67" s="1875"/>
      <c r="E67" s="1872"/>
      <c r="F67" s="1872"/>
      <c r="G67" s="1872"/>
      <c r="H67" s="1872"/>
      <c r="I67" s="1863">
        <f t="shared" si="0"/>
        <v>0</v>
      </c>
      <c r="J67" s="3"/>
      <c r="K67" s="1783"/>
      <c r="L67" s="1783"/>
      <c r="M67" s="1783"/>
      <c r="N67" s="1783"/>
      <c r="O67" s="1783"/>
      <c r="P67" s="1783"/>
      <c r="Q67" s="1783"/>
      <c r="R67" s="1783"/>
      <c r="S67" s="1783"/>
      <c r="T67" s="1783"/>
      <c r="U67" s="1783"/>
      <c r="V67" s="1783"/>
      <c r="W67" s="1783"/>
      <c r="X67" s="1783"/>
      <c r="Y67" s="1783"/>
      <c r="Z67" s="1783"/>
      <c r="AA67" s="1783"/>
      <c r="AB67" s="1783"/>
      <c r="AC67" s="1783"/>
    </row>
    <row r="68" spans="1:29">
      <c r="A68" s="3"/>
      <c r="B68" s="1869"/>
      <c r="C68" s="1870"/>
      <c r="D68" s="1875"/>
      <c r="E68" s="1872"/>
      <c r="F68" s="1872"/>
      <c r="G68" s="1872"/>
      <c r="H68" s="1872"/>
      <c r="I68" s="1863">
        <f t="shared" si="0"/>
        <v>0</v>
      </c>
      <c r="J68" s="3"/>
      <c r="K68" s="1783"/>
      <c r="L68" s="1783"/>
      <c r="M68" s="1783"/>
      <c r="N68" s="1783"/>
      <c r="O68" s="1783"/>
      <c r="P68" s="1783"/>
      <c r="Q68" s="1783"/>
      <c r="R68" s="1783"/>
      <c r="S68" s="1783"/>
      <c r="T68" s="1783"/>
      <c r="U68" s="1783"/>
      <c r="V68" s="1783"/>
      <c r="W68" s="1783"/>
      <c r="X68" s="1783"/>
      <c r="Y68" s="1783"/>
      <c r="Z68" s="1783"/>
      <c r="AA68" s="1783"/>
      <c r="AB68" s="1783"/>
      <c r="AC68" s="1783"/>
    </row>
    <row r="69" spans="1:29">
      <c r="A69" s="3"/>
      <c r="B69" s="1869"/>
      <c r="C69" s="1870"/>
      <c r="D69" s="1875"/>
      <c r="E69" s="1872"/>
      <c r="F69" s="1872"/>
      <c r="G69" s="1872"/>
      <c r="H69" s="1872"/>
      <c r="I69" s="1863">
        <f t="shared" si="0"/>
        <v>0</v>
      </c>
      <c r="J69" s="3"/>
      <c r="K69" s="1783"/>
      <c r="L69" s="1783"/>
      <c r="M69" s="1783"/>
      <c r="N69" s="1783"/>
      <c r="O69" s="1783"/>
      <c r="P69" s="1783"/>
      <c r="Q69" s="1783"/>
      <c r="R69" s="1783"/>
      <c r="S69" s="1783"/>
      <c r="T69" s="1783"/>
      <c r="U69" s="1783"/>
      <c r="V69" s="1783"/>
      <c r="W69" s="1783"/>
      <c r="X69" s="1783"/>
      <c r="Y69" s="1783"/>
      <c r="Z69" s="1783"/>
      <c r="AA69" s="1783"/>
      <c r="AB69" s="1783"/>
      <c r="AC69" s="1783"/>
    </row>
    <row r="70" spans="1:29">
      <c r="A70" s="3"/>
      <c r="B70" s="1869"/>
      <c r="C70" s="1870"/>
      <c r="D70" s="1875"/>
      <c r="E70" s="1872"/>
      <c r="F70" s="1872"/>
      <c r="G70" s="1872"/>
      <c r="H70" s="1872"/>
      <c r="I70" s="1863">
        <f t="shared" si="0"/>
        <v>0</v>
      </c>
      <c r="J70" s="3"/>
      <c r="K70" s="1783"/>
      <c r="L70" s="1783"/>
      <c r="M70" s="1783"/>
      <c r="N70" s="1783"/>
      <c r="O70" s="1783"/>
      <c r="P70" s="1783"/>
      <c r="Q70" s="1783"/>
      <c r="R70" s="1783"/>
      <c r="S70" s="1783"/>
      <c r="T70" s="1783"/>
      <c r="U70" s="1783"/>
      <c r="V70" s="1783"/>
      <c r="W70" s="1783"/>
      <c r="X70" s="1783"/>
      <c r="Y70" s="1783"/>
      <c r="Z70" s="1783"/>
      <c r="AA70" s="1783"/>
      <c r="AB70" s="1783"/>
      <c r="AC70" s="1783"/>
    </row>
    <row r="71" spans="1:29">
      <c r="A71" s="3"/>
      <c r="B71" s="1869"/>
      <c r="C71" s="1870"/>
      <c r="D71" s="1875"/>
      <c r="E71" s="1872"/>
      <c r="F71" s="1872"/>
      <c r="G71" s="1872"/>
      <c r="H71" s="1872"/>
      <c r="I71" s="1863">
        <f t="shared" si="0"/>
        <v>0</v>
      </c>
      <c r="J71" s="3"/>
      <c r="K71" s="1783"/>
      <c r="L71" s="1783"/>
      <c r="M71" s="1783"/>
      <c r="N71" s="1783"/>
      <c r="O71" s="1783"/>
      <c r="P71" s="1783"/>
      <c r="Q71" s="1783"/>
      <c r="R71" s="1783"/>
      <c r="S71" s="1783"/>
      <c r="T71" s="1783"/>
      <c r="U71" s="1783"/>
      <c r="V71" s="1783"/>
      <c r="W71" s="1783"/>
      <c r="X71" s="1783"/>
      <c r="Y71" s="1783"/>
      <c r="Z71" s="1783"/>
      <c r="AA71" s="1783"/>
      <c r="AB71" s="1783"/>
      <c r="AC71" s="1783"/>
    </row>
    <row r="72" spans="1:29" ht="15.75">
      <c r="A72" s="3"/>
      <c r="B72" s="27"/>
      <c r="C72" s="3"/>
      <c r="D72" s="3"/>
      <c r="E72" s="3"/>
      <c r="F72" s="3"/>
      <c r="G72" s="3"/>
      <c r="H72" s="3"/>
      <c r="I72" s="3"/>
      <c r="J72" s="3"/>
      <c r="K72" s="1783"/>
      <c r="L72" s="1783"/>
      <c r="M72" s="1783"/>
      <c r="N72" s="1783"/>
      <c r="O72" s="1783"/>
      <c r="P72" s="1783"/>
      <c r="Q72" s="1783"/>
      <c r="R72" s="1783"/>
      <c r="S72" s="1783"/>
      <c r="T72" s="1783"/>
      <c r="U72" s="1783"/>
      <c r="V72" s="1783"/>
      <c r="W72" s="1783"/>
      <c r="X72" s="1783"/>
      <c r="Y72" s="1783"/>
      <c r="Z72" s="1783"/>
      <c r="AA72" s="1783"/>
      <c r="AB72" s="1783"/>
      <c r="AC72" s="1783"/>
    </row>
    <row r="73" spans="1:29">
      <c r="A73" s="1783"/>
      <c r="B73" s="1783"/>
      <c r="C73" s="1783"/>
      <c r="D73" s="1783"/>
      <c r="E73" s="1783"/>
      <c r="F73" s="1783"/>
      <c r="G73" s="1783"/>
      <c r="H73" s="1783"/>
      <c r="I73" s="1783"/>
      <c r="J73" s="1783"/>
      <c r="K73" s="1783"/>
      <c r="L73" s="1783"/>
      <c r="M73" s="1783"/>
      <c r="N73" s="1783"/>
      <c r="O73" s="1783"/>
      <c r="P73" s="1783"/>
      <c r="Q73" s="1783"/>
      <c r="R73" s="1783"/>
      <c r="S73" s="1783"/>
      <c r="T73" s="1783"/>
      <c r="U73" s="1783"/>
      <c r="V73" s="1783"/>
      <c r="W73" s="1783"/>
      <c r="X73" s="1783"/>
      <c r="Y73" s="1783"/>
      <c r="Z73" s="1783"/>
      <c r="AA73" s="1783"/>
      <c r="AB73" s="1783"/>
      <c r="AC73" s="1783"/>
    </row>
    <row r="74" spans="1:29">
      <c r="A74" s="1783"/>
      <c r="B74" s="1783"/>
      <c r="C74" s="1783"/>
      <c r="D74" s="1783"/>
      <c r="E74" s="1783"/>
      <c r="F74" s="1783"/>
      <c r="G74" s="1783"/>
      <c r="H74" s="1783"/>
      <c r="I74" s="1783"/>
      <c r="J74" s="1783"/>
      <c r="K74" s="1783"/>
      <c r="L74" s="1783"/>
      <c r="M74" s="1783"/>
      <c r="N74" s="1783"/>
      <c r="O74" s="1783"/>
      <c r="P74" s="1783"/>
      <c r="Q74" s="1783"/>
      <c r="R74" s="1783"/>
      <c r="S74" s="1783"/>
      <c r="T74" s="1783"/>
      <c r="U74" s="1783"/>
      <c r="V74" s="1783"/>
      <c r="W74" s="1783"/>
      <c r="X74" s="1783"/>
      <c r="Y74" s="1783"/>
      <c r="Z74" s="1783"/>
      <c r="AA74" s="1783"/>
      <c r="AB74" s="1783"/>
      <c r="AC74" s="1783"/>
    </row>
    <row r="75" spans="1:29">
      <c r="A75" s="1783"/>
      <c r="B75" s="1783"/>
      <c r="C75" s="1783"/>
      <c r="D75" s="1783"/>
      <c r="E75" s="1783"/>
      <c r="F75" s="1783"/>
      <c r="G75" s="1783"/>
      <c r="H75" s="1783"/>
      <c r="I75" s="1783"/>
      <c r="J75" s="1783"/>
      <c r="K75" s="1783"/>
      <c r="L75" s="1783"/>
      <c r="M75" s="1783"/>
      <c r="N75" s="1783"/>
      <c r="O75" s="1783"/>
      <c r="P75" s="1783"/>
      <c r="Q75" s="1783"/>
      <c r="R75" s="1783"/>
      <c r="S75" s="1783"/>
      <c r="T75" s="1783"/>
      <c r="U75" s="1783"/>
      <c r="V75" s="1783"/>
      <c r="W75" s="1783"/>
      <c r="X75" s="1783"/>
      <c r="Y75" s="1783"/>
      <c r="Z75" s="1783"/>
      <c r="AA75" s="1783"/>
      <c r="AB75" s="1783"/>
      <c r="AC75" s="1783"/>
    </row>
    <row r="76" spans="1:29">
      <c r="A76" s="1783"/>
      <c r="B76" s="1783"/>
      <c r="C76" s="1783"/>
      <c r="D76" s="1783"/>
      <c r="E76" s="1783"/>
      <c r="F76" s="1783"/>
      <c r="G76" s="1783"/>
      <c r="H76" s="1783"/>
      <c r="I76" s="1783"/>
      <c r="J76" s="1783"/>
      <c r="K76" s="1783"/>
      <c r="L76" s="1783"/>
      <c r="M76" s="1783"/>
      <c r="N76" s="1783"/>
      <c r="O76" s="1783"/>
      <c r="P76" s="1783"/>
      <c r="Q76" s="1783"/>
      <c r="R76" s="1783"/>
      <c r="S76" s="1783"/>
      <c r="T76" s="1783"/>
      <c r="U76" s="1783"/>
      <c r="V76" s="1783"/>
      <c r="W76" s="1783"/>
      <c r="X76" s="1783"/>
      <c r="Y76" s="1783"/>
      <c r="Z76" s="1783"/>
      <c r="AA76" s="1783"/>
      <c r="AB76" s="1783"/>
      <c r="AC76" s="1783"/>
    </row>
    <row r="77" spans="1:29">
      <c r="A77" s="1783"/>
      <c r="B77" s="1783"/>
      <c r="C77" s="1783"/>
      <c r="D77" s="1783"/>
      <c r="E77" s="1783"/>
      <c r="F77" s="1783"/>
      <c r="G77" s="1783"/>
      <c r="H77" s="1783"/>
      <c r="I77" s="1783"/>
      <c r="J77" s="1783"/>
      <c r="K77" s="1783"/>
      <c r="L77" s="1783"/>
      <c r="M77" s="1783"/>
      <c r="N77" s="1783"/>
      <c r="O77" s="1783"/>
      <c r="P77" s="1783"/>
      <c r="Q77" s="1783"/>
      <c r="R77" s="1783"/>
      <c r="S77" s="1783"/>
      <c r="T77" s="1783"/>
      <c r="U77" s="1783"/>
      <c r="V77" s="1783"/>
      <c r="W77" s="1783"/>
      <c r="X77" s="1783"/>
      <c r="Y77" s="1783"/>
      <c r="Z77" s="1783"/>
      <c r="AA77" s="1783"/>
      <c r="AB77" s="1783"/>
      <c r="AC77" s="1783"/>
    </row>
    <row r="78" spans="1:29">
      <c r="A78" s="1783"/>
      <c r="B78" s="1783"/>
      <c r="C78" s="1783"/>
      <c r="D78" s="1783"/>
      <c r="E78" s="1783"/>
      <c r="F78" s="1783"/>
      <c r="G78" s="1783"/>
      <c r="H78" s="1783"/>
      <c r="I78" s="1783"/>
      <c r="J78" s="1783"/>
      <c r="K78" s="1783"/>
      <c r="L78" s="1783"/>
      <c r="M78" s="1783"/>
      <c r="N78" s="1783"/>
      <c r="O78" s="1783"/>
      <c r="P78" s="1783"/>
      <c r="Q78" s="1783"/>
      <c r="R78" s="1783"/>
      <c r="S78" s="1783"/>
      <c r="T78" s="1783"/>
      <c r="U78" s="1783"/>
      <c r="V78" s="1783"/>
      <c r="W78" s="1783"/>
      <c r="X78" s="1783"/>
      <c r="Y78" s="1783"/>
      <c r="Z78" s="1783"/>
      <c r="AA78" s="1783"/>
      <c r="AB78" s="1783"/>
      <c r="AC78" s="1783"/>
    </row>
    <row r="79" spans="1:29">
      <c r="A79" s="1783"/>
      <c r="B79" s="1783"/>
      <c r="C79" s="1783"/>
      <c r="D79" s="1783"/>
      <c r="E79" s="1783"/>
      <c r="F79" s="1783"/>
      <c r="G79" s="1783"/>
      <c r="H79" s="1783"/>
      <c r="I79" s="1783"/>
      <c r="J79" s="1783"/>
      <c r="K79" s="1783"/>
      <c r="L79" s="1783"/>
      <c r="M79" s="1783"/>
      <c r="N79" s="1783"/>
      <c r="O79" s="1783"/>
      <c r="P79" s="1783"/>
      <c r="Q79" s="1783"/>
      <c r="R79" s="1783"/>
      <c r="S79" s="1783"/>
      <c r="T79" s="1783"/>
      <c r="U79" s="1783"/>
      <c r="V79" s="1783"/>
      <c r="W79" s="1783"/>
      <c r="X79" s="1783"/>
      <c r="Y79" s="1783"/>
      <c r="Z79" s="1783"/>
      <c r="AA79" s="1783"/>
      <c r="AB79" s="1783"/>
      <c r="AC79" s="1783"/>
    </row>
    <row r="80" spans="1:29">
      <c r="A80" s="1783"/>
      <c r="B80" s="1783"/>
      <c r="C80" s="1783"/>
      <c r="D80" s="1783"/>
      <c r="E80" s="1783"/>
      <c r="F80" s="1783"/>
      <c r="G80" s="1783"/>
      <c r="H80" s="1783"/>
      <c r="I80" s="1783"/>
      <c r="J80" s="1783"/>
      <c r="K80" s="1783"/>
      <c r="L80" s="1783"/>
      <c r="M80" s="1783"/>
      <c r="N80" s="1783"/>
      <c r="O80" s="1783"/>
      <c r="P80" s="1783"/>
      <c r="Q80" s="1783"/>
      <c r="R80" s="1783"/>
      <c r="S80" s="1783"/>
      <c r="T80" s="1783"/>
      <c r="U80" s="1783"/>
      <c r="V80" s="1783"/>
      <c r="W80" s="1783"/>
      <c r="X80" s="1783"/>
      <c r="Y80" s="1783"/>
      <c r="Z80" s="1783"/>
      <c r="AA80" s="1783"/>
      <c r="AB80" s="1783"/>
      <c r="AC80" s="1783"/>
    </row>
    <row r="81" spans="1:29">
      <c r="A81" s="1783"/>
      <c r="B81" s="1783"/>
      <c r="C81" s="1783"/>
      <c r="D81" s="1783"/>
      <c r="E81" s="1783"/>
      <c r="F81" s="1783"/>
      <c r="G81" s="1783"/>
      <c r="H81" s="1783"/>
      <c r="I81" s="1783"/>
      <c r="J81" s="1783"/>
      <c r="K81" s="1783"/>
      <c r="L81" s="1783"/>
      <c r="M81" s="1783"/>
      <c r="N81" s="1783"/>
      <c r="O81" s="1783"/>
      <c r="P81" s="1783"/>
      <c r="Q81" s="1783"/>
      <c r="R81" s="1783"/>
      <c r="S81" s="1783"/>
      <c r="T81" s="1783"/>
      <c r="U81" s="1783"/>
      <c r="V81" s="1783"/>
      <c r="W81" s="1783"/>
      <c r="X81" s="1783"/>
      <c r="Y81" s="1783"/>
      <c r="Z81" s="1783"/>
      <c r="AA81" s="1783"/>
      <c r="AB81" s="1783"/>
      <c r="AC81" s="1783"/>
    </row>
    <row r="82" spans="1:29">
      <c r="A82" s="1783"/>
      <c r="B82" s="1783"/>
      <c r="C82" s="1783"/>
      <c r="D82" s="1783"/>
      <c r="E82" s="1783"/>
      <c r="F82" s="1783"/>
      <c r="G82" s="1783"/>
      <c r="H82" s="1783"/>
      <c r="I82" s="1783"/>
      <c r="J82" s="1783"/>
      <c r="K82" s="1783"/>
      <c r="L82" s="1783"/>
      <c r="M82" s="1783"/>
      <c r="N82" s="1783"/>
      <c r="O82" s="1783"/>
      <c r="P82" s="1783"/>
      <c r="Q82" s="1783"/>
      <c r="R82" s="1783"/>
      <c r="S82" s="1783"/>
      <c r="T82" s="1783"/>
      <c r="U82" s="1783"/>
      <c r="V82" s="1783"/>
      <c r="W82" s="1783"/>
      <c r="X82" s="1783"/>
      <c r="Y82" s="1783"/>
      <c r="Z82" s="1783"/>
      <c r="AA82" s="1783"/>
      <c r="AB82" s="1783"/>
      <c r="AC82" s="1783"/>
    </row>
    <row r="83" spans="1:29">
      <c r="A83" s="1783"/>
      <c r="B83" s="1783"/>
      <c r="C83" s="1783"/>
      <c r="D83" s="1783"/>
      <c r="E83" s="1783"/>
      <c r="F83" s="1783"/>
      <c r="G83" s="1783"/>
      <c r="H83" s="1783"/>
      <c r="I83" s="1783"/>
      <c r="J83" s="1783"/>
      <c r="K83" s="1783"/>
      <c r="L83" s="1783"/>
      <c r="M83" s="1783"/>
      <c r="N83" s="1783"/>
      <c r="O83" s="1783"/>
      <c r="P83" s="1783"/>
      <c r="Q83" s="1783"/>
      <c r="R83" s="1783"/>
      <c r="S83" s="1783"/>
      <c r="T83" s="1783"/>
      <c r="U83" s="1783"/>
      <c r="V83" s="1783"/>
      <c r="W83" s="1783"/>
      <c r="X83" s="1783"/>
      <c r="Y83" s="1783"/>
      <c r="Z83" s="1783"/>
      <c r="AA83" s="1783"/>
      <c r="AB83" s="1783"/>
      <c r="AC83" s="1783"/>
    </row>
    <row r="84" spans="1:29">
      <c r="A84" s="1783"/>
      <c r="B84" s="1783"/>
      <c r="C84" s="1783"/>
      <c r="D84" s="1783"/>
      <c r="E84" s="1783"/>
      <c r="F84" s="1783"/>
      <c r="G84" s="1783"/>
      <c r="H84" s="1783"/>
      <c r="I84" s="1783"/>
      <c r="J84" s="1783"/>
      <c r="K84" s="1783"/>
      <c r="L84" s="1783"/>
      <c r="M84" s="1783"/>
      <c r="N84" s="1783"/>
      <c r="O84" s="1783"/>
      <c r="P84" s="1783"/>
      <c r="Q84" s="1783"/>
      <c r="R84" s="1783"/>
      <c r="S84" s="1783"/>
      <c r="T84" s="1783"/>
      <c r="U84" s="1783"/>
      <c r="V84" s="1783"/>
      <c r="W84" s="1783"/>
      <c r="X84" s="1783"/>
      <c r="Y84" s="1783"/>
      <c r="Z84" s="1783"/>
      <c r="AA84" s="1783"/>
      <c r="AB84" s="1783"/>
      <c r="AC84" s="1783"/>
    </row>
    <row r="85" spans="1:29">
      <c r="A85" s="1783"/>
      <c r="B85" s="1783"/>
      <c r="C85" s="1783"/>
      <c r="D85" s="1783"/>
      <c r="E85" s="1783"/>
      <c r="F85" s="1783"/>
      <c r="G85" s="1783"/>
      <c r="H85" s="1783"/>
      <c r="I85" s="1783"/>
      <c r="J85" s="1783"/>
      <c r="K85" s="1783"/>
      <c r="L85" s="1783"/>
      <c r="M85" s="1783"/>
      <c r="N85" s="1783"/>
      <c r="O85" s="1783"/>
      <c r="P85" s="1783"/>
      <c r="Q85" s="1783"/>
      <c r="R85" s="1783"/>
      <c r="S85" s="1783"/>
      <c r="T85" s="1783"/>
      <c r="U85" s="1783"/>
      <c r="V85" s="1783"/>
      <c r="W85" s="1783"/>
      <c r="X85" s="1783"/>
      <c r="Y85" s="1783"/>
      <c r="Z85" s="1783"/>
      <c r="AA85" s="1783"/>
      <c r="AB85" s="1783"/>
      <c r="AC85" s="1783"/>
    </row>
    <row r="86" spans="1:29">
      <c r="A86" s="1783"/>
      <c r="B86" s="1783"/>
      <c r="C86" s="1783"/>
      <c r="D86" s="1783"/>
      <c r="E86" s="1783"/>
      <c r="F86" s="1783"/>
      <c r="G86" s="1783"/>
      <c r="H86" s="1783"/>
      <c r="I86" s="1783"/>
      <c r="J86" s="1783"/>
      <c r="K86" s="1783"/>
      <c r="L86" s="1783"/>
      <c r="M86" s="1783"/>
      <c r="N86" s="1783"/>
      <c r="O86" s="1783"/>
      <c r="P86" s="1783"/>
      <c r="Q86" s="1783"/>
      <c r="R86" s="1783"/>
      <c r="S86" s="1783"/>
      <c r="T86" s="1783"/>
      <c r="U86" s="1783"/>
      <c r="V86" s="1783"/>
      <c r="W86" s="1783"/>
      <c r="X86" s="1783"/>
      <c r="Y86" s="1783"/>
      <c r="Z86" s="1783"/>
      <c r="AA86" s="1783"/>
      <c r="AB86" s="1783"/>
      <c r="AC86" s="1783"/>
    </row>
    <row r="87" spans="1:29">
      <c r="A87" s="1783"/>
      <c r="B87" s="1783"/>
      <c r="C87" s="1783"/>
      <c r="D87" s="1783"/>
      <c r="E87" s="1783"/>
      <c r="F87" s="1783"/>
      <c r="G87" s="1783"/>
      <c r="H87" s="1783"/>
      <c r="I87" s="1783"/>
      <c r="J87" s="1783"/>
      <c r="K87" s="1783"/>
      <c r="L87" s="1783"/>
      <c r="M87" s="1783"/>
      <c r="N87" s="1783"/>
      <c r="O87" s="1783"/>
      <c r="P87" s="1783"/>
      <c r="Q87" s="1783"/>
      <c r="R87" s="1783"/>
      <c r="S87" s="1783"/>
      <c r="T87" s="1783"/>
      <c r="U87" s="1783"/>
      <c r="V87" s="1783"/>
      <c r="W87" s="1783"/>
      <c r="X87" s="1783"/>
      <c r="Y87" s="1783"/>
      <c r="Z87" s="1783"/>
      <c r="AA87" s="1783"/>
      <c r="AB87" s="1783"/>
      <c r="AC87" s="1783"/>
    </row>
    <row r="88" spans="1:29">
      <c r="A88" s="1783"/>
      <c r="B88" s="1783"/>
      <c r="C88" s="1783"/>
      <c r="D88" s="1783"/>
      <c r="E88" s="1783"/>
      <c r="F88" s="1783"/>
      <c r="G88" s="1783"/>
      <c r="H88" s="1783"/>
      <c r="I88" s="1783"/>
      <c r="J88" s="1783"/>
      <c r="K88" s="1783"/>
      <c r="L88" s="1783"/>
      <c r="M88" s="1783"/>
      <c r="N88" s="1783"/>
      <c r="O88" s="1783"/>
      <c r="P88" s="1783"/>
      <c r="Q88" s="1783"/>
      <c r="R88" s="1783"/>
      <c r="S88" s="1783"/>
      <c r="T88" s="1783"/>
      <c r="U88" s="1783"/>
      <c r="V88" s="1783"/>
      <c r="W88" s="1783"/>
      <c r="X88" s="1783"/>
      <c r="Y88" s="1783"/>
      <c r="Z88" s="1783"/>
      <c r="AA88" s="1783"/>
      <c r="AB88" s="1783"/>
      <c r="AC88" s="1783"/>
    </row>
    <row r="89" spans="1:29">
      <c r="A89" s="1783"/>
      <c r="B89" s="1783"/>
      <c r="C89" s="1783"/>
      <c r="D89" s="1783"/>
      <c r="E89" s="1783"/>
      <c r="F89" s="1783"/>
      <c r="G89" s="1783"/>
      <c r="H89" s="1783"/>
      <c r="I89" s="1783"/>
      <c r="J89" s="1783"/>
      <c r="K89" s="1783"/>
      <c r="L89" s="1783"/>
      <c r="M89" s="1783"/>
      <c r="N89" s="1783"/>
      <c r="O89" s="1783"/>
      <c r="P89" s="1783"/>
      <c r="Q89" s="1783"/>
      <c r="R89" s="1783"/>
      <c r="S89" s="1783"/>
      <c r="T89" s="1783"/>
      <c r="U89" s="1783"/>
      <c r="V89" s="1783"/>
      <c r="W89" s="1783"/>
      <c r="X89" s="1783"/>
      <c r="Y89" s="1783"/>
      <c r="Z89" s="1783"/>
      <c r="AA89" s="1783"/>
      <c r="AB89" s="1783"/>
      <c r="AC89" s="1783"/>
    </row>
    <row r="90" spans="1:29">
      <c r="A90" s="1783"/>
      <c r="B90" s="1783"/>
      <c r="C90" s="1783"/>
      <c r="D90" s="1783"/>
      <c r="E90" s="1783"/>
      <c r="F90" s="1783"/>
      <c r="G90" s="1783"/>
      <c r="H90" s="1783"/>
      <c r="I90" s="1783"/>
      <c r="J90" s="1783"/>
      <c r="K90" s="1783"/>
      <c r="L90" s="1783"/>
      <c r="M90" s="1783"/>
      <c r="N90" s="1783"/>
      <c r="O90" s="1783"/>
      <c r="P90" s="1783"/>
      <c r="Q90" s="1783"/>
      <c r="R90" s="1783"/>
      <c r="S90" s="1783"/>
      <c r="T90" s="1783"/>
      <c r="U90" s="1783"/>
      <c r="V90" s="1783"/>
      <c r="W90" s="1783"/>
      <c r="X90" s="1783"/>
      <c r="Y90" s="1783"/>
      <c r="Z90" s="1783"/>
      <c r="AA90" s="1783"/>
      <c r="AB90" s="1783"/>
      <c r="AC90" s="1783"/>
    </row>
    <row r="91" spans="1:29">
      <c r="A91" s="1783"/>
      <c r="B91" s="1783"/>
      <c r="C91" s="1783"/>
      <c r="D91" s="1783"/>
      <c r="E91" s="1783"/>
      <c r="F91" s="1783"/>
      <c r="G91" s="1783"/>
      <c r="H91" s="1783"/>
      <c r="I91" s="1783"/>
      <c r="J91" s="1783"/>
      <c r="K91" s="1783"/>
      <c r="L91" s="1783"/>
      <c r="M91" s="1783"/>
      <c r="N91" s="1783"/>
      <c r="O91" s="1783"/>
      <c r="P91" s="1783"/>
      <c r="Q91" s="1783"/>
      <c r="R91" s="1783"/>
      <c r="S91" s="1783"/>
      <c r="T91" s="1783"/>
      <c r="U91" s="1783"/>
      <c r="V91" s="1783"/>
      <c r="W91" s="1783"/>
      <c r="X91" s="1783"/>
      <c r="Y91" s="1783"/>
      <c r="Z91" s="1783"/>
      <c r="AA91" s="1783"/>
      <c r="AB91" s="1783"/>
      <c r="AC91" s="1783"/>
    </row>
    <row r="92" spans="1:29">
      <c r="A92" s="1783"/>
      <c r="B92" s="1783"/>
      <c r="C92" s="1783"/>
      <c r="D92" s="1783"/>
      <c r="E92" s="1783"/>
      <c r="F92" s="1783"/>
      <c r="G92" s="1783"/>
      <c r="H92" s="1783"/>
      <c r="I92" s="1783"/>
      <c r="J92" s="1783"/>
      <c r="K92" s="1783"/>
      <c r="L92" s="1783"/>
      <c r="M92" s="1783"/>
      <c r="N92" s="1783"/>
      <c r="O92" s="1783"/>
      <c r="P92" s="1783"/>
      <c r="Q92" s="1783"/>
      <c r="R92" s="1783"/>
      <c r="S92" s="1783"/>
      <c r="T92" s="1783"/>
      <c r="U92" s="1783"/>
      <c r="V92" s="1783"/>
      <c r="W92" s="1783"/>
      <c r="X92" s="1783"/>
      <c r="Y92" s="1783"/>
      <c r="Z92" s="1783"/>
      <c r="AA92" s="1783"/>
      <c r="AB92" s="1783"/>
      <c r="AC92" s="1783"/>
    </row>
    <row r="93" spans="1:29">
      <c r="A93" s="1783"/>
      <c r="B93" s="1783"/>
      <c r="C93" s="1783"/>
      <c r="D93" s="1783"/>
      <c r="E93" s="1783"/>
      <c r="F93" s="1783"/>
      <c r="G93" s="1783"/>
      <c r="H93" s="1783"/>
      <c r="I93" s="1783"/>
      <c r="J93" s="1783"/>
      <c r="K93" s="1783"/>
      <c r="L93" s="1783"/>
      <c r="M93" s="1783"/>
      <c r="N93" s="1783"/>
      <c r="O93" s="1783"/>
      <c r="P93" s="1783"/>
      <c r="Q93" s="1783"/>
      <c r="R93" s="1783"/>
      <c r="S93" s="1783"/>
      <c r="T93" s="1783"/>
      <c r="U93" s="1783"/>
      <c r="V93" s="1783"/>
      <c r="W93" s="1783"/>
      <c r="X93" s="1783"/>
      <c r="Y93" s="1783"/>
      <c r="Z93" s="1783"/>
      <c r="AA93" s="1783"/>
      <c r="AB93" s="1783"/>
      <c r="AC93" s="1783"/>
    </row>
    <row r="94" spans="1:29">
      <c r="A94" s="1783"/>
      <c r="B94" s="1783"/>
      <c r="C94" s="1783"/>
      <c r="D94" s="1783"/>
      <c r="E94" s="1783"/>
      <c r="F94" s="1783"/>
      <c r="G94" s="1783"/>
      <c r="H94" s="1783"/>
      <c r="I94" s="1783"/>
      <c r="J94" s="1783"/>
      <c r="K94" s="1783"/>
      <c r="L94" s="1783"/>
      <c r="M94" s="1783"/>
      <c r="N94" s="1783"/>
      <c r="O94" s="1783"/>
      <c r="P94" s="1783"/>
      <c r="Q94" s="1783"/>
      <c r="R94" s="1783"/>
      <c r="S94" s="1783"/>
      <c r="T94" s="1783"/>
      <c r="U94" s="1783"/>
      <c r="V94" s="1783"/>
      <c r="W94" s="1783"/>
      <c r="X94" s="1783"/>
      <c r="Y94" s="1783"/>
      <c r="Z94" s="1783"/>
      <c r="AA94" s="1783"/>
      <c r="AB94" s="1783"/>
      <c r="AC94" s="1783"/>
    </row>
    <row r="95" spans="1:29">
      <c r="A95" s="1783"/>
      <c r="B95" s="1783"/>
      <c r="C95" s="1783"/>
      <c r="D95" s="1783"/>
      <c r="E95" s="1783"/>
      <c r="F95" s="1783"/>
      <c r="G95" s="1783"/>
      <c r="H95" s="1783"/>
      <c r="I95" s="1783"/>
      <c r="J95" s="1783"/>
      <c r="K95" s="1783"/>
      <c r="L95" s="1783"/>
      <c r="M95" s="1783"/>
      <c r="N95" s="1783"/>
      <c r="O95" s="1783"/>
      <c r="P95" s="1783"/>
      <c r="Q95" s="1783"/>
      <c r="R95" s="1783"/>
      <c r="S95" s="1783"/>
      <c r="T95" s="1783"/>
      <c r="U95" s="1783"/>
      <c r="V95" s="1783"/>
      <c r="W95" s="1783"/>
      <c r="X95" s="1783"/>
      <c r="Y95" s="1783"/>
      <c r="Z95" s="1783"/>
      <c r="AA95" s="1783"/>
      <c r="AB95" s="1783"/>
      <c r="AC95" s="1783"/>
    </row>
    <row r="96" spans="1:29">
      <c r="A96" s="1783"/>
      <c r="B96" s="1783"/>
      <c r="C96" s="1783"/>
      <c r="D96" s="1783"/>
      <c r="E96" s="1783"/>
      <c r="F96" s="1783"/>
      <c r="G96" s="1783"/>
      <c r="H96" s="1783"/>
      <c r="I96" s="1783"/>
      <c r="J96" s="1783"/>
      <c r="K96" s="1783"/>
      <c r="L96" s="1783"/>
      <c r="M96" s="1783"/>
      <c r="N96" s="1783"/>
      <c r="O96" s="1783"/>
      <c r="P96" s="1783"/>
      <c r="Q96" s="1783"/>
      <c r="R96" s="1783"/>
      <c r="S96" s="1783"/>
      <c r="T96" s="1783"/>
      <c r="U96" s="1783"/>
      <c r="V96" s="1783"/>
      <c r="W96" s="1783"/>
      <c r="X96" s="1783"/>
      <c r="Y96" s="1783"/>
      <c r="Z96" s="1783"/>
      <c r="AA96" s="1783"/>
      <c r="AB96" s="1783"/>
      <c r="AC96" s="1783"/>
    </row>
    <row r="97" spans="1:29">
      <c r="A97" s="1783"/>
      <c r="B97" s="1783"/>
      <c r="C97" s="1783"/>
      <c r="D97" s="1783"/>
      <c r="E97" s="1783"/>
      <c r="F97" s="1783"/>
      <c r="G97" s="1783"/>
      <c r="H97" s="1783"/>
      <c r="I97" s="1783"/>
      <c r="J97" s="1783"/>
      <c r="K97" s="1783"/>
      <c r="L97" s="1783"/>
      <c r="M97" s="1783"/>
      <c r="N97" s="1783"/>
      <c r="O97" s="1783"/>
      <c r="P97" s="1783"/>
      <c r="Q97" s="1783"/>
      <c r="R97" s="1783"/>
      <c r="S97" s="1783"/>
      <c r="T97" s="1783"/>
      <c r="U97" s="1783"/>
      <c r="V97" s="1783"/>
      <c r="W97" s="1783"/>
      <c r="X97" s="1783"/>
      <c r="Y97" s="1783"/>
      <c r="Z97" s="1783"/>
      <c r="AA97" s="1783"/>
      <c r="AB97" s="1783"/>
      <c r="AC97" s="1783"/>
    </row>
    <row r="98" spans="1:29">
      <c r="A98" s="1783"/>
      <c r="B98" s="1783"/>
      <c r="C98" s="1783"/>
      <c r="D98" s="1783"/>
      <c r="E98" s="1783"/>
      <c r="F98" s="1783"/>
      <c r="G98" s="1783"/>
      <c r="H98" s="1783"/>
      <c r="I98" s="1783"/>
      <c r="J98" s="1783"/>
      <c r="K98" s="1783"/>
      <c r="L98" s="1783"/>
      <c r="M98" s="1783"/>
      <c r="N98" s="1783"/>
      <c r="O98" s="1783"/>
      <c r="P98" s="1783"/>
      <c r="Q98" s="1783"/>
      <c r="R98" s="1783"/>
      <c r="S98" s="1783"/>
      <c r="T98" s="1783"/>
      <c r="U98" s="1783"/>
      <c r="V98" s="1783"/>
      <c r="W98" s="1783"/>
      <c r="X98" s="1783"/>
      <c r="Y98" s="1783"/>
      <c r="Z98" s="1783"/>
      <c r="AA98" s="1783"/>
      <c r="AB98" s="1783"/>
      <c r="AC98" s="1783"/>
    </row>
    <row r="99" spans="1:29">
      <c r="A99" s="1783"/>
      <c r="B99" s="1783"/>
      <c r="C99" s="1783"/>
      <c r="D99" s="1783"/>
      <c r="E99" s="1783"/>
      <c r="F99" s="1783"/>
      <c r="G99" s="1783"/>
      <c r="H99" s="1783"/>
      <c r="I99" s="1783"/>
      <c r="J99" s="1783"/>
      <c r="K99" s="1783"/>
      <c r="L99" s="1783"/>
      <c r="M99" s="1783"/>
      <c r="N99" s="1783"/>
      <c r="O99" s="1783"/>
      <c r="P99" s="1783"/>
      <c r="Q99" s="1783"/>
      <c r="R99" s="1783"/>
      <c r="S99" s="1783"/>
      <c r="T99" s="1783"/>
      <c r="U99" s="1783"/>
      <c r="V99" s="1783"/>
      <c r="W99" s="1783"/>
      <c r="X99" s="1783"/>
      <c r="Y99" s="1783"/>
      <c r="Z99" s="1783"/>
      <c r="AA99" s="1783"/>
      <c r="AB99" s="1783"/>
      <c r="AC99" s="1783"/>
    </row>
    <row r="100" spans="1:29">
      <c r="A100" s="1783"/>
      <c r="B100" s="1783"/>
      <c r="C100" s="1783"/>
      <c r="D100" s="1783"/>
      <c r="E100" s="1783"/>
      <c r="F100" s="1783"/>
      <c r="G100" s="1783"/>
      <c r="H100" s="1783"/>
      <c r="I100" s="1783"/>
      <c r="J100" s="1783"/>
      <c r="K100" s="1783"/>
      <c r="L100" s="1783"/>
      <c r="M100" s="1783"/>
      <c r="N100" s="1783"/>
      <c r="O100" s="1783"/>
      <c r="P100" s="1783"/>
      <c r="Q100" s="1783"/>
      <c r="R100" s="1783"/>
      <c r="S100" s="1783"/>
      <c r="T100" s="1783"/>
      <c r="U100" s="1783"/>
      <c r="V100" s="1783"/>
      <c r="W100" s="1783"/>
      <c r="X100" s="1783"/>
      <c r="Y100" s="1783"/>
      <c r="Z100" s="1783"/>
      <c r="AA100" s="1783"/>
      <c r="AB100" s="1783"/>
      <c r="AC100" s="1783"/>
    </row>
    <row r="101" spans="1:29">
      <c r="A101" s="1783"/>
      <c r="B101" s="1783"/>
      <c r="C101" s="1783"/>
      <c r="D101" s="1783"/>
      <c r="E101" s="1783"/>
      <c r="F101" s="1783"/>
      <c r="G101" s="1783"/>
      <c r="H101" s="1783"/>
      <c r="I101" s="1783"/>
      <c r="J101" s="1783"/>
      <c r="K101" s="1783"/>
      <c r="L101" s="1783"/>
      <c r="M101" s="1783"/>
      <c r="N101" s="1783"/>
      <c r="O101" s="1783"/>
      <c r="P101" s="1783"/>
      <c r="Q101" s="1783"/>
      <c r="R101" s="1783"/>
      <c r="S101" s="1783"/>
      <c r="T101" s="1783"/>
      <c r="U101" s="1783"/>
      <c r="V101" s="1783"/>
      <c r="W101" s="1783"/>
      <c r="X101" s="1783"/>
      <c r="Y101" s="1783"/>
      <c r="Z101" s="1783"/>
      <c r="AA101" s="1783"/>
      <c r="AB101" s="1783"/>
      <c r="AC101" s="1783"/>
    </row>
    <row r="102" spans="1:29">
      <c r="A102" s="1783"/>
      <c r="B102" s="1783"/>
      <c r="C102" s="1783"/>
      <c r="D102" s="1783"/>
      <c r="E102" s="1783"/>
      <c r="F102" s="1783"/>
      <c r="G102" s="1783"/>
      <c r="H102" s="1783"/>
      <c r="I102" s="1783"/>
      <c r="J102" s="1783"/>
      <c r="K102" s="1783"/>
      <c r="L102" s="1783"/>
      <c r="M102" s="1783"/>
      <c r="N102" s="1783"/>
      <c r="O102" s="1783"/>
      <c r="P102" s="1783"/>
      <c r="Q102" s="1783"/>
      <c r="R102" s="1783"/>
      <c r="S102" s="1783"/>
      <c r="T102" s="1783"/>
      <c r="U102" s="1783"/>
      <c r="V102" s="1783"/>
      <c r="W102" s="1783"/>
      <c r="X102" s="1783"/>
      <c r="Y102" s="1783"/>
      <c r="Z102" s="1783"/>
      <c r="AA102" s="1783"/>
      <c r="AB102" s="1783"/>
      <c r="AC102" s="1783"/>
    </row>
    <row r="103" spans="1:29">
      <c r="A103" s="1783"/>
      <c r="B103" s="1783"/>
      <c r="C103" s="1783"/>
      <c r="D103" s="1783"/>
      <c r="E103" s="1783"/>
      <c r="F103" s="1783"/>
      <c r="G103" s="1783"/>
      <c r="H103" s="1783"/>
      <c r="I103" s="1783"/>
      <c r="J103" s="1783"/>
      <c r="K103" s="1783"/>
      <c r="L103" s="1783"/>
      <c r="M103" s="1783"/>
      <c r="N103" s="1783"/>
      <c r="O103" s="1783"/>
      <c r="P103" s="1783"/>
      <c r="Q103" s="1783"/>
      <c r="R103" s="1783"/>
      <c r="S103" s="1783"/>
      <c r="T103" s="1783"/>
      <c r="U103" s="1783"/>
      <c r="V103" s="1783"/>
      <c r="W103" s="1783"/>
      <c r="X103" s="1783"/>
      <c r="Y103" s="1783"/>
      <c r="Z103" s="1783"/>
      <c r="AA103" s="1783"/>
      <c r="AB103" s="1783"/>
      <c r="AC103" s="1783"/>
    </row>
    <row r="104" spans="1:29">
      <c r="A104" s="1783"/>
      <c r="B104" s="1783"/>
      <c r="C104" s="1783"/>
      <c r="D104" s="1783"/>
      <c r="E104" s="1783"/>
      <c r="F104" s="1783"/>
      <c r="G104" s="1783"/>
      <c r="H104" s="1783"/>
      <c r="I104" s="1783"/>
      <c r="J104" s="1783"/>
      <c r="K104" s="1783"/>
      <c r="L104" s="1783"/>
      <c r="M104" s="1783"/>
      <c r="N104" s="1783"/>
      <c r="O104" s="1783"/>
      <c r="P104" s="1783"/>
      <c r="Q104" s="1783"/>
      <c r="R104" s="1783"/>
      <c r="S104" s="1783"/>
      <c r="T104" s="1783"/>
      <c r="U104" s="1783"/>
      <c r="V104" s="1783"/>
      <c r="W104" s="1783"/>
      <c r="X104" s="1783"/>
      <c r="Y104" s="1783"/>
      <c r="Z104" s="1783"/>
      <c r="AA104" s="1783"/>
      <c r="AB104" s="1783"/>
      <c r="AC104" s="1783"/>
    </row>
    <row r="105" spans="1:29">
      <c r="A105" s="1783"/>
      <c r="B105" s="1783"/>
      <c r="C105" s="1783"/>
      <c r="D105" s="1783"/>
      <c r="E105" s="1783"/>
      <c r="F105" s="1783"/>
      <c r="G105" s="1783"/>
      <c r="H105" s="1783"/>
      <c r="I105" s="1783"/>
      <c r="J105" s="1783"/>
      <c r="K105" s="1783"/>
      <c r="L105" s="1783"/>
      <c r="M105" s="1783"/>
      <c r="N105" s="1783"/>
      <c r="O105" s="1783"/>
      <c r="P105" s="1783"/>
      <c r="Q105" s="1783"/>
      <c r="R105" s="1783"/>
      <c r="S105" s="1783"/>
      <c r="T105" s="1783"/>
      <c r="U105" s="1783"/>
      <c r="V105" s="1783"/>
      <c r="W105" s="1783"/>
      <c r="X105" s="1783"/>
      <c r="Y105" s="1783"/>
      <c r="Z105" s="1783"/>
      <c r="AA105" s="1783"/>
      <c r="AB105" s="1783"/>
      <c r="AC105" s="1783"/>
    </row>
    <row r="106" spans="1:29">
      <c r="A106" s="1783"/>
      <c r="B106" s="1783"/>
      <c r="C106" s="1783"/>
      <c r="D106" s="1783"/>
      <c r="E106" s="1783"/>
      <c r="F106" s="1783"/>
      <c r="G106" s="1783"/>
      <c r="H106" s="1783"/>
      <c r="I106" s="1783"/>
      <c r="J106" s="1783"/>
      <c r="K106" s="1783"/>
      <c r="L106" s="1783"/>
      <c r="M106" s="1783"/>
      <c r="N106" s="1783"/>
      <c r="O106" s="1783"/>
      <c r="P106" s="1783"/>
      <c r="Q106" s="1783"/>
      <c r="R106" s="1783"/>
      <c r="S106" s="1783"/>
      <c r="T106" s="1783"/>
      <c r="U106" s="1783"/>
      <c r="V106" s="1783"/>
      <c r="W106" s="1783"/>
      <c r="X106" s="1783"/>
      <c r="Y106" s="1783"/>
      <c r="Z106" s="1783"/>
      <c r="AA106" s="1783"/>
      <c r="AB106" s="1783"/>
      <c r="AC106" s="1783"/>
    </row>
    <row r="107" spans="1:29">
      <c r="A107" s="1783"/>
      <c r="B107" s="1783"/>
      <c r="C107" s="1783"/>
      <c r="D107" s="1783"/>
      <c r="E107" s="1783"/>
      <c r="F107" s="1783"/>
      <c r="G107" s="1783"/>
      <c r="H107" s="1783"/>
      <c r="I107" s="1783"/>
      <c r="J107" s="1783"/>
      <c r="K107" s="1783"/>
      <c r="L107" s="1783"/>
      <c r="M107" s="1783"/>
      <c r="N107" s="1783"/>
      <c r="O107" s="1783"/>
      <c r="P107" s="1783"/>
      <c r="Q107" s="1783"/>
      <c r="R107" s="1783"/>
      <c r="S107" s="1783"/>
      <c r="T107" s="1783"/>
      <c r="U107" s="1783"/>
      <c r="V107" s="1783"/>
      <c r="W107" s="1783"/>
      <c r="X107" s="1783"/>
      <c r="Y107" s="1783"/>
      <c r="Z107" s="1783"/>
      <c r="AA107" s="1783"/>
      <c r="AB107" s="1783"/>
      <c r="AC107" s="1783"/>
    </row>
    <row r="108" spans="1:29">
      <c r="A108" s="1783"/>
      <c r="B108" s="1783"/>
      <c r="C108" s="1783"/>
      <c r="D108" s="1783"/>
      <c r="E108" s="1783"/>
      <c r="F108" s="1783"/>
      <c r="G108" s="1783"/>
      <c r="H108" s="1783"/>
      <c r="I108" s="1783"/>
      <c r="J108" s="1783"/>
      <c r="K108" s="1783"/>
      <c r="L108" s="1783"/>
      <c r="M108" s="1783"/>
      <c r="N108" s="1783"/>
      <c r="O108" s="1783"/>
      <c r="P108" s="1783"/>
      <c r="Q108" s="1783"/>
      <c r="R108" s="1783"/>
      <c r="S108" s="1783"/>
      <c r="T108" s="1783"/>
      <c r="U108" s="1783"/>
      <c r="V108" s="1783"/>
      <c r="W108" s="1783"/>
      <c r="X108" s="1783"/>
      <c r="Y108" s="1783"/>
      <c r="Z108" s="1783"/>
      <c r="AA108" s="1783"/>
      <c r="AB108" s="1783"/>
      <c r="AC108" s="1783"/>
    </row>
    <row r="109" spans="1:29">
      <c r="A109" s="1783"/>
      <c r="B109" s="1783"/>
      <c r="C109" s="1783"/>
      <c r="D109" s="1783"/>
      <c r="E109" s="1783"/>
      <c r="F109" s="1783"/>
      <c r="G109" s="1783"/>
      <c r="H109" s="1783"/>
      <c r="I109" s="1783"/>
      <c r="J109" s="1783"/>
      <c r="K109" s="1783"/>
      <c r="L109" s="1783"/>
      <c r="M109" s="1783"/>
      <c r="N109" s="1783"/>
      <c r="O109" s="1783"/>
      <c r="P109" s="1783"/>
      <c r="Q109" s="1783"/>
      <c r="R109" s="1783"/>
      <c r="S109" s="1783"/>
      <c r="T109" s="1783"/>
      <c r="U109" s="1783"/>
      <c r="V109" s="1783"/>
      <c r="W109" s="1783"/>
      <c r="X109" s="1783"/>
      <c r="Y109" s="1783"/>
      <c r="Z109" s="1783"/>
      <c r="AA109" s="1783"/>
      <c r="AB109" s="1783"/>
      <c r="AC109" s="1783"/>
    </row>
    <row r="110" spans="1:29">
      <c r="A110" s="1783"/>
      <c r="B110" s="1783"/>
      <c r="C110" s="1783"/>
      <c r="D110" s="1783"/>
      <c r="E110" s="1783"/>
      <c r="F110" s="1783"/>
      <c r="G110" s="1783"/>
      <c r="H110" s="1783"/>
      <c r="I110" s="1783"/>
      <c r="J110" s="1783"/>
      <c r="K110" s="1783"/>
      <c r="L110" s="1783"/>
      <c r="M110" s="1783"/>
      <c r="N110" s="1783"/>
      <c r="O110" s="1783"/>
      <c r="P110" s="1783"/>
      <c r="Q110" s="1783"/>
      <c r="R110" s="1783"/>
      <c r="S110" s="1783"/>
      <c r="T110" s="1783"/>
      <c r="U110" s="1783"/>
      <c r="V110" s="1783"/>
      <c r="W110" s="1783"/>
      <c r="X110" s="1783"/>
      <c r="Y110" s="1783"/>
      <c r="Z110" s="1783"/>
      <c r="AA110" s="1783"/>
      <c r="AB110" s="1783"/>
      <c r="AC110" s="1783"/>
    </row>
    <row r="111" spans="1:29">
      <c r="A111" s="1783"/>
      <c r="B111" s="1783"/>
      <c r="C111" s="1783"/>
      <c r="D111" s="1783"/>
      <c r="E111" s="1783"/>
      <c r="F111" s="1783"/>
      <c r="G111" s="1783"/>
      <c r="H111" s="1783"/>
      <c r="I111" s="1783"/>
      <c r="J111" s="1783"/>
      <c r="K111" s="1783"/>
      <c r="L111" s="1783"/>
      <c r="M111" s="1783"/>
      <c r="N111" s="1783"/>
      <c r="O111" s="1783"/>
      <c r="P111" s="1783"/>
      <c r="Q111" s="1783"/>
      <c r="R111" s="1783"/>
      <c r="S111" s="1783"/>
      <c r="T111" s="1783"/>
      <c r="U111" s="1783"/>
      <c r="V111" s="1783"/>
      <c r="W111" s="1783"/>
      <c r="X111" s="1783"/>
      <c r="Y111" s="1783"/>
      <c r="Z111" s="1783"/>
      <c r="AA111" s="1783"/>
      <c r="AB111" s="1783"/>
      <c r="AC111" s="1783"/>
    </row>
    <row r="112" spans="1:29">
      <c r="A112" s="1783"/>
      <c r="B112" s="1783"/>
      <c r="C112" s="1783"/>
      <c r="D112" s="1783"/>
      <c r="E112" s="1783"/>
      <c r="F112" s="1783"/>
      <c r="G112" s="1783"/>
      <c r="H112" s="1783"/>
      <c r="I112" s="1783"/>
      <c r="J112" s="1783"/>
      <c r="K112" s="1783"/>
      <c r="L112" s="1783"/>
      <c r="M112" s="1783"/>
      <c r="N112" s="1783"/>
      <c r="O112" s="1783"/>
      <c r="P112" s="1783"/>
      <c r="Q112" s="1783"/>
      <c r="R112" s="1783"/>
      <c r="S112" s="1783"/>
      <c r="T112" s="1783"/>
      <c r="U112" s="1783"/>
      <c r="V112" s="1783"/>
      <c r="W112" s="1783"/>
      <c r="X112" s="1783"/>
      <c r="Y112" s="1783"/>
      <c r="Z112" s="1783"/>
      <c r="AA112" s="1783"/>
      <c r="AB112" s="1783"/>
      <c r="AC112" s="1783"/>
    </row>
    <row r="113" spans="1:29">
      <c r="A113" s="1783"/>
      <c r="B113" s="1783"/>
      <c r="C113" s="1783"/>
      <c r="D113" s="1783"/>
      <c r="E113" s="1783"/>
      <c r="F113" s="1783"/>
      <c r="G113" s="1783"/>
      <c r="H113" s="1783"/>
      <c r="I113" s="1783"/>
      <c r="J113" s="1783"/>
      <c r="K113" s="1783"/>
      <c r="L113" s="1783"/>
      <c r="M113" s="1783"/>
      <c r="N113" s="1783"/>
      <c r="O113" s="1783"/>
      <c r="P113" s="1783"/>
      <c r="Q113" s="1783"/>
      <c r="R113" s="1783"/>
      <c r="S113" s="1783"/>
      <c r="T113" s="1783"/>
      <c r="U113" s="1783"/>
      <c r="V113" s="1783"/>
      <c r="W113" s="1783"/>
      <c r="X113" s="1783"/>
      <c r="Y113" s="1783"/>
      <c r="Z113" s="1783"/>
      <c r="AA113" s="1783"/>
      <c r="AB113" s="1783"/>
      <c r="AC113" s="1783"/>
    </row>
    <row r="114" spans="1:29">
      <c r="A114" s="1783"/>
      <c r="B114" s="1783"/>
      <c r="C114" s="1783"/>
      <c r="D114" s="1783"/>
      <c r="E114" s="1783"/>
      <c r="F114" s="1783"/>
      <c r="G114" s="1783"/>
      <c r="H114" s="1783"/>
      <c r="I114" s="1783"/>
      <c r="J114" s="1783"/>
      <c r="K114" s="1783"/>
      <c r="L114" s="1783"/>
      <c r="M114" s="1783"/>
      <c r="N114" s="1783"/>
      <c r="O114" s="1783"/>
      <c r="P114" s="1783"/>
      <c r="Q114" s="1783"/>
      <c r="R114" s="1783"/>
      <c r="S114" s="1783"/>
      <c r="T114" s="1783"/>
      <c r="U114" s="1783"/>
      <c r="V114" s="1783"/>
      <c r="W114" s="1783"/>
      <c r="X114" s="1783"/>
      <c r="Y114" s="1783"/>
      <c r="Z114" s="1783"/>
      <c r="AA114" s="1783"/>
      <c r="AB114" s="1783"/>
      <c r="AC114" s="1783"/>
    </row>
    <row r="115" spans="1:29">
      <c r="A115" s="1783"/>
      <c r="B115" s="1783"/>
      <c r="C115" s="1783"/>
      <c r="D115" s="1783"/>
      <c r="E115" s="1783"/>
      <c r="F115" s="1783"/>
      <c r="G115" s="1783"/>
      <c r="H115" s="1783"/>
      <c r="I115" s="1783"/>
      <c r="J115" s="1783"/>
      <c r="K115" s="1783"/>
      <c r="L115" s="1783"/>
      <c r="M115" s="1783"/>
      <c r="N115" s="1783"/>
      <c r="O115" s="1783"/>
      <c r="P115" s="1783"/>
      <c r="Q115" s="1783"/>
      <c r="R115" s="1783"/>
      <c r="S115" s="1783"/>
      <c r="T115" s="1783"/>
      <c r="U115" s="1783"/>
      <c r="V115" s="1783"/>
      <c r="W115" s="1783"/>
      <c r="X115" s="1783"/>
      <c r="Y115" s="1783"/>
      <c r="Z115" s="1783"/>
      <c r="AA115" s="1783"/>
      <c r="AB115" s="1783"/>
      <c r="AC115" s="1783"/>
    </row>
    <row r="116" spans="1:29">
      <c r="A116" s="1783"/>
      <c r="B116" s="1783"/>
      <c r="C116" s="1783"/>
      <c r="D116" s="1783"/>
      <c r="E116" s="1783"/>
      <c r="F116" s="1783"/>
      <c r="G116" s="1783"/>
      <c r="H116" s="1783"/>
      <c r="I116" s="1783"/>
      <c r="J116" s="1783"/>
      <c r="K116" s="1783"/>
      <c r="L116" s="1783"/>
      <c r="M116" s="1783"/>
      <c r="N116" s="1783"/>
      <c r="O116" s="1783"/>
      <c r="P116" s="1783"/>
      <c r="Q116" s="1783"/>
      <c r="R116" s="1783"/>
      <c r="S116" s="1783"/>
      <c r="T116" s="1783"/>
      <c r="U116" s="1783"/>
      <c r="V116" s="1783"/>
      <c r="W116" s="1783"/>
      <c r="X116" s="1783"/>
      <c r="Y116" s="1783"/>
      <c r="Z116" s="1783"/>
      <c r="AA116" s="1783"/>
      <c r="AB116" s="1783"/>
      <c r="AC116" s="1783"/>
    </row>
    <row r="117" spans="1:29">
      <c r="A117" s="1783"/>
      <c r="B117" s="1783"/>
      <c r="C117" s="1783"/>
      <c r="D117" s="1783"/>
      <c r="E117" s="1783"/>
      <c r="F117" s="1783"/>
      <c r="G117" s="1783"/>
      <c r="H117" s="1783"/>
      <c r="I117" s="1783"/>
      <c r="J117" s="1783"/>
      <c r="K117" s="1783"/>
      <c r="L117" s="1783"/>
      <c r="M117" s="1783"/>
      <c r="N117" s="1783"/>
      <c r="O117" s="1783"/>
      <c r="P117" s="1783"/>
      <c r="Q117" s="1783"/>
      <c r="R117" s="1783"/>
      <c r="S117" s="1783"/>
      <c r="T117" s="1783"/>
      <c r="U117" s="1783"/>
      <c r="V117" s="1783"/>
      <c r="W117" s="1783"/>
      <c r="X117" s="1783"/>
      <c r="Y117" s="1783"/>
      <c r="Z117" s="1783"/>
      <c r="AA117" s="1783"/>
      <c r="AB117" s="1783"/>
      <c r="AC117" s="1783"/>
    </row>
    <row r="118" spans="1:29">
      <c r="A118" s="1783"/>
      <c r="B118" s="1783"/>
      <c r="C118" s="1783"/>
      <c r="D118" s="1783"/>
      <c r="E118" s="1783"/>
      <c r="F118" s="1783"/>
      <c r="G118" s="1783"/>
      <c r="H118" s="1783"/>
      <c r="I118" s="1783"/>
      <c r="J118" s="1783"/>
      <c r="K118" s="1783"/>
      <c r="L118" s="1783"/>
      <c r="M118" s="1783"/>
      <c r="N118" s="1783"/>
      <c r="O118" s="1783"/>
      <c r="P118" s="1783"/>
      <c r="Q118" s="1783"/>
      <c r="R118" s="1783"/>
      <c r="S118" s="1783"/>
      <c r="T118" s="1783"/>
      <c r="U118" s="1783"/>
      <c r="V118" s="1783"/>
      <c r="W118" s="1783"/>
      <c r="X118" s="1783"/>
      <c r="Y118" s="1783"/>
      <c r="Z118" s="1783"/>
      <c r="AA118" s="1783"/>
      <c r="AB118" s="1783"/>
      <c r="AC118" s="1783"/>
    </row>
    <row r="119" spans="1:29">
      <c r="A119" s="1783"/>
      <c r="B119" s="1783"/>
      <c r="C119" s="1783"/>
      <c r="D119" s="1783"/>
      <c r="E119" s="1783"/>
      <c r="F119" s="1783"/>
      <c r="G119" s="1783"/>
      <c r="H119" s="1783"/>
      <c r="I119" s="1783"/>
      <c r="J119" s="1783"/>
      <c r="K119" s="1783"/>
      <c r="L119" s="1783"/>
      <c r="M119" s="1783"/>
      <c r="N119" s="1783"/>
      <c r="O119" s="1783"/>
      <c r="P119" s="1783"/>
      <c r="Q119" s="1783"/>
      <c r="R119" s="1783"/>
      <c r="S119" s="1783"/>
      <c r="T119" s="1783"/>
      <c r="U119" s="1783"/>
      <c r="V119" s="1783"/>
      <c r="W119" s="1783"/>
      <c r="X119" s="1783"/>
      <c r="Y119" s="1783"/>
      <c r="Z119" s="1783"/>
      <c r="AA119" s="1783"/>
      <c r="AB119" s="1783"/>
      <c r="AC119" s="1783"/>
    </row>
    <row r="120" spans="1:29">
      <c r="A120" s="1783"/>
      <c r="B120" s="1783"/>
      <c r="C120" s="1783"/>
      <c r="D120" s="1783"/>
      <c r="E120" s="1783"/>
      <c r="F120" s="1783"/>
      <c r="G120" s="1783"/>
      <c r="H120" s="1783"/>
      <c r="I120" s="1783"/>
      <c r="J120" s="1783"/>
      <c r="K120" s="1783"/>
      <c r="L120" s="1783"/>
      <c r="M120" s="1783"/>
      <c r="N120" s="1783"/>
      <c r="O120" s="1783"/>
      <c r="P120" s="1783"/>
      <c r="Q120" s="1783"/>
      <c r="R120" s="1783"/>
      <c r="S120" s="1783"/>
      <c r="T120" s="1783"/>
      <c r="U120" s="1783"/>
      <c r="V120" s="1783"/>
      <c r="W120" s="1783"/>
      <c r="X120" s="1783"/>
      <c r="Y120" s="1783"/>
      <c r="Z120" s="1783"/>
      <c r="AA120" s="1783"/>
      <c r="AB120" s="1783"/>
      <c r="AC120" s="1783"/>
    </row>
    <row r="121" spans="1:29">
      <c r="A121" s="1783"/>
      <c r="B121" s="1783"/>
      <c r="C121" s="1783"/>
      <c r="D121" s="1783"/>
      <c r="E121" s="1783"/>
      <c r="F121" s="1783"/>
      <c r="G121" s="1783"/>
      <c r="H121" s="1783"/>
      <c r="I121" s="1783"/>
      <c r="J121" s="1783"/>
      <c r="K121" s="1783"/>
      <c r="L121" s="1783"/>
      <c r="M121" s="1783"/>
      <c r="N121" s="1783"/>
      <c r="O121" s="1783"/>
      <c r="P121" s="1783"/>
      <c r="Q121" s="1783"/>
      <c r="R121" s="1783"/>
      <c r="S121" s="1783"/>
      <c r="T121" s="1783"/>
      <c r="U121" s="1783"/>
      <c r="V121" s="1783"/>
      <c r="W121" s="1783"/>
      <c r="X121" s="1783"/>
      <c r="Y121" s="1783"/>
      <c r="Z121" s="1783"/>
      <c r="AA121" s="1783"/>
      <c r="AB121" s="1783"/>
      <c r="AC121" s="1783"/>
    </row>
    <row r="122" spans="1:29">
      <c r="A122" s="1783"/>
      <c r="B122" s="1783"/>
      <c r="C122" s="1783"/>
      <c r="D122" s="1783"/>
      <c r="E122" s="1783"/>
      <c r="F122" s="1783"/>
      <c r="G122" s="1783"/>
      <c r="H122" s="1783"/>
      <c r="I122" s="1783"/>
      <c r="J122" s="1783"/>
      <c r="K122" s="1783"/>
      <c r="L122" s="1783"/>
      <c r="M122" s="1783"/>
      <c r="N122" s="1783"/>
      <c r="O122" s="1783"/>
      <c r="P122" s="1783"/>
      <c r="Q122" s="1783"/>
      <c r="R122" s="1783"/>
      <c r="S122" s="1783"/>
      <c r="T122" s="1783"/>
      <c r="U122" s="1783"/>
      <c r="V122" s="1783"/>
      <c r="W122" s="1783"/>
      <c r="X122" s="1783"/>
      <c r="Y122" s="1783"/>
      <c r="Z122" s="1783"/>
      <c r="AA122" s="1783"/>
      <c r="AB122" s="1783"/>
      <c r="AC122" s="1783"/>
    </row>
    <row r="123" spans="1:29">
      <c r="A123" s="1783"/>
      <c r="B123" s="1783"/>
      <c r="C123" s="1783"/>
      <c r="D123" s="1783"/>
      <c r="E123" s="1783"/>
      <c r="F123" s="1783"/>
      <c r="G123" s="1783"/>
      <c r="H123" s="1783"/>
      <c r="I123" s="1783"/>
      <c r="J123" s="1783"/>
      <c r="K123" s="1783"/>
      <c r="L123" s="1783"/>
      <c r="M123" s="1783"/>
      <c r="N123" s="1783"/>
      <c r="O123" s="1783"/>
      <c r="P123" s="1783"/>
      <c r="Q123" s="1783"/>
      <c r="R123" s="1783"/>
      <c r="S123" s="1783"/>
      <c r="T123" s="1783"/>
      <c r="U123" s="1783"/>
      <c r="V123" s="1783"/>
      <c r="W123" s="1783"/>
      <c r="X123" s="1783"/>
      <c r="Y123" s="1783"/>
      <c r="Z123" s="1783"/>
      <c r="AA123" s="1783"/>
      <c r="AB123" s="1783"/>
      <c r="AC123" s="1783"/>
    </row>
    <row r="124" spans="1:29">
      <c r="A124" s="1783"/>
      <c r="B124" s="1783"/>
      <c r="C124" s="1783"/>
      <c r="D124" s="1783"/>
      <c r="E124" s="1783"/>
      <c r="F124" s="1783"/>
      <c r="G124" s="1783"/>
      <c r="H124" s="1783"/>
      <c r="I124" s="1783"/>
      <c r="J124" s="1783"/>
      <c r="K124" s="1783"/>
      <c r="L124" s="1783"/>
      <c r="M124" s="1783"/>
      <c r="N124" s="1783"/>
      <c r="O124" s="1783"/>
      <c r="P124" s="1783"/>
      <c r="Q124" s="1783"/>
      <c r="R124" s="1783"/>
      <c r="S124" s="1783"/>
      <c r="T124" s="1783"/>
      <c r="U124" s="1783"/>
      <c r="V124" s="1783"/>
      <c r="W124" s="1783"/>
      <c r="X124" s="1783"/>
      <c r="Y124" s="1783"/>
      <c r="Z124" s="1783"/>
      <c r="AA124" s="1783"/>
      <c r="AB124" s="1783"/>
      <c r="AC124" s="1783"/>
    </row>
    <row r="125" spans="1:29">
      <c r="A125" s="1783"/>
      <c r="B125" s="1783"/>
      <c r="C125" s="1783"/>
      <c r="D125" s="1783"/>
      <c r="E125" s="1783"/>
      <c r="F125" s="1783"/>
      <c r="G125" s="1783"/>
      <c r="H125" s="1783"/>
      <c r="I125" s="1783"/>
      <c r="J125" s="1783"/>
      <c r="K125" s="1783"/>
      <c r="L125" s="1783"/>
      <c r="M125" s="1783"/>
      <c r="N125" s="1783"/>
      <c r="O125" s="1783"/>
      <c r="P125" s="1783"/>
      <c r="Q125" s="1783"/>
      <c r="R125" s="1783"/>
      <c r="S125" s="1783"/>
      <c r="T125" s="1783"/>
      <c r="U125" s="1783"/>
      <c r="V125" s="1783"/>
      <c r="W125" s="1783"/>
      <c r="X125" s="1783"/>
      <c r="Y125" s="1783"/>
      <c r="Z125" s="1783"/>
      <c r="AA125" s="1783"/>
      <c r="AB125" s="1783"/>
      <c r="AC125" s="1783"/>
    </row>
    <row r="126" spans="1:29">
      <c r="A126" s="1783"/>
      <c r="B126" s="1783"/>
      <c r="C126" s="1783"/>
      <c r="D126" s="1783"/>
      <c r="E126" s="1783"/>
      <c r="F126" s="1783"/>
      <c r="G126" s="1783"/>
      <c r="H126" s="1783"/>
      <c r="I126" s="1783"/>
      <c r="J126" s="1783"/>
      <c r="K126" s="1783"/>
      <c r="L126" s="1783"/>
      <c r="M126" s="1783"/>
      <c r="N126" s="1783"/>
      <c r="O126" s="1783"/>
      <c r="P126" s="1783"/>
      <c r="Q126" s="1783"/>
      <c r="R126" s="1783"/>
      <c r="S126" s="1783"/>
      <c r="T126" s="1783"/>
      <c r="U126" s="1783"/>
      <c r="V126" s="1783"/>
      <c r="W126" s="1783"/>
      <c r="X126" s="1783"/>
      <c r="Y126" s="1783"/>
      <c r="Z126" s="1783"/>
      <c r="AA126" s="1783"/>
      <c r="AB126" s="1783"/>
      <c r="AC126" s="1783"/>
    </row>
    <row r="127" spans="1:29">
      <c r="A127" s="1783"/>
      <c r="B127" s="1783"/>
      <c r="C127" s="1783"/>
      <c r="D127" s="1783"/>
      <c r="E127" s="1783"/>
      <c r="F127" s="1783"/>
      <c r="G127" s="1783"/>
      <c r="H127" s="1783"/>
      <c r="I127" s="1783"/>
      <c r="J127" s="1783"/>
      <c r="K127" s="1783"/>
      <c r="L127" s="1783"/>
      <c r="M127" s="1783"/>
      <c r="N127" s="1783"/>
      <c r="O127" s="1783"/>
      <c r="P127" s="1783"/>
      <c r="Q127" s="1783"/>
      <c r="R127" s="1783"/>
      <c r="S127" s="1783"/>
      <c r="T127" s="1783"/>
      <c r="U127" s="1783"/>
      <c r="V127" s="1783"/>
      <c r="W127" s="1783"/>
      <c r="X127" s="1783"/>
      <c r="Y127" s="1783"/>
      <c r="Z127" s="1783"/>
      <c r="AA127" s="1783"/>
      <c r="AB127" s="1783"/>
      <c r="AC127" s="1783"/>
    </row>
    <row r="128" spans="1:29">
      <c r="A128" s="1783"/>
      <c r="B128" s="1783"/>
      <c r="C128" s="1783"/>
      <c r="D128" s="1783"/>
      <c r="E128" s="1783"/>
      <c r="F128" s="1783"/>
      <c r="G128" s="1783"/>
      <c r="H128" s="1783"/>
      <c r="I128" s="1783"/>
      <c r="J128" s="1783"/>
      <c r="K128" s="1783"/>
      <c r="L128" s="1783"/>
      <c r="M128" s="1783"/>
      <c r="N128" s="1783"/>
      <c r="O128" s="1783"/>
      <c r="P128" s="1783"/>
      <c r="Q128" s="1783"/>
      <c r="R128" s="1783"/>
      <c r="S128" s="1783"/>
      <c r="T128" s="1783"/>
      <c r="U128" s="1783"/>
      <c r="V128" s="1783"/>
      <c r="W128" s="1783"/>
      <c r="X128" s="1783"/>
      <c r="Y128" s="1783"/>
      <c r="Z128" s="1783"/>
      <c r="AA128" s="1783"/>
      <c r="AB128" s="1783"/>
      <c r="AC128" s="1783"/>
    </row>
    <row r="129" spans="1:29">
      <c r="A129" s="1783"/>
      <c r="B129" s="1783"/>
      <c r="C129" s="1783"/>
      <c r="D129" s="1783"/>
      <c r="E129" s="1783"/>
      <c r="F129" s="1783"/>
      <c r="G129" s="1783"/>
      <c r="H129" s="1783"/>
      <c r="I129" s="1783"/>
      <c r="J129" s="1783"/>
      <c r="K129" s="1783"/>
      <c r="L129" s="1783"/>
      <c r="M129" s="1783"/>
      <c r="N129" s="1783"/>
      <c r="O129" s="1783"/>
      <c r="P129" s="1783"/>
      <c r="Q129" s="1783"/>
      <c r="R129" s="1783"/>
      <c r="S129" s="1783"/>
      <c r="T129" s="1783"/>
      <c r="U129" s="1783"/>
      <c r="V129" s="1783"/>
      <c r="W129" s="1783"/>
      <c r="X129" s="1783"/>
      <c r="Y129" s="1783"/>
      <c r="Z129" s="1783"/>
      <c r="AA129" s="1783"/>
      <c r="AB129" s="1783"/>
      <c r="AC129" s="1783"/>
    </row>
    <row r="130" spans="1:29">
      <c r="A130" s="1783"/>
      <c r="B130" s="1783"/>
      <c r="C130" s="1783"/>
      <c r="D130" s="1783"/>
      <c r="E130" s="1783"/>
      <c r="F130" s="1783"/>
      <c r="G130" s="1783"/>
      <c r="H130" s="1783"/>
      <c r="I130" s="1783"/>
      <c r="J130" s="1783"/>
      <c r="K130" s="1783"/>
      <c r="L130" s="1783"/>
      <c r="M130" s="1783"/>
      <c r="N130" s="1783"/>
      <c r="O130" s="1783"/>
      <c r="P130" s="1783"/>
      <c r="Q130" s="1783"/>
      <c r="R130" s="1783"/>
      <c r="S130" s="1783"/>
      <c r="T130" s="1783"/>
      <c r="U130" s="1783"/>
      <c r="V130" s="1783"/>
      <c r="W130" s="1783"/>
      <c r="X130" s="1783"/>
      <c r="Y130" s="1783"/>
      <c r="Z130" s="1783"/>
      <c r="AA130" s="1783"/>
      <c r="AB130" s="1783"/>
      <c r="AC130" s="1783"/>
    </row>
    <row r="131" spans="1:29">
      <c r="A131" s="1783"/>
      <c r="B131" s="1783"/>
      <c r="C131" s="1783"/>
      <c r="D131" s="1783"/>
      <c r="E131" s="1783"/>
      <c r="F131" s="1783"/>
      <c r="G131" s="1783"/>
      <c r="H131" s="1783"/>
      <c r="I131" s="1783"/>
      <c r="J131" s="1783"/>
      <c r="K131" s="1783"/>
      <c r="L131" s="1783"/>
      <c r="M131" s="1783"/>
      <c r="N131" s="1783"/>
      <c r="O131" s="1783"/>
      <c r="P131" s="1783"/>
      <c r="Q131" s="1783"/>
      <c r="R131" s="1783"/>
      <c r="S131" s="1783"/>
      <c r="T131" s="1783"/>
      <c r="U131" s="1783"/>
      <c r="V131" s="1783"/>
      <c r="W131" s="1783"/>
      <c r="X131" s="1783"/>
      <c r="Y131" s="1783"/>
      <c r="Z131" s="1783"/>
      <c r="AA131" s="1783"/>
      <c r="AB131" s="1783"/>
      <c r="AC131" s="1783"/>
    </row>
    <row r="132" spans="1:29">
      <c r="A132" s="1783"/>
      <c r="B132" s="1783"/>
      <c r="C132" s="1783"/>
      <c r="D132" s="1783"/>
      <c r="E132" s="1783"/>
      <c r="F132" s="1783"/>
      <c r="G132" s="1783"/>
      <c r="H132" s="1783"/>
      <c r="I132" s="1783"/>
      <c r="J132" s="1783"/>
      <c r="K132" s="1783"/>
      <c r="L132" s="1783"/>
      <c r="M132" s="1783"/>
      <c r="N132" s="1783"/>
      <c r="O132" s="1783"/>
      <c r="P132" s="1783"/>
      <c r="Q132" s="1783"/>
      <c r="R132" s="1783"/>
      <c r="S132" s="1783"/>
      <c r="T132" s="1783"/>
      <c r="U132" s="1783"/>
      <c r="V132" s="1783"/>
      <c r="W132" s="1783"/>
      <c r="X132" s="1783"/>
      <c r="Y132" s="1783"/>
      <c r="Z132" s="1783"/>
      <c r="AA132" s="1783"/>
      <c r="AB132" s="1783"/>
      <c r="AC132" s="1783"/>
    </row>
    <row r="133" spans="1:29">
      <c r="A133" s="1783"/>
      <c r="B133" s="1783"/>
      <c r="C133" s="1783"/>
      <c r="D133" s="1783"/>
      <c r="E133" s="1783"/>
      <c r="F133" s="1783"/>
      <c r="G133" s="1783"/>
      <c r="H133" s="1783"/>
      <c r="I133" s="1783"/>
      <c r="J133" s="1783"/>
      <c r="K133" s="1783"/>
      <c r="L133" s="1783"/>
      <c r="M133" s="1783"/>
      <c r="N133" s="1783"/>
      <c r="O133" s="1783"/>
      <c r="P133" s="1783"/>
      <c r="Q133" s="1783"/>
      <c r="R133" s="1783"/>
      <c r="S133" s="1783"/>
      <c r="T133" s="1783"/>
      <c r="U133" s="1783"/>
      <c r="V133" s="1783"/>
      <c r="W133" s="1783"/>
      <c r="X133" s="1783"/>
      <c r="Y133" s="1783"/>
      <c r="Z133" s="1783"/>
      <c r="AA133" s="1783"/>
      <c r="AB133" s="1783"/>
      <c r="AC133" s="1783"/>
    </row>
    <row r="134" spans="1:29">
      <c r="A134" s="1783"/>
      <c r="B134" s="1783"/>
      <c r="C134" s="1783"/>
      <c r="D134" s="1783"/>
      <c r="E134" s="1783"/>
      <c r="F134" s="1783"/>
      <c r="G134" s="1783"/>
      <c r="H134" s="1783"/>
      <c r="I134" s="1783"/>
      <c r="J134" s="1783"/>
      <c r="K134" s="1783"/>
      <c r="L134" s="1783"/>
      <c r="M134" s="1783"/>
      <c r="N134" s="1783"/>
      <c r="O134" s="1783"/>
      <c r="P134" s="1783"/>
      <c r="Q134" s="1783"/>
      <c r="R134" s="1783"/>
      <c r="S134" s="1783"/>
      <c r="T134" s="1783"/>
      <c r="U134" s="1783"/>
      <c r="V134" s="1783"/>
      <c r="W134" s="1783"/>
      <c r="X134" s="1783"/>
      <c r="Y134" s="1783"/>
      <c r="Z134" s="1783"/>
      <c r="AA134" s="1783"/>
      <c r="AB134" s="1783"/>
      <c r="AC134" s="1783"/>
    </row>
    <row r="135" spans="1:29">
      <c r="A135" s="1783"/>
      <c r="B135" s="1783"/>
      <c r="C135" s="1783"/>
      <c r="D135" s="1783"/>
      <c r="E135" s="1783"/>
      <c r="F135" s="1783"/>
      <c r="G135" s="1783"/>
      <c r="H135" s="1783"/>
      <c r="I135" s="1783"/>
      <c r="J135" s="1783"/>
      <c r="K135" s="1783"/>
      <c r="L135" s="1783"/>
      <c r="M135" s="1783"/>
      <c r="N135" s="1783"/>
      <c r="O135" s="1783"/>
      <c r="P135" s="1783"/>
      <c r="Q135" s="1783"/>
      <c r="R135" s="1783"/>
      <c r="S135" s="1783"/>
      <c r="T135" s="1783"/>
      <c r="U135" s="1783"/>
      <c r="V135" s="1783"/>
      <c r="W135" s="1783"/>
      <c r="X135" s="1783"/>
      <c r="Y135" s="1783"/>
      <c r="Z135" s="1783"/>
      <c r="AA135" s="1783"/>
      <c r="AB135" s="1783"/>
      <c r="AC135" s="1783"/>
    </row>
    <row r="136" spans="1:29">
      <c r="A136" s="1783"/>
      <c r="B136" s="1783"/>
      <c r="C136" s="1783"/>
      <c r="D136" s="1783"/>
      <c r="E136" s="1783"/>
      <c r="F136" s="1783"/>
      <c r="G136" s="1783"/>
      <c r="H136" s="1783"/>
      <c r="I136" s="1783"/>
      <c r="J136" s="1783"/>
      <c r="K136" s="1783"/>
      <c r="L136" s="1783"/>
      <c r="M136" s="1783"/>
      <c r="N136" s="1783"/>
      <c r="O136" s="1783"/>
      <c r="P136" s="1783"/>
      <c r="Q136" s="1783"/>
      <c r="R136" s="1783"/>
      <c r="S136" s="1783"/>
      <c r="T136" s="1783"/>
      <c r="U136" s="1783"/>
      <c r="V136" s="1783"/>
      <c r="W136" s="1783"/>
      <c r="X136" s="1783"/>
      <c r="Y136" s="1783"/>
      <c r="Z136" s="1783"/>
      <c r="AA136" s="1783"/>
      <c r="AB136" s="1783"/>
      <c r="AC136" s="1783"/>
    </row>
    <row r="137" spans="1:29">
      <c r="A137" s="1783"/>
      <c r="B137" s="1783"/>
      <c r="C137" s="1783"/>
      <c r="D137" s="1783"/>
      <c r="E137" s="1783"/>
      <c r="F137" s="1783"/>
      <c r="G137" s="1783"/>
      <c r="H137" s="1783"/>
      <c r="I137" s="1783"/>
      <c r="J137" s="1783"/>
      <c r="K137" s="1783"/>
      <c r="L137" s="1783"/>
      <c r="M137" s="1783"/>
      <c r="N137" s="1783"/>
      <c r="O137" s="1783"/>
      <c r="P137" s="1783"/>
      <c r="Q137" s="1783"/>
      <c r="R137" s="1783"/>
      <c r="S137" s="1783"/>
      <c r="T137" s="1783"/>
      <c r="U137" s="1783"/>
      <c r="V137" s="1783"/>
      <c r="W137" s="1783"/>
      <c r="X137" s="1783"/>
      <c r="Y137" s="1783"/>
      <c r="Z137" s="1783"/>
      <c r="AA137" s="1783"/>
      <c r="AB137" s="1783"/>
      <c r="AC137" s="1783"/>
    </row>
    <row r="138" spans="1:29">
      <c r="A138" s="1783"/>
      <c r="B138" s="1783"/>
      <c r="C138" s="1783"/>
      <c r="D138" s="1783"/>
      <c r="E138" s="1783"/>
      <c r="F138" s="1783"/>
      <c r="G138" s="1783"/>
      <c r="H138" s="1783"/>
      <c r="I138" s="1783"/>
      <c r="J138" s="1783"/>
      <c r="K138" s="1783"/>
      <c r="L138" s="1783"/>
      <c r="M138" s="1783"/>
      <c r="N138" s="1783"/>
      <c r="O138" s="1783"/>
      <c r="P138" s="1783"/>
      <c r="Q138" s="1783"/>
      <c r="R138" s="1783"/>
      <c r="S138" s="1783"/>
      <c r="T138" s="1783"/>
      <c r="U138" s="1783"/>
      <c r="V138" s="1783"/>
      <c r="W138" s="1783"/>
      <c r="X138" s="1783"/>
      <c r="Y138" s="1783"/>
      <c r="Z138" s="1783"/>
      <c r="AA138" s="1783"/>
      <c r="AB138" s="1783"/>
      <c r="AC138" s="1783"/>
    </row>
    <row r="139" spans="1:29">
      <c r="A139" s="1783"/>
      <c r="B139" s="1783"/>
      <c r="C139" s="1783"/>
      <c r="D139" s="1783"/>
      <c r="E139" s="1783"/>
      <c r="F139" s="1783"/>
      <c r="G139" s="1783"/>
      <c r="H139" s="1783"/>
      <c r="I139" s="1783"/>
      <c r="J139" s="1783"/>
      <c r="K139" s="1783"/>
      <c r="L139" s="1783"/>
      <c r="M139" s="1783"/>
      <c r="N139" s="1783"/>
      <c r="O139" s="1783"/>
      <c r="P139" s="1783"/>
      <c r="Q139" s="1783"/>
      <c r="R139" s="1783"/>
      <c r="S139" s="1783"/>
      <c r="T139" s="1783"/>
      <c r="U139" s="1783"/>
      <c r="V139" s="1783"/>
      <c r="W139" s="1783"/>
      <c r="X139" s="1783"/>
      <c r="Y139" s="1783"/>
      <c r="Z139" s="1783"/>
      <c r="AA139" s="1783"/>
      <c r="AB139" s="1783"/>
      <c r="AC139" s="1783"/>
    </row>
    <row r="140" spans="1:29">
      <c r="A140" s="1783"/>
      <c r="B140" s="1783"/>
      <c r="C140" s="1783"/>
      <c r="D140" s="1783"/>
      <c r="E140" s="1783"/>
      <c r="F140" s="1783"/>
      <c r="G140" s="1783"/>
      <c r="H140" s="1783"/>
      <c r="I140" s="1783"/>
      <c r="J140" s="1783"/>
      <c r="K140" s="1783"/>
      <c r="L140" s="1783"/>
      <c r="M140" s="1783"/>
      <c r="N140" s="1783"/>
      <c r="O140" s="1783"/>
      <c r="P140" s="1783"/>
      <c r="Q140" s="1783"/>
      <c r="R140" s="1783"/>
      <c r="S140" s="1783"/>
      <c r="T140" s="1783"/>
      <c r="U140" s="1783"/>
      <c r="V140" s="1783"/>
      <c r="W140" s="1783"/>
      <c r="X140" s="1783"/>
      <c r="Y140" s="1783"/>
      <c r="Z140" s="1783"/>
      <c r="AA140" s="1783"/>
      <c r="AB140" s="1783"/>
      <c r="AC140" s="1783"/>
    </row>
    <row r="141" spans="1:29">
      <c r="A141" s="1783"/>
      <c r="B141" s="1783"/>
      <c r="C141" s="1783"/>
      <c r="D141" s="1783"/>
      <c r="E141" s="1783"/>
      <c r="F141" s="1783"/>
      <c r="G141" s="1783"/>
      <c r="H141" s="1783"/>
      <c r="I141" s="1783"/>
      <c r="J141" s="1783"/>
      <c r="K141" s="1783"/>
      <c r="L141" s="1783"/>
      <c r="M141" s="1783"/>
      <c r="N141" s="1783"/>
      <c r="O141" s="1783"/>
      <c r="P141" s="1783"/>
      <c r="Q141" s="1783"/>
      <c r="R141" s="1783"/>
      <c r="S141" s="1783"/>
      <c r="T141" s="1783"/>
      <c r="U141" s="1783"/>
      <c r="V141" s="1783"/>
      <c r="W141" s="1783"/>
      <c r="X141" s="1783"/>
      <c r="Y141" s="1783"/>
      <c r="Z141" s="1783"/>
      <c r="AA141" s="1783"/>
      <c r="AB141" s="1783"/>
      <c r="AC141" s="1783"/>
    </row>
    <row r="142" spans="1:29">
      <c r="A142" s="1783"/>
      <c r="B142" s="1783"/>
      <c r="C142" s="1783"/>
      <c r="D142" s="1783"/>
      <c r="E142" s="1783"/>
      <c r="F142" s="1783"/>
      <c r="G142" s="1783"/>
      <c r="H142" s="1783"/>
      <c r="I142" s="1783"/>
      <c r="J142" s="1783"/>
      <c r="K142" s="1783"/>
      <c r="L142" s="1783"/>
      <c r="M142" s="1783"/>
      <c r="N142" s="1783"/>
      <c r="O142" s="1783"/>
      <c r="P142" s="1783"/>
      <c r="Q142" s="1783"/>
      <c r="R142" s="1783"/>
      <c r="S142" s="1783"/>
      <c r="T142" s="1783"/>
      <c r="U142" s="1783"/>
      <c r="V142" s="1783"/>
      <c r="W142" s="1783"/>
      <c r="X142" s="1783"/>
      <c r="Y142" s="1783"/>
      <c r="Z142" s="1783"/>
      <c r="AA142" s="1783"/>
      <c r="AB142" s="1783"/>
      <c r="AC142" s="1783"/>
    </row>
    <row r="143" spans="1:29">
      <c r="A143" s="1783"/>
      <c r="B143" s="1783"/>
      <c r="C143" s="1783"/>
      <c r="D143" s="1783"/>
      <c r="E143" s="1783"/>
      <c r="F143" s="1783"/>
      <c r="G143" s="1783"/>
      <c r="H143" s="1783"/>
      <c r="I143" s="1783"/>
      <c r="J143" s="1783"/>
      <c r="K143" s="1783"/>
      <c r="L143" s="1783"/>
      <c r="M143" s="1783"/>
      <c r="N143" s="1783"/>
      <c r="O143" s="1783"/>
      <c r="P143" s="1783"/>
      <c r="Q143" s="1783"/>
      <c r="R143" s="1783"/>
      <c r="S143" s="1783"/>
      <c r="T143" s="1783"/>
      <c r="U143" s="1783"/>
      <c r="V143" s="1783"/>
      <c r="W143" s="1783"/>
      <c r="X143" s="1783"/>
      <c r="Y143" s="1783"/>
      <c r="Z143" s="1783"/>
      <c r="AA143" s="1783"/>
      <c r="AB143" s="1783"/>
      <c r="AC143" s="1783"/>
    </row>
    <row r="144" spans="1:29">
      <c r="A144" s="1783"/>
      <c r="B144" s="1783"/>
      <c r="C144" s="1783"/>
      <c r="D144" s="1783"/>
      <c r="E144" s="1783"/>
      <c r="F144" s="1783"/>
      <c r="G144" s="1783"/>
      <c r="H144" s="1783"/>
      <c r="I144" s="1783"/>
      <c r="J144" s="1783"/>
      <c r="K144" s="1783"/>
      <c r="L144" s="1783"/>
      <c r="M144" s="1783"/>
      <c r="N144" s="1783"/>
      <c r="O144" s="1783"/>
      <c r="P144" s="1783"/>
      <c r="Q144" s="1783"/>
      <c r="R144" s="1783"/>
      <c r="S144" s="1783"/>
      <c r="T144" s="1783"/>
      <c r="U144" s="1783"/>
      <c r="V144" s="1783"/>
      <c r="W144" s="1783"/>
      <c r="X144" s="1783"/>
      <c r="Y144" s="1783"/>
      <c r="Z144" s="1783"/>
      <c r="AA144" s="1783"/>
      <c r="AB144" s="1783"/>
      <c r="AC144" s="1783"/>
    </row>
    <row r="145" spans="1:29">
      <c r="A145" s="1783"/>
      <c r="B145" s="1783"/>
      <c r="C145" s="1783"/>
      <c r="D145" s="1783"/>
      <c r="E145" s="1783"/>
      <c r="F145" s="1783"/>
      <c r="G145" s="1783"/>
      <c r="H145" s="1783"/>
      <c r="I145" s="1783"/>
      <c r="J145" s="1783"/>
      <c r="K145" s="1783"/>
      <c r="L145" s="1783"/>
      <c r="M145" s="1783"/>
      <c r="N145" s="1783"/>
      <c r="O145" s="1783"/>
      <c r="P145" s="1783"/>
      <c r="Q145" s="1783"/>
      <c r="R145" s="1783"/>
      <c r="S145" s="1783"/>
      <c r="T145" s="1783"/>
      <c r="U145" s="1783"/>
      <c r="V145" s="1783"/>
      <c r="W145" s="1783"/>
      <c r="X145" s="1783"/>
      <c r="Y145" s="1783"/>
      <c r="Z145" s="1783"/>
      <c r="AA145" s="1783"/>
      <c r="AB145" s="1783"/>
      <c r="AC145" s="1783"/>
    </row>
    <row r="146" spans="1:29">
      <c r="A146" s="1783"/>
      <c r="B146" s="1783"/>
      <c r="C146" s="1783"/>
      <c r="D146" s="1783"/>
      <c r="E146" s="1783"/>
      <c r="F146" s="1783"/>
      <c r="G146" s="1783"/>
      <c r="H146" s="1783"/>
      <c r="I146" s="1783"/>
      <c r="J146" s="1783"/>
      <c r="K146" s="1783"/>
      <c r="L146" s="1783"/>
      <c r="M146" s="1783"/>
      <c r="N146" s="1783"/>
      <c r="O146" s="1783"/>
      <c r="P146" s="1783"/>
      <c r="Q146" s="1783"/>
      <c r="R146" s="1783"/>
      <c r="S146" s="1783"/>
      <c r="T146" s="1783"/>
      <c r="U146" s="1783"/>
      <c r="V146" s="1783"/>
      <c r="W146" s="1783"/>
      <c r="X146" s="1783"/>
      <c r="Y146" s="1783"/>
      <c r="Z146" s="1783"/>
      <c r="AA146" s="1783"/>
      <c r="AB146" s="1783"/>
      <c r="AC146" s="1783"/>
    </row>
    <row r="147" spans="1:29">
      <c r="A147" s="1783"/>
      <c r="B147" s="1783"/>
      <c r="C147" s="1783"/>
      <c r="D147" s="1783"/>
      <c r="E147" s="1783"/>
      <c r="F147" s="1783"/>
      <c r="G147" s="1783"/>
      <c r="H147" s="1783"/>
      <c r="I147" s="1783"/>
      <c r="J147" s="1783"/>
      <c r="K147" s="1783"/>
      <c r="L147" s="1783"/>
      <c r="M147" s="1783"/>
      <c r="N147" s="1783"/>
      <c r="O147" s="1783"/>
      <c r="P147" s="1783"/>
      <c r="Q147" s="1783"/>
      <c r="R147" s="1783"/>
      <c r="S147" s="1783"/>
      <c r="T147" s="1783"/>
      <c r="U147" s="1783"/>
      <c r="V147" s="1783"/>
      <c r="W147" s="1783"/>
      <c r="X147" s="1783"/>
      <c r="Y147" s="1783"/>
      <c r="Z147" s="1783"/>
      <c r="AA147" s="1783"/>
      <c r="AB147" s="1783"/>
      <c r="AC147" s="1783"/>
    </row>
    <row r="148" spans="1:29">
      <c r="A148" s="1783"/>
      <c r="B148" s="1783"/>
      <c r="C148" s="1783"/>
      <c r="D148" s="1783"/>
      <c r="E148" s="1783"/>
      <c r="F148" s="1783"/>
      <c r="G148" s="1783"/>
      <c r="H148" s="1783"/>
      <c r="I148" s="1783"/>
      <c r="J148" s="1783"/>
      <c r="K148" s="1783"/>
      <c r="L148" s="1783"/>
      <c r="M148" s="1783"/>
      <c r="N148" s="1783"/>
      <c r="O148" s="1783"/>
      <c r="P148" s="1783"/>
      <c r="Q148" s="1783"/>
      <c r="R148" s="1783"/>
      <c r="S148" s="1783"/>
      <c r="T148" s="1783"/>
      <c r="U148" s="1783"/>
      <c r="V148" s="1783"/>
      <c r="W148" s="1783"/>
      <c r="X148" s="1783"/>
      <c r="Y148" s="1783"/>
      <c r="Z148" s="1783"/>
      <c r="AA148" s="1783"/>
      <c r="AB148" s="1783"/>
      <c r="AC148" s="1783"/>
    </row>
    <row r="149" spans="1:29">
      <c r="A149" s="1783"/>
      <c r="B149" s="1783"/>
      <c r="C149" s="1783"/>
      <c r="D149" s="1783"/>
      <c r="E149" s="1783"/>
      <c r="F149" s="1783"/>
      <c r="G149" s="1783"/>
      <c r="H149" s="1783"/>
      <c r="I149" s="1783"/>
      <c r="J149" s="1783"/>
      <c r="K149" s="1783"/>
      <c r="L149" s="1783"/>
      <c r="M149" s="1783"/>
      <c r="N149" s="1783"/>
      <c r="O149" s="1783"/>
      <c r="P149" s="1783"/>
      <c r="Q149" s="1783"/>
      <c r="R149" s="1783"/>
      <c r="S149" s="1783"/>
      <c r="T149" s="1783"/>
      <c r="U149" s="1783"/>
      <c r="V149" s="1783"/>
      <c r="W149" s="1783"/>
      <c r="X149" s="1783"/>
      <c r="Y149" s="1783"/>
      <c r="Z149" s="1783"/>
      <c r="AA149" s="1783"/>
      <c r="AB149" s="1783"/>
      <c r="AC149" s="1783"/>
    </row>
    <row r="150" spans="1:29">
      <c r="A150" s="1783"/>
      <c r="B150" s="1783"/>
      <c r="C150" s="1783"/>
      <c r="D150" s="1783"/>
      <c r="E150" s="1783"/>
      <c r="F150" s="1783"/>
      <c r="G150" s="1783"/>
      <c r="H150" s="1783"/>
      <c r="I150" s="1783"/>
      <c r="J150" s="1783"/>
      <c r="K150" s="1783"/>
      <c r="L150" s="1783"/>
      <c r="M150" s="1783"/>
      <c r="N150" s="1783"/>
      <c r="O150" s="1783"/>
      <c r="P150" s="1783"/>
      <c r="Q150" s="1783"/>
      <c r="R150" s="1783"/>
      <c r="S150" s="1783"/>
      <c r="T150" s="1783"/>
      <c r="U150" s="1783"/>
      <c r="V150" s="1783"/>
      <c r="W150" s="1783"/>
      <c r="X150" s="1783"/>
      <c r="Y150" s="1783"/>
      <c r="Z150" s="1783"/>
      <c r="AA150" s="1783"/>
      <c r="AB150" s="1783"/>
      <c r="AC150" s="1783"/>
    </row>
    <row r="151" spans="1:29">
      <c r="A151" s="1783"/>
      <c r="B151" s="1783"/>
      <c r="C151" s="1783"/>
      <c r="D151" s="1783"/>
      <c r="E151" s="1783"/>
      <c r="F151" s="1783"/>
      <c r="G151" s="1783"/>
      <c r="H151" s="1783"/>
      <c r="I151" s="1783"/>
      <c r="J151" s="1783"/>
      <c r="K151" s="1783"/>
      <c r="L151" s="1783"/>
      <c r="M151" s="1783"/>
      <c r="N151" s="1783"/>
      <c r="O151" s="1783"/>
      <c r="P151" s="1783"/>
      <c r="Q151" s="1783"/>
      <c r="R151" s="1783"/>
      <c r="S151" s="1783"/>
      <c r="T151" s="1783"/>
      <c r="U151" s="1783"/>
      <c r="V151" s="1783"/>
      <c r="W151" s="1783"/>
      <c r="X151" s="1783"/>
      <c r="Y151" s="1783"/>
      <c r="Z151" s="1783"/>
      <c r="AA151" s="1783"/>
      <c r="AB151" s="1783"/>
      <c r="AC151" s="1783"/>
    </row>
    <row r="152" spans="1:29">
      <c r="A152" s="1783"/>
      <c r="B152" s="1783"/>
      <c r="C152" s="1783"/>
      <c r="D152" s="1783"/>
      <c r="E152" s="1783"/>
      <c r="F152" s="1783"/>
      <c r="G152" s="1783"/>
      <c r="H152" s="1783"/>
      <c r="I152" s="1783"/>
      <c r="J152" s="1783"/>
      <c r="K152" s="1783"/>
      <c r="L152" s="1783"/>
      <c r="M152" s="1783"/>
      <c r="N152" s="1783"/>
      <c r="O152" s="1783"/>
      <c r="P152" s="1783"/>
      <c r="Q152" s="1783"/>
      <c r="R152" s="1783"/>
      <c r="S152" s="1783"/>
      <c r="T152" s="1783"/>
      <c r="U152" s="1783"/>
      <c r="V152" s="1783"/>
      <c r="W152" s="1783"/>
      <c r="X152" s="1783"/>
      <c r="Y152" s="1783"/>
      <c r="Z152" s="1783"/>
      <c r="AA152" s="1783"/>
      <c r="AB152" s="1783"/>
      <c r="AC152" s="1783"/>
    </row>
    <row r="153" spans="1:29">
      <c r="A153" s="1783"/>
      <c r="B153" s="1783"/>
      <c r="C153" s="1783"/>
      <c r="D153" s="1783"/>
      <c r="E153" s="1783"/>
      <c r="F153" s="1783"/>
      <c r="G153" s="1783"/>
      <c r="H153" s="1783"/>
      <c r="I153" s="1783"/>
      <c r="J153" s="1783"/>
      <c r="K153" s="1783"/>
      <c r="L153" s="1783"/>
      <c r="M153" s="1783"/>
      <c r="N153" s="1783"/>
      <c r="O153" s="1783"/>
      <c r="P153" s="1783"/>
      <c r="Q153" s="1783"/>
      <c r="R153" s="1783"/>
      <c r="S153" s="1783"/>
      <c r="T153" s="1783"/>
      <c r="U153" s="1783"/>
      <c r="V153" s="1783"/>
      <c r="W153" s="1783"/>
      <c r="X153" s="1783"/>
      <c r="Y153" s="1783"/>
      <c r="Z153" s="1783"/>
      <c r="AA153" s="1783"/>
      <c r="AB153" s="1783"/>
      <c r="AC153" s="1783"/>
    </row>
    <row r="154" spans="1:29">
      <c r="A154" s="1783"/>
      <c r="B154" s="1783"/>
      <c r="C154" s="1783"/>
      <c r="D154" s="1783"/>
      <c r="E154" s="1783"/>
      <c r="F154" s="1783"/>
      <c r="G154" s="1783"/>
      <c r="H154" s="1783"/>
      <c r="I154" s="1783"/>
      <c r="J154" s="1783"/>
      <c r="K154" s="1783"/>
      <c r="L154" s="1783"/>
      <c r="M154" s="1783"/>
      <c r="N154" s="1783"/>
      <c r="O154" s="1783"/>
      <c r="P154" s="1783"/>
      <c r="Q154" s="1783"/>
      <c r="R154" s="1783"/>
      <c r="S154" s="1783"/>
      <c r="T154" s="1783"/>
      <c r="U154" s="1783"/>
      <c r="V154" s="1783"/>
      <c r="W154" s="1783"/>
      <c r="X154" s="1783"/>
      <c r="Y154" s="1783"/>
      <c r="Z154" s="1783"/>
      <c r="AA154" s="1783"/>
      <c r="AB154" s="1783"/>
      <c r="AC154" s="1783"/>
    </row>
    <row r="155" spans="1:29">
      <c r="A155" s="1783"/>
      <c r="B155" s="1783"/>
      <c r="C155" s="1783"/>
      <c r="D155" s="1783"/>
      <c r="E155" s="1783"/>
      <c r="F155" s="1783"/>
      <c r="G155" s="1783"/>
      <c r="H155" s="1783"/>
      <c r="I155" s="1783"/>
      <c r="J155" s="1783"/>
      <c r="K155" s="1783"/>
      <c r="L155" s="1783"/>
      <c r="M155" s="1783"/>
      <c r="N155" s="1783"/>
      <c r="O155" s="1783"/>
      <c r="P155" s="1783"/>
      <c r="Q155" s="1783"/>
      <c r="R155" s="1783"/>
      <c r="S155" s="1783"/>
      <c r="T155" s="1783"/>
      <c r="U155" s="1783"/>
      <c r="V155" s="1783"/>
      <c r="W155" s="1783"/>
      <c r="X155" s="1783"/>
      <c r="Y155" s="1783"/>
      <c r="Z155" s="1783"/>
      <c r="AA155" s="1783"/>
      <c r="AB155" s="1783"/>
      <c r="AC155" s="1783"/>
    </row>
    <row r="156" spans="1:29">
      <c r="A156" s="1783"/>
      <c r="B156" s="1783"/>
      <c r="C156" s="1783"/>
      <c r="D156" s="1783"/>
      <c r="E156" s="1783"/>
      <c r="F156" s="1783"/>
      <c r="G156" s="1783"/>
      <c r="H156" s="1783"/>
      <c r="I156" s="1783"/>
      <c r="J156" s="1783"/>
      <c r="K156" s="1783"/>
      <c r="L156" s="1783"/>
      <c r="M156" s="1783"/>
      <c r="N156" s="1783"/>
      <c r="O156" s="1783"/>
      <c r="P156" s="1783"/>
      <c r="Q156" s="1783"/>
      <c r="R156" s="1783"/>
      <c r="S156" s="1783"/>
      <c r="T156" s="1783"/>
      <c r="U156" s="1783"/>
      <c r="V156" s="1783"/>
      <c r="W156" s="1783"/>
      <c r="X156" s="1783"/>
      <c r="Y156" s="1783"/>
      <c r="Z156" s="1783"/>
      <c r="AA156" s="1783"/>
      <c r="AB156" s="1783"/>
      <c r="AC156" s="1783"/>
    </row>
    <row r="157" spans="1:29">
      <c r="A157" s="1783"/>
      <c r="B157" s="1783"/>
      <c r="C157" s="1783"/>
      <c r="D157" s="1783"/>
      <c r="E157" s="1783"/>
      <c r="F157" s="1783"/>
      <c r="G157" s="1783"/>
      <c r="H157" s="1783"/>
      <c r="I157" s="1783"/>
      <c r="J157" s="1783"/>
      <c r="K157" s="1783"/>
      <c r="L157" s="1783"/>
      <c r="M157" s="1783"/>
      <c r="N157" s="1783"/>
      <c r="O157" s="1783"/>
      <c r="P157" s="1783"/>
      <c r="Q157" s="1783"/>
      <c r="R157" s="1783"/>
      <c r="S157" s="1783"/>
      <c r="T157" s="1783"/>
      <c r="U157" s="1783"/>
      <c r="V157" s="1783"/>
      <c r="W157" s="1783"/>
      <c r="X157" s="1783"/>
      <c r="Y157" s="1783"/>
      <c r="Z157" s="1783"/>
      <c r="AA157" s="1783"/>
      <c r="AB157" s="1783"/>
      <c r="AC157" s="1783"/>
    </row>
    <row r="158" spans="1:29">
      <c r="A158" s="1783"/>
      <c r="B158" s="1783"/>
      <c r="C158" s="1783"/>
      <c r="D158" s="1783"/>
      <c r="E158" s="1783"/>
      <c r="F158" s="1783"/>
      <c r="G158" s="1783"/>
      <c r="H158" s="1783"/>
      <c r="I158" s="1783"/>
      <c r="J158" s="1783"/>
      <c r="K158" s="1783"/>
      <c r="L158" s="1783"/>
      <c r="M158" s="1783"/>
      <c r="N158" s="1783"/>
      <c r="O158" s="1783"/>
      <c r="P158" s="1783"/>
      <c r="Q158" s="1783"/>
      <c r="R158" s="1783"/>
      <c r="S158" s="1783"/>
      <c r="T158" s="1783"/>
      <c r="U158" s="1783"/>
      <c r="V158" s="1783"/>
      <c r="W158" s="1783"/>
      <c r="X158" s="1783"/>
      <c r="Y158" s="1783"/>
      <c r="Z158" s="1783"/>
      <c r="AA158" s="1783"/>
      <c r="AB158" s="1783"/>
      <c r="AC158" s="1783"/>
    </row>
    <row r="159" spans="1:29">
      <c r="A159" s="1783"/>
      <c r="B159" s="1783"/>
      <c r="C159" s="1783"/>
      <c r="D159" s="1783"/>
      <c r="E159" s="1783"/>
      <c r="F159" s="1783"/>
      <c r="G159" s="1783"/>
      <c r="H159" s="1783"/>
      <c r="I159" s="1783"/>
      <c r="J159" s="1783"/>
      <c r="K159" s="1783"/>
      <c r="L159" s="1783"/>
      <c r="M159" s="1783"/>
      <c r="N159" s="1783"/>
      <c r="O159" s="1783"/>
      <c r="P159" s="1783"/>
      <c r="Q159" s="1783"/>
      <c r="R159" s="1783"/>
      <c r="S159" s="1783"/>
      <c r="T159" s="1783"/>
      <c r="U159" s="1783"/>
      <c r="V159" s="1783"/>
      <c r="W159" s="1783"/>
      <c r="X159" s="1783"/>
      <c r="Y159" s="1783"/>
      <c r="Z159" s="1783"/>
      <c r="AA159" s="1783"/>
      <c r="AB159" s="1783"/>
      <c r="AC159" s="1783"/>
    </row>
    <row r="160" spans="1:29">
      <c r="A160" s="1783"/>
      <c r="B160" s="1783"/>
      <c r="C160" s="1783"/>
      <c r="D160" s="1783"/>
      <c r="E160" s="1783"/>
      <c r="F160" s="1783"/>
      <c r="G160" s="1783"/>
      <c r="H160" s="1783"/>
      <c r="I160" s="1783"/>
      <c r="J160" s="1783"/>
      <c r="K160" s="1783"/>
      <c r="L160" s="1783"/>
      <c r="M160" s="1783"/>
      <c r="N160" s="1783"/>
      <c r="O160" s="1783"/>
      <c r="P160" s="1783"/>
      <c r="Q160" s="1783"/>
      <c r="R160" s="1783"/>
      <c r="S160" s="1783"/>
      <c r="T160" s="1783"/>
      <c r="U160" s="1783"/>
      <c r="V160" s="1783"/>
      <c r="W160" s="1783"/>
      <c r="X160" s="1783"/>
      <c r="Y160" s="1783"/>
      <c r="Z160" s="1783"/>
      <c r="AA160" s="1783"/>
      <c r="AB160" s="1783"/>
      <c r="AC160" s="1783"/>
    </row>
    <row r="161" spans="1:29">
      <c r="A161" s="1783"/>
      <c r="B161" s="1783"/>
      <c r="C161" s="1783"/>
      <c r="D161" s="1783"/>
      <c r="E161" s="1783"/>
      <c r="F161" s="1783"/>
      <c r="G161" s="1783"/>
      <c r="H161" s="1783"/>
      <c r="I161" s="1783"/>
      <c r="J161" s="1783"/>
      <c r="K161" s="1783"/>
      <c r="L161" s="1783"/>
      <c r="M161" s="1783"/>
      <c r="N161" s="1783"/>
      <c r="O161" s="1783"/>
      <c r="P161" s="1783"/>
      <c r="Q161" s="1783"/>
      <c r="R161" s="1783"/>
      <c r="S161" s="1783"/>
      <c r="T161" s="1783"/>
      <c r="U161" s="1783"/>
      <c r="V161" s="1783"/>
      <c r="W161" s="1783"/>
      <c r="X161" s="1783"/>
      <c r="Y161" s="1783"/>
      <c r="Z161" s="1783"/>
      <c r="AA161" s="1783"/>
      <c r="AB161" s="1783"/>
      <c r="AC161" s="1783"/>
    </row>
    <row r="162" spans="1:29">
      <c r="A162" s="1783"/>
      <c r="B162" s="1783"/>
      <c r="C162" s="1783"/>
      <c r="D162" s="1783"/>
      <c r="E162" s="1783"/>
      <c r="F162" s="1783"/>
      <c r="G162" s="1783"/>
      <c r="H162" s="1783"/>
      <c r="I162" s="1783"/>
      <c r="J162" s="1783"/>
      <c r="K162" s="1783"/>
      <c r="L162" s="1783"/>
      <c r="M162" s="1783"/>
      <c r="N162" s="1783"/>
      <c r="O162" s="1783"/>
      <c r="P162" s="1783"/>
      <c r="Q162" s="1783"/>
      <c r="R162" s="1783"/>
      <c r="S162" s="1783"/>
      <c r="T162" s="1783"/>
      <c r="U162" s="1783"/>
      <c r="V162" s="1783"/>
      <c r="W162" s="1783"/>
      <c r="X162" s="1783"/>
      <c r="Y162" s="1783"/>
      <c r="Z162" s="1783"/>
      <c r="AA162" s="1783"/>
      <c r="AB162" s="1783"/>
      <c r="AC162" s="1783"/>
    </row>
    <row r="163" spans="1:29">
      <c r="A163" s="1783"/>
      <c r="B163" s="1783"/>
      <c r="C163" s="1783"/>
      <c r="D163" s="1783"/>
      <c r="E163" s="1783"/>
      <c r="F163" s="1783"/>
      <c r="G163" s="1783"/>
      <c r="H163" s="1783"/>
      <c r="I163" s="1783"/>
      <c r="J163" s="1783"/>
      <c r="K163" s="1783"/>
      <c r="L163" s="1783"/>
      <c r="M163" s="1783"/>
      <c r="N163" s="1783"/>
      <c r="O163" s="1783"/>
      <c r="P163" s="1783"/>
      <c r="Q163" s="1783"/>
      <c r="R163" s="1783"/>
      <c r="S163" s="1783"/>
      <c r="T163" s="1783"/>
      <c r="U163" s="1783"/>
      <c r="V163" s="1783"/>
      <c r="W163" s="1783"/>
      <c r="X163" s="1783"/>
      <c r="Y163" s="1783"/>
      <c r="Z163" s="1783"/>
      <c r="AA163" s="1783"/>
      <c r="AB163" s="1783"/>
      <c r="AC163" s="1783"/>
    </row>
    <row r="164" spans="1:29">
      <c r="A164" s="1783"/>
      <c r="B164" s="1783"/>
      <c r="C164" s="1783"/>
      <c r="D164" s="1783"/>
      <c r="E164" s="1783"/>
      <c r="F164" s="1783"/>
      <c r="G164" s="1783"/>
      <c r="H164" s="1783"/>
      <c r="I164" s="1783"/>
      <c r="J164" s="1783"/>
      <c r="K164" s="1783"/>
      <c r="L164" s="1783"/>
      <c r="M164" s="1783"/>
      <c r="N164" s="1783"/>
      <c r="O164" s="1783"/>
      <c r="P164" s="1783"/>
      <c r="Q164" s="1783"/>
      <c r="R164" s="1783"/>
      <c r="S164" s="1783"/>
      <c r="T164" s="1783"/>
      <c r="U164" s="1783"/>
      <c r="V164" s="1783"/>
      <c r="W164" s="1783"/>
      <c r="X164" s="1783"/>
      <c r="Y164" s="1783"/>
      <c r="Z164" s="1783"/>
      <c r="AA164" s="1783"/>
      <c r="AB164" s="1783"/>
      <c r="AC164" s="1783"/>
    </row>
    <row r="165" spans="1:29">
      <c r="A165" s="1783"/>
      <c r="B165" s="1783"/>
      <c r="C165" s="1783"/>
      <c r="D165" s="1783"/>
      <c r="E165" s="1783"/>
      <c r="F165" s="1783"/>
      <c r="G165" s="1783"/>
      <c r="H165" s="1783"/>
      <c r="I165" s="1783"/>
      <c r="J165" s="1783"/>
      <c r="K165" s="1783"/>
      <c r="L165" s="1783"/>
      <c r="M165" s="1783"/>
      <c r="N165" s="1783"/>
      <c r="O165" s="1783"/>
      <c r="P165" s="1783"/>
      <c r="Q165" s="1783"/>
      <c r="R165" s="1783"/>
      <c r="S165" s="1783"/>
      <c r="T165" s="1783"/>
      <c r="U165" s="1783"/>
      <c r="V165" s="1783"/>
      <c r="W165" s="1783"/>
      <c r="X165" s="1783"/>
      <c r="Y165" s="1783"/>
      <c r="Z165" s="1783"/>
      <c r="AA165" s="1783"/>
      <c r="AB165" s="1783"/>
      <c r="AC165" s="1783"/>
    </row>
    <row r="166" spans="1:29">
      <c r="A166" s="1783"/>
      <c r="B166" s="1783"/>
      <c r="C166" s="1783"/>
      <c r="D166" s="1783"/>
      <c r="E166" s="1783"/>
      <c r="F166" s="1783"/>
      <c r="G166" s="1783"/>
      <c r="H166" s="1783"/>
      <c r="I166" s="1783"/>
      <c r="J166" s="1783"/>
      <c r="K166" s="1783"/>
      <c r="L166" s="1783"/>
      <c r="M166" s="1783"/>
      <c r="N166" s="1783"/>
      <c r="O166" s="1783"/>
      <c r="P166" s="1783"/>
      <c r="Q166" s="1783"/>
      <c r="R166" s="1783"/>
      <c r="S166" s="1783"/>
      <c r="T166" s="1783"/>
      <c r="U166" s="1783"/>
      <c r="V166" s="1783"/>
      <c r="W166" s="1783"/>
      <c r="X166" s="1783"/>
      <c r="Y166" s="1783"/>
      <c r="Z166" s="1783"/>
      <c r="AA166" s="1783"/>
      <c r="AB166" s="1783"/>
      <c r="AC166" s="1783"/>
    </row>
    <row r="167" spans="1:29">
      <c r="A167" s="1783"/>
      <c r="B167" s="1783"/>
      <c r="C167" s="1783"/>
      <c r="D167" s="1783"/>
      <c r="E167" s="1783"/>
      <c r="F167" s="1783"/>
      <c r="G167" s="1783"/>
      <c r="H167" s="1783"/>
      <c r="I167" s="1783"/>
      <c r="J167" s="1783"/>
      <c r="K167" s="1783"/>
      <c r="L167" s="1783"/>
      <c r="M167" s="1783"/>
      <c r="N167" s="1783"/>
      <c r="O167" s="1783"/>
      <c r="P167" s="1783"/>
      <c r="Q167" s="1783"/>
      <c r="R167" s="1783"/>
      <c r="S167" s="1783"/>
      <c r="T167" s="1783"/>
      <c r="U167" s="1783"/>
      <c r="V167" s="1783"/>
      <c r="W167" s="1783"/>
      <c r="X167" s="1783"/>
      <c r="Y167" s="1783"/>
      <c r="Z167" s="1783"/>
      <c r="AA167" s="1783"/>
      <c r="AB167" s="1783"/>
      <c r="AC167" s="1783"/>
    </row>
    <row r="168" spans="1:29">
      <c r="A168" s="1783"/>
      <c r="B168" s="1783"/>
      <c r="C168" s="1783"/>
      <c r="D168" s="1783"/>
      <c r="E168" s="1783"/>
      <c r="F168" s="1783"/>
      <c r="G168" s="1783"/>
      <c r="H168" s="1783"/>
      <c r="I168" s="1783"/>
      <c r="J168" s="1783"/>
      <c r="K168" s="1783"/>
      <c r="L168" s="1783"/>
      <c r="M168" s="1783"/>
      <c r="N168" s="1783"/>
      <c r="O168" s="1783"/>
      <c r="P168" s="1783"/>
      <c r="Q168" s="1783"/>
      <c r="R168" s="1783"/>
      <c r="S168" s="1783"/>
      <c r="T168" s="1783"/>
      <c r="U168" s="1783"/>
      <c r="V168" s="1783"/>
      <c r="W168" s="1783"/>
      <c r="X168" s="1783"/>
      <c r="Y168" s="1783"/>
      <c r="Z168" s="1783"/>
      <c r="AA168" s="1783"/>
      <c r="AB168" s="1783"/>
      <c r="AC168" s="1783"/>
    </row>
    <row r="169" spans="1:29">
      <c r="A169" s="1783"/>
      <c r="B169" s="1783"/>
      <c r="C169" s="1783"/>
      <c r="D169" s="1783"/>
      <c r="E169" s="1783"/>
      <c r="F169" s="1783"/>
      <c r="G169" s="1783"/>
      <c r="H169" s="1783"/>
      <c r="I169" s="1783"/>
      <c r="J169" s="1783"/>
      <c r="K169" s="1783"/>
      <c r="L169" s="1783"/>
      <c r="M169" s="1783"/>
      <c r="N169" s="1783"/>
      <c r="O169" s="1783"/>
      <c r="P169" s="1783"/>
      <c r="Q169" s="1783"/>
      <c r="R169" s="1783"/>
      <c r="S169" s="1783"/>
      <c r="T169" s="1783"/>
      <c r="U169" s="1783"/>
      <c r="V169" s="1783"/>
      <c r="W169" s="1783"/>
      <c r="X169" s="1783"/>
      <c r="Y169" s="1783"/>
      <c r="Z169" s="1783"/>
      <c r="AA169" s="1783"/>
      <c r="AB169" s="1783"/>
      <c r="AC169" s="1783"/>
    </row>
    <row r="170" spans="1:29">
      <c r="A170" s="1783"/>
      <c r="B170" s="1783"/>
      <c r="C170" s="1783"/>
      <c r="D170" s="1783"/>
      <c r="E170" s="1783"/>
      <c r="F170" s="1783"/>
      <c r="G170" s="1783"/>
      <c r="H170" s="1783"/>
      <c r="I170" s="1783"/>
      <c r="J170" s="1783"/>
      <c r="K170" s="1783"/>
      <c r="L170" s="1783"/>
      <c r="M170" s="1783"/>
      <c r="N170" s="1783"/>
      <c r="O170" s="1783"/>
      <c r="P170" s="1783"/>
      <c r="Q170" s="1783"/>
      <c r="R170" s="1783"/>
      <c r="S170" s="1783"/>
      <c r="T170" s="1783"/>
      <c r="U170" s="1783"/>
      <c r="V170" s="1783"/>
      <c r="W170" s="1783"/>
      <c r="X170" s="1783"/>
      <c r="Y170" s="1783"/>
      <c r="Z170" s="1783"/>
      <c r="AA170" s="1783"/>
      <c r="AB170" s="1783"/>
      <c r="AC170" s="1783"/>
    </row>
    <row r="171" spans="1:29">
      <c r="A171" s="1783"/>
      <c r="B171" s="1783"/>
      <c r="C171" s="1783"/>
      <c r="D171" s="1783"/>
      <c r="E171" s="1783"/>
      <c r="F171" s="1783"/>
      <c r="G171" s="1783"/>
      <c r="H171" s="1783"/>
      <c r="I171" s="1783"/>
      <c r="J171" s="1783"/>
      <c r="K171" s="1783"/>
      <c r="L171" s="1783"/>
      <c r="M171" s="1783"/>
      <c r="N171" s="1783"/>
      <c r="O171" s="1783"/>
      <c r="P171" s="1783"/>
      <c r="Q171" s="1783"/>
      <c r="R171" s="1783"/>
      <c r="S171" s="1783"/>
      <c r="T171" s="1783"/>
      <c r="U171" s="1783"/>
      <c r="V171" s="1783"/>
      <c r="W171" s="1783"/>
      <c r="X171" s="1783"/>
      <c r="Y171" s="1783"/>
      <c r="Z171" s="1783"/>
      <c r="AA171" s="1783"/>
      <c r="AB171" s="1783"/>
      <c r="AC171" s="1783"/>
    </row>
    <row r="172" spans="1:29">
      <c r="A172" s="1783"/>
      <c r="B172" s="1783"/>
      <c r="C172" s="1783"/>
      <c r="D172" s="1783"/>
      <c r="E172" s="1783"/>
      <c r="F172" s="1783"/>
      <c r="G172" s="1783"/>
      <c r="H172" s="1783"/>
      <c r="I172" s="1783"/>
      <c r="J172" s="1783"/>
      <c r="K172" s="1783"/>
      <c r="L172" s="1783"/>
      <c r="M172" s="1783"/>
      <c r="N172" s="1783"/>
      <c r="O172" s="1783"/>
      <c r="P172" s="1783"/>
      <c r="Q172" s="1783"/>
      <c r="R172" s="1783"/>
      <c r="S172" s="1783"/>
      <c r="T172" s="1783"/>
      <c r="U172" s="1783"/>
      <c r="V172" s="1783"/>
      <c r="W172" s="1783"/>
      <c r="X172" s="1783"/>
      <c r="Y172" s="1783"/>
      <c r="Z172" s="1783"/>
      <c r="AA172" s="1783"/>
      <c r="AB172" s="1783"/>
      <c r="AC172" s="1783"/>
    </row>
    <row r="173" spans="1:29">
      <c r="A173" s="1783"/>
      <c r="B173" s="1783"/>
      <c r="C173" s="1783"/>
      <c r="D173" s="1783"/>
      <c r="E173" s="1783"/>
      <c r="F173" s="1783"/>
      <c r="G173" s="1783"/>
      <c r="H173" s="1783"/>
      <c r="I173" s="1783"/>
      <c r="J173" s="1783"/>
      <c r="K173" s="1783"/>
      <c r="L173" s="1783"/>
      <c r="M173" s="1783"/>
      <c r="N173" s="1783"/>
      <c r="O173" s="1783"/>
      <c r="P173" s="1783"/>
      <c r="Q173" s="1783"/>
      <c r="R173" s="1783"/>
      <c r="S173" s="1783"/>
      <c r="T173" s="1783"/>
      <c r="U173" s="1783"/>
      <c r="V173" s="1783"/>
      <c r="W173" s="1783"/>
      <c r="X173" s="1783"/>
      <c r="Y173" s="1783"/>
      <c r="Z173" s="1783"/>
      <c r="AA173" s="1783"/>
      <c r="AB173" s="1783"/>
      <c r="AC173" s="1783"/>
    </row>
    <row r="174" spans="1:29">
      <c r="A174" s="1783"/>
      <c r="B174" s="1783"/>
      <c r="C174" s="1783"/>
      <c r="D174" s="1783"/>
      <c r="E174" s="1783"/>
      <c r="F174" s="1783"/>
      <c r="G174" s="1783"/>
      <c r="H174" s="1783"/>
      <c r="I174" s="1783"/>
      <c r="J174" s="1783"/>
      <c r="K174" s="1783"/>
      <c r="L174" s="1783"/>
      <c r="M174" s="1783"/>
      <c r="N174" s="1783"/>
      <c r="O174" s="1783"/>
      <c r="P174" s="1783"/>
      <c r="Q174" s="1783"/>
      <c r="R174" s="1783"/>
      <c r="S174" s="1783"/>
      <c r="T174" s="1783"/>
      <c r="U174" s="1783"/>
      <c r="V174" s="1783"/>
      <c r="W174" s="1783"/>
      <c r="X174" s="1783"/>
      <c r="Y174" s="1783"/>
      <c r="Z174" s="1783"/>
      <c r="AA174" s="1783"/>
      <c r="AB174" s="1783"/>
      <c r="AC174" s="1783"/>
    </row>
    <row r="175" spans="1:29">
      <c r="A175" s="1783"/>
      <c r="B175" s="1783"/>
      <c r="C175" s="1783"/>
      <c r="D175" s="1783"/>
      <c r="E175" s="1783"/>
      <c r="F175" s="1783"/>
      <c r="G175" s="1783"/>
      <c r="H175" s="1783"/>
      <c r="I175" s="1783"/>
      <c r="J175" s="1783"/>
      <c r="K175" s="1783"/>
      <c r="L175" s="1783"/>
      <c r="M175" s="1783"/>
      <c r="N175" s="1783"/>
      <c r="O175" s="1783"/>
      <c r="P175" s="1783"/>
      <c r="Q175" s="1783"/>
      <c r="R175" s="1783"/>
      <c r="S175" s="1783"/>
      <c r="T175" s="1783"/>
      <c r="U175" s="1783"/>
      <c r="V175" s="1783"/>
      <c r="W175" s="1783"/>
      <c r="X175" s="1783"/>
      <c r="Y175" s="1783"/>
      <c r="Z175" s="1783"/>
      <c r="AA175" s="1783"/>
      <c r="AB175" s="1783"/>
      <c r="AC175" s="1783"/>
    </row>
    <row r="176" spans="1:29">
      <c r="A176" s="1783"/>
      <c r="B176" s="1783"/>
      <c r="C176" s="1783"/>
      <c r="D176" s="1783"/>
      <c r="E176" s="1783"/>
      <c r="F176" s="1783"/>
      <c r="G176" s="1783"/>
      <c r="H176" s="1783"/>
      <c r="I176" s="1783"/>
      <c r="J176" s="1783"/>
      <c r="K176" s="1783"/>
      <c r="L176" s="1783"/>
      <c r="M176" s="1783"/>
      <c r="N176" s="1783"/>
      <c r="O176" s="1783"/>
      <c r="P176" s="1783"/>
      <c r="Q176" s="1783"/>
      <c r="R176" s="1783"/>
      <c r="S176" s="1783"/>
      <c r="T176" s="1783"/>
      <c r="U176" s="1783"/>
      <c r="V176" s="1783"/>
      <c r="W176" s="1783"/>
      <c r="X176" s="1783"/>
      <c r="Y176" s="1783"/>
      <c r="Z176" s="1783"/>
      <c r="AA176" s="1783"/>
      <c r="AB176" s="1783"/>
      <c r="AC176" s="1783"/>
    </row>
    <row r="177" spans="1:29">
      <c r="A177" s="1783"/>
      <c r="B177" s="1783"/>
      <c r="C177" s="1783"/>
      <c r="D177" s="1783"/>
      <c r="E177" s="1783"/>
      <c r="F177" s="1783"/>
      <c r="G177" s="1783"/>
      <c r="H177" s="1783"/>
      <c r="I177" s="1783"/>
      <c r="J177" s="1783"/>
      <c r="K177" s="1783"/>
      <c r="L177" s="1783"/>
      <c r="M177" s="1783"/>
      <c r="N177" s="1783"/>
      <c r="O177" s="1783"/>
      <c r="P177" s="1783"/>
      <c r="Q177" s="1783"/>
      <c r="R177" s="1783"/>
      <c r="S177" s="1783"/>
      <c r="T177" s="1783"/>
      <c r="U177" s="1783"/>
      <c r="V177" s="1783"/>
      <c r="W177" s="1783"/>
      <c r="X177" s="1783"/>
      <c r="Y177" s="1783"/>
      <c r="Z177" s="1783"/>
      <c r="AA177" s="1783"/>
      <c r="AB177" s="1783"/>
      <c r="AC177" s="1783"/>
    </row>
    <row r="178" spans="1:29">
      <c r="A178" s="1783"/>
      <c r="B178" s="1783"/>
      <c r="C178" s="1783"/>
      <c r="D178" s="1783"/>
      <c r="E178" s="1783"/>
      <c r="F178" s="1783"/>
      <c r="G178" s="1783"/>
      <c r="H178" s="1783"/>
      <c r="I178" s="1783"/>
      <c r="J178" s="1783"/>
      <c r="K178" s="1783"/>
      <c r="L178" s="1783"/>
      <c r="M178" s="1783"/>
      <c r="N178" s="1783"/>
      <c r="O178" s="1783"/>
      <c r="P178" s="1783"/>
      <c r="Q178" s="1783"/>
      <c r="R178" s="1783"/>
      <c r="S178" s="1783"/>
      <c r="T178" s="1783"/>
      <c r="U178" s="1783"/>
      <c r="V178" s="1783"/>
      <c r="W178" s="1783"/>
      <c r="X178" s="1783"/>
      <c r="Y178" s="1783"/>
      <c r="Z178" s="1783"/>
      <c r="AA178" s="1783"/>
      <c r="AB178" s="1783"/>
      <c r="AC178" s="1783"/>
    </row>
    <row r="179" spans="1:29">
      <c r="A179" s="1783"/>
      <c r="B179" s="1783"/>
      <c r="C179" s="1783"/>
      <c r="D179" s="1783"/>
      <c r="E179" s="1783"/>
      <c r="F179" s="1783"/>
      <c r="G179" s="1783"/>
      <c r="H179" s="1783"/>
      <c r="I179" s="1783"/>
      <c r="J179" s="1783"/>
      <c r="K179" s="1783"/>
      <c r="L179" s="1783"/>
      <c r="M179" s="1783"/>
      <c r="N179" s="1783"/>
      <c r="O179" s="1783"/>
      <c r="P179" s="1783"/>
      <c r="Q179" s="1783"/>
      <c r="R179" s="1783"/>
      <c r="S179" s="1783"/>
      <c r="T179" s="1783"/>
      <c r="U179" s="1783"/>
      <c r="V179" s="1783"/>
      <c r="W179" s="1783"/>
      <c r="X179" s="1783"/>
      <c r="Y179" s="1783"/>
      <c r="Z179" s="1783"/>
      <c r="AA179" s="1783"/>
      <c r="AB179" s="1783"/>
      <c r="AC179" s="1783"/>
    </row>
    <row r="180" spans="1:29">
      <c r="A180" s="1783"/>
      <c r="B180" s="1783"/>
      <c r="C180" s="1783"/>
      <c r="D180" s="1783"/>
      <c r="E180" s="1783"/>
      <c r="F180" s="1783"/>
      <c r="G180" s="1783"/>
      <c r="H180" s="1783"/>
      <c r="I180" s="1783"/>
      <c r="J180" s="1783"/>
      <c r="K180" s="1783"/>
      <c r="L180" s="1783"/>
      <c r="M180" s="1783"/>
      <c r="N180" s="1783"/>
      <c r="O180" s="1783"/>
      <c r="P180" s="1783"/>
      <c r="Q180" s="1783"/>
      <c r="R180" s="1783"/>
      <c r="S180" s="1783"/>
      <c r="T180" s="1783"/>
      <c r="U180" s="1783"/>
      <c r="V180" s="1783"/>
      <c r="W180" s="1783"/>
      <c r="X180" s="1783"/>
      <c r="Y180" s="1783"/>
      <c r="Z180" s="1783"/>
      <c r="AA180" s="1783"/>
      <c r="AB180" s="1783"/>
      <c r="AC180" s="1783"/>
    </row>
    <row r="181" spans="1:29">
      <c r="A181" s="1783"/>
      <c r="B181" s="1783"/>
      <c r="C181" s="1783"/>
      <c r="D181" s="1783"/>
      <c r="E181" s="1783"/>
      <c r="F181" s="1783"/>
      <c r="G181" s="1783"/>
      <c r="H181" s="1783"/>
      <c r="I181" s="1783"/>
      <c r="J181" s="1783"/>
      <c r="K181" s="1783"/>
      <c r="L181" s="1783"/>
      <c r="M181" s="1783"/>
      <c r="N181" s="1783"/>
      <c r="O181" s="1783"/>
      <c r="P181" s="1783"/>
      <c r="Q181" s="1783"/>
      <c r="R181" s="1783"/>
      <c r="S181" s="1783"/>
      <c r="T181" s="1783"/>
      <c r="U181" s="1783"/>
      <c r="V181" s="1783"/>
      <c r="W181" s="1783"/>
      <c r="X181" s="1783"/>
      <c r="Y181" s="1783"/>
      <c r="Z181" s="1783"/>
      <c r="AA181" s="1783"/>
      <c r="AB181" s="1783"/>
      <c r="AC181" s="1783"/>
    </row>
    <row r="182" spans="1:29">
      <c r="A182" s="1783"/>
      <c r="B182" s="1783"/>
      <c r="C182" s="1783"/>
      <c r="D182" s="1783"/>
      <c r="E182" s="1783"/>
      <c r="F182" s="1783"/>
      <c r="G182" s="1783"/>
      <c r="H182" s="1783"/>
      <c r="I182" s="1783"/>
      <c r="J182" s="1783"/>
      <c r="K182" s="1783"/>
      <c r="L182" s="1783"/>
      <c r="M182" s="1783"/>
      <c r="N182" s="1783"/>
      <c r="O182" s="1783"/>
      <c r="P182" s="1783"/>
      <c r="Q182" s="1783"/>
      <c r="R182" s="1783"/>
      <c r="S182" s="1783"/>
      <c r="T182" s="1783"/>
      <c r="U182" s="1783"/>
      <c r="V182" s="1783"/>
      <c r="W182" s="1783"/>
      <c r="X182" s="1783"/>
      <c r="Y182" s="1783"/>
      <c r="Z182" s="1783"/>
      <c r="AA182" s="1783"/>
      <c r="AB182" s="1783"/>
      <c r="AC182" s="1783"/>
    </row>
    <row r="183" spans="1:29">
      <c r="A183" s="1783"/>
      <c r="B183" s="1783"/>
      <c r="C183" s="1783"/>
      <c r="D183" s="1783"/>
      <c r="E183" s="1783"/>
      <c r="F183" s="1783"/>
      <c r="G183" s="1783"/>
      <c r="H183" s="1783"/>
      <c r="I183" s="1783"/>
      <c r="J183" s="1783"/>
      <c r="K183" s="1783"/>
      <c r="L183" s="1783"/>
      <c r="M183" s="1783"/>
      <c r="N183" s="1783"/>
      <c r="O183" s="1783"/>
      <c r="P183" s="1783"/>
      <c r="Q183" s="1783"/>
      <c r="R183" s="1783"/>
      <c r="S183" s="1783"/>
      <c r="T183" s="1783"/>
      <c r="U183" s="1783"/>
      <c r="V183" s="1783"/>
      <c r="W183" s="1783"/>
      <c r="X183" s="1783"/>
      <c r="Y183" s="1783"/>
      <c r="Z183" s="1783"/>
      <c r="AA183" s="1783"/>
      <c r="AB183" s="1783"/>
      <c r="AC183" s="1783"/>
    </row>
    <row r="184" spans="1:29">
      <c r="A184" s="1783"/>
      <c r="B184" s="1783"/>
      <c r="C184" s="1783"/>
      <c r="D184" s="1783"/>
      <c r="E184" s="1783"/>
      <c r="F184" s="1783"/>
      <c r="G184" s="1783"/>
      <c r="H184" s="1783"/>
      <c r="I184" s="1783"/>
      <c r="J184" s="1783"/>
      <c r="K184" s="1783"/>
      <c r="L184" s="1783"/>
      <c r="M184" s="1783"/>
      <c r="N184" s="1783"/>
      <c r="O184" s="1783"/>
      <c r="P184" s="1783"/>
      <c r="Q184" s="1783"/>
      <c r="R184" s="1783"/>
      <c r="S184" s="1783"/>
      <c r="T184" s="1783"/>
      <c r="U184" s="1783"/>
      <c r="V184" s="1783"/>
      <c r="W184" s="1783"/>
      <c r="X184" s="1783"/>
      <c r="Y184" s="1783"/>
      <c r="Z184" s="1783"/>
      <c r="AA184" s="1783"/>
      <c r="AB184" s="1783"/>
      <c r="AC184" s="1783"/>
    </row>
    <row r="185" spans="1:29">
      <c r="A185" s="1783"/>
      <c r="B185" s="1783"/>
      <c r="C185" s="1783"/>
      <c r="D185" s="1783"/>
      <c r="E185" s="1783"/>
      <c r="F185" s="1783"/>
      <c r="G185" s="1783"/>
      <c r="H185" s="1783"/>
      <c r="I185" s="1783"/>
      <c r="J185" s="1783"/>
      <c r="K185" s="1783"/>
      <c r="L185" s="1783"/>
      <c r="M185" s="1783"/>
      <c r="N185" s="1783"/>
      <c r="O185" s="1783"/>
      <c r="P185" s="1783"/>
      <c r="Q185" s="1783"/>
      <c r="R185" s="1783"/>
      <c r="S185" s="1783"/>
      <c r="T185" s="1783"/>
      <c r="U185" s="1783"/>
      <c r="V185" s="1783"/>
      <c r="W185" s="1783"/>
      <c r="X185" s="1783"/>
      <c r="Y185" s="1783"/>
      <c r="Z185" s="1783"/>
      <c r="AA185" s="1783"/>
      <c r="AB185" s="1783"/>
      <c r="AC185" s="1783"/>
    </row>
    <row r="186" spans="1:29">
      <c r="A186" s="1783"/>
      <c r="B186" s="1783"/>
      <c r="C186" s="1783"/>
      <c r="D186" s="1783"/>
      <c r="E186" s="1783"/>
      <c r="F186" s="1783"/>
      <c r="G186" s="1783"/>
      <c r="H186" s="1783"/>
      <c r="I186" s="1783"/>
      <c r="J186" s="1783"/>
      <c r="K186" s="1783"/>
      <c r="L186" s="1783"/>
      <c r="M186" s="1783"/>
      <c r="N186" s="1783"/>
      <c r="O186" s="1783"/>
      <c r="P186" s="1783"/>
      <c r="Q186" s="1783"/>
      <c r="R186" s="1783"/>
      <c r="S186" s="1783"/>
      <c r="T186" s="1783"/>
      <c r="U186" s="1783"/>
      <c r="V186" s="1783"/>
      <c r="W186" s="1783"/>
      <c r="X186" s="1783"/>
      <c r="Y186" s="1783"/>
      <c r="Z186" s="1783"/>
      <c r="AA186" s="1783"/>
      <c r="AB186" s="1783"/>
      <c r="AC186" s="1783"/>
    </row>
    <row r="187" spans="1:29">
      <c r="A187" s="1783"/>
      <c r="B187" s="1783"/>
      <c r="C187" s="1783"/>
      <c r="D187" s="1783"/>
      <c r="E187" s="1783"/>
      <c r="F187" s="1783"/>
      <c r="G187" s="1783"/>
      <c r="H187" s="1783"/>
      <c r="I187" s="1783"/>
      <c r="J187" s="1783"/>
      <c r="K187" s="1783"/>
      <c r="L187" s="1783"/>
      <c r="M187" s="1783"/>
      <c r="N187" s="1783"/>
      <c r="O187" s="1783"/>
      <c r="P187" s="1783"/>
      <c r="Q187" s="1783"/>
      <c r="R187" s="1783"/>
      <c r="S187" s="1783"/>
      <c r="T187" s="1783"/>
      <c r="U187" s="1783"/>
      <c r="V187" s="1783"/>
      <c r="W187" s="1783"/>
      <c r="X187" s="1783"/>
      <c r="Y187" s="1783"/>
      <c r="Z187" s="1783"/>
      <c r="AA187" s="1783"/>
      <c r="AB187" s="1783"/>
      <c r="AC187" s="1783"/>
    </row>
    <row r="188" spans="1:29">
      <c r="A188" s="1783"/>
      <c r="B188" s="1783"/>
      <c r="C188" s="1783"/>
      <c r="D188" s="1783"/>
      <c r="E188" s="1783"/>
      <c r="F188" s="1783"/>
      <c r="G188" s="1783"/>
      <c r="H188" s="1783"/>
      <c r="I188" s="1783"/>
      <c r="J188" s="1783"/>
      <c r="K188" s="1783"/>
      <c r="L188" s="1783"/>
      <c r="M188" s="1783"/>
      <c r="N188" s="1783"/>
      <c r="O188" s="1783"/>
      <c r="P188" s="1783"/>
      <c r="Q188" s="1783"/>
      <c r="R188" s="1783"/>
      <c r="S188" s="1783"/>
      <c r="T188" s="1783"/>
      <c r="U188" s="1783"/>
      <c r="V188" s="1783"/>
      <c r="W188" s="1783"/>
      <c r="X188" s="1783"/>
      <c r="Y188" s="1783"/>
      <c r="Z188" s="1783"/>
      <c r="AA188" s="1783"/>
      <c r="AB188" s="1783"/>
      <c r="AC188" s="1783"/>
    </row>
    <row r="189" spans="1:29">
      <c r="A189" s="1783"/>
      <c r="B189" s="1783"/>
      <c r="C189" s="1783"/>
      <c r="D189" s="1783"/>
      <c r="E189" s="1783"/>
      <c r="F189" s="1783"/>
      <c r="G189" s="1783"/>
      <c r="H189" s="1783"/>
      <c r="I189" s="1783"/>
      <c r="J189" s="1783"/>
      <c r="K189" s="1783"/>
      <c r="L189" s="1783"/>
      <c r="M189" s="1783"/>
      <c r="N189" s="1783"/>
      <c r="O189" s="1783"/>
      <c r="P189" s="1783"/>
      <c r="Q189" s="1783"/>
      <c r="R189" s="1783"/>
      <c r="S189" s="1783"/>
      <c r="T189" s="1783"/>
      <c r="U189" s="1783"/>
      <c r="V189" s="1783"/>
      <c r="W189" s="1783"/>
      <c r="X189" s="1783"/>
      <c r="Y189" s="1783"/>
      <c r="Z189" s="1783"/>
      <c r="AA189" s="1783"/>
      <c r="AB189" s="1783"/>
      <c r="AC189" s="1783"/>
    </row>
    <row r="190" spans="1:29">
      <c r="A190" s="1783"/>
      <c r="B190" s="1783"/>
      <c r="C190" s="1783"/>
      <c r="D190" s="1783"/>
      <c r="E190" s="1783"/>
      <c r="F190" s="1783"/>
      <c r="G190" s="1783"/>
      <c r="H190" s="1783"/>
      <c r="I190" s="1783"/>
      <c r="J190" s="1783"/>
      <c r="K190" s="1783"/>
      <c r="L190" s="1783"/>
      <c r="M190" s="1783"/>
      <c r="N190" s="1783"/>
      <c r="O190" s="1783"/>
      <c r="P190" s="1783"/>
      <c r="Q190" s="1783"/>
      <c r="R190" s="1783"/>
      <c r="S190" s="1783"/>
      <c r="T190" s="1783"/>
      <c r="U190" s="1783"/>
      <c r="V190" s="1783"/>
      <c r="W190" s="1783"/>
      <c r="X190" s="1783"/>
      <c r="Y190" s="1783"/>
      <c r="Z190" s="1783"/>
      <c r="AA190" s="1783"/>
      <c r="AB190" s="1783"/>
      <c r="AC190" s="1783"/>
    </row>
    <row r="191" spans="1:29">
      <c r="A191" s="1783"/>
      <c r="B191" s="1783"/>
      <c r="C191" s="1783"/>
      <c r="D191" s="1783"/>
      <c r="E191" s="1783"/>
      <c r="F191" s="1783"/>
      <c r="G191" s="1783"/>
      <c r="H191" s="1783"/>
      <c r="I191" s="1783"/>
      <c r="J191" s="1783"/>
      <c r="K191" s="1783"/>
      <c r="L191" s="1783"/>
      <c r="M191" s="1783"/>
      <c r="N191" s="1783"/>
      <c r="O191" s="1783"/>
      <c r="P191" s="1783"/>
      <c r="Q191" s="1783"/>
      <c r="R191" s="1783"/>
      <c r="S191" s="1783"/>
      <c r="T191" s="1783"/>
      <c r="U191" s="1783"/>
      <c r="V191" s="1783"/>
      <c r="W191" s="1783"/>
      <c r="X191" s="1783"/>
      <c r="Y191" s="1783"/>
      <c r="Z191" s="1783"/>
      <c r="AA191" s="1783"/>
      <c r="AB191" s="1783"/>
      <c r="AC191" s="1783"/>
    </row>
    <row r="192" spans="1:29">
      <c r="A192" s="1783"/>
      <c r="B192" s="1783"/>
      <c r="C192" s="1783"/>
      <c r="D192" s="1783"/>
      <c r="E192" s="1783"/>
      <c r="F192" s="1783"/>
      <c r="G192" s="1783"/>
      <c r="H192" s="1783"/>
      <c r="I192" s="1783"/>
      <c r="J192" s="1783"/>
      <c r="K192" s="1783"/>
      <c r="L192" s="1783"/>
      <c r="M192" s="1783"/>
      <c r="N192" s="1783"/>
      <c r="O192" s="1783"/>
      <c r="P192" s="1783"/>
      <c r="Q192" s="1783"/>
      <c r="R192" s="1783"/>
      <c r="S192" s="1783"/>
      <c r="T192" s="1783"/>
      <c r="U192" s="1783"/>
      <c r="V192" s="1783"/>
      <c r="W192" s="1783"/>
      <c r="X192" s="1783"/>
      <c r="Y192" s="1783"/>
      <c r="Z192" s="1783"/>
      <c r="AA192" s="1783"/>
      <c r="AB192" s="1783"/>
      <c r="AC192" s="1783"/>
    </row>
    <row r="193" spans="1:29">
      <c r="A193" s="1783"/>
      <c r="B193" s="1783"/>
      <c r="C193" s="1783"/>
      <c r="D193" s="1783"/>
      <c r="E193" s="1783"/>
      <c r="F193" s="1783"/>
      <c r="G193" s="1783"/>
      <c r="H193" s="1783"/>
      <c r="I193" s="1783"/>
      <c r="J193" s="1783"/>
      <c r="K193" s="1783"/>
      <c r="L193" s="1783"/>
      <c r="M193" s="1783"/>
      <c r="N193" s="1783"/>
      <c r="O193" s="1783"/>
      <c r="P193" s="1783"/>
      <c r="Q193" s="1783"/>
      <c r="R193" s="1783"/>
      <c r="S193" s="1783"/>
      <c r="T193" s="1783"/>
      <c r="U193" s="1783"/>
      <c r="V193" s="1783"/>
      <c r="W193" s="1783"/>
      <c r="X193" s="1783"/>
      <c r="Y193" s="1783"/>
      <c r="Z193" s="1783"/>
      <c r="AA193" s="1783"/>
      <c r="AB193" s="1783"/>
      <c r="AC193" s="1783"/>
    </row>
    <row r="194" spans="1:29">
      <c r="A194" s="1783"/>
      <c r="B194" s="1783"/>
      <c r="C194" s="1783"/>
      <c r="D194" s="1783"/>
      <c r="E194" s="1783"/>
      <c r="F194" s="1783"/>
      <c r="G194" s="1783"/>
      <c r="H194" s="1783"/>
      <c r="I194" s="1783"/>
      <c r="J194" s="1783"/>
      <c r="K194" s="1783"/>
      <c r="L194" s="1783"/>
      <c r="M194" s="1783"/>
      <c r="N194" s="1783"/>
      <c r="O194" s="1783"/>
      <c r="P194" s="1783"/>
      <c r="Q194" s="1783"/>
      <c r="R194" s="1783"/>
      <c r="S194" s="1783"/>
      <c r="T194" s="1783"/>
      <c r="U194" s="1783"/>
      <c r="V194" s="1783"/>
      <c r="W194" s="1783"/>
      <c r="X194" s="1783"/>
      <c r="Y194" s="1783"/>
      <c r="Z194" s="1783"/>
      <c r="AA194" s="1783"/>
      <c r="AB194" s="1783"/>
      <c r="AC194" s="1783"/>
    </row>
    <row r="195" spans="1:29">
      <c r="A195" s="1783"/>
      <c r="B195" s="1783"/>
      <c r="C195" s="1783"/>
      <c r="D195" s="1783"/>
      <c r="E195" s="1783"/>
      <c r="F195" s="1783"/>
      <c r="G195" s="1783"/>
      <c r="H195" s="1783"/>
      <c r="I195" s="1783"/>
      <c r="J195" s="1783"/>
      <c r="K195" s="1783"/>
      <c r="L195" s="1783"/>
      <c r="M195" s="1783"/>
      <c r="N195" s="1783"/>
      <c r="O195" s="1783"/>
      <c r="P195" s="1783"/>
      <c r="Q195" s="1783"/>
      <c r="R195" s="1783"/>
      <c r="S195" s="1783"/>
      <c r="T195" s="1783"/>
      <c r="U195" s="1783"/>
      <c r="V195" s="1783"/>
      <c r="W195" s="1783"/>
      <c r="X195" s="1783"/>
      <c r="Y195" s="1783"/>
      <c r="Z195" s="1783"/>
      <c r="AA195" s="1783"/>
      <c r="AB195" s="1783"/>
      <c r="AC195" s="1783"/>
    </row>
    <row r="196" spans="1:29">
      <c r="A196" s="1783"/>
      <c r="B196" s="1783"/>
      <c r="C196" s="1783"/>
      <c r="D196" s="1783"/>
      <c r="E196" s="1783"/>
      <c r="F196" s="1783"/>
      <c r="G196" s="1783"/>
      <c r="H196" s="1783"/>
      <c r="I196" s="1783"/>
      <c r="J196" s="1783"/>
      <c r="K196" s="1783"/>
      <c r="L196" s="1783"/>
      <c r="M196" s="1783"/>
      <c r="N196" s="1783"/>
      <c r="O196" s="1783"/>
      <c r="P196" s="1783"/>
      <c r="Q196" s="1783"/>
      <c r="R196" s="1783"/>
      <c r="S196" s="1783"/>
      <c r="T196" s="1783"/>
      <c r="U196" s="1783"/>
      <c r="V196" s="1783"/>
      <c r="W196" s="1783"/>
      <c r="X196" s="1783"/>
      <c r="Y196" s="1783"/>
      <c r="Z196" s="1783"/>
      <c r="AA196" s="1783"/>
      <c r="AB196" s="1783"/>
      <c r="AC196" s="1783"/>
    </row>
    <row r="197" spans="1:29">
      <c r="A197" s="1783"/>
      <c r="B197" s="1783"/>
      <c r="C197" s="1783"/>
      <c r="D197" s="1783"/>
      <c r="E197" s="1783"/>
      <c r="F197" s="1783"/>
      <c r="G197" s="1783"/>
      <c r="H197" s="1783"/>
      <c r="I197" s="1783"/>
      <c r="J197" s="1783"/>
      <c r="K197" s="1783"/>
      <c r="L197" s="1783"/>
      <c r="M197" s="1783"/>
      <c r="N197" s="1783"/>
      <c r="O197" s="1783"/>
      <c r="P197" s="1783"/>
      <c r="Q197" s="1783"/>
      <c r="R197" s="1783"/>
      <c r="S197" s="1783"/>
      <c r="T197" s="1783"/>
      <c r="U197" s="1783"/>
      <c r="V197" s="1783"/>
      <c r="W197" s="1783"/>
      <c r="X197" s="1783"/>
      <c r="Y197" s="1783"/>
      <c r="Z197" s="1783"/>
      <c r="AA197" s="1783"/>
      <c r="AB197" s="1783"/>
      <c r="AC197" s="1783"/>
    </row>
    <row r="198" spans="1:29">
      <c r="A198" s="1783"/>
      <c r="B198" s="1783"/>
      <c r="C198" s="1783"/>
      <c r="D198" s="1783"/>
      <c r="E198" s="1783"/>
      <c r="F198" s="1783"/>
      <c r="G198" s="1783"/>
      <c r="H198" s="1783"/>
      <c r="I198" s="1783"/>
      <c r="J198" s="1783"/>
      <c r="K198" s="1783"/>
      <c r="L198" s="1783"/>
      <c r="M198" s="1783"/>
      <c r="N198" s="1783"/>
      <c r="O198" s="1783"/>
      <c r="P198" s="1783"/>
      <c r="Q198" s="1783"/>
      <c r="R198" s="1783"/>
      <c r="S198" s="1783"/>
      <c r="T198" s="1783"/>
      <c r="U198" s="1783"/>
      <c r="V198" s="1783"/>
      <c r="W198" s="1783"/>
      <c r="X198" s="1783"/>
      <c r="Y198" s="1783"/>
      <c r="Z198" s="1783"/>
      <c r="AA198" s="1783"/>
      <c r="AB198" s="1783"/>
      <c r="AC198" s="1783"/>
    </row>
    <row r="199" spans="1:29">
      <c r="A199" s="1783"/>
      <c r="B199" s="1783"/>
      <c r="C199" s="1783"/>
      <c r="D199" s="1783"/>
      <c r="E199" s="1783"/>
      <c r="F199" s="1783"/>
      <c r="G199" s="1783"/>
      <c r="H199" s="1783"/>
      <c r="I199" s="1783"/>
      <c r="J199" s="1783"/>
      <c r="K199" s="1783"/>
      <c r="L199" s="1783"/>
      <c r="M199" s="1783"/>
      <c r="N199" s="1783"/>
      <c r="O199" s="1783"/>
      <c r="P199" s="1783"/>
      <c r="Q199" s="1783"/>
      <c r="R199" s="1783"/>
      <c r="S199" s="1783"/>
      <c r="T199" s="1783"/>
      <c r="U199" s="1783"/>
      <c r="V199" s="1783"/>
      <c r="W199" s="1783"/>
      <c r="X199" s="1783"/>
      <c r="Y199" s="1783"/>
      <c r="Z199" s="1783"/>
      <c r="AA199" s="1783"/>
      <c r="AB199" s="1783"/>
      <c r="AC199" s="1783"/>
    </row>
    <row r="200" spans="1:29">
      <c r="A200" s="1783"/>
      <c r="B200" s="1783"/>
      <c r="C200" s="1783"/>
      <c r="D200" s="1783"/>
      <c r="E200" s="1783"/>
      <c r="F200" s="1783"/>
      <c r="G200" s="1783"/>
      <c r="H200" s="1783"/>
      <c r="I200" s="1783"/>
      <c r="J200" s="1783"/>
      <c r="K200" s="1783"/>
      <c r="L200" s="1783"/>
      <c r="M200" s="1783"/>
      <c r="N200" s="1783"/>
      <c r="O200" s="1783"/>
      <c r="P200" s="1783"/>
      <c r="Q200" s="1783"/>
      <c r="R200" s="1783"/>
      <c r="S200" s="1783"/>
      <c r="T200" s="1783"/>
      <c r="U200" s="1783"/>
      <c r="V200" s="1783"/>
      <c r="W200" s="1783"/>
      <c r="X200" s="1783"/>
      <c r="Y200" s="1783"/>
      <c r="Z200" s="1783"/>
      <c r="AA200" s="1783"/>
      <c r="AB200" s="1783"/>
      <c r="AC200" s="1783"/>
    </row>
    <row r="201" spans="1:29">
      <c r="A201" s="1783"/>
      <c r="B201" s="1783"/>
      <c r="C201" s="1783"/>
      <c r="D201" s="1783"/>
      <c r="E201" s="1783"/>
      <c r="F201" s="1783"/>
      <c r="G201" s="1783"/>
      <c r="H201" s="1783"/>
      <c r="I201" s="1783"/>
      <c r="J201" s="1783"/>
      <c r="K201" s="1783"/>
      <c r="L201" s="1783"/>
      <c r="M201" s="1783"/>
      <c r="N201" s="1783"/>
      <c r="O201" s="1783"/>
      <c r="P201" s="1783"/>
      <c r="Q201" s="1783"/>
      <c r="R201" s="1783"/>
      <c r="S201" s="1783"/>
      <c r="T201" s="1783"/>
      <c r="U201" s="1783"/>
      <c r="V201" s="1783"/>
      <c r="W201" s="1783"/>
      <c r="X201" s="1783"/>
      <c r="Y201" s="1783"/>
      <c r="Z201" s="1783"/>
      <c r="AA201" s="1783"/>
      <c r="AB201" s="1783"/>
      <c r="AC201" s="1783"/>
    </row>
    <row r="202" spans="1:29">
      <c r="A202" s="1783"/>
      <c r="B202" s="1783"/>
      <c r="C202" s="1783"/>
      <c r="D202" s="1783"/>
      <c r="E202" s="1783"/>
      <c r="F202" s="1783"/>
      <c r="G202" s="1783"/>
      <c r="H202" s="1783"/>
      <c r="I202" s="1783"/>
      <c r="J202" s="1783"/>
      <c r="K202" s="1783"/>
      <c r="L202" s="1783"/>
      <c r="M202" s="1783"/>
      <c r="N202" s="1783"/>
      <c r="O202" s="1783"/>
      <c r="P202" s="1783"/>
      <c r="Q202" s="1783"/>
      <c r="R202" s="1783"/>
      <c r="S202" s="1783"/>
      <c r="T202" s="1783"/>
      <c r="U202" s="1783"/>
      <c r="V202" s="1783"/>
      <c r="W202" s="1783"/>
      <c r="X202" s="1783"/>
      <c r="Y202" s="1783"/>
      <c r="Z202" s="1783"/>
      <c r="AA202" s="1783"/>
      <c r="AB202" s="1783"/>
      <c r="AC202" s="1783"/>
    </row>
    <row r="203" spans="1:29">
      <c r="A203" s="1783"/>
      <c r="B203" s="1783"/>
      <c r="C203" s="1783"/>
      <c r="D203" s="1783"/>
      <c r="E203" s="1783"/>
      <c r="F203" s="1783"/>
      <c r="G203" s="1783"/>
      <c r="H203" s="1783"/>
      <c r="I203" s="1783"/>
      <c r="J203" s="1783"/>
      <c r="K203" s="1783"/>
      <c r="L203" s="1783"/>
      <c r="M203" s="1783"/>
      <c r="N203" s="1783"/>
      <c r="O203" s="1783"/>
      <c r="P203" s="1783"/>
      <c r="Q203" s="1783"/>
      <c r="R203" s="1783"/>
      <c r="S203" s="1783"/>
      <c r="T203" s="1783"/>
      <c r="U203" s="1783"/>
      <c r="V203" s="1783"/>
      <c r="W203" s="1783"/>
      <c r="X203" s="1783"/>
      <c r="Y203" s="1783"/>
      <c r="Z203" s="1783"/>
      <c r="AA203" s="1783"/>
      <c r="AB203" s="1783"/>
      <c r="AC203" s="1783"/>
    </row>
    <row r="204" spans="1:29">
      <c r="A204" s="1783"/>
      <c r="B204" s="1783"/>
      <c r="C204" s="1783"/>
      <c r="D204" s="1783"/>
      <c r="E204" s="1783"/>
      <c r="F204" s="1783"/>
      <c r="G204" s="1783"/>
      <c r="H204" s="1783"/>
      <c r="I204" s="1783"/>
      <c r="J204" s="1783"/>
      <c r="K204" s="1783"/>
      <c r="L204" s="1783"/>
      <c r="M204" s="1783"/>
      <c r="N204" s="1783"/>
      <c r="O204" s="1783"/>
      <c r="P204" s="1783"/>
      <c r="Q204" s="1783"/>
      <c r="R204" s="1783"/>
      <c r="S204" s="1783"/>
      <c r="T204" s="1783"/>
      <c r="U204" s="1783"/>
      <c r="V204" s="1783"/>
      <c r="W204" s="1783"/>
      <c r="X204" s="1783"/>
      <c r="Y204" s="1783"/>
      <c r="Z204" s="1783"/>
      <c r="AA204" s="1783"/>
      <c r="AB204" s="1783"/>
      <c r="AC204" s="1783"/>
    </row>
    <row r="205" spans="1:29">
      <c r="A205" s="1783"/>
      <c r="B205" s="1783"/>
      <c r="C205" s="1783"/>
      <c r="D205" s="1783"/>
      <c r="E205" s="1783"/>
      <c r="F205" s="1783"/>
      <c r="G205" s="1783"/>
      <c r="H205" s="1783"/>
      <c r="I205" s="1783"/>
      <c r="J205" s="1783"/>
      <c r="K205" s="1783"/>
      <c r="L205" s="1783"/>
      <c r="M205" s="1783"/>
      <c r="N205" s="1783"/>
      <c r="O205" s="1783"/>
      <c r="P205" s="1783"/>
      <c r="Q205" s="1783"/>
      <c r="R205" s="1783"/>
      <c r="S205" s="1783"/>
      <c r="T205" s="1783"/>
      <c r="U205" s="1783"/>
      <c r="V205" s="1783"/>
      <c r="W205" s="1783"/>
      <c r="X205" s="1783"/>
      <c r="Y205" s="1783"/>
      <c r="Z205" s="1783"/>
      <c r="AA205" s="1783"/>
      <c r="AB205" s="1783"/>
      <c r="AC205" s="1783"/>
    </row>
    <row r="206" spans="1:29">
      <c r="A206" s="1783"/>
      <c r="B206" s="1783"/>
      <c r="C206" s="1783"/>
      <c r="D206" s="1783"/>
      <c r="E206" s="1783"/>
      <c r="F206" s="1783"/>
      <c r="G206" s="1783"/>
      <c r="H206" s="1783"/>
      <c r="I206" s="1783"/>
      <c r="J206" s="1783"/>
      <c r="K206" s="1783"/>
      <c r="L206" s="1783"/>
      <c r="M206" s="1783"/>
      <c r="N206" s="1783"/>
      <c r="O206" s="1783"/>
      <c r="P206" s="1783"/>
      <c r="Q206" s="1783"/>
      <c r="R206" s="1783"/>
      <c r="S206" s="1783"/>
      <c r="T206" s="1783"/>
      <c r="U206" s="1783"/>
      <c r="V206" s="1783"/>
      <c r="W206" s="1783"/>
      <c r="X206" s="1783"/>
      <c r="Y206" s="1783"/>
      <c r="Z206" s="1783"/>
      <c r="AA206" s="1783"/>
      <c r="AB206" s="1783"/>
      <c r="AC206" s="1783"/>
    </row>
    <row r="207" spans="1:29">
      <c r="A207" s="1783"/>
      <c r="B207" s="1783"/>
      <c r="C207" s="1783"/>
      <c r="D207" s="1783"/>
      <c r="E207" s="1783"/>
      <c r="F207" s="1783"/>
      <c r="G207" s="1783"/>
      <c r="H207" s="1783"/>
      <c r="I207" s="1783"/>
      <c r="J207" s="1783"/>
      <c r="K207" s="1783"/>
      <c r="L207" s="1783"/>
      <c r="M207" s="1783"/>
      <c r="N207" s="1783"/>
      <c r="O207" s="1783"/>
      <c r="P207" s="1783"/>
      <c r="Q207" s="1783"/>
      <c r="R207" s="1783"/>
      <c r="S207" s="1783"/>
      <c r="T207" s="1783"/>
      <c r="U207" s="1783"/>
      <c r="V207" s="1783"/>
      <c r="W207" s="1783"/>
      <c r="X207" s="1783"/>
      <c r="Y207" s="1783"/>
      <c r="Z207" s="1783"/>
      <c r="AA207" s="1783"/>
      <c r="AB207" s="1783"/>
      <c r="AC207" s="1783"/>
    </row>
    <row r="208" spans="1:29">
      <c r="A208" s="1783"/>
      <c r="B208" s="1783"/>
      <c r="C208" s="1783"/>
      <c r="D208" s="1783"/>
      <c r="E208" s="1783"/>
      <c r="F208" s="1783"/>
      <c r="G208" s="1783"/>
      <c r="H208" s="1783"/>
      <c r="I208" s="1783"/>
      <c r="J208" s="1783"/>
      <c r="K208" s="1783"/>
      <c r="L208" s="1783"/>
      <c r="M208" s="1783"/>
      <c r="N208" s="1783"/>
      <c r="O208" s="1783"/>
      <c r="P208" s="1783"/>
      <c r="Q208" s="1783"/>
      <c r="R208" s="1783"/>
      <c r="S208" s="1783"/>
      <c r="T208" s="1783"/>
      <c r="U208" s="1783"/>
      <c r="V208" s="1783"/>
      <c r="W208" s="1783"/>
      <c r="X208" s="1783"/>
      <c r="Y208" s="1783"/>
      <c r="Z208" s="1783"/>
      <c r="AA208" s="1783"/>
      <c r="AB208" s="1783"/>
      <c r="AC208" s="1783"/>
    </row>
    <row r="209" spans="1:29">
      <c r="A209" s="1783"/>
      <c r="B209" s="1783"/>
      <c r="C209" s="1783"/>
      <c r="D209" s="1783"/>
      <c r="E209" s="1783"/>
      <c r="F209" s="1783"/>
      <c r="G209" s="1783"/>
      <c r="H209" s="1783"/>
      <c r="I209" s="1783"/>
      <c r="J209" s="1783"/>
      <c r="K209" s="1783"/>
      <c r="L209" s="1783"/>
      <c r="M209" s="1783"/>
      <c r="N209" s="1783"/>
      <c r="O209" s="1783"/>
      <c r="P209" s="1783"/>
      <c r="Q209" s="1783"/>
      <c r="R209" s="1783"/>
      <c r="S209" s="1783"/>
      <c r="T209" s="1783"/>
      <c r="U209" s="1783"/>
      <c r="V209" s="1783"/>
      <c r="W209" s="1783"/>
      <c r="X209" s="1783"/>
      <c r="Y209" s="1783"/>
      <c r="Z209" s="1783"/>
      <c r="AA209" s="1783"/>
      <c r="AB209" s="1783"/>
      <c r="AC209" s="1783"/>
    </row>
    <row r="210" spans="1:29">
      <c r="A210" s="1783"/>
      <c r="B210" s="1783"/>
      <c r="C210" s="1783"/>
      <c r="D210" s="1783"/>
      <c r="E210" s="1783"/>
      <c r="F210" s="1783"/>
      <c r="G210" s="1783"/>
      <c r="H210" s="1783"/>
      <c r="I210" s="1783"/>
      <c r="J210" s="1783"/>
      <c r="K210" s="1783"/>
      <c r="L210" s="1783"/>
      <c r="M210" s="1783"/>
      <c r="N210" s="1783"/>
      <c r="O210" s="1783"/>
      <c r="P210" s="1783"/>
      <c r="Q210" s="1783"/>
      <c r="R210" s="1783"/>
      <c r="S210" s="1783"/>
      <c r="T210" s="1783"/>
      <c r="U210" s="1783"/>
      <c r="V210" s="1783"/>
      <c r="W210" s="1783"/>
      <c r="X210" s="1783"/>
      <c r="Y210" s="1783"/>
      <c r="Z210" s="1783"/>
      <c r="AA210" s="1783"/>
      <c r="AB210" s="1783"/>
      <c r="AC210" s="1783"/>
    </row>
    <row r="211" spans="1:29">
      <c r="A211" s="1783"/>
      <c r="B211" s="1783"/>
      <c r="C211" s="1783"/>
      <c r="D211" s="1783"/>
      <c r="E211" s="1783"/>
      <c r="F211" s="1783"/>
      <c r="G211" s="1783"/>
      <c r="H211" s="1783"/>
      <c r="I211" s="1783"/>
      <c r="J211" s="1783"/>
      <c r="K211" s="1783"/>
      <c r="L211" s="1783"/>
      <c r="M211" s="1783"/>
      <c r="N211" s="1783"/>
      <c r="O211" s="1783"/>
      <c r="P211" s="1783"/>
      <c r="Q211" s="1783"/>
      <c r="R211" s="1783"/>
      <c r="S211" s="1783"/>
      <c r="T211" s="1783"/>
      <c r="U211" s="1783"/>
      <c r="V211" s="1783"/>
      <c r="W211" s="1783"/>
      <c r="X211" s="1783"/>
      <c r="Y211" s="1783"/>
      <c r="Z211" s="1783"/>
      <c r="AA211" s="1783"/>
      <c r="AB211" s="1783"/>
      <c r="AC211" s="1783"/>
    </row>
    <row r="212" spans="1:29">
      <c r="A212" s="1783"/>
      <c r="B212" s="1783"/>
      <c r="C212" s="1783"/>
      <c r="D212" s="1783"/>
      <c r="E212" s="1783"/>
      <c r="F212" s="1783"/>
      <c r="G212" s="1783"/>
      <c r="H212" s="1783"/>
      <c r="I212" s="1783"/>
      <c r="J212" s="1783"/>
      <c r="K212" s="1783"/>
      <c r="L212" s="1783"/>
      <c r="M212" s="1783"/>
      <c r="N212" s="1783"/>
      <c r="O212" s="1783"/>
      <c r="P212" s="1783"/>
      <c r="Q212" s="1783"/>
      <c r="R212" s="1783"/>
      <c r="S212" s="1783"/>
      <c r="T212" s="1783"/>
      <c r="U212" s="1783"/>
      <c r="V212" s="1783"/>
      <c r="W212" s="1783"/>
      <c r="X212" s="1783"/>
      <c r="Y212" s="1783"/>
      <c r="Z212" s="1783"/>
      <c r="AA212" s="1783"/>
      <c r="AB212" s="1783"/>
      <c r="AC212" s="1783"/>
    </row>
    <row r="213" spans="1:29">
      <c r="A213" s="1783"/>
      <c r="B213" s="1783"/>
      <c r="C213" s="1783"/>
      <c r="D213" s="1783"/>
      <c r="E213" s="1783"/>
      <c r="F213" s="1783"/>
      <c r="G213" s="1783"/>
      <c r="H213" s="1783"/>
      <c r="I213" s="1783"/>
      <c r="J213" s="1783"/>
      <c r="K213" s="1783"/>
      <c r="L213" s="1783"/>
      <c r="M213" s="1783"/>
      <c r="N213" s="1783"/>
      <c r="O213" s="1783"/>
      <c r="P213" s="1783"/>
      <c r="Q213" s="1783"/>
      <c r="R213" s="1783"/>
      <c r="S213" s="1783"/>
      <c r="T213" s="1783"/>
      <c r="U213" s="1783"/>
      <c r="V213" s="1783"/>
      <c r="W213" s="1783"/>
      <c r="X213" s="1783"/>
      <c r="Y213" s="1783"/>
      <c r="Z213" s="1783"/>
      <c r="AA213" s="1783"/>
      <c r="AB213" s="1783"/>
      <c r="AC213" s="1783"/>
    </row>
    <row r="214" spans="1:29">
      <c r="A214" s="1783"/>
      <c r="B214" s="1783"/>
      <c r="C214" s="1783"/>
      <c r="D214" s="1783"/>
      <c r="E214" s="1783"/>
      <c r="F214" s="1783"/>
      <c r="G214" s="1783"/>
      <c r="H214" s="1783"/>
      <c r="I214" s="1783"/>
      <c r="J214" s="1783"/>
      <c r="K214" s="1783"/>
      <c r="L214" s="1783"/>
      <c r="M214" s="1783"/>
      <c r="N214" s="1783"/>
      <c r="O214" s="1783"/>
      <c r="P214" s="1783"/>
      <c r="Q214" s="1783"/>
      <c r="R214" s="1783"/>
      <c r="S214" s="1783"/>
      <c r="T214" s="1783"/>
      <c r="U214" s="1783"/>
      <c r="V214" s="1783"/>
      <c r="W214" s="1783"/>
      <c r="X214" s="1783"/>
      <c r="Y214" s="1783"/>
      <c r="Z214" s="1783"/>
      <c r="AA214" s="1783"/>
      <c r="AB214" s="1783"/>
      <c r="AC214" s="1783"/>
    </row>
    <row r="215" spans="1:29">
      <c r="A215" s="1783"/>
      <c r="B215" s="1783"/>
      <c r="C215" s="1783"/>
      <c r="D215" s="1783"/>
      <c r="E215" s="1783"/>
      <c r="F215" s="1783"/>
      <c r="G215" s="1783"/>
      <c r="H215" s="1783"/>
      <c r="I215" s="1783"/>
      <c r="J215" s="1783"/>
      <c r="K215" s="1783"/>
      <c r="L215" s="1783"/>
      <c r="M215" s="1783"/>
      <c r="N215" s="1783"/>
      <c r="O215" s="1783"/>
      <c r="P215" s="1783"/>
      <c r="Q215" s="1783"/>
      <c r="R215" s="1783"/>
      <c r="S215" s="1783"/>
      <c r="T215" s="1783"/>
      <c r="U215" s="1783"/>
      <c r="V215" s="1783"/>
      <c r="W215" s="1783"/>
      <c r="X215" s="1783"/>
      <c r="Y215" s="1783"/>
      <c r="Z215" s="1783"/>
      <c r="AA215" s="1783"/>
      <c r="AB215" s="1783"/>
      <c r="AC215" s="1783"/>
    </row>
    <row r="216" spans="1:29">
      <c r="A216" s="1783"/>
      <c r="B216" s="1783"/>
      <c r="C216" s="1783"/>
      <c r="D216" s="1783"/>
      <c r="E216" s="1783"/>
      <c r="F216" s="1783"/>
      <c r="G216" s="1783"/>
      <c r="H216" s="1783"/>
      <c r="I216" s="1783"/>
      <c r="J216" s="1783"/>
      <c r="K216" s="1783"/>
      <c r="L216" s="1783"/>
      <c r="M216" s="1783"/>
      <c r="N216" s="1783"/>
      <c r="O216" s="1783"/>
      <c r="P216" s="1783"/>
      <c r="Q216" s="1783"/>
      <c r="R216" s="1783"/>
      <c r="S216" s="1783"/>
      <c r="T216" s="1783"/>
      <c r="U216" s="1783"/>
      <c r="V216" s="1783"/>
      <c r="W216" s="1783"/>
      <c r="X216" s="1783"/>
      <c r="Y216" s="1783"/>
      <c r="Z216" s="1783"/>
      <c r="AA216" s="1783"/>
      <c r="AB216" s="1783"/>
      <c r="AC216" s="1783"/>
    </row>
    <row r="217" spans="1:29">
      <c r="A217" s="1783"/>
      <c r="B217" s="1783"/>
      <c r="C217" s="1783"/>
      <c r="D217" s="1783"/>
      <c r="E217" s="1783"/>
      <c r="F217" s="1783"/>
      <c r="G217" s="1783"/>
      <c r="H217" s="1783"/>
      <c r="I217" s="1783"/>
      <c r="J217" s="1783"/>
      <c r="K217" s="1783"/>
      <c r="L217" s="1783"/>
      <c r="M217" s="1783"/>
      <c r="N217" s="1783"/>
      <c r="O217" s="1783"/>
      <c r="P217" s="1783"/>
      <c r="Q217" s="1783"/>
      <c r="R217" s="1783"/>
      <c r="S217" s="1783"/>
      <c r="T217" s="1783"/>
      <c r="U217" s="1783"/>
      <c r="V217" s="1783"/>
      <c r="W217" s="1783"/>
      <c r="X217" s="1783"/>
      <c r="Y217" s="1783"/>
      <c r="Z217" s="1783"/>
      <c r="AA217" s="1783"/>
      <c r="AB217" s="1783"/>
      <c r="AC217" s="1783"/>
    </row>
    <row r="218" spans="1:29">
      <c r="A218" s="1783"/>
      <c r="B218" s="1783"/>
      <c r="C218" s="1783"/>
      <c r="D218" s="1783"/>
      <c r="E218" s="1783"/>
      <c r="F218" s="1783"/>
      <c r="G218" s="1783"/>
      <c r="H218" s="1783"/>
      <c r="I218" s="1783"/>
      <c r="J218" s="1783"/>
      <c r="K218" s="1783"/>
      <c r="L218" s="1783"/>
      <c r="M218" s="1783"/>
      <c r="N218" s="1783"/>
      <c r="O218" s="1783"/>
      <c r="P218" s="1783"/>
      <c r="Q218" s="1783"/>
      <c r="R218" s="1783"/>
      <c r="S218" s="1783"/>
      <c r="T218" s="1783"/>
      <c r="U218" s="1783"/>
      <c r="V218" s="1783"/>
      <c r="W218" s="1783"/>
      <c r="X218" s="1783"/>
      <c r="Y218" s="1783"/>
      <c r="Z218" s="1783"/>
      <c r="AA218" s="1783"/>
      <c r="AB218" s="1783"/>
      <c r="AC218" s="1783"/>
    </row>
    <row r="219" spans="1:29">
      <c r="A219" s="1783"/>
      <c r="B219" s="1783"/>
      <c r="C219" s="1783"/>
      <c r="D219" s="1783"/>
      <c r="E219" s="1783"/>
      <c r="F219" s="1783"/>
      <c r="G219" s="1783"/>
      <c r="H219" s="1783"/>
      <c r="I219" s="1783"/>
      <c r="J219" s="1783"/>
      <c r="K219" s="1783"/>
      <c r="L219" s="1783"/>
      <c r="M219" s="1783"/>
      <c r="N219" s="1783"/>
      <c r="O219" s="1783"/>
      <c r="P219" s="1783"/>
      <c r="Q219" s="1783"/>
      <c r="R219" s="1783"/>
      <c r="S219" s="1783"/>
      <c r="T219" s="1783"/>
      <c r="U219" s="1783"/>
      <c r="V219" s="1783"/>
      <c r="W219" s="1783"/>
      <c r="X219" s="1783"/>
      <c r="Y219" s="1783"/>
      <c r="Z219" s="1783"/>
      <c r="AA219" s="1783"/>
      <c r="AB219" s="1783"/>
      <c r="AC219" s="1783"/>
    </row>
    <row r="220" spans="1:29">
      <c r="A220" s="1783"/>
      <c r="B220" s="1783"/>
      <c r="C220" s="1783"/>
      <c r="D220" s="1783"/>
      <c r="E220" s="1783"/>
      <c r="F220" s="1783"/>
      <c r="G220" s="1783"/>
      <c r="H220" s="1783"/>
      <c r="I220" s="1783"/>
      <c r="J220" s="1783"/>
      <c r="K220" s="1783"/>
      <c r="L220" s="1783"/>
      <c r="M220" s="1783"/>
      <c r="N220" s="1783"/>
      <c r="O220" s="1783"/>
      <c r="P220" s="1783"/>
      <c r="Q220" s="1783"/>
      <c r="R220" s="1783"/>
      <c r="S220" s="1783"/>
      <c r="T220" s="1783"/>
      <c r="U220" s="1783"/>
      <c r="V220" s="1783"/>
      <c r="W220" s="1783"/>
      <c r="X220" s="1783"/>
      <c r="Y220" s="1783"/>
      <c r="Z220" s="1783"/>
      <c r="AA220" s="1783"/>
      <c r="AB220" s="1783"/>
      <c r="AC220" s="1783"/>
    </row>
    <row r="221" spans="1:29">
      <c r="A221" s="1783"/>
      <c r="B221" s="1783"/>
      <c r="C221" s="1783"/>
      <c r="D221" s="1783"/>
      <c r="E221" s="1783"/>
      <c r="F221" s="1783"/>
      <c r="G221" s="1783"/>
      <c r="H221" s="1783"/>
      <c r="I221" s="1783"/>
      <c r="J221" s="1783"/>
      <c r="K221" s="1783"/>
      <c r="L221" s="1783"/>
      <c r="M221" s="1783"/>
      <c r="N221" s="1783"/>
      <c r="O221" s="1783"/>
      <c r="P221" s="1783"/>
      <c r="Q221" s="1783"/>
      <c r="R221" s="1783"/>
      <c r="S221" s="1783"/>
      <c r="T221" s="1783"/>
      <c r="U221" s="1783"/>
      <c r="V221" s="1783"/>
      <c r="W221" s="1783"/>
      <c r="X221" s="1783"/>
      <c r="Y221" s="1783"/>
      <c r="Z221" s="1783"/>
      <c r="AA221" s="1783"/>
      <c r="AB221" s="1783"/>
      <c r="AC221" s="1783"/>
    </row>
    <row r="222" spans="1:29">
      <c r="A222" s="1783"/>
      <c r="B222" s="1783"/>
      <c r="C222" s="1783"/>
      <c r="D222" s="1783"/>
      <c r="E222" s="1783"/>
      <c r="F222" s="1783"/>
      <c r="G222" s="1783"/>
      <c r="H222" s="1783"/>
      <c r="I222" s="1783"/>
      <c r="J222" s="1783"/>
      <c r="K222" s="1783"/>
      <c r="L222" s="1783"/>
      <c r="M222" s="1783"/>
      <c r="N222" s="1783"/>
      <c r="O222" s="1783"/>
      <c r="P222" s="1783"/>
      <c r="Q222" s="1783"/>
      <c r="R222" s="1783"/>
      <c r="S222" s="1783"/>
      <c r="T222" s="1783"/>
      <c r="U222" s="1783"/>
      <c r="V222" s="1783"/>
      <c r="W222" s="1783"/>
      <c r="X222" s="1783"/>
      <c r="Y222" s="1783"/>
      <c r="Z222" s="1783"/>
      <c r="AA222" s="1783"/>
      <c r="AB222" s="1783"/>
      <c r="AC222" s="1783"/>
    </row>
    <row r="223" spans="1:29">
      <c r="A223" s="1783"/>
      <c r="B223" s="1783"/>
      <c r="C223" s="1783"/>
      <c r="D223" s="1783"/>
      <c r="E223" s="1783"/>
      <c r="F223" s="1783"/>
      <c r="G223" s="1783"/>
      <c r="H223" s="1783"/>
      <c r="I223" s="1783"/>
      <c r="J223" s="1783"/>
      <c r="K223" s="1783"/>
      <c r="L223" s="1783"/>
      <c r="M223" s="1783"/>
      <c r="N223" s="1783"/>
      <c r="O223" s="1783"/>
      <c r="P223" s="1783"/>
      <c r="Q223" s="1783"/>
      <c r="R223" s="1783"/>
      <c r="S223" s="1783"/>
      <c r="T223" s="1783"/>
      <c r="U223" s="1783"/>
      <c r="V223" s="1783"/>
      <c r="W223" s="1783"/>
      <c r="X223" s="1783"/>
      <c r="Y223" s="1783"/>
      <c r="Z223" s="1783"/>
      <c r="AA223" s="1783"/>
      <c r="AB223" s="1783"/>
      <c r="AC223" s="1783"/>
    </row>
    <row r="224" spans="1:29">
      <c r="A224" s="1783"/>
      <c r="B224" s="1783"/>
      <c r="C224" s="1783"/>
      <c r="D224" s="1783"/>
      <c r="E224" s="1783"/>
      <c r="F224" s="1783"/>
      <c r="G224" s="1783"/>
      <c r="H224" s="1783"/>
      <c r="I224" s="1783"/>
      <c r="J224" s="1783"/>
      <c r="K224" s="1783"/>
      <c r="L224" s="1783"/>
      <c r="M224" s="1783"/>
      <c r="N224" s="1783"/>
      <c r="O224" s="1783"/>
      <c r="P224" s="1783"/>
      <c r="Q224" s="1783"/>
      <c r="R224" s="1783"/>
      <c r="S224" s="1783"/>
      <c r="T224" s="1783"/>
      <c r="U224" s="1783"/>
      <c r="V224" s="1783"/>
      <c r="W224" s="1783"/>
      <c r="X224" s="1783"/>
      <c r="Y224" s="1783"/>
      <c r="Z224" s="1783"/>
      <c r="AA224" s="1783"/>
      <c r="AB224" s="1783"/>
      <c r="AC224" s="1783"/>
    </row>
    <row r="225" spans="1:29">
      <c r="A225" s="1783"/>
      <c r="B225" s="1783"/>
      <c r="C225" s="1783"/>
      <c r="D225" s="1783"/>
      <c r="E225" s="1783"/>
      <c r="F225" s="1783"/>
      <c r="G225" s="1783"/>
      <c r="H225" s="1783"/>
      <c r="I225" s="1783"/>
      <c r="J225" s="1783"/>
      <c r="K225" s="1783"/>
      <c r="L225" s="1783"/>
      <c r="M225" s="1783"/>
      <c r="N225" s="1783"/>
      <c r="O225" s="1783"/>
      <c r="P225" s="1783"/>
      <c r="Q225" s="1783"/>
      <c r="R225" s="1783"/>
      <c r="S225" s="1783"/>
      <c r="T225" s="1783"/>
      <c r="U225" s="1783"/>
      <c r="V225" s="1783"/>
      <c r="W225" s="1783"/>
      <c r="X225" s="1783"/>
      <c r="Y225" s="1783"/>
      <c r="Z225" s="1783"/>
      <c r="AA225" s="1783"/>
      <c r="AB225" s="1783"/>
      <c r="AC225" s="1783"/>
    </row>
    <row r="226" spans="1:29">
      <c r="A226" s="1783"/>
      <c r="B226" s="1783"/>
      <c r="C226" s="1783"/>
      <c r="D226" s="1783"/>
      <c r="E226" s="1783"/>
      <c r="F226" s="1783"/>
      <c r="G226" s="1783"/>
      <c r="H226" s="1783"/>
      <c r="I226" s="1783"/>
      <c r="J226" s="1783"/>
      <c r="K226" s="1783"/>
      <c r="L226" s="1783"/>
      <c r="M226" s="1783"/>
      <c r="N226" s="1783"/>
      <c r="O226" s="1783"/>
      <c r="P226" s="1783"/>
      <c r="Q226" s="1783"/>
      <c r="R226" s="1783"/>
      <c r="S226" s="1783"/>
      <c r="T226" s="1783"/>
      <c r="U226" s="1783"/>
      <c r="V226" s="1783"/>
      <c r="W226" s="1783"/>
      <c r="X226" s="1783"/>
      <c r="Y226" s="1783"/>
      <c r="Z226" s="1783"/>
      <c r="AA226" s="1783"/>
      <c r="AB226" s="1783"/>
      <c r="AC226" s="1783"/>
    </row>
    <row r="227" spans="1:29">
      <c r="A227" s="1783"/>
      <c r="B227" s="1783"/>
      <c r="C227" s="1783"/>
      <c r="D227" s="1783"/>
      <c r="E227" s="1783"/>
      <c r="F227" s="1783"/>
      <c r="G227" s="1783"/>
      <c r="H227" s="1783"/>
      <c r="I227" s="1783"/>
      <c r="J227" s="1783"/>
      <c r="K227" s="1783"/>
      <c r="L227" s="1783"/>
      <c r="M227" s="1783"/>
      <c r="N227" s="1783"/>
      <c r="O227" s="1783"/>
      <c r="P227" s="1783"/>
      <c r="Q227" s="1783"/>
      <c r="R227" s="1783"/>
      <c r="S227" s="1783"/>
      <c r="T227" s="1783"/>
      <c r="U227" s="1783"/>
      <c r="V227" s="1783"/>
      <c r="W227" s="1783"/>
      <c r="X227" s="1783"/>
      <c r="Y227" s="1783"/>
      <c r="Z227" s="1783"/>
      <c r="AA227" s="1783"/>
      <c r="AB227" s="1783"/>
      <c r="AC227" s="1783"/>
    </row>
    <row r="228" spans="1:29">
      <c r="A228" s="1783"/>
      <c r="B228" s="1783"/>
      <c r="C228" s="1783"/>
      <c r="D228" s="1783"/>
      <c r="E228" s="1783"/>
      <c r="F228" s="1783"/>
      <c r="G228" s="1783"/>
      <c r="H228" s="1783"/>
      <c r="I228" s="1783"/>
      <c r="J228" s="1783"/>
      <c r="K228" s="1783"/>
      <c r="L228" s="1783"/>
      <c r="M228" s="1783"/>
      <c r="N228" s="1783"/>
      <c r="O228" s="1783"/>
      <c r="P228" s="1783"/>
      <c r="Q228" s="1783"/>
      <c r="R228" s="1783"/>
      <c r="S228" s="1783"/>
      <c r="T228" s="1783"/>
      <c r="U228" s="1783"/>
      <c r="V228" s="1783"/>
      <c r="W228" s="1783"/>
      <c r="X228" s="1783"/>
      <c r="Y228" s="1783"/>
      <c r="Z228" s="1783"/>
      <c r="AA228" s="1783"/>
      <c r="AB228" s="1783"/>
      <c r="AC228" s="1783"/>
    </row>
    <row r="229" spans="1:29">
      <c r="A229" s="1783"/>
      <c r="B229" s="1783"/>
      <c r="C229" s="1783"/>
      <c r="D229" s="1783"/>
      <c r="E229" s="1783"/>
      <c r="F229" s="1783"/>
      <c r="G229" s="1783"/>
      <c r="H229" s="1783"/>
      <c r="I229" s="1783"/>
      <c r="J229" s="1783"/>
      <c r="K229" s="1783"/>
      <c r="L229" s="1783"/>
      <c r="M229" s="1783"/>
      <c r="N229" s="1783"/>
      <c r="O229" s="1783"/>
      <c r="P229" s="1783"/>
      <c r="Q229" s="1783"/>
      <c r="R229" s="1783"/>
      <c r="S229" s="1783"/>
      <c r="T229" s="1783"/>
      <c r="U229" s="1783"/>
      <c r="V229" s="1783"/>
      <c r="W229" s="1783"/>
      <c r="X229" s="1783"/>
      <c r="Y229" s="1783"/>
      <c r="Z229" s="1783"/>
      <c r="AA229" s="1783"/>
      <c r="AB229" s="1783"/>
      <c r="AC229" s="1783"/>
    </row>
    <row r="230" spans="1:29">
      <c r="A230" s="1783"/>
      <c r="B230" s="1783"/>
      <c r="C230" s="1783"/>
      <c r="D230" s="1783"/>
      <c r="E230" s="1783"/>
      <c r="F230" s="1783"/>
      <c r="G230" s="1783"/>
      <c r="H230" s="1783"/>
      <c r="I230" s="1783"/>
      <c r="J230" s="1783"/>
      <c r="K230" s="1783"/>
      <c r="L230" s="1783"/>
      <c r="M230" s="1783"/>
      <c r="N230" s="1783"/>
      <c r="O230" s="1783"/>
      <c r="P230" s="1783"/>
      <c r="Q230" s="1783"/>
      <c r="R230" s="1783"/>
      <c r="S230" s="1783"/>
      <c r="T230" s="1783"/>
      <c r="U230" s="1783"/>
      <c r="V230" s="1783"/>
      <c r="W230" s="1783"/>
      <c r="X230" s="1783"/>
      <c r="Y230" s="1783"/>
      <c r="Z230" s="1783"/>
      <c r="AA230" s="1783"/>
      <c r="AB230" s="1783"/>
      <c r="AC230" s="1783"/>
    </row>
    <row r="231" spans="1:29">
      <c r="A231" s="1783"/>
      <c r="B231" s="1783"/>
      <c r="C231" s="1783"/>
      <c r="D231" s="1783"/>
      <c r="E231" s="1783"/>
      <c r="F231" s="1783"/>
      <c r="G231" s="1783"/>
      <c r="H231" s="1783"/>
      <c r="I231" s="1783"/>
      <c r="J231" s="1783"/>
      <c r="K231" s="1783"/>
      <c r="L231" s="1783"/>
      <c r="M231" s="1783"/>
      <c r="N231" s="1783"/>
      <c r="O231" s="1783"/>
      <c r="P231" s="1783"/>
      <c r="Q231" s="1783"/>
      <c r="R231" s="1783"/>
      <c r="S231" s="1783"/>
      <c r="T231" s="1783"/>
      <c r="U231" s="1783"/>
      <c r="V231" s="1783"/>
      <c r="W231" s="1783"/>
      <c r="X231" s="1783"/>
      <c r="Y231" s="1783"/>
      <c r="Z231" s="1783"/>
      <c r="AA231" s="1783"/>
      <c r="AB231" s="1783"/>
      <c r="AC231" s="1783"/>
    </row>
    <row r="232" spans="1:29">
      <c r="A232" s="1783"/>
      <c r="B232" s="1783"/>
      <c r="C232" s="1783"/>
      <c r="D232" s="1783"/>
      <c r="E232" s="1783"/>
      <c r="F232" s="1783"/>
      <c r="G232" s="1783"/>
      <c r="H232" s="1783"/>
      <c r="I232" s="1783"/>
      <c r="J232" s="1783"/>
      <c r="K232" s="1783"/>
      <c r="L232" s="1783"/>
      <c r="M232" s="1783"/>
      <c r="N232" s="1783"/>
      <c r="O232" s="1783"/>
      <c r="P232" s="1783"/>
      <c r="Q232" s="1783"/>
      <c r="R232" s="1783"/>
      <c r="S232" s="1783"/>
      <c r="T232" s="1783"/>
      <c r="U232" s="1783"/>
      <c r="V232" s="1783"/>
      <c r="W232" s="1783"/>
      <c r="X232" s="1783"/>
      <c r="Y232" s="1783"/>
      <c r="Z232" s="1783"/>
      <c r="AA232" s="1783"/>
      <c r="AB232" s="1783"/>
      <c r="AC232" s="1783"/>
    </row>
    <row r="233" spans="1:29">
      <c r="A233" s="1783"/>
      <c r="B233" s="1783"/>
      <c r="C233" s="1783"/>
      <c r="D233" s="1783"/>
      <c r="E233" s="1783"/>
      <c r="F233" s="1783"/>
      <c r="G233" s="1783"/>
      <c r="H233" s="1783"/>
      <c r="I233" s="1783"/>
      <c r="J233" s="1783"/>
      <c r="K233" s="1783"/>
      <c r="L233" s="1783"/>
      <c r="M233" s="1783"/>
      <c r="N233" s="1783"/>
      <c r="O233" s="1783"/>
      <c r="P233" s="1783"/>
      <c r="Q233" s="1783"/>
      <c r="R233" s="1783"/>
      <c r="S233" s="1783"/>
      <c r="T233" s="1783"/>
      <c r="U233" s="1783"/>
      <c r="V233" s="1783"/>
      <c r="W233" s="1783"/>
      <c r="X233" s="1783"/>
      <c r="Y233" s="1783"/>
      <c r="Z233" s="1783"/>
      <c r="AA233" s="1783"/>
      <c r="AB233" s="1783"/>
      <c r="AC233" s="1783"/>
    </row>
    <row r="234" spans="1:29">
      <c r="A234" s="1783"/>
      <c r="B234" s="1783"/>
      <c r="C234" s="1783"/>
      <c r="D234" s="1783"/>
      <c r="E234" s="1783"/>
      <c r="F234" s="1783"/>
      <c r="G234" s="1783"/>
      <c r="H234" s="1783"/>
      <c r="I234" s="1783"/>
      <c r="J234" s="1783"/>
      <c r="K234" s="1783"/>
      <c r="L234" s="1783"/>
      <c r="M234" s="1783"/>
      <c r="N234" s="1783"/>
      <c r="O234" s="1783"/>
      <c r="P234" s="1783"/>
      <c r="Q234" s="1783"/>
      <c r="R234" s="1783"/>
      <c r="S234" s="1783"/>
      <c r="T234" s="1783"/>
      <c r="U234" s="1783"/>
      <c r="V234" s="1783"/>
      <c r="W234" s="1783"/>
      <c r="X234" s="1783"/>
      <c r="Y234" s="1783"/>
      <c r="Z234" s="1783"/>
      <c r="AA234" s="1783"/>
      <c r="AB234" s="1783"/>
      <c r="AC234" s="1783"/>
    </row>
    <row r="235" spans="1:29">
      <c r="A235" s="1783"/>
      <c r="B235" s="1783"/>
      <c r="C235" s="1783"/>
      <c r="D235" s="1783"/>
      <c r="E235" s="1783"/>
      <c r="F235" s="1783"/>
      <c r="G235" s="1783"/>
      <c r="H235" s="1783"/>
      <c r="I235" s="1783"/>
      <c r="J235" s="1783"/>
      <c r="K235" s="1783"/>
      <c r="L235" s="1783"/>
      <c r="M235" s="1783"/>
      <c r="N235" s="1783"/>
      <c r="O235" s="1783"/>
      <c r="P235" s="1783"/>
      <c r="Q235" s="1783"/>
      <c r="R235" s="1783"/>
      <c r="S235" s="1783"/>
      <c r="T235" s="1783"/>
      <c r="U235" s="1783"/>
      <c r="V235" s="1783"/>
      <c r="W235" s="1783"/>
      <c r="X235" s="1783"/>
      <c r="Y235" s="1783"/>
      <c r="Z235" s="1783"/>
      <c r="AA235" s="1783"/>
      <c r="AB235" s="1783"/>
      <c r="AC235" s="1783"/>
    </row>
    <row r="236" spans="1:29">
      <c r="A236" s="1783"/>
      <c r="B236" s="1783"/>
      <c r="C236" s="1783"/>
      <c r="D236" s="1783"/>
      <c r="E236" s="1783"/>
      <c r="F236" s="1783"/>
      <c r="G236" s="1783"/>
      <c r="H236" s="1783"/>
      <c r="I236" s="1783"/>
      <c r="J236" s="1783"/>
      <c r="K236" s="1783"/>
      <c r="L236" s="1783"/>
      <c r="M236" s="1783"/>
      <c r="N236" s="1783"/>
      <c r="O236" s="1783"/>
      <c r="P236" s="1783"/>
      <c r="Q236" s="1783"/>
      <c r="R236" s="1783"/>
      <c r="S236" s="1783"/>
      <c r="T236" s="1783"/>
      <c r="U236" s="1783"/>
      <c r="V236" s="1783"/>
      <c r="W236" s="1783"/>
      <c r="X236" s="1783"/>
      <c r="Y236" s="1783"/>
      <c r="Z236" s="1783"/>
      <c r="AA236" s="1783"/>
      <c r="AB236" s="1783"/>
      <c r="AC236" s="1783"/>
    </row>
    <row r="237" spans="1:29">
      <c r="A237" s="1783"/>
      <c r="B237" s="1783"/>
      <c r="C237" s="1783"/>
      <c r="D237" s="1783"/>
      <c r="E237" s="1783"/>
      <c r="F237" s="1783"/>
      <c r="G237" s="1783"/>
      <c r="H237" s="1783"/>
      <c r="I237" s="1783"/>
      <c r="J237" s="1783"/>
      <c r="K237" s="1783"/>
      <c r="L237" s="1783"/>
      <c r="M237" s="1783"/>
      <c r="N237" s="1783"/>
      <c r="O237" s="1783"/>
      <c r="P237" s="1783"/>
      <c r="Q237" s="1783"/>
      <c r="R237" s="1783"/>
      <c r="S237" s="1783"/>
      <c r="T237" s="1783"/>
      <c r="U237" s="1783"/>
      <c r="V237" s="1783"/>
      <c r="W237" s="1783"/>
      <c r="X237" s="1783"/>
      <c r="Y237" s="1783"/>
      <c r="Z237" s="1783"/>
      <c r="AA237" s="1783"/>
      <c r="AB237" s="1783"/>
      <c r="AC237" s="1783"/>
    </row>
    <row r="238" spans="1:29">
      <c r="A238" s="1783"/>
      <c r="B238" s="1783"/>
      <c r="C238" s="1783"/>
      <c r="D238" s="1783"/>
      <c r="E238" s="1783"/>
      <c r="F238" s="1783"/>
      <c r="G238" s="1783"/>
      <c r="H238" s="1783"/>
      <c r="I238" s="1783"/>
      <c r="J238" s="1783"/>
      <c r="K238" s="1783"/>
      <c r="L238" s="1783"/>
      <c r="M238" s="1783"/>
      <c r="N238" s="1783"/>
      <c r="O238" s="1783"/>
      <c r="P238" s="1783"/>
      <c r="Q238" s="1783"/>
      <c r="R238" s="1783"/>
      <c r="S238" s="1783"/>
      <c r="T238" s="1783"/>
      <c r="U238" s="1783"/>
      <c r="V238" s="1783"/>
      <c r="W238" s="1783"/>
      <c r="X238" s="1783"/>
      <c r="Y238" s="1783"/>
      <c r="Z238" s="1783"/>
      <c r="AA238" s="1783"/>
      <c r="AB238" s="1783"/>
      <c r="AC238" s="1783"/>
    </row>
    <row r="239" spans="1:29">
      <c r="A239" s="1783"/>
      <c r="B239" s="1783"/>
      <c r="C239" s="1783"/>
      <c r="D239" s="1783"/>
      <c r="E239" s="1783"/>
      <c r="F239" s="1783"/>
      <c r="G239" s="1783"/>
      <c r="H239" s="1783"/>
      <c r="I239" s="1783"/>
      <c r="J239" s="1783"/>
      <c r="K239" s="1783"/>
      <c r="L239" s="1783"/>
      <c r="M239" s="1783"/>
      <c r="N239" s="1783"/>
      <c r="O239" s="1783"/>
      <c r="P239" s="1783"/>
      <c r="Q239" s="1783"/>
      <c r="R239" s="1783"/>
      <c r="S239" s="1783"/>
      <c r="T239" s="1783"/>
      <c r="U239" s="1783"/>
      <c r="V239" s="1783"/>
      <c r="W239" s="1783"/>
      <c r="X239" s="1783"/>
      <c r="Y239" s="1783"/>
      <c r="Z239" s="1783"/>
      <c r="AA239" s="1783"/>
      <c r="AB239" s="1783"/>
      <c r="AC239" s="1783"/>
    </row>
    <row r="240" spans="1:29">
      <c r="A240" s="1783"/>
      <c r="B240" s="1783"/>
      <c r="C240" s="1783"/>
      <c r="D240" s="1783"/>
      <c r="E240" s="1783"/>
      <c r="F240" s="1783"/>
      <c r="G240" s="1783"/>
      <c r="H240" s="1783"/>
      <c r="I240" s="1783"/>
      <c r="J240" s="1783"/>
      <c r="K240" s="1783"/>
      <c r="L240" s="1783"/>
      <c r="M240" s="1783"/>
      <c r="N240" s="1783"/>
      <c r="O240" s="1783"/>
      <c r="P240" s="1783"/>
      <c r="Q240" s="1783"/>
      <c r="R240" s="1783"/>
      <c r="S240" s="1783"/>
      <c r="T240" s="1783"/>
      <c r="U240" s="1783"/>
      <c r="V240" s="1783"/>
      <c r="W240" s="1783"/>
      <c r="X240" s="1783"/>
      <c r="Y240" s="1783"/>
      <c r="Z240" s="1783"/>
      <c r="AA240" s="1783"/>
      <c r="AB240" s="1783"/>
      <c r="AC240" s="1783"/>
    </row>
    <row r="241" spans="1:29">
      <c r="A241" s="1783"/>
      <c r="B241" s="1783"/>
      <c r="C241" s="1783"/>
      <c r="D241" s="1783"/>
      <c r="E241" s="1783"/>
      <c r="F241" s="1783"/>
      <c r="G241" s="1783"/>
      <c r="H241" s="1783"/>
      <c r="I241" s="1783"/>
      <c r="J241" s="1783"/>
      <c r="K241" s="1783"/>
      <c r="L241" s="1783"/>
      <c r="M241" s="1783"/>
      <c r="N241" s="1783"/>
      <c r="O241" s="1783"/>
      <c r="P241" s="1783"/>
      <c r="Q241" s="1783"/>
      <c r="R241" s="1783"/>
      <c r="S241" s="1783"/>
      <c r="T241" s="1783"/>
      <c r="U241" s="1783"/>
      <c r="V241" s="1783"/>
      <c r="W241" s="1783"/>
      <c r="X241" s="1783"/>
      <c r="Y241" s="1783"/>
      <c r="Z241" s="1783"/>
      <c r="AA241" s="1783"/>
      <c r="AB241" s="1783"/>
      <c r="AC241" s="1783"/>
    </row>
    <row r="242" spans="1:29">
      <c r="A242" s="1783"/>
      <c r="B242" s="1783"/>
      <c r="C242" s="1783"/>
      <c r="D242" s="1783"/>
      <c r="E242" s="1783"/>
      <c r="F242" s="1783"/>
      <c r="G242" s="1783"/>
      <c r="H242" s="1783"/>
      <c r="I242" s="1783"/>
      <c r="J242" s="1783"/>
      <c r="K242" s="1783"/>
      <c r="L242" s="1783"/>
      <c r="M242" s="1783"/>
      <c r="N242" s="1783"/>
      <c r="O242" s="1783"/>
      <c r="P242" s="1783"/>
      <c r="Q242" s="1783"/>
      <c r="R242" s="1783"/>
      <c r="S242" s="1783"/>
      <c r="T242" s="1783"/>
      <c r="U242" s="1783"/>
      <c r="V242" s="1783"/>
      <c r="W242" s="1783"/>
      <c r="X242" s="1783"/>
      <c r="Y242" s="1783"/>
      <c r="Z242" s="1783"/>
      <c r="AA242" s="1783"/>
      <c r="AB242" s="1783"/>
      <c r="AC242" s="1783"/>
    </row>
    <row r="243" spans="1:29">
      <c r="A243" s="1783"/>
      <c r="B243" s="1783"/>
      <c r="C243" s="1783"/>
      <c r="D243" s="1783"/>
      <c r="E243" s="1783"/>
      <c r="F243" s="1783"/>
      <c r="G243" s="1783"/>
      <c r="H243" s="1783"/>
      <c r="I243" s="1783"/>
      <c r="J243" s="1783"/>
      <c r="K243" s="1783"/>
      <c r="L243" s="1783"/>
      <c r="M243" s="1783"/>
      <c r="N243" s="1783"/>
      <c r="O243" s="1783"/>
      <c r="P243" s="1783"/>
      <c r="Q243" s="1783"/>
      <c r="R243" s="1783"/>
      <c r="S243" s="1783"/>
      <c r="T243" s="1783"/>
      <c r="U243" s="1783"/>
      <c r="V243" s="1783"/>
      <c r="W243" s="1783"/>
      <c r="X243" s="1783"/>
      <c r="Y243" s="1783"/>
      <c r="Z243" s="1783"/>
      <c r="AA243" s="1783"/>
      <c r="AB243" s="1783"/>
      <c r="AC243" s="1783"/>
    </row>
    <row r="244" spans="1:29">
      <c r="A244" s="1783"/>
      <c r="B244" s="1783"/>
      <c r="C244" s="1783"/>
      <c r="D244" s="1783"/>
      <c r="E244" s="1783"/>
      <c r="F244" s="1783"/>
      <c r="G244" s="1783"/>
      <c r="H244" s="1783"/>
      <c r="I244" s="1783"/>
      <c r="J244" s="1783"/>
      <c r="K244" s="1783"/>
      <c r="L244" s="1783"/>
      <c r="M244" s="1783"/>
      <c r="N244" s="1783"/>
      <c r="O244" s="1783"/>
      <c r="P244" s="1783"/>
      <c r="Q244" s="1783"/>
      <c r="R244" s="1783"/>
      <c r="S244" s="1783"/>
      <c r="T244" s="1783"/>
      <c r="U244" s="1783"/>
      <c r="V244" s="1783"/>
      <c r="W244" s="1783"/>
      <c r="X244" s="1783"/>
      <c r="Y244" s="1783"/>
      <c r="Z244" s="1783"/>
      <c r="AA244" s="1783"/>
      <c r="AB244" s="1783"/>
      <c r="AC244" s="1783"/>
    </row>
    <row r="245" spans="1:29">
      <c r="A245" s="1783"/>
      <c r="B245" s="1783"/>
      <c r="C245" s="1783"/>
      <c r="D245" s="1783"/>
      <c r="E245" s="1783"/>
      <c r="F245" s="1783"/>
      <c r="G245" s="1783"/>
      <c r="H245" s="1783"/>
      <c r="I245" s="1783"/>
      <c r="J245" s="1783"/>
      <c r="K245" s="1783"/>
      <c r="L245" s="1783"/>
      <c r="M245" s="1783"/>
      <c r="N245" s="1783"/>
      <c r="O245" s="1783"/>
      <c r="P245" s="1783"/>
      <c r="Q245" s="1783"/>
      <c r="R245" s="1783"/>
      <c r="S245" s="1783"/>
      <c r="T245" s="1783"/>
      <c r="U245" s="1783"/>
      <c r="V245" s="1783"/>
      <c r="W245" s="1783"/>
      <c r="X245" s="1783"/>
      <c r="Y245" s="1783"/>
      <c r="Z245" s="1783"/>
      <c r="AA245" s="1783"/>
      <c r="AB245" s="1783"/>
      <c r="AC245" s="1783"/>
    </row>
    <row r="246" spans="1:29">
      <c r="A246" s="1783"/>
      <c r="B246" s="1783"/>
      <c r="C246" s="1783"/>
      <c r="D246" s="1783"/>
      <c r="E246" s="1783"/>
      <c r="F246" s="1783"/>
      <c r="G246" s="1783"/>
      <c r="H246" s="1783"/>
      <c r="I246" s="1783"/>
      <c r="J246" s="1783"/>
      <c r="K246" s="1783"/>
      <c r="L246" s="1783"/>
      <c r="M246" s="1783"/>
      <c r="N246" s="1783"/>
      <c r="O246" s="1783"/>
      <c r="P246" s="1783"/>
      <c r="Q246" s="1783"/>
      <c r="R246" s="1783"/>
      <c r="S246" s="1783"/>
      <c r="T246" s="1783"/>
      <c r="U246" s="1783"/>
      <c r="V246" s="1783"/>
      <c r="W246" s="1783"/>
      <c r="X246" s="1783"/>
      <c r="Y246" s="1783"/>
      <c r="Z246" s="1783"/>
      <c r="AA246" s="1783"/>
      <c r="AB246" s="1783"/>
      <c r="AC246" s="1783"/>
    </row>
    <row r="247" spans="1:29">
      <c r="A247" s="1783"/>
      <c r="B247" s="1783"/>
      <c r="C247" s="1783"/>
      <c r="D247" s="1783"/>
      <c r="E247" s="1783"/>
      <c r="F247" s="1783"/>
      <c r="G247" s="1783"/>
      <c r="H247" s="1783"/>
      <c r="I247" s="1783"/>
      <c r="J247" s="1783"/>
      <c r="K247" s="1783"/>
      <c r="L247" s="1783"/>
      <c r="M247" s="1783"/>
      <c r="N247" s="1783"/>
      <c r="O247" s="1783"/>
      <c r="P247" s="1783"/>
      <c r="Q247" s="1783"/>
      <c r="R247" s="1783"/>
      <c r="S247" s="1783"/>
      <c r="T247" s="1783"/>
      <c r="U247" s="1783"/>
      <c r="V247" s="1783"/>
      <c r="W247" s="1783"/>
      <c r="X247" s="1783"/>
      <c r="Y247" s="1783"/>
      <c r="Z247" s="1783"/>
      <c r="AA247" s="1783"/>
      <c r="AB247" s="1783"/>
      <c r="AC247" s="1783"/>
    </row>
    <row r="248" spans="1:29">
      <c r="A248" s="1783"/>
      <c r="B248" s="1783"/>
      <c r="C248" s="1783"/>
      <c r="D248" s="1783"/>
      <c r="E248" s="1783"/>
      <c r="F248" s="1783"/>
      <c r="G248" s="1783"/>
      <c r="H248" s="1783"/>
      <c r="I248" s="1783"/>
      <c r="J248" s="1783"/>
      <c r="K248" s="1783"/>
      <c r="L248" s="1783"/>
      <c r="M248" s="1783"/>
      <c r="N248" s="1783"/>
      <c r="O248" s="1783"/>
      <c r="P248" s="1783"/>
      <c r="Q248" s="1783"/>
      <c r="R248" s="1783"/>
      <c r="S248" s="1783"/>
      <c r="T248" s="1783"/>
      <c r="U248" s="1783"/>
      <c r="V248" s="1783"/>
      <c r="W248" s="1783"/>
      <c r="X248" s="1783"/>
      <c r="Y248" s="1783"/>
      <c r="Z248" s="1783"/>
      <c r="AA248" s="1783"/>
      <c r="AB248" s="1783"/>
      <c r="AC248" s="1783"/>
    </row>
    <row r="249" spans="1:29">
      <c r="A249" s="1783"/>
      <c r="B249" s="1783"/>
      <c r="C249" s="1783"/>
      <c r="D249" s="1783"/>
      <c r="E249" s="1783"/>
      <c r="F249" s="1783"/>
      <c r="G249" s="1783"/>
      <c r="H249" s="1783"/>
      <c r="I249" s="1783"/>
      <c r="J249" s="1783"/>
      <c r="K249" s="1783"/>
      <c r="L249" s="1783"/>
      <c r="M249" s="1783"/>
      <c r="N249" s="1783"/>
      <c r="O249" s="1783"/>
      <c r="P249" s="1783"/>
      <c r="Q249" s="1783"/>
      <c r="R249" s="1783"/>
      <c r="S249" s="1783"/>
      <c r="T249" s="1783"/>
      <c r="U249" s="1783"/>
      <c r="V249" s="1783"/>
      <c r="W249" s="1783"/>
      <c r="X249" s="1783"/>
      <c r="Y249" s="1783"/>
      <c r="Z249" s="1783"/>
      <c r="AA249" s="1783"/>
      <c r="AB249" s="1783"/>
      <c r="AC249" s="1783"/>
    </row>
    <row r="250" spans="1:29">
      <c r="A250" s="1783"/>
      <c r="B250" s="1783"/>
      <c r="C250" s="1783"/>
      <c r="D250" s="1783"/>
      <c r="E250" s="1783"/>
      <c r="F250" s="1783"/>
      <c r="G250" s="1783"/>
      <c r="H250" s="1783"/>
      <c r="I250" s="1783"/>
      <c r="J250" s="1783"/>
      <c r="K250" s="1783"/>
      <c r="L250" s="1783"/>
      <c r="M250" s="1783"/>
      <c r="N250" s="1783"/>
      <c r="O250" s="1783"/>
      <c r="P250" s="1783"/>
      <c r="Q250" s="1783"/>
      <c r="R250" s="1783"/>
      <c r="S250" s="1783"/>
      <c r="T250" s="1783"/>
      <c r="U250" s="1783"/>
      <c r="V250" s="1783"/>
      <c r="W250" s="1783"/>
      <c r="X250" s="1783"/>
      <c r="Y250" s="1783"/>
      <c r="Z250" s="1783"/>
      <c r="AA250" s="1783"/>
      <c r="AB250" s="1783"/>
      <c r="AC250" s="1783"/>
    </row>
    <row r="251" spans="1:29">
      <c r="A251" s="1783"/>
      <c r="B251" s="1783"/>
      <c r="C251" s="1783"/>
      <c r="D251" s="1783"/>
      <c r="E251" s="1783"/>
      <c r="F251" s="1783"/>
      <c r="G251" s="1783"/>
      <c r="H251" s="1783"/>
      <c r="I251" s="1783"/>
      <c r="J251" s="1783"/>
      <c r="K251" s="1783"/>
      <c r="L251" s="1783"/>
      <c r="M251" s="1783"/>
      <c r="N251" s="1783"/>
      <c r="O251" s="1783"/>
      <c r="P251" s="1783"/>
      <c r="Q251" s="1783"/>
      <c r="R251" s="1783"/>
      <c r="S251" s="1783"/>
      <c r="T251" s="1783"/>
      <c r="U251" s="1783"/>
      <c r="V251" s="1783"/>
      <c r="W251" s="1783"/>
      <c r="X251" s="1783"/>
      <c r="Y251" s="1783"/>
      <c r="Z251" s="1783"/>
      <c r="AA251" s="1783"/>
      <c r="AB251" s="1783"/>
      <c r="AC251" s="1783"/>
    </row>
    <row r="252" spans="1:29">
      <c r="A252" s="1783"/>
      <c r="B252" s="1783"/>
      <c r="C252" s="1783"/>
      <c r="D252" s="1783"/>
      <c r="E252" s="1783"/>
      <c r="F252" s="1783"/>
      <c r="G252" s="1783"/>
      <c r="H252" s="1783"/>
      <c r="I252" s="1783"/>
      <c r="J252" s="1783"/>
      <c r="K252" s="1783"/>
      <c r="L252" s="1783"/>
      <c r="M252" s="1783"/>
      <c r="N252" s="1783"/>
      <c r="O252" s="1783"/>
      <c r="P252" s="1783"/>
      <c r="Q252" s="1783"/>
      <c r="R252" s="1783"/>
      <c r="S252" s="1783"/>
      <c r="T252" s="1783"/>
      <c r="U252" s="1783"/>
      <c r="V252" s="1783"/>
      <c r="W252" s="1783"/>
      <c r="X252" s="1783"/>
      <c r="Y252" s="1783"/>
      <c r="Z252" s="1783"/>
      <c r="AA252" s="1783"/>
      <c r="AB252" s="1783"/>
      <c r="AC252" s="1783"/>
    </row>
    <row r="253" spans="1:29">
      <c r="A253" s="1783"/>
      <c r="B253" s="1783"/>
      <c r="C253" s="1783"/>
      <c r="D253" s="1783"/>
      <c r="E253" s="1783"/>
      <c r="F253" s="1783"/>
      <c r="G253" s="1783"/>
      <c r="H253" s="1783"/>
      <c r="I253" s="1783"/>
      <c r="J253" s="1783"/>
      <c r="K253" s="1783"/>
      <c r="L253" s="1783"/>
      <c r="M253" s="1783"/>
      <c r="N253" s="1783"/>
      <c r="O253" s="1783"/>
      <c r="P253" s="1783"/>
      <c r="Q253" s="1783"/>
      <c r="R253" s="1783"/>
      <c r="S253" s="1783"/>
      <c r="T253" s="1783"/>
      <c r="U253" s="1783"/>
      <c r="V253" s="1783"/>
      <c r="W253" s="1783"/>
      <c r="X253" s="1783"/>
      <c r="Y253" s="1783"/>
      <c r="Z253" s="1783"/>
      <c r="AA253" s="1783"/>
      <c r="AB253" s="1783"/>
      <c r="AC253" s="1783"/>
    </row>
    <row r="254" spans="1:29">
      <c r="A254" s="1783"/>
      <c r="B254" s="1783"/>
      <c r="C254" s="1783"/>
      <c r="D254" s="1783"/>
      <c r="E254" s="1783"/>
      <c r="F254" s="1783"/>
      <c r="G254" s="1783"/>
      <c r="H254" s="1783"/>
      <c r="I254" s="1783"/>
      <c r="J254" s="1783"/>
      <c r="K254" s="1783"/>
      <c r="L254" s="1783"/>
      <c r="M254" s="1783"/>
      <c r="N254" s="1783"/>
      <c r="O254" s="1783"/>
      <c r="P254" s="1783"/>
      <c r="Q254" s="1783"/>
      <c r="R254" s="1783"/>
      <c r="S254" s="1783"/>
      <c r="T254" s="1783"/>
      <c r="U254" s="1783"/>
      <c r="V254" s="1783"/>
      <c r="W254" s="1783"/>
      <c r="X254" s="1783"/>
      <c r="Y254" s="1783"/>
      <c r="Z254" s="1783"/>
      <c r="AA254" s="1783"/>
      <c r="AB254" s="1783"/>
      <c r="AC254" s="1783"/>
    </row>
    <row r="255" spans="1:29">
      <c r="A255" s="1783"/>
      <c r="B255" s="1783"/>
      <c r="C255" s="1783"/>
      <c r="D255" s="1783"/>
      <c r="E255" s="1783"/>
      <c r="F255" s="1783"/>
      <c r="G255" s="1783"/>
      <c r="H255" s="1783"/>
      <c r="I255" s="1783"/>
      <c r="J255" s="1783"/>
      <c r="K255" s="1783"/>
      <c r="L255" s="1783"/>
      <c r="M255" s="1783"/>
      <c r="N255" s="1783"/>
      <c r="O255" s="1783"/>
      <c r="P255" s="1783"/>
      <c r="Q255" s="1783"/>
      <c r="R255" s="1783"/>
      <c r="S255" s="1783"/>
      <c r="T255" s="1783"/>
      <c r="U255" s="1783"/>
      <c r="V255" s="1783"/>
      <c r="W255" s="1783"/>
      <c r="X255" s="1783"/>
      <c r="Y255" s="1783"/>
      <c r="Z255" s="1783"/>
      <c r="AA255" s="1783"/>
      <c r="AB255" s="1783"/>
      <c r="AC255" s="1783"/>
    </row>
    <row r="256" spans="1:29">
      <c r="A256" s="1783"/>
      <c r="B256" s="1783"/>
      <c r="C256" s="1783"/>
      <c r="D256" s="1783"/>
      <c r="E256" s="1783"/>
      <c r="F256" s="1783"/>
      <c r="G256" s="1783"/>
      <c r="H256" s="1783"/>
      <c r="I256" s="1783"/>
      <c r="J256" s="1783"/>
      <c r="K256" s="1783"/>
      <c r="L256" s="1783"/>
      <c r="M256" s="1783"/>
      <c r="N256" s="1783"/>
      <c r="O256" s="1783"/>
      <c r="P256" s="1783"/>
      <c r="Q256" s="1783"/>
      <c r="R256" s="1783"/>
      <c r="S256" s="1783"/>
      <c r="T256" s="1783"/>
      <c r="U256" s="1783"/>
      <c r="V256" s="1783"/>
      <c r="W256" s="1783"/>
      <c r="X256" s="1783"/>
      <c r="Y256" s="1783"/>
      <c r="Z256" s="1783"/>
      <c r="AA256" s="1783"/>
      <c r="AB256" s="1783"/>
      <c r="AC256" s="1783"/>
    </row>
    <row r="257" spans="1:29">
      <c r="A257" s="1783"/>
      <c r="B257" s="1783"/>
      <c r="C257" s="1783"/>
      <c r="D257" s="1783"/>
      <c r="E257" s="1783"/>
      <c r="F257" s="1783"/>
      <c r="G257" s="1783"/>
      <c r="H257" s="1783"/>
      <c r="I257" s="1783"/>
      <c r="J257" s="1783"/>
      <c r="K257" s="1783"/>
      <c r="L257" s="1783"/>
      <c r="M257" s="1783"/>
      <c r="N257" s="1783"/>
      <c r="O257" s="1783"/>
      <c r="P257" s="1783"/>
      <c r="Q257" s="1783"/>
      <c r="R257" s="1783"/>
      <c r="S257" s="1783"/>
      <c r="T257" s="1783"/>
      <c r="U257" s="1783"/>
      <c r="V257" s="1783"/>
      <c r="W257" s="1783"/>
      <c r="X257" s="1783"/>
      <c r="Y257" s="1783"/>
      <c r="Z257" s="1783"/>
      <c r="AA257" s="1783"/>
      <c r="AB257" s="1783"/>
      <c r="AC257" s="1783"/>
    </row>
    <row r="258" spans="1:29">
      <c r="A258" s="1783"/>
      <c r="B258" s="1783"/>
      <c r="C258" s="1783"/>
      <c r="D258" s="1783"/>
      <c r="E258" s="1783"/>
      <c r="F258" s="1783"/>
      <c r="G258" s="1783"/>
      <c r="H258" s="1783"/>
      <c r="I258" s="1783"/>
      <c r="J258" s="1783"/>
      <c r="K258" s="1783"/>
      <c r="L258" s="1783"/>
      <c r="M258" s="1783"/>
      <c r="N258" s="1783"/>
      <c r="O258" s="1783"/>
      <c r="P258" s="1783"/>
      <c r="Q258" s="1783"/>
      <c r="R258" s="1783"/>
      <c r="S258" s="1783"/>
      <c r="T258" s="1783"/>
      <c r="U258" s="1783"/>
      <c r="V258" s="1783"/>
      <c r="W258" s="1783"/>
      <c r="X258" s="1783"/>
      <c r="Y258" s="1783"/>
      <c r="Z258" s="1783"/>
      <c r="AA258" s="1783"/>
      <c r="AB258" s="1783"/>
      <c r="AC258" s="1783"/>
    </row>
    <row r="259" spans="1:29">
      <c r="A259" s="1783"/>
      <c r="B259" s="1783"/>
      <c r="C259" s="1783"/>
      <c r="D259" s="1783"/>
      <c r="E259" s="1783"/>
      <c r="F259" s="1783"/>
      <c r="G259" s="1783"/>
      <c r="H259" s="1783"/>
      <c r="I259" s="1783"/>
      <c r="J259" s="1783"/>
      <c r="K259" s="1783"/>
      <c r="L259" s="1783"/>
      <c r="M259" s="1783"/>
      <c r="N259" s="1783"/>
      <c r="O259" s="1783"/>
      <c r="P259" s="1783"/>
      <c r="Q259" s="1783"/>
      <c r="R259" s="1783"/>
      <c r="S259" s="1783"/>
      <c r="T259" s="1783"/>
      <c r="U259" s="1783"/>
      <c r="V259" s="1783"/>
      <c r="W259" s="1783"/>
      <c r="X259" s="1783"/>
      <c r="Y259" s="1783"/>
      <c r="Z259" s="1783"/>
      <c r="AA259" s="1783"/>
      <c r="AB259" s="1783"/>
      <c r="AC259" s="1783"/>
    </row>
    <row r="260" spans="1:29">
      <c r="A260" s="1783"/>
      <c r="B260" s="1783"/>
      <c r="C260" s="1783"/>
      <c r="D260" s="1783"/>
      <c r="E260" s="1783"/>
      <c r="F260" s="1783"/>
      <c r="G260" s="1783"/>
      <c r="H260" s="1783"/>
      <c r="I260" s="1783"/>
      <c r="J260" s="1783"/>
      <c r="K260" s="1783"/>
      <c r="L260" s="1783"/>
      <c r="M260" s="1783"/>
      <c r="N260" s="1783"/>
      <c r="O260" s="1783"/>
      <c r="P260" s="1783"/>
      <c r="Q260" s="1783"/>
      <c r="R260" s="1783"/>
      <c r="S260" s="1783"/>
      <c r="T260" s="1783"/>
      <c r="U260" s="1783"/>
      <c r="V260" s="1783"/>
      <c r="W260" s="1783"/>
      <c r="X260" s="1783"/>
      <c r="Y260" s="1783"/>
      <c r="Z260" s="1783"/>
      <c r="AA260" s="1783"/>
      <c r="AB260" s="1783"/>
      <c r="AC260" s="1783"/>
    </row>
    <row r="261" spans="1:29">
      <c r="A261" s="1783"/>
      <c r="B261" s="1783"/>
      <c r="C261" s="1783"/>
      <c r="D261" s="1783"/>
      <c r="E261" s="1783"/>
      <c r="F261" s="1783"/>
      <c r="G261" s="1783"/>
      <c r="H261" s="1783"/>
      <c r="I261" s="1783"/>
      <c r="J261" s="1783"/>
      <c r="K261" s="1783"/>
      <c r="L261" s="1783"/>
      <c r="M261" s="1783"/>
      <c r="N261" s="1783"/>
      <c r="O261" s="1783"/>
      <c r="P261" s="1783"/>
      <c r="Q261" s="1783"/>
      <c r="R261" s="1783"/>
      <c r="S261" s="1783"/>
      <c r="T261" s="1783"/>
      <c r="U261" s="1783"/>
      <c r="V261" s="1783"/>
      <c r="W261" s="1783"/>
      <c r="X261" s="1783"/>
      <c r="Y261" s="1783"/>
      <c r="Z261" s="1783"/>
      <c r="AA261" s="1783"/>
      <c r="AB261" s="1783"/>
      <c r="AC261" s="1783"/>
    </row>
    <row r="262" spans="1:29">
      <c r="A262" s="1783"/>
      <c r="B262" s="1783"/>
      <c r="C262" s="1783"/>
      <c r="D262" s="1783"/>
      <c r="E262" s="1783"/>
      <c r="F262" s="1783"/>
      <c r="G262" s="1783"/>
      <c r="H262" s="1783"/>
      <c r="I262" s="1783"/>
      <c r="J262" s="1783"/>
      <c r="K262" s="1783"/>
      <c r="L262" s="1783"/>
      <c r="M262" s="1783"/>
      <c r="N262" s="1783"/>
      <c r="O262" s="1783"/>
      <c r="P262" s="1783"/>
      <c r="Q262" s="1783"/>
      <c r="R262" s="1783"/>
      <c r="S262" s="1783"/>
      <c r="T262" s="1783"/>
      <c r="U262" s="1783"/>
      <c r="V262" s="1783"/>
      <c r="W262" s="1783"/>
      <c r="X262" s="1783"/>
      <c r="Y262" s="1783"/>
      <c r="Z262" s="1783"/>
      <c r="AA262" s="1783"/>
      <c r="AB262" s="1783"/>
      <c r="AC262" s="1783"/>
    </row>
    <row r="263" spans="1:29">
      <c r="A263" s="1783"/>
      <c r="B263" s="1783"/>
      <c r="C263" s="1783"/>
      <c r="D263" s="1783"/>
      <c r="E263" s="1783"/>
      <c r="F263" s="1783"/>
      <c r="G263" s="1783"/>
      <c r="H263" s="1783"/>
      <c r="I263" s="1783"/>
      <c r="J263" s="1783"/>
      <c r="K263" s="1783"/>
      <c r="L263" s="1783"/>
      <c r="M263" s="1783"/>
      <c r="N263" s="1783"/>
      <c r="O263" s="1783"/>
      <c r="P263" s="1783"/>
      <c r="Q263" s="1783"/>
      <c r="R263" s="1783"/>
      <c r="S263" s="1783"/>
      <c r="T263" s="1783"/>
      <c r="U263" s="1783"/>
      <c r="V263" s="1783"/>
      <c r="W263" s="1783"/>
      <c r="X263" s="1783"/>
      <c r="Y263" s="1783"/>
      <c r="Z263" s="1783"/>
      <c r="AA263" s="1783"/>
      <c r="AB263" s="1783"/>
      <c r="AC263" s="1783"/>
    </row>
    <row r="264" spans="1:29">
      <c r="A264" s="1783"/>
      <c r="B264" s="1783"/>
      <c r="C264" s="1783"/>
      <c r="D264" s="1783"/>
      <c r="E264" s="1783"/>
      <c r="F264" s="1783"/>
      <c r="G264" s="1783"/>
      <c r="H264" s="1783"/>
      <c r="I264" s="1783"/>
      <c r="J264" s="1783"/>
      <c r="K264" s="1783"/>
      <c r="L264" s="1783"/>
      <c r="M264" s="1783"/>
      <c r="N264" s="1783"/>
      <c r="O264" s="1783"/>
      <c r="P264" s="1783"/>
      <c r="Q264" s="1783"/>
      <c r="R264" s="1783"/>
      <c r="S264" s="1783"/>
      <c r="T264" s="1783"/>
      <c r="U264" s="1783"/>
      <c r="V264" s="1783"/>
      <c r="W264" s="1783"/>
      <c r="X264" s="1783"/>
      <c r="Y264" s="1783"/>
      <c r="Z264" s="1783"/>
      <c r="AA264" s="1783"/>
      <c r="AB264" s="1783"/>
      <c r="AC264" s="1783"/>
    </row>
    <row r="265" spans="1:29">
      <c r="A265" s="1783"/>
      <c r="B265" s="1783"/>
      <c r="C265" s="1783"/>
      <c r="D265" s="1783"/>
      <c r="E265" s="1783"/>
      <c r="F265" s="1783"/>
      <c r="G265" s="1783"/>
      <c r="H265" s="1783"/>
      <c r="I265" s="1783"/>
      <c r="J265" s="1783"/>
      <c r="K265" s="1783"/>
      <c r="L265" s="1783"/>
      <c r="M265" s="1783"/>
      <c r="N265" s="1783"/>
      <c r="O265" s="1783"/>
      <c r="P265" s="1783"/>
      <c r="Q265" s="1783"/>
      <c r="R265" s="1783"/>
      <c r="S265" s="1783"/>
      <c r="T265" s="1783"/>
      <c r="U265" s="1783"/>
      <c r="V265" s="1783"/>
      <c r="W265" s="1783"/>
      <c r="X265" s="1783"/>
      <c r="Y265" s="1783"/>
      <c r="Z265" s="1783"/>
      <c r="AA265" s="1783"/>
      <c r="AB265" s="1783"/>
      <c r="AC265" s="1783"/>
    </row>
    <row r="266" spans="1:29">
      <c r="A266" s="1783"/>
      <c r="B266" s="1783"/>
      <c r="C266" s="1783"/>
      <c r="D266" s="1783"/>
      <c r="E266" s="1783"/>
      <c r="F266" s="1783"/>
      <c r="G266" s="1783"/>
      <c r="H266" s="1783"/>
      <c r="I266" s="1783"/>
      <c r="J266" s="1783"/>
      <c r="K266" s="1783"/>
      <c r="L266" s="1783"/>
      <c r="M266" s="1783"/>
      <c r="N266" s="1783"/>
      <c r="O266" s="1783"/>
      <c r="P266" s="1783"/>
      <c r="Q266" s="1783"/>
      <c r="R266" s="1783"/>
      <c r="S266" s="1783"/>
      <c r="T266" s="1783"/>
      <c r="U266" s="1783"/>
      <c r="V266" s="1783"/>
      <c r="W266" s="1783"/>
      <c r="X266" s="1783"/>
      <c r="Y266" s="1783"/>
      <c r="Z266" s="1783"/>
      <c r="AA266" s="1783"/>
      <c r="AB266" s="1783"/>
      <c r="AC266" s="1783"/>
    </row>
    <row r="267" spans="1:29">
      <c r="A267" s="1783"/>
      <c r="B267" s="1783"/>
      <c r="C267" s="1783"/>
      <c r="D267" s="1783"/>
      <c r="E267" s="1783"/>
      <c r="F267" s="1783"/>
      <c r="G267" s="1783"/>
      <c r="H267" s="1783"/>
      <c r="I267" s="1783"/>
      <c r="J267" s="1783"/>
      <c r="K267" s="1783"/>
      <c r="L267" s="1783"/>
      <c r="M267" s="1783"/>
      <c r="N267" s="1783"/>
      <c r="O267" s="1783"/>
      <c r="P267" s="1783"/>
      <c r="Q267" s="1783"/>
      <c r="R267" s="1783"/>
      <c r="S267" s="1783"/>
      <c r="T267" s="1783"/>
      <c r="U267" s="1783"/>
      <c r="V267" s="1783"/>
      <c r="W267" s="1783"/>
      <c r="X267" s="1783"/>
      <c r="Y267" s="1783"/>
      <c r="Z267" s="1783"/>
      <c r="AA267" s="1783"/>
      <c r="AB267" s="1783"/>
      <c r="AC267" s="1783"/>
    </row>
    <row r="268" spans="1:29">
      <c r="A268" s="1783"/>
      <c r="B268" s="1783"/>
      <c r="C268" s="1783"/>
      <c r="D268" s="1783"/>
      <c r="E268" s="1783"/>
      <c r="F268" s="1783"/>
      <c r="G268" s="1783"/>
      <c r="H268" s="1783"/>
      <c r="I268" s="1783"/>
      <c r="J268" s="1783"/>
      <c r="K268" s="1783"/>
      <c r="L268" s="1783"/>
      <c r="M268" s="1783"/>
      <c r="N268" s="1783"/>
      <c r="O268" s="1783"/>
      <c r="P268" s="1783"/>
      <c r="Q268" s="1783"/>
      <c r="R268" s="1783"/>
      <c r="S268" s="1783"/>
      <c r="T268" s="1783"/>
      <c r="U268" s="1783"/>
      <c r="V268" s="1783"/>
      <c r="W268" s="1783"/>
      <c r="X268" s="1783"/>
      <c r="Y268" s="1783"/>
      <c r="Z268" s="1783"/>
      <c r="AA268" s="1783"/>
      <c r="AB268" s="1783"/>
      <c r="AC268" s="1783"/>
    </row>
    <row r="269" spans="1:29">
      <c r="A269" s="1783"/>
      <c r="B269" s="1783"/>
      <c r="C269" s="1783"/>
      <c r="D269" s="1783"/>
      <c r="E269" s="1783"/>
      <c r="F269" s="1783"/>
      <c r="G269" s="1783"/>
      <c r="H269" s="1783"/>
      <c r="I269" s="1783"/>
      <c r="J269" s="1783"/>
      <c r="K269" s="1783"/>
      <c r="L269" s="1783"/>
      <c r="M269" s="1783"/>
      <c r="N269" s="1783"/>
      <c r="O269" s="1783"/>
      <c r="P269" s="1783"/>
      <c r="Q269" s="1783"/>
      <c r="R269" s="1783"/>
      <c r="S269" s="1783"/>
      <c r="T269" s="1783"/>
      <c r="U269" s="1783"/>
      <c r="V269" s="1783"/>
      <c r="W269" s="1783"/>
      <c r="X269" s="1783"/>
      <c r="Y269" s="1783"/>
      <c r="Z269" s="1783"/>
      <c r="AA269" s="1783"/>
      <c r="AB269" s="1783"/>
      <c r="AC269" s="1783"/>
    </row>
    <row r="270" spans="1:29">
      <c r="A270" s="1783"/>
      <c r="B270" s="1783"/>
      <c r="C270" s="1783"/>
      <c r="D270" s="1783"/>
      <c r="E270" s="1783"/>
      <c r="F270" s="1783"/>
      <c r="G270" s="1783"/>
      <c r="H270" s="1783"/>
      <c r="I270" s="1783"/>
      <c r="J270" s="1783"/>
      <c r="K270" s="1783"/>
      <c r="L270" s="1783"/>
      <c r="M270" s="1783"/>
      <c r="N270" s="1783"/>
      <c r="O270" s="1783"/>
      <c r="P270" s="1783"/>
      <c r="Q270" s="1783"/>
      <c r="R270" s="1783"/>
      <c r="S270" s="1783"/>
      <c r="T270" s="1783"/>
      <c r="U270" s="1783"/>
      <c r="V270" s="1783"/>
      <c r="W270" s="1783"/>
      <c r="X270" s="1783"/>
      <c r="Y270" s="1783"/>
      <c r="Z270" s="1783"/>
      <c r="AA270" s="1783"/>
      <c r="AB270" s="1783"/>
      <c r="AC270" s="1783"/>
    </row>
    <row r="271" spans="1:29">
      <c r="A271" s="1783"/>
      <c r="B271" s="1783"/>
      <c r="C271" s="1783"/>
      <c r="D271" s="1783"/>
      <c r="E271" s="1783"/>
      <c r="F271" s="1783"/>
      <c r="G271" s="1783"/>
      <c r="H271" s="1783"/>
      <c r="I271" s="1783"/>
      <c r="J271" s="1783"/>
      <c r="K271" s="1783"/>
      <c r="L271" s="1783"/>
      <c r="M271" s="1783"/>
      <c r="N271" s="1783"/>
      <c r="O271" s="1783"/>
      <c r="P271" s="1783"/>
      <c r="Q271" s="1783"/>
      <c r="R271" s="1783"/>
      <c r="S271" s="1783"/>
      <c r="T271" s="1783"/>
      <c r="U271" s="1783"/>
      <c r="V271" s="1783"/>
      <c r="W271" s="1783"/>
      <c r="X271" s="1783"/>
      <c r="Y271" s="1783"/>
      <c r="Z271" s="1783"/>
      <c r="AA271" s="1783"/>
      <c r="AB271" s="1783"/>
      <c r="AC271" s="1783"/>
    </row>
    <row r="272" spans="1:29">
      <c r="A272" s="1783"/>
      <c r="B272" s="1783"/>
      <c r="C272" s="1783"/>
      <c r="D272" s="1783"/>
      <c r="E272" s="1783"/>
      <c r="F272" s="1783"/>
      <c r="G272" s="1783"/>
      <c r="H272" s="1783"/>
      <c r="I272" s="1783"/>
      <c r="J272" s="1783"/>
      <c r="K272" s="1783"/>
      <c r="L272" s="1783"/>
      <c r="M272" s="1783"/>
      <c r="N272" s="1783"/>
      <c r="O272" s="1783"/>
      <c r="P272" s="1783"/>
      <c r="Q272" s="1783"/>
      <c r="R272" s="1783"/>
      <c r="S272" s="1783"/>
      <c r="T272" s="1783"/>
      <c r="U272" s="1783"/>
      <c r="V272" s="1783"/>
      <c r="W272" s="1783"/>
      <c r="X272" s="1783"/>
      <c r="Y272" s="1783"/>
      <c r="Z272" s="1783"/>
      <c r="AA272" s="1783"/>
      <c r="AB272" s="1783"/>
      <c r="AC272" s="1783"/>
    </row>
    <row r="273" spans="1:29">
      <c r="A273" s="1783"/>
      <c r="B273" s="1783"/>
      <c r="C273" s="1783"/>
      <c r="D273" s="1783"/>
      <c r="E273" s="1783"/>
      <c r="F273" s="1783"/>
      <c r="G273" s="1783"/>
      <c r="H273" s="1783"/>
      <c r="I273" s="1783"/>
      <c r="J273" s="1783"/>
      <c r="K273" s="1783"/>
      <c r="L273" s="1783"/>
      <c r="M273" s="1783"/>
      <c r="N273" s="1783"/>
      <c r="O273" s="1783"/>
      <c r="P273" s="1783"/>
      <c r="Q273" s="1783"/>
      <c r="R273" s="1783"/>
      <c r="S273" s="1783"/>
      <c r="T273" s="1783"/>
      <c r="U273" s="1783"/>
      <c r="V273" s="1783"/>
      <c r="W273" s="1783"/>
      <c r="X273" s="1783"/>
      <c r="Y273" s="1783"/>
      <c r="Z273" s="1783"/>
      <c r="AA273" s="1783"/>
      <c r="AB273" s="1783"/>
      <c r="AC273" s="1783"/>
    </row>
    <row r="274" spans="1:29">
      <c r="A274" s="1783"/>
      <c r="B274" s="1783"/>
      <c r="C274" s="1783"/>
      <c r="D274" s="1783"/>
      <c r="E274" s="1783"/>
      <c r="F274" s="1783"/>
      <c r="G274" s="1783"/>
      <c r="H274" s="1783"/>
      <c r="I274" s="1783"/>
      <c r="J274" s="1783"/>
      <c r="K274" s="1783"/>
      <c r="L274" s="1783"/>
      <c r="M274" s="1783"/>
      <c r="N274" s="1783"/>
      <c r="O274" s="1783"/>
      <c r="P274" s="1783"/>
      <c r="Q274" s="1783"/>
      <c r="R274" s="1783"/>
      <c r="S274" s="1783"/>
      <c r="T274" s="1783"/>
      <c r="U274" s="1783"/>
      <c r="V274" s="1783"/>
      <c r="W274" s="1783"/>
      <c r="X274" s="1783"/>
      <c r="Y274" s="1783"/>
      <c r="Z274" s="1783"/>
      <c r="AA274" s="1783"/>
      <c r="AB274" s="1783"/>
      <c r="AC274" s="1783"/>
    </row>
    <row r="275" spans="1:29">
      <c r="A275" s="1783"/>
      <c r="B275" s="1783"/>
      <c r="C275" s="1783"/>
      <c r="D275" s="1783"/>
      <c r="E275" s="1783"/>
      <c r="F275" s="1783"/>
      <c r="G275" s="1783"/>
      <c r="H275" s="1783"/>
      <c r="I275" s="1783"/>
      <c r="J275" s="1783"/>
      <c r="K275" s="1783"/>
      <c r="L275" s="1783"/>
      <c r="M275" s="1783"/>
      <c r="N275" s="1783"/>
      <c r="O275" s="1783"/>
      <c r="P275" s="1783"/>
      <c r="Q275" s="1783"/>
      <c r="R275" s="1783"/>
      <c r="S275" s="1783"/>
      <c r="T275" s="1783"/>
      <c r="U275" s="1783"/>
      <c r="V275" s="1783"/>
      <c r="W275" s="1783"/>
      <c r="X275" s="1783"/>
      <c r="Y275" s="1783"/>
      <c r="Z275" s="1783"/>
      <c r="AA275" s="1783"/>
      <c r="AB275" s="1783"/>
      <c r="AC275" s="1783"/>
    </row>
    <row r="276" spans="1:29">
      <c r="A276" s="1783"/>
      <c r="B276" s="1783"/>
      <c r="C276" s="1783"/>
      <c r="D276" s="1783"/>
      <c r="E276" s="1783"/>
      <c r="F276" s="1783"/>
      <c r="G276" s="1783"/>
      <c r="H276" s="1783"/>
      <c r="I276" s="1783"/>
      <c r="J276" s="1783"/>
      <c r="K276" s="1783"/>
      <c r="L276" s="1783"/>
      <c r="M276" s="1783"/>
      <c r="N276" s="1783"/>
      <c r="O276" s="1783"/>
      <c r="P276" s="1783"/>
      <c r="Q276" s="1783"/>
      <c r="R276" s="1783"/>
      <c r="S276" s="1783"/>
      <c r="T276" s="1783"/>
      <c r="U276" s="1783"/>
      <c r="V276" s="1783"/>
      <c r="W276" s="1783"/>
      <c r="X276" s="1783"/>
      <c r="Y276" s="1783"/>
      <c r="Z276" s="1783"/>
      <c r="AA276" s="1783"/>
      <c r="AB276" s="1783"/>
      <c r="AC276" s="1783"/>
    </row>
    <row r="277" spans="1:29">
      <c r="A277" s="1783"/>
      <c r="B277" s="1783"/>
      <c r="C277" s="1783"/>
      <c r="D277" s="1783"/>
      <c r="E277" s="1783"/>
      <c r="F277" s="1783"/>
      <c r="G277" s="1783"/>
      <c r="H277" s="1783"/>
      <c r="I277" s="1783"/>
      <c r="J277" s="1783"/>
      <c r="K277" s="1783"/>
      <c r="L277" s="1783"/>
      <c r="M277" s="1783"/>
      <c r="N277" s="1783"/>
      <c r="O277" s="1783"/>
      <c r="P277" s="1783"/>
      <c r="Q277" s="1783"/>
      <c r="R277" s="1783"/>
      <c r="S277" s="1783"/>
      <c r="T277" s="1783"/>
      <c r="U277" s="1783"/>
      <c r="V277" s="1783"/>
      <c r="W277" s="1783"/>
      <c r="X277" s="1783"/>
      <c r="Y277" s="1783"/>
      <c r="Z277" s="1783"/>
      <c r="AA277" s="1783"/>
      <c r="AB277" s="1783"/>
      <c r="AC277" s="1783"/>
    </row>
    <row r="278" spans="1:29">
      <c r="A278" s="1783"/>
      <c r="B278" s="1783"/>
      <c r="C278" s="1783"/>
      <c r="D278" s="1783"/>
      <c r="E278" s="1783"/>
      <c r="F278" s="1783"/>
      <c r="G278" s="1783"/>
      <c r="H278" s="1783"/>
      <c r="I278" s="1783"/>
      <c r="J278" s="1783"/>
      <c r="K278" s="1783"/>
      <c r="L278" s="1783"/>
      <c r="M278" s="1783"/>
      <c r="N278" s="1783"/>
      <c r="O278" s="1783"/>
      <c r="P278" s="1783"/>
      <c r="Q278" s="1783"/>
      <c r="R278" s="1783"/>
      <c r="S278" s="1783"/>
      <c r="T278" s="1783"/>
      <c r="U278" s="1783"/>
      <c r="V278" s="1783"/>
      <c r="W278" s="1783"/>
      <c r="X278" s="1783"/>
      <c r="Y278" s="1783"/>
      <c r="Z278" s="1783"/>
      <c r="AA278" s="1783"/>
      <c r="AB278" s="1783"/>
      <c r="AC278" s="1783"/>
    </row>
    <row r="279" spans="1:29">
      <c r="A279" s="1783"/>
      <c r="B279" s="1783"/>
      <c r="C279" s="1783"/>
      <c r="D279" s="1783"/>
      <c r="E279" s="1783"/>
      <c r="F279" s="1783"/>
      <c r="G279" s="1783"/>
      <c r="H279" s="1783"/>
      <c r="I279" s="1783"/>
      <c r="J279" s="1783"/>
      <c r="K279" s="1783"/>
      <c r="L279" s="1783"/>
      <c r="M279" s="1783"/>
      <c r="N279" s="1783"/>
      <c r="O279" s="1783"/>
      <c r="P279" s="1783"/>
      <c r="Q279" s="1783"/>
      <c r="R279" s="1783"/>
      <c r="S279" s="1783"/>
      <c r="T279" s="1783"/>
      <c r="U279" s="1783"/>
      <c r="V279" s="1783"/>
      <c r="W279" s="1783"/>
      <c r="X279" s="1783"/>
      <c r="Y279" s="1783"/>
      <c r="Z279" s="1783"/>
      <c r="AA279" s="1783"/>
      <c r="AB279" s="1783"/>
      <c r="AC279" s="1783"/>
    </row>
    <row r="280" spans="1:29">
      <c r="A280" s="1783"/>
      <c r="B280" s="1783"/>
      <c r="C280" s="1783"/>
      <c r="D280" s="1783"/>
      <c r="E280" s="1783"/>
      <c r="F280" s="1783"/>
      <c r="G280" s="1783"/>
      <c r="H280" s="1783"/>
      <c r="I280" s="1783"/>
      <c r="J280" s="1783"/>
      <c r="K280" s="1783"/>
      <c r="L280" s="1783"/>
      <c r="M280" s="1783"/>
      <c r="N280" s="1783"/>
      <c r="O280" s="1783"/>
      <c r="P280" s="1783"/>
      <c r="Q280" s="1783"/>
      <c r="R280" s="1783"/>
      <c r="S280" s="1783"/>
      <c r="T280" s="1783"/>
      <c r="U280" s="1783"/>
      <c r="V280" s="1783"/>
      <c r="W280" s="1783"/>
      <c r="X280" s="1783"/>
      <c r="Y280" s="1783"/>
      <c r="Z280" s="1783"/>
      <c r="AA280" s="1783"/>
      <c r="AB280" s="1783"/>
      <c r="AC280" s="1783"/>
    </row>
    <row r="281" spans="1:29">
      <c r="A281" s="1783"/>
      <c r="B281" s="1783"/>
      <c r="C281" s="1783"/>
      <c r="D281" s="1783"/>
      <c r="E281" s="1783"/>
      <c r="F281" s="1783"/>
      <c r="G281" s="1783"/>
      <c r="H281" s="1783"/>
      <c r="I281" s="1783"/>
      <c r="J281" s="1783"/>
      <c r="K281" s="1783"/>
      <c r="L281" s="1783"/>
      <c r="M281" s="1783"/>
      <c r="N281" s="1783"/>
      <c r="O281" s="1783"/>
      <c r="P281" s="1783"/>
      <c r="Q281" s="1783"/>
      <c r="R281" s="1783"/>
      <c r="S281" s="1783"/>
      <c r="T281" s="1783"/>
      <c r="U281" s="1783"/>
      <c r="V281" s="1783"/>
      <c r="W281" s="1783"/>
      <c r="X281" s="1783"/>
      <c r="Y281" s="1783"/>
      <c r="Z281" s="1783"/>
      <c r="AA281" s="1783"/>
      <c r="AB281" s="1783"/>
      <c r="AC281" s="1783"/>
    </row>
    <row r="282" spans="1:29">
      <c r="A282" s="1783"/>
      <c r="B282" s="1783"/>
      <c r="C282" s="1783"/>
      <c r="D282" s="1783"/>
      <c r="E282" s="1783"/>
      <c r="F282" s="1783"/>
      <c r="G282" s="1783"/>
      <c r="H282" s="1783"/>
      <c r="I282" s="1783"/>
      <c r="J282" s="1783"/>
      <c r="K282" s="1783"/>
      <c r="L282" s="1783"/>
      <c r="M282" s="1783"/>
      <c r="N282" s="1783"/>
      <c r="O282" s="1783"/>
      <c r="P282" s="1783"/>
      <c r="Q282" s="1783"/>
      <c r="R282" s="1783"/>
      <c r="S282" s="1783"/>
      <c r="T282" s="1783"/>
      <c r="U282" s="1783"/>
      <c r="V282" s="1783"/>
      <c r="W282" s="1783"/>
      <c r="X282" s="1783"/>
      <c r="Y282" s="1783"/>
      <c r="Z282" s="1783"/>
      <c r="AA282" s="1783"/>
      <c r="AB282" s="1783"/>
      <c r="AC282" s="1783"/>
    </row>
    <row r="283" spans="1:29">
      <c r="A283" s="1783"/>
      <c r="B283" s="1783"/>
      <c r="C283" s="1783"/>
      <c r="D283" s="1783"/>
      <c r="E283" s="1783"/>
      <c r="F283" s="1783"/>
      <c r="G283" s="1783"/>
      <c r="H283" s="1783"/>
      <c r="I283" s="1783"/>
      <c r="J283" s="1783"/>
      <c r="K283" s="1783"/>
      <c r="L283" s="1783"/>
      <c r="M283" s="1783"/>
      <c r="N283" s="1783"/>
      <c r="O283" s="1783"/>
      <c r="P283" s="1783"/>
      <c r="Q283" s="1783"/>
      <c r="R283" s="1783"/>
      <c r="S283" s="1783"/>
      <c r="T283" s="1783"/>
      <c r="U283" s="1783"/>
      <c r="V283" s="1783"/>
      <c r="W283" s="1783"/>
      <c r="X283" s="1783"/>
      <c r="Y283" s="1783"/>
      <c r="Z283" s="1783"/>
      <c r="AA283" s="1783"/>
      <c r="AB283" s="1783"/>
      <c r="AC283" s="1783"/>
    </row>
    <row r="284" spans="1:29">
      <c r="A284" s="1783"/>
      <c r="B284" s="1783"/>
      <c r="C284" s="1783"/>
      <c r="D284" s="1783"/>
      <c r="E284" s="1783"/>
      <c r="F284" s="1783"/>
      <c r="G284" s="1783"/>
      <c r="H284" s="1783"/>
      <c r="I284" s="1783"/>
      <c r="J284" s="1783"/>
      <c r="K284" s="1783"/>
      <c r="L284" s="1783"/>
      <c r="M284" s="1783"/>
      <c r="N284" s="1783"/>
      <c r="O284" s="1783"/>
      <c r="P284" s="1783"/>
      <c r="Q284" s="1783"/>
      <c r="R284" s="1783"/>
      <c r="S284" s="1783"/>
      <c r="T284" s="1783"/>
      <c r="U284" s="1783"/>
      <c r="V284" s="1783"/>
      <c r="W284" s="1783"/>
      <c r="X284" s="1783"/>
      <c r="Y284" s="1783"/>
      <c r="Z284" s="1783"/>
      <c r="AA284" s="1783"/>
      <c r="AB284" s="1783"/>
      <c r="AC284" s="1783"/>
    </row>
    <row r="285" spans="1:29">
      <c r="A285" s="1783"/>
      <c r="B285" s="1783"/>
      <c r="C285" s="1783"/>
      <c r="D285" s="1783"/>
      <c r="E285" s="1783"/>
      <c r="F285" s="1783"/>
      <c r="G285" s="1783"/>
      <c r="H285" s="1783"/>
      <c r="I285" s="1783"/>
      <c r="J285" s="1783"/>
      <c r="K285" s="1783"/>
      <c r="L285" s="1783"/>
      <c r="M285" s="1783"/>
      <c r="N285" s="1783"/>
      <c r="O285" s="1783"/>
      <c r="P285" s="1783"/>
      <c r="Q285" s="1783"/>
      <c r="R285" s="1783"/>
      <c r="S285" s="1783"/>
      <c r="T285" s="1783"/>
      <c r="U285" s="1783"/>
      <c r="V285" s="1783"/>
      <c r="W285" s="1783"/>
      <c r="X285" s="1783"/>
      <c r="Y285" s="1783"/>
      <c r="Z285" s="1783"/>
      <c r="AA285" s="1783"/>
      <c r="AB285" s="1783"/>
      <c r="AC285" s="1783"/>
    </row>
    <row r="286" spans="1:29">
      <c r="A286" s="1783"/>
      <c r="B286" s="1783"/>
      <c r="C286" s="1783"/>
      <c r="D286" s="1783"/>
      <c r="E286" s="1783"/>
      <c r="F286" s="1783"/>
      <c r="G286" s="1783"/>
      <c r="H286" s="1783"/>
      <c r="I286" s="1783"/>
      <c r="J286" s="1783"/>
      <c r="K286" s="1783"/>
      <c r="L286" s="1783"/>
      <c r="M286" s="1783"/>
      <c r="N286" s="1783"/>
      <c r="O286" s="1783"/>
      <c r="P286" s="1783"/>
      <c r="Q286" s="1783"/>
      <c r="R286" s="1783"/>
      <c r="S286" s="1783"/>
      <c r="T286" s="1783"/>
      <c r="U286" s="1783"/>
      <c r="V286" s="1783"/>
      <c r="W286" s="1783"/>
      <c r="X286" s="1783"/>
      <c r="Y286" s="1783"/>
      <c r="Z286" s="1783"/>
      <c r="AA286" s="1783"/>
      <c r="AB286" s="1783"/>
      <c r="AC286" s="1783"/>
    </row>
    <row r="287" spans="1:29">
      <c r="A287" s="1783"/>
      <c r="B287" s="1783"/>
      <c r="C287" s="1783"/>
      <c r="D287" s="1783"/>
      <c r="E287" s="1783"/>
      <c r="F287" s="1783"/>
      <c r="G287" s="1783"/>
      <c r="H287" s="1783"/>
      <c r="I287" s="1783"/>
      <c r="J287" s="1783"/>
      <c r="K287" s="1783"/>
      <c r="L287" s="1783"/>
      <c r="M287" s="1783"/>
      <c r="N287" s="1783"/>
      <c r="O287" s="1783"/>
      <c r="P287" s="1783"/>
      <c r="Q287" s="1783"/>
      <c r="R287" s="1783"/>
      <c r="S287" s="1783"/>
      <c r="T287" s="1783"/>
      <c r="U287" s="1783"/>
      <c r="V287" s="1783"/>
      <c r="W287" s="1783"/>
      <c r="X287" s="1783"/>
      <c r="Y287" s="1783"/>
      <c r="Z287" s="1783"/>
      <c r="AA287" s="1783"/>
      <c r="AB287" s="1783"/>
      <c r="AC287" s="1783"/>
    </row>
    <row r="288" spans="1:29">
      <c r="A288" s="1783"/>
      <c r="B288" s="1783"/>
      <c r="C288" s="1783"/>
      <c r="D288" s="1783"/>
      <c r="E288" s="1783"/>
      <c r="F288" s="1783"/>
      <c r="G288" s="1783"/>
      <c r="H288" s="1783"/>
      <c r="I288" s="1783"/>
      <c r="J288" s="1783"/>
      <c r="K288" s="1783"/>
      <c r="L288" s="1783"/>
      <c r="M288" s="1783"/>
      <c r="N288" s="1783"/>
      <c r="O288" s="1783"/>
      <c r="P288" s="1783"/>
      <c r="Q288" s="1783"/>
      <c r="R288" s="1783"/>
      <c r="S288" s="1783"/>
      <c r="T288" s="1783"/>
      <c r="U288" s="1783"/>
      <c r="V288" s="1783"/>
      <c r="W288" s="1783"/>
      <c r="X288" s="1783"/>
      <c r="Y288" s="1783"/>
      <c r="Z288" s="1783"/>
      <c r="AA288" s="1783"/>
      <c r="AB288" s="1783"/>
      <c r="AC288" s="1783"/>
    </row>
    <row r="289" spans="1:29">
      <c r="A289" s="1783"/>
      <c r="B289" s="1783"/>
      <c r="C289" s="1783"/>
      <c r="D289" s="1783"/>
      <c r="E289" s="1783"/>
      <c r="F289" s="1783"/>
      <c r="G289" s="1783"/>
      <c r="H289" s="1783"/>
      <c r="I289" s="1783"/>
      <c r="J289" s="1783"/>
      <c r="K289" s="1783"/>
      <c r="L289" s="1783"/>
      <c r="M289" s="1783"/>
      <c r="N289" s="1783"/>
      <c r="O289" s="1783"/>
      <c r="P289" s="1783"/>
      <c r="Q289" s="1783"/>
      <c r="R289" s="1783"/>
      <c r="S289" s="1783"/>
      <c r="T289" s="1783"/>
      <c r="U289" s="1783"/>
      <c r="V289" s="1783"/>
      <c r="W289" s="1783"/>
      <c r="X289" s="1783"/>
      <c r="Y289" s="1783"/>
      <c r="Z289" s="1783"/>
      <c r="AA289" s="1783"/>
      <c r="AB289" s="1783"/>
      <c r="AC289" s="1783"/>
    </row>
    <row r="290" spans="1:29">
      <c r="A290" s="1783"/>
      <c r="B290" s="1783"/>
      <c r="C290" s="1783"/>
      <c r="D290" s="1783"/>
      <c r="E290" s="1783"/>
      <c r="F290" s="1783"/>
      <c r="G290" s="1783"/>
      <c r="H290" s="1783"/>
      <c r="I290" s="1783"/>
      <c r="J290" s="1783"/>
      <c r="K290" s="1783"/>
      <c r="L290" s="1783"/>
      <c r="M290" s="1783"/>
      <c r="N290" s="1783"/>
      <c r="O290" s="1783"/>
      <c r="P290" s="1783"/>
      <c r="Q290" s="1783"/>
      <c r="R290" s="1783"/>
      <c r="S290" s="1783"/>
      <c r="T290" s="1783"/>
      <c r="U290" s="1783"/>
      <c r="V290" s="1783"/>
      <c r="W290" s="1783"/>
      <c r="X290" s="1783"/>
      <c r="Y290" s="1783"/>
      <c r="Z290" s="1783"/>
      <c r="AA290" s="1783"/>
      <c r="AB290" s="1783"/>
      <c r="AC290" s="1783"/>
    </row>
    <row r="291" spans="1:29">
      <c r="A291" s="1783"/>
      <c r="B291" s="1783"/>
      <c r="C291" s="1783"/>
      <c r="D291" s="1783"/>
      <c r="E291" s="1783"/>
      <c r="F291" s="1783"/>
      <c r="G291" s="1783"/>
      <c r="H291" s="1783"/>
      <c r="I291" s="1783"/>
      <c r="J291" s="1783"/>
      <c r="K291" s="1783"/>
      <c r="L291" s="1783"/>
      <c r="M291" s="1783"/>
      <c r="N291" s="1783"/>
      <c r="O291" s="1783"/>
      <c r="P291" s="1783"/>
      <c r="Q291" s="1783"/>
      <c r="R291" s="1783"/>
      <c r="S291" s="1783"/>
      <c r="T291" s="1783"/>
      <c r="U291" s="1783"/>
      <c r="V291" s="1783"/>
      <c r="W291" s="1783"/>
      <c r="X291" s="1783"/>
      <c r="Y291" s="1783"/>
      <c r="Z291" s="1783"/>
      <c r="AA291" s="1783"/>
      <c r="AB291" s="1783"/>
      <c r="AC291" s="1783"/>
    </row>
    <row r="292" spans="1:29">
      <c r="A292" s="1783"/>
      <c r="B292" s="1783"/>
      <c r="C292" s="1783"/>
      <c r="D292" s="1783"/>
      <c r="E292" s="1783"/>
      <c r="F292" s="1783"/>
      <c r="G292" s="1783"/>
      <c r="H292" s="1783"/>
      <c r="I292" s="1783"/>
      <c r="J292" s="1783"/>
      <c r="K292" s="1783"/>
      <c r="L292" s="1783"/>
      <c r="M292" s="1783"/>
      <c r="N292" s="1783"/>
      <c r="O292" s="1783"/>
      <c r="P292" s="1783"/>
      <c r="Q292" s="1783"/>
      <c r="R292" s="1783"/>
      <c r="S292" s="1783"/>
      <c r="T292" s="1783"/>
      <c r="U292" s="1783"/>
      <c r="V292" s="1783"/>
      <c r="W292" s="1783"/>
      <c r="X292" s="1783"/>
      <c r="Y292" s="1783"/>
      <c r="Z292" s="1783"/>
      <c r="AA292" s="1783"/>
      <c r="AB292" s="1783"/>
      <c r="AC292" s="1783"/>
    </row>
    <row r="293" spans="1:29">
      <c r="A293" s="1783"/>
      <c r="B293" s="1783"/>
      <c r="C293" s="1783"/>
      <c r="D293" s="1783"/>
      <c r="E293" s="1783"/>
      <c r="F293" s="1783"/>
      <c r="G293" s="1783"/>
      <c r="H293" s="1783"/>
      <c r="I293" s="1783"/>
      <c r="J293" s="1783"/>
      <c r="K293" s="1783"/>
      <c r="L293" s="1783"/>
      <c r="M293" s="1783"/>
      <c r="N293" s="1783"/>
      <c r="O293" s="1783"/>
      <c r="P293" s="1783"/>
      <c r="Q293" s="1783"/>
      <c r="R293" s="1783"/>
      <c r="S293" s="1783"/>
      <c r="T293" s="1783"/>
      <c r="U293" s="1783"/>
      <c r="V293" s="1783"/>
      <c r="W293" s="1783"/>
      <c r="X293" s="1783"/>
      <c r="Y293" s="1783"/>
      <c r="Z293" s="1783"/>
      <c r="AA293" s="1783"/>
      <c r="AB293" s="1783"/>
      <c r="AC293" s="1783"/>
    </row>
    <row r="294" spans="1:29">
      <c r="A294" s="1783"/>
      <c r="B294" s="1783"/>
      <c r="C294" s="1783"/>
      <c r="D294" s="1783"/>
      <c r="E294" s="1783"/>
      <c r="F294" s="1783"/>
      <c r="G294" s="1783"/>
      <c r="H294" s="1783"/>
      <c r="I294" s="1783"/>
      <c r="J294" s="1783"/>
      <c r="K294" s="1783"/>
      <c r="L294" s="1783"/>
      <c r="M294" s="1783"/>
      <c r="N294" s="1783"/>
      <c r="O294" s="1783"/>
      <c r="P294" s="1783"/>
      <c r="Q294" s="1783"/>
      <c r="R294" s="1783"/>
      <c r="S294" s="1783"/>
      <c r="T294" s="1783"/>
      <c r="U294" s="1783"/>
      <c r="V294" s="1783"/>
      <c r="W294" s="1783"/>
      <c r="X294" s="1783"/>
      <c r="Y294" s="1783"/>
      <c r="Z294" s="1783"/>
      <c r="AA294" s="1783"/>
      <c r="AB294" s="1783"/>
      <c r="AC294" s="1783"/>
    </row>
    <row r="295" spans="1:29">
      <c r="A295" s="1783"/>
      <c r="B295" s="1783"/>
      <c r="C295" s="1783"/>
      <c r="D295" s="1783"/>
      <c r="E295" s="1783"/>
      <c r="F295" s="1783"/>
      <c r="G295" s="1783"/>
      <c r="H295" s="1783"/>
      <c r="I295" s="1783"/>
      <c r="J295" s="1783"/>
      <c r="K295" s="1783"/>
      <c r="L295" s="1783"/>
      <c r="M295" s="1783"/>
      <c r="N295" s="1783"/>
      <c r="O295" s="1783"/>
      <c r="P295" s="1783"/>
      <c r="Q295" s="1783"/>
      <c r="R295" s="1783"/>
      <c r="S295" s="1783"/>
      <c r="T295" s="1783"/>
      <c r="U295" s="1783"/>
      <c r="V295" s="1783"/>
      <c r="W295" s="1783"/>
      <c r="X295" s="1783"/>
      <c r="Y295" s="1783"/>
      <c r="Z295" s="1783"/>
      <c r="AA295" s="1783"/>
      <c r="AB295" s="1783"/>
      <c r="AC295" s="1783"/>
    </row>
    <row r="296" spans="1:29">
      <c r="A296" s="1783"/>
      <c r="B296" s="1783"/>
      <c r="C296" s="1783"/>
      <c r="D296" s="1783"/>
      <c r="E296" s="1783"/>
      <c r="F296" s="1783"/>
      <c r="G296" s="1783"/>
      <c r="H296" s="1783"/>
      <c r="I296" s="1783"/>
      <c r="J296" s="1783"/>
      <c r="K296" s="1783"/>
      <c r="L296" s="1783"/>
      <c r="M296" s="1783"/>
      <c r="N296" s="1783"/>
      <c r="O296" s="1783"/>
      <c r="P296" s="1783"/>
      <c r="Q296" s="1783"/>
      <c r="R296" s="1783"/>
      <c r="S296" s="1783"/>
      <c r="T296" s="1783"/>
      <c r="U296" s="1783"/>
      <c r="V296" s="1783"/>
      <c r="W296" s="1783"/>
      <c r="X296" s="1783"/>
      <c r="Y296" s="1783"/>
      <c r="Z296" s="1783"/>
      <c r="AA296" s="1783"/>
      <c r="AB296" s="1783"/>
      <c r="AC296" s="1783"/>
    </row>
    <row r="297" spans="1:29">
      <c r="A297" s="1783"/>
      <c r="B297" s="1783"/>
      <c r="C297" s="1783"/>
      <c r="D297" s="1783"/>
      <c r="E297" s="1783"/>
      <c r="F297" s="1783"/>
      <c r="G297" s="1783"/>
      <c r="H297" s="1783"/>
      <c r="I297" s="1783"/>
      <c r="J297" s="1783"/>
      <c r="K297" s="1783"/>
      <c r="L297" s="1783"/>
      <c r="M297" s="1783"/>
      <c r="N297" s="1783"/>
      <c r="O297" s="1783"/>
      <c r="P297" s="1783"/>
      <c r="Q297" s="1783"/>
      <c r="R297" s="1783"/>
      <c r="S297" s="1783"/>
      <c r="T297" s="1783"/>
      <c r="U297" s="1783"/>
      <c r="V297" s="1783"/>
      <c r="W297" s="1783"/>
      <c r="X297" s="1783"/>
      <c r="Y297" s="1783"/>
      <c r="Z297" s="1783"/>
      <c r="AA297" s="1783"/>
      <c r="AB297" s="1783"/>
      <c r="AC297" s="1783"/>
    </row>
    <row r="298" spans="1:29">
      <c r="A298" s="1783"/>
      <c r="B298" s="1783"/>
      <c r="C298" s="1783"/>
      <c r="D298" s="1783"/>
      <c r="E298" s="1783"/>
      <c r="F298" s="1783"/>
      <c r="G298" s="1783"/>
      <c r="H298" s="1783"/>
      <c r="I298" s="1783"/>
      <c r="J298" s="1783"/>
      <c r="K298" s="1783"/>
      <c r="L298" s="1783"/>
      <c r="M298" s="1783"/>
      <c r="N298" s="1783"/>
      <c r="O298" s="1783"/>
      <c r="P298" s="1783"/>
      <c r="Q298" s="1783"/>
      <c r="R298" s="1783"/>
      <c r="S298" s="1783"/>
      <c r="T298" s="1783"/>
      <c r="U298" s="1783"/>
      <c r="V298" s="1783"/>
      <c r="W298" s="1783"/>
      <c r="X298" s="1783"/>
      <c r="Y298" s="1783"/>
      <c r="Z298" s="1783"/>
      <c r="AA298" s="1783"/>
      <c r="AB298" s="1783"/>
      <c r="AC298" s="1783"/>
    </row>
    <row r="299" spans="1:29">
      <c r="A299" s="1783"/>
      <c r="B299" s="1783"/>
      <c r="C299" s="1783"/>
      <c r="D299" s="1783"/>
      <c r="E299" s="1783"/>
      <c r="F299" s="1783"/>
      <c r="G299" s="1783"/>
      <c r="H299" s="1783"/>
      <c r="I299" s="1783"/>
      <c r="J299" s="1783"/>
      <c r="K299" s="1783"/>
      <c r="L299" s="1783"/>
      <c r="M299" s="1783"/>
      <c r="N299" s="1783"/>
      <c r="O299" s="1783"/>
      <c r="P299" s="1783"/>
      <c r="Q299" s="1783"/>
      <c r="R299" s="1783"/>
      <c r="S299" s="1783"/>
      <c r="T299" s="1783"/>
      <c r="U299" s="1783"/>
      <c r="V299" s="1783"/>
      <c r="W299" s="1783"/>
      <c r="X299" s="1783"/>
      <c r="Y299" s="1783"/>
      <c r="Z299" s="1783"/>
      <c r="AA299" s="1783"/>
      <c r="AB299" s="1783"/>
      <c r="AC299" s="1783"/>
    </row>
    <row r="300" spans="1:29">
      <c r="A300" s="1783"/>
      <c r="B300" s="1783"/>
      <c r="C300" s="1783"/>
      <c r="D300" s="1783"/>
      <c r="E300" s="1783"/>
      <c r="F300" s="1783"/>
      <c r="G300" s="1783"/>
      <c r="H300" s="1783"/>
      <c r="I300" s="1783"/>
      <c r="J300" s="1783"/>
      <c r="K300" s="1783"/>
      <c r="L300" s="1783"/>
      <c r="M300" s="1783"/>
      <c r="N300" s="1783"/>
      <c r="O300" s="1783"/>
      <c r="P300" s="1783"/>
      <c r="Q300" s="1783"/>
      <c r="R300" s="1783"/>
      <c r="S300" s="1783"/>
      <c r="T300" s="1783"/>
      <c r="U300" s="1783"/>
      <c r="V300" s="1783"/>
      <c r="W300" s="1783"/>
      <c r="X300" s="1783"/>
      <c r="Y300" s="1783"/>
      <c r="Z300" s="1783"/>
      <c r="AA300" s="1783"/>
      <c r="AB300" s="1783"/>
      <c r="AC300" s="1783"/>
    </row>
    <row r="301" spans="1:29">
      <c r="A301" s="1783"/>
      <c r="B301" s="1783"/>
      <c r="C301" s="1783"/>
      <c r="D301" s="1783"/>
      <c r="E301" s="1783"/>
      <c r="F301" s="1783"/>
      <c r="G301" s="1783"/>
      <c r="H301" s="1783"/>
      <c r="I301" s="1783"/>
      <c r="J301" s="1783"/>
      <c r="K301" s="1783"/>
      <c r="L301" s="1783"/>
      <c r="M301" s="1783"/>
      <c r="N301" s="1783"/>
      <c r="O301" s="1783"/>
      <c r="P301" s="1783"/>
      <c r="Q301" s="1783"/>
      <c r="R301" s="1783"/>
      <c r="S301" s="1783"/>
      <c r="T301" s="1783"/>
      <c r="U301" s="1783"/>
      <c r="V301" s="1783"/>
      <c r="W301" s="1783"/>
      <c r="X301" s="1783"/>
      <c r="Y301" s="1783"/>
      <c r="Z301" s="1783"/>
      <c r="AA301" s="1783"/>
      <c r="AB301" s="1783"/>
      <c r="AC301" s="1783"/>
    </row>
    <row r="302" spans="1:29">
      <c r="A302" s="1783"/>
      <c r="B302" s="1783"/>
      <c r="C302" s="1783"/>
      <c r="D302" s="1783"/>
      <c r="E302" s="1783"/>
      <c r="F302" s="1783"/>
      <c r="G302" s="1783"/>
      <c r="H302" s="1783"/>
      <c r="I302" s="1783"/>
      <c r="J302" s="1783"/>
      <c r="K302" s="1783"/>
      <c r="L302" s="1783"/>
      <c r="M302" s="1783"/>
      <c r="N302" s="1783"/>
      <c r="O302" s="1783"/>
      <c r="P302" s="1783"/>
      <c r="Q302" s="1783"/>
      <c r="R302" s="1783"/>
      <c r="S302" s="1783"/>
      <c r="T302" s="1783"/>
      <c r="U302" s="1783"/>
      <c r="V302" s="1783"/>
      <c r="W302" s="1783"/>
      <c r="X302" s="1783"/>
      <c r="Y302" s="1783"/>
      <c r="Z302" s="1783"/>
      <c r="AA302" s="1783"/>
      <c r="AB302" s="1783"/>
      <c r="AC302" s="1783"/>
    </row>
    <row r="303" spans="1:29">
      <c r="A303" s="1783"/>
      <c r="B303" s="1783"/>
      <c r="C303" s="1783"/>
      <c r="D303" s="1783"/>
      <c r="E303" s="1783"/>
      <c r="F303" s="1783"/>
      <c r="G303" s="1783"/>
      <c r="H303" s="1783"/>
      <c r="I303" s="1783"/>
      <c r="J303" s="1783"/>
      <c r="K303" s="1783"/>
      <c r="L303" s="1783"/>
      <c r="M303" s="1783"/>
      <c r="N303" s="1783"/>
      <c r="O303" s="1783"/>
      <c r="P303" s="1783"/>
      <c r="Q303" s="1783"/>
      <c r="R303" s="1783"/>
      <c r="S303" s="1783"/>
      <c r="T303" s="1783"/>
      <c r="U303" s="1783"/>
      <c r="V303" s="1783"/>
      <c r="W303" s="1783"/>
      <c r="X303" s="1783"/>
      <c r="Y303" s="1783"/>
      <c r="Z303" s="1783"/>
      <c r="AA303" s="1783"/>
      <c r="AB303" s="1783"/>
      <c r="AC303" s="1783"/>
    </row>
    <row r="304" spans="1:29">
      <c r="A304" s="1783"/>
      <c r="B304" s="1783"/>
      <c r="C304" s="1783"/>
      <c r="D304" s="1783"/>
      <c r="E304" s="1783"/>
      <c r="F304" s="1783"/>
      <c r="G304" s="1783"/>
      <c r="H304" s="1783"/>
      <c r="I304" s="1783"/>
      <c r="J304" s="1783"/>
      <c r="K304" s="1783"/>
      <c r="L304" s="1783"/>
      <c r="M304" s="1783"/>
      <c r="N304" s="1783"/>
      <c r="O304" s="1783"/>
      <c r="P304" s="1783"/>
      <c r="Q304" s="1783"/>
      <c r="R304" s="1783"/>
      <c r="S304" s="1783"/>
      <c r="T304" s="1783"/>
      <c r="U304" s="1783"/>
      <c r="V304" s="1783"/>
      <c r="W304" s="1783"/>
      <c r="X304" s="1783"/>
      <c r="Y304" s="1783"/>
      <c r="Z304" s="1783"/>
      <c r="AA304" s="1783"/>
      <c r="AB304" s="1783"/>
      <c r="AC304" s="1783"/>
    </row>
    <row r="305" spans="1:29">
      <c r="A305" s="1783"/>
      <c r="B305" s="1783"/>
      <c r="C305" s="1783"/>
      <c r="D305" s="1783"/>
      <c r="E305" s="1783"/>
      <c r="F305" s="1783"/>
      <c r="G305" s="1783"/>
      <c r="H305" s="1783"/>
      <c r="I305" s="1783"/>
      <c r="J305" s="1783"/>
      <c r="K305" s="1783"/>
      <c r="L305" s="1783"/>
      <c r="M305" s="1783"/>
      <c r="N305" s="1783"/>
      <c r="O305" s="1783"/>
      <c r="P305" s="1783"/>
      <c r="Q305" s="1783"/>
      <c r="R305" s="1783"/>
      <c r="S305" s="1783"/>
      <c r="T305" s="1783"/>
      <c r="U305" s="1783"/>
      <c r="V305" s="1783"/>
      <c r="W305" s="1783"/>
      <c r="X305" s="1783"/>
      <c r="Y305" s="1783"/>
      <c r="Z305" s="1783"/>
      <c r="AA305" s="1783"/>
      <c r="AB305" s="1783"/>
      <c r="AC305" s="1783"/>
    </row>
    <row r="306" spans="1:29">
      <c r="A306" s="1783"/>
      <c r="B306" s="1783"/>
      <c r="C306" s="1783"/>
      <c r="D306" s="1783"/>
      <c r="E306" s="1783"/>
      <c r="F306" s="1783"/>
      <c r="G306" s="1783"/>
      <c r="H306" s="1783"/>
      <c r="I306" s="1783"/>
      <c r="J306" s="1783"/>
      <c r="K306" s="1783"/>
      <c r="L306" s="1783"/>
      <c r="M306" s="1783"/>
      <c r="N306" s="1783"/>
      <c r="O306" s="1783"/>
      <c r="P306" s="1783"/>
      <c r="Q306" s="1783"/>
      <c r="R306" s="1783"/>
      <c r="S306" s="1783"/>
      <c r="T306" s="1783"/>
      <c r="U306" s="1783"/>
      <c r="V306" s="1783"/>
      <c r="W306" s="1783"/>
      <c r="X306" s="1783"/>
      <c r="Y306" s="1783"/>
      <c r="Z306" s="1783"/>
      <c r="AA306" s="1783"/>
      <c r="AB306" s="1783"/>
      <c r="AC306" s="1783"/>
    </row>
    <row r="307" spans="1:29">
      <c r="A307" s="1783"/>
      <c r="B307" s="1783"/>
      <c r="C307" s="1783"/>
      <c r="D307" s="1783"/>
      <c r="E307" s="1783"/>
      <c r="F307" s="1783"/>
      <c r="G307" s="1783"/>
      <c r="H307" s="1783"/>
      <c r="I307" s="1783"/>
      <c r="J307" s="1783"/>
      <c r="K307" s="1783"/>
      <c r="L307" s="1783"/>
      <c r="M307" s="1783"/>
      <c r="N307" s="1783"/>
      <c r="O307" s="1783"/>
      <c r="P307" s="1783"/>
      <c r="Q307" s="1783"/>
      <c r="R307" s="1783"/>
      <c r="S307" s="1783"/>
      <c r="T307" s="1783"/>
      <c r="U307" s="1783"/>
      <c r="V307" s="1783"/>
      <c r="W307" s="1783"/>
      <c r="X307" s="1783"/>
      <c r="Y307" s="1783"/>
      <c r="Z307" s="1783"/>
      <c r="AA307" s="1783"/>
      <c r="AB307" s="1783"/>
      <c r="AC307" s="1783"/>
    </row>
    <row r="308" spans="1:29">
      <c r="A308" s="1783"/>
      <c r="B308" s="1783"/>
      <c r="C308" s="1783"/>
      <c r="D308" s="1783"/>
      <c r="E308" s="1783"/>
      <c r="F308" s="1783"/>
      <c r="G308" s="1783"/>
      <c r="H308" s="1783"/>
      <c r="I308" s="1783"/>
      <c r="J308" s="1783"/>
      <c r="K308" s="1783"/>
      <c r="L308" s="1783"/>
      <c r="M308" s="1783"/>
      <c r="N308" s="1783"/>
      <c r="O308" s="1783"/>
      <c r="P308" s="1783"/>
      <c r="Q308" s="1783"/>
      <c r="R308" s="1783"/>
      <c r="S308" s="1783"/>
      <c r="T308" s="1783"/>
      <c r="U308" s="1783"/>
      <c r="V308" s="1783"/>
      <c r="W308" s="1783"/>
      <c r="X308" s="1783"/>
      <c r="Y308" s="1783"/>
      <c r="Z308" s="1783"/>
      <c r="AA308" s="1783"/>
      <c r="AB308" s="1783"/>
      <c r="AC308" s="1783"/>
    </row>
    <row r="309" spans="1:29">
      <c r="A309" s="1783"/>
      <c r="B309" s="1783"/>
      <c r="C309" s="1783"/>
      <c r="D309" s="1783"/>
      <c r="E309" s="1783"/>
      <c r="F309" s="1783"/>
      <c r="G309" s="1783"/>
      <c r="H309" s="1783"/>
      <c r="I309" s="1783"/>
      <c r="J309" s="1783"/>
      <c r="K309" s="1783"/>
      <c r="L309" s="1783"/>
      <c r="M309" s="1783"/>
      <c r="N309" s="1783"/>
      <c r="O309" s="1783"/>
      <c r="P309" s="1783"/>
      <c r="Q309" s="1783"/>
      <c r="R309" s="1783"/>
      <c r="S309" s="1783"/>
      <c r="T309" s="1783"/>
      <c r="U309" s="1783"/>
      <c r="V309" s="1783"/>
      <c r="W309" s="1783"/>
      <c r="X309" s="1783"/>
      <c r="Y309" s="1783"/>
      <c r="Z309" s="1783"/>
      <c r="AA309" s="1783"/>
      <c r="AB309" s="1783"/>
      <c r="AC309" s="1783"/>
    </row>
    <row r="310" spans="1:29">
      <c r="A310" s="1783"/>
      <c r="B310" s="1783"/>
      <c r="C310" s="1783"/>
      <c r="D310" s="1783"/>
      <c r="E310" s="1783"/>
      <c r="F310" s="1783"/>
      <c r="G310" s="1783"/>
      <c r="H310" s="1783"/>
      <c r="I310" s="1783"/>
      <c r="J310" s="1783"/>
      <c r="K310" s="1783"/>
      <c r="L310" s="1783"/>
      <c r="M310" s="1783"/>
      <c r="N310" s="1783"/>
      <c r="O310" s="1783"/>
      <c r="P310" s="1783"/>
      <c r="Q310" s="1783"/>
      <c r="R310" s="1783"/>
      <c r="S310" s="1783"/>
      <c r="T310" s="1783"/>
      <c r="U310" s="1783"/>
      <c r="V310" s="1783"/>
      <c r="W310" s="1783"/>
      <c r="X310" s="1783"/>
      <c r="Y310" s="1783"/>
      <c r="Z310" s="1783"/>
      <c r="AA310" s="1783"/>
      <c r="AB310" s="1783"/>
      <c r="AC310" s="1783"/>
    </row>
    <row r="311" spans="1:29">
      <c r="A311" s="1783"/>
      <c r="B311" s="1783"/>
      <c r="C311" s="1783"/>
      <c r="D311" s="1783"/>
      <c r="E311" s="1783"/>
      <c r="F311" s="1783"/>
      <c r="G311" s="1783"/>
      <c r="H311" s="1783"/>
      <c r="I311" s="1783"/>
      <c r="J311" s="1783"/>
      <c r="K311" s="1783"/>
      <c r="L311" s="1783"/>
      <c r="M311" s="1783"/>
      <c r="N311" s="1783"/>
      <c r="O311" s="1783"/>
      <c r="P311" s="1783"/>
      <c r="Q311" s="1783"/>
      <c r="R311" s="1783"/>
      <c r="S311" s="1783"/>
      <c r="T311" s="1783"/>
      <c r="U311" s="1783"/>
      <c r="V311" s="1783"/>
      <c r="W311" s="1783"/>
      <c r="X311" s="1783"/>
      <c r="Y311" s="1783"/>
      <c r="Z311" s="1783"/>
      <c r="AA311" s="1783"/>
      <c r="AB311" s="1783"/>
      <c r="AC311" s="1783"/>
    </row>
    <row r="312" spans="1:29">
      <c r="A312" s="1783"/>
      <c r="B312" s="1783"/>
      <c r="C312" s="1783"/>
      <c r="D312" s="1783"/>
      <c r="E312" s="1783"/>
      <c r="F312" s="1783"/>
      <c r="G312" s="1783"/>
      <c r="H312" s="1783"/>
      <c r="I312" s="1783"/>
      <c r="J312" s="1783"/>
      <c r="K312" s="1783"/>
      <c r="L312" s="1783"/>
      <c r="M312" s="1783"/>
      <c r="N312" s="1783"/>
      <c r="O312" s="1783"/>
      <c r="P312" s="1783"/>
      <c r="Q312" s="1783"/>
      <c r="R312" s="1783"/>
      <c r="S312" s="1783"/>
      <c r="T312" s="1783"/>
      <c r="U312" s="1783"/>
      <c r="V312" s="1783"/>
      <c r="W312" s="1783"/>
      <c r="X312" s="1783"/>
      <c r="Y312" s="1783"/>
      <c r="Z312" s="1783"/>
      <c r="AA312" s="1783"/>
      <c r="AB312" s="1783"/>
      <c r="AC312" s="1783"/>
    </row>
    <row r="313" spans="1:29">
      <c r="A313" s="1783"/>
      <c r="B313" s="1783"/>
      <c r="C313" s="1783"/>
      <c r="D313" s="1783"/>
      <c r="E313" s="1783"/>
      <c r="F313" s="1783"/>
      <c r="G313" s="1783"/>
      <c r="H313" s="1783"/>
      <c r="I313" s="1783"/>
      <c r="J313" s="1783"/>
      <c r="K313" s="1783"/>
      <c r="L313" s="1783"/>
      <c r="M313" s="1783"/>
      <c r="N313" s="1783"/>
      <c r="O313" s="1783"/>
      <c r="P313" s="1783"/>
      <c r="Q313" s="1783"/>
      <c r="R313" s="1783"/>
      <c r="S313" s="1783"/>
      <c r="T313" s="1783"/>
      <c r="U313" s="1783"/>
      <c r="V313" s="1783"/>
      <c r="W313" s="1783"/>
      <c r="X313" s="1783"/>
      <c r="Y313" s="1783"/>
      <c r="Z313" s="1783"/>
      <c r="AA313" s="1783"/>
      <c r="AB313" s="1783"/>
      <c r="AC313" s="1783"/>
    </row>
    <row r="314" spans="1:29">
      <c r="A314" s="1783"/>
      <c r="B314" s="1783"/>
      <c r="C314" s="1783"/>
      <c r="D314" s="1783"/>
      <c r="E314" s="1783"/>
      <c r="F314" s="1783"/>
      <c r="G314" s="1783"/>
      <c r="H314" s="1783"/>
      <c r="I314" s="1783"/>
      <c r="J314" s="1783"/>
      <c r="K314" s="1783"/>
      <c r="L314" s="1783"/>
      <c r="M314" s="1783"/>
      <c r="N314" s="1783"/>
      <c r="O314" s="1783"/>
      <c r="P314" s="1783"/>
      <c r="Q314" s="1783"/>
      <c r="R314" s="1783"/>
      <c r="S314" s="1783"/>
      <c r="T314" s="1783"/>
      <c r="U314" s="1783"/>
      <c r="V314" s="1783"/>
      <c r="W314" s="1783"/>
      <c r="X314" s="1783"/>
      <c r="Y314" s="1783"/>
      <c r="Z314" s="1783"/>
      <c r="AA314" s="1783"/>
      <c r="AB314" s="1783"/>
      <c r="AC314" s="1783"/>
    </row>
    <row r="315" spans="1:29">
      <c r="A315" s="1783"/>
      <c r="B315" s="1783"/>
      <c r="C315" s="1783"/>
      <c r="D315" s="1783"/>
      <c r="E315" s="1783"/>
      <c r="F315" s="1783"/>
      <c r="G315" s="1783"/>
      <c r="H315" s="1783"/>
      <c r="I315" s="1783"/>
      <c r="J315" s="1783"/>
      <c r="K315" s="1783"/>
      <c r="L315" s="1783"/>
      <c r="M315" s="1783"/>
      <c r="N315" s="1783"/>
      <c r="O315" s="1783"/>
      <c r="P315" s="1783"/>
      <c r="Q315" s="1783"/>
      <c r="R315" s="1783"/>
      <c r="S315" s="1783"/>
      <c r="T315" s="1783"/>
      <c r="U315" s="1783"/>
      <c r="V315" s="1783"/>
      <c r="W315" s="1783"/>
      <c r="X315" s="1783"/>
      <c r="Y315" s="1783"/>
      <c r="Z315" s="1783"/>
      <c r="AA315" s="1783"/>
      <c r="AB315" s="1783"/>
      <c r="AC315" s="1783"/>
    </row>
    <row r="316" spans="1:29">
      <c r="A316" s="1783"/>
      <c r="B316" s="1783"/>
      <c r="C316" s="1783"/>
      <c r="D316" s="1783"/>
      <c r="E316" s="1783"/>
      <c r="F316" s="1783"/>
      <c r="G316" s="1783"/>
      <c r="H316" s="1783"/>
      <c r="I316" s="1783"/>
      <c r="J316" s="1783"/>
      <c r="K316" s="1783"/>
      <c r="L316" s="1783"/>
      <c r="M316" s="1783"/>
      <c r="N316" s="1783"/>
      <c r="O316" s="1783"/>
      <c r="P316" s="1783"/>
      <c r="Q316" s="1783"/>
      <c r="R316" s="1783"/>
      <c r="S316" s="1783"/>
      <c r="T316" s="1783"/>
      <c r="U316" s="1783"/>
      <c r="V316" s="1783"/>
      <c r="W316" s="1783"/>
      <c r="X316" s="1783"/>
      <c r="Y316" s="1783"/>
      <c r="Z316" s="1783"/>
      <c r="AA316" s="1783"/>
      <c r="AB316" s="1783"/>
      <c r="AC316" s="1783"/>
    </row>
    <row r="317" spans="1:29">
      <c r="A317" s="1783"/>
      <c r="B317" s="1783"/>
      <c r="C317" s="1783"/>
      <c r="D317" s="1783"/>
      <c r="E317" s="1783"/>
      <c r="F317" s="1783"/>
      <c r="G317" s="1783"/>
      <c r="H317" s="1783"/>
      <c r="I317" s="1783"/>
      <c r="J317" s="1783"/>
      <c r="K317" s="1783"/>
      <c r="L317" s="1783"/>
      <c r="M317" s="1783"/>
      <c r="N317" s="1783"/>
      <c r="O317" s="1783"/>
      <c r="P317" s="1783"/>
      <c r="Q317" s="1783"/>
      <c r="R317" s="1783"/>
      <c r="S317" s="1783"/>
      <c r="T317" s="1783"/>
      <c r="U317" s="1783"/>
      <c r="V317" s="1783"/>
      <c r="W317" s="1783"/>
      <c r="X317" s="1783"/>
      <c r="Y317" s="1783"/>
      <c r="Z317" s="1783"/>
      <c r="AA317" s="1783"/>
      <c r="AB317" s="1783"/>
      <c r="AC317" s="1783"/>
    </row>
    <row r="318" spans="1:29">
      <c r="A318" s="1783"/>
      <c r="B318" s="1783"/>
      <c r="C318" s="1783"/>
      <c r="D318" s="1783"/>
      <c r="E318" s="1783"/>
      <c r="F318" s="1783"/>
      <c r="G318" s="1783"/>
      <c r="H318" s="1783"/>
      <c r="I318" s="1783"/>
      <c r="J318" s="1783"/>
      <c r="K318" s="1783"/>
      <c r="L318" s="1783"/>
      <c r="M318" s="1783"/>
      <c r="N318" s="1783"/>
      <c r="O318" s="1783"/>
      <c r="P318" s="1783"/>
      <c r="Q318" s="1783"/>
      <c r="R318" s="1783"/>
      <c r="S318" s="1783"/>
      <c r="T318" s="1783"/>
      <c r="U318" s="1783"/>
      <c r="V318" s="1783"/>
      <c r="W318" s="1783"/>
      <c r="X318" s="1783"/>
      <c r="Y318" s="1783"/>
      <c r="Z318" s="1783"/>
      <c r="AA318" s="1783"/>
      <c r="AB318" s="1783"/>
      <c r="AC318" s="1783"/>
    </row>
    <row r="319" spans="1:29">
      <c r="A319" s="1783"/>
      <c r="B319" s="1783"/>
      <c r="C319" s="1783"/>
      <c r="D319" s="1783"/>
      <c r="E319" s="1783"/>
      <c r="F319" s="1783"/>
      <c r="G319" s="1783"/>
      <c r="H319" s="1783"/>
      <c r="I319" s="1783"/>
      <c r="J319" s="1783"/>
      <c r="K319" s="1783"/>
      <c r="L319" s="1783"/>
      <c r="M319" s="1783"/>
      <c r="N319" s="1783"/>
      <c r="O319" s="1783"/>
      <c r="P319" s="1783"/>
      <c r="Q319" s="1783"/>
      <c r="R319" s="1783"/>
      <c r="S319" s="1783"/>
      <c r="T319" s="1783"/>
      <c r="U319" s="1783"/>
      <c r="V319" s="1783"/>
      <c r="W319" s="1783"/>
      <c r="X319" s="1783"/>
      <c r="Y319" s="1783"/>
      <c r="Z319" s="1783"/>
      <c r="AA319" s="1783"/>
      <c r="AB319" s="1783"/>
      <c r="AC319" s="1783"/>
    </row>
    <row r="320" spans="1:29">
      <c r="A320" s="1783"/>
      <c r="B320" s="1783"/>
      <c r="C320" s="1783"/>
      <c r="D320" s="1783"/>
      <c r="E320" s="1783"/>
      <c r="F320" s="1783"/>
      <c r="G320" s="1783"/>
      <c r="H320" s="1783"/>
      <c r="I320" s="1783"/>
      <c r="J320" s="1783"/>
      <c r="K320" s="1783"/>
      <c r="L320" s="1783"/>
      <c r="M320" s="1783"/>
      <c r="N320" s="1783"/>
      <c r="O320" s="1783"/>
      <c r="P320" s="1783"/>
      <c r="Q320" s="1783"/>
      <c r="R320" s="1783"/>
      <c r="S320" s="1783"/>
      <c r="T320" s="1783"/>
      <c r="U320" s="1783"/>
      <c r="V320" s="1783"/>
      <c r="W320" s="1783"/>
      <c r="X320" s="1783"/>
      <c r="Y320" s="1783"/>
      <c r="Z320" s="1783"/>
      <c r="AA320" s="1783"/>
      <c r="AB320" s="1783"/>
      <c r="AC320" s="1783"/>
    </row>
    <row r="321" spans="1:29">
      <c r="A321" s="1783"/>
      <c r="B321" s="1783"/>
      <c r="C321" s="1783"/>
      <c r="D321" s="1783"/>
      <c r="E321" s="1783"/>
      <c r="F321" s="1783"/>
      <c r="G321" s="1783"/>
      <c r="H321" s="1783"/>
      <c r="I321" s="1783"/>
      <c r="J321" s="1783"/>
      <c r="K321" s="1783"/>
      <c r="L321" s="1783"/>
      <c r="M321" s="1783"/>
      <c r="N321" s="1783"/>
      <c r="O321" s="1783"/>
      <c r="P321" s="1783"/>
      <c r="Q321" s="1783"/>
      <c r="R321" s="1783"/>
      <c r="S321" s="1783"/>
      <c r="T321" s="1783"/>
      <c r="U321" s="1783"/>
      <c r="V321" s="1783"/>
      <c r="W321" s="1783"/>
      <c r="X321" s="1783"/>
      <c r="Y321" s="1783"/>
      <c r="Z321" s="1783"/>
      <c r="AA321" s="1783"/>
      <c r="AB321" s="1783"/>
      <c r="AC321" s="1783"/>
    </row>
    <row r="322" spans="1:29">
      <c r="A322" s="1783"/>
      <c r="B322" s="1783"/>
      <c r="C322" s="1783"/>
      <c r="D322" s="1783"/>
      <c r="E322" s="1783"/>
      <c r="F322" s="1783"/>
      <c r="G322" s="1783"/>
      <c r="H322" s="1783"/>
      <c r="I322" s="1783"/>
      <c r="J322" s="1783"/>
      <c r="K322" s="1783"/>
      <c r="L322" s="1783"/>
      <c r="M322" s="1783"/>
      <c r="N322" s="1783"/>
      <c r="O322" s="1783"/>
      <c r="P322" s="1783"/>
      <c r="Q322" s="1783"/>
      <c r="R322" s="1783"/>
      <c r="S322" s="1783"/>
      <c r="T322" s="1783"/>
      <c r="U322" s="1783"/>
      <c r="V322" s="1783"/>
      <c r="W322" s="1783"/>
      <c r="X322" s="1783"/>
      <c r="Y322" s="1783"/>
      <c r="Z322" s="1783"/>
      <c r="AA322" s="1783"/>
      <c r="AB322" s="1783"/>
      <c r="AC322" s="1783"/>
    </row>
    <row r="323" spans="1:29">
      <c r="A323" s="1783"/>
      <c r="B323" s="1783"/>
      <c r="C323" s="1783"/>
      <c r="D323" s="1783"/>
      <c r="E323" s="1783"/>
      <c r="F323" s="1783"/>
      <c r="G323" s="1783"/>
      <c r="H323" s="1783"/>
      <c r="I323" s="1783"/>
      <c r="J323" s="1783"/>
      <c r="K323" s="1783"/>
      <c r="L323" s="1783"/>
      <c r="M323" s="1783"/>
      <c r="N323" s="1783"/>
      <c r="O323" s="1783"/>
      <c r="P323" s="1783"/>
      <c r="Q323" s="1783"/>
      <c r="R323" s="1783"/>
      <c r="S323" s="1783"/>
      <c r="T323" s="1783"/>
      <c r="U323" s="1783"/>
      <c r="V323" s="1783"/>
      <c r="W323" s="1783"/>
      <c r="X323" s="1783"/>
      <c r="Y323" s="1783"/>
      <c r="Z323" s="1783"/>
      <c r="AA323" s="1783"/>
      <c r="AB323" s="1783"/>
      <c r="AC323" s="1783"/>
    </row>
    <row r="324" spans="1:29">
      <c r="A324" s="1783"/>
      <c r="B324" s="1783"/>
      <c r="C324" s="1783"/>
      <c r="D324" s="1783"/>
      <c r="E324" s="1783"/>
      <c r="F324" s="1783"/>
      <c r="G324" s="1783"/>
      <c r="H324" s="1783"/>
      <c r="I324" s="1783"/>
      <c r="J324" s="1783"/>
      <c r="K324" s="1783"/>
      <c r="L324" s="1783"/>
      <c r="M324" s="1783"/>
      <c r="N324" s="1783"/>
      <c r="O324" s="1783"/>
      <c r="P324" s="1783"/>
      <c r="Q324" s="1783"/>
      <c r="R324" s="1783"/>
      <c r="S324" s="1783"/>
      <c r="T324" s="1783"/>
      <c r="U324" s="1783"/>
      <c r="V324" s="1783"/>
      <c r="W324" s="1783"/>
      <c r="X324" s="1783"/>
      <c r="Y324" s="1783"/>
      <c r="Z324" s="1783"/>
      <c r="AA324" s="1783"/>
      <c r="AB324" s="1783"/>
      <c r="AC324" s="1783"/>
    </row>
    <row r="325" spans="1:29">
      <c r="A325" s="1783"/>
      <c r="B325" s="1783"/>
      <c r="C325" s="1783"/>
      <c r="D325" s="1783"/>
      <c r="E325" s="1783"/>
      <c r="F325" s="1783"/>
      <c r="G325" s="1783"/>
      <c r="H325" s="1783"/>
      <c r="I325" s="1783"/>
      <c r="J325" s="1783"/>
      <c r="K325" s="1783"/>
      <c r="L325" s="1783"/>
      <c r="M325" s="1783"/>
      <c r="N325" s="1783"/>
      <c r="O325" s="1783"/>
      <c r="P325" s="1783"/>
      <c r="Q325" s="1783"/>
      <c r="R325" s="1783"/>
      <c r="S325" s="1783"/>
      <c r="T325" s="1783"/>
      <c r="U325" s="1783"/>
      <c r="V325" s="1783"/>
      <c r="W325" s="1783"/>
      <c r="X325" s="1783"/>
      <c r="Y325" s="1783"/>
      <c r="Z325" s="1783"/>
      <c r="AA325" s="1783"/>
      <c r="AB325" s="1783"/>
      <c r="AC325" s="1783"/>
    </row>
    <row r="326" spans="1:29">
      <c r="A326" s="1783"/>
      <c r="B326" s="1783"/>
      <c r="C326" s="1783"/>
      <c r="D326" s="1783"/>
      <c r="E326" s="1783"/>
      <c r="F326" s="1783"/>
      <c r="G326" s="1783"/>
      <c r="H326" s="1783"/>
      <c r="I326" s="1783"/>
      <c r="J326" s="1783"/>
      <c r="K326" s="1783"/>
      <c r="L326" s="1783"/>
      <c r="M326" s="1783"/>
      <c r="N326" s="1783"/>
      <c r="O326" s="1783"/>
      <c r="P326" s="1783"/>
      <c r="Q326" s="1783"/>
      <c r="R326" s="1783"/>
      <c r="S326" s="1783"/>
      <c r="T326" s="1783"/>
      <c r="U326" s="1783"/>
      <c r="V326" s="1783"/>
      <c r="W326" s="1783"/>
      <c r="X326" s="1783"/>
      <c r="Y326" s="1783"/>
      <c r="Z326" s="1783"/>
      <c r="AA326" s="1783"/>
      <c r="AB326" s="1783"/>
      <c r="AC326" s="1783"/>
    </row>
    <row r="327" spans="1:29">
      <c r="A327" s="1783"/>
      <c r="B327" s="1783"/>
      <c r="C327" s="1783"/>
      <c r="D327" s="1783"/>
      <c r="E327" s="1783"/>
      <c r="F327" s="1783"/>
      <c r="G327" s="1783"/>
      <c r="H327" s="1783"/>
      <c r="I327" s="1783"/>
      <c r="J327" s="1783"/>
      <c r="K327" s="1783"/>
      <c r="L327" s="1783"/>
      <c r="M327" s="1783"/>
      <c r="N327" s="1783"/>
      <c r="O327" s="1783"/>
      <c r="P327" s="1783"/>
      <c r="Q327" s="1783"/>
      <c r="R327" s="1783"/>
      <c r="S327" s="1783"/>
      <c r="T327" s="1783"/>
      <c r="U327" s="1783"/>
      <c r="V327" s="1783"/>
      <c r="W327" s="1783"/>
      <c r="X327" s="1783"/>
      <c r="Y327" s="1783"/>
      <c r="Z327" s="1783"/>
      <c r="AA327" s="1783"/>
      <c r="AB327" s="1783"/>
      <c r="AC327" s="1783"/>
    </row>
    <row r="328" spans="1:29">
      <c r="A328" s="1783"/>
      <c r="B328" s="1783"/>
      <c r="C328" s="1783"/>
      <c r="D328" s="1783"/>
      <c r="E328" s="1783"/>
      <c r="F328" s="1783"/>
      <c r="G328" s="1783"/>
      <c r="H328" s="1783"/>
      <c r="I328" s="1783"/>
      <c r="J328" s="1783"/>
      <c r="K328" s="1783"/>
      <c r="L328" s="1783"/>
      <c r="M328" s="1783"/>
      <c r="N328" s="1783"/>
      <c r="O328" s="1783"/>
      <c r="P328" s="1783"/>
      <c r="Q328" s="1783"/>
      <c r="R328" s="1783"/>
      <c r="S328" s="1783"/>
      <c r="T328" s="1783"/>
      <c r="U328" s="1783"/>
      <c r="V328" s="1783"/>
      <c r="W328" s="1783"/>
      <c r="X328" s="1783"/>
      <c r="Y328" s="1783"/>
      <c r="Z328" s="1783"/>
      <c r="AA328" s="1783"/>
      <c r="AB328" s="1783"/>
      <c r="AC328" s="1783"/>
    </row>
    <row r="329" spans="1:29">
      <c r="A329" s="1783"/>
      <c r="B329" s="1783"/>
      <c r="C329" s="1783"/>
      <c r="D329" s="1783"/>
      <c r="E329" s="1783"/>
      <c r="F329" s="1783"/>
      <c r="G329" s="1783"/>
      <c r="H329" s="1783"/>
      <c r="I329" s="1783"/>
      <c r="J329" s="1783"/>
      <c r="K329" s="1783"/>
      <c r="L329" s="1783"/>
      <c r="M329" s="1783"/>
      <c r="N329" s="1783"/>
      <c r="O329" s="1783"/>
      <c r="P329" s="1783"/>
      <c r="Q329" s="1783"/>
      <c r="R329" s="1783"/>
      <c r="S329" s="1783"/>
      <c r="T329" s="1783"/>
      <c r="U329" s="1783"/>
      <c r="V329" s="1783"/>
      <c r="W329" s="1783"/>
      <c r="X329" s="1783"/>
      <c r="Y329" s="1783"/>
      <c r="Z329" s="1783"/>
      <c r="AA329" s="1783"/>
      <c r="AB329" s="1783"/>
      <c r="AC329" s="1783"/>
    </row>
    <row r="330" spans="1:29">
      <c r="A330" s="1783"/>
      <c r="B330" s="1783"/>
      <c r="C330" s="1783"/>
      <c r="D330" s="1783"/>
      <c r="E330" s="1783"/>
      <c r="F330" s="1783"/>
      <c r="G330" s="1783"/>
      <c r="H330" s="1783"/>
      <c r="I330" s="1783"/>
      <c r="J330" s="1783"/>
      <c r="K330" s="1783"/>
      <c r="L330" s="1783"/>
      <c r="M330" s="1783"/>
      <c r="N330" s="1783"/>
      <c r="O330" s="1783"/>
      <c r="P330" s="1783"/>
      <c r="Q330" s="1783"/>
      <c r="R330" s="1783"/>
      <c r="S330" s="1783"/>
      <c r="T330" s="1783"/>
      <c r="U330" s="1783"/>
      <c r="V330" s="1783"/>
      <c r="W330" s="1783"/>
      <c r="X330" s="1783"/>
      <c r="Y330" s="1783"/>
      <c r="Z330" s="1783"/>
      <c r="AA330" s="1783"/>
      <c r="AB330" s="1783"/>
      <c r="AC330" s="1783"/>
    </row>
    <row r="331" spans="1:29">
      <c r="A331" s="1783"/>
      <c r="B331" s="1783"/>
      <c r="C331" s="1783"/>
      <c r="D331" s="1783"/>
      <c r="E331" s="1783"/>
      <c r="F331" s="1783"/>
      <c r="G331" s="1783"/>
      <c r="H331" s="1783"/>
      <c r="I331" s="1783"/>
      <c r="J331" s="1783"/>
      <c r="K331" s="1783"/>
      <c r="L331" s="1783"/>
      <c r="M331" s="1783"/>
      <c r="N331" s="1783"/>
      <c r="O331" s="1783"/>
      <c r="P331" s="1783"/>
      <c r="Q331" s="1783"/>
      <c r="R331" s="1783"/>
      <c r="S331" s="1783"/>
      <c r="T331" s="1783"/>
      <c r="U331" s="1783"/>
      <c r="V331" s="1783"/>
      <c r="W331" s="1783"/>
      <c r="X331" s="1783"/>
      <c r="Y331" s="1783"/>
      <c r="Z331" s="1783"/>
      <c r="AA331" s="1783"/>
      <c r="AB331" s="1783"/>
      <c r="AC331" s="1783"/>
    </row>
    <row r="332" spans="1:29">
      <c r="A332" s="1783"/>
      <c r="B332" s="1783"/>
      <c r="C332" s="1783"/>
      <c r="D332" s="1783"/>
      <c r="E332" s="1783"/>
      <c r="F332" s="1783"/>
      <c r="G332" s="1783"/>
      <c r="H332" s="1783"/>
      <c r="I332" s="1783"/>
      <c r="J332" s="1783"/>
      <c r="K332" s="1783"/>
      <c r="L332" s="1783"/>
      <c r="M332" s="1783"/>
      <c r="N332" s="1783"/>
      <c r="O332" s="1783"/>
      <c r="P332" s="1783"/>
      <c r="Q332" s="1783"/>
      <c r="R332" s="1783"/>
      <c r="S332" s="1783"/>
      <c r="T332" s="1783"/>
      <c r="U332" s="1783"/>
      <c r="V332" s="1783"/>
      <c r="W332" s="1783"/>
      <c r="X332" s="1783"/>
      <c r="Y332" s="1783"/>
      <c r="Z332" s="1783"/>
      <c r="AA332" s="1783"/>
      <c r="AB332" s="1783"/>
      <c r="AC332" s="1783"/>
    </row>
    <row r="333" spans="1:29">
      <c r="A333" s="1783"/>
      <c r="B333" s="1783"/>
      <c r="C333" s="1783"/>
      <c r="D333" s="1783"/>
      <c r="E333" s="1783"/>
      <c r="F333" s="1783"/>
      <c r="G333" s="1783"/>
      <c r="H333" s="1783"/>
      <c r="I333" s="1783"/>
      <c r="J333" s="1783"/>
      <c r="K333" s="1783"/>
      <c r="L333" s="1783"/>
      <c r="M333" s="1783"/>
      <c r="N333" s="1783"/>
      <c r="O333" s="1783"/>
      <c r="P333" s="1783"/>
      <c r="Q333" s="1783"/>
      <c r="R333" s="1783"/>
      <c r="S333" s="1783"/>
      <c r="T333" s="1783"/>
      <c r="U333" s="1783"/>
      <c r="V333" s="1783"/>
      <c r="W333" s="1783"/>
      <c r="X333" s="1783"/>
      <c r="Y333" s="1783"/>
      <c r="Z333" s="1783"/>
      <c r="AA333" s="1783"/>
      <c r="AB333" s="1783"/>
      <c r="AC333" s="1783"/>
    </row>
    <row r="334" spans="1:29">
      <c r="A334" s="1783"/>
      <c r="B334" s="1783"/>
      <c r="C334" s="1783"/>
      <c r="D334" s="1783"/>
      <c r="E334" s="1783"/>
      <c r="F334" s="1783"/>
      <c r="G334" s="1783"/>
      <c r="H334" s="1783"/>
      <c r="I334" s="1783"/>
      <c r="J334" s="1783"/>
      <c r="K334" s="1783"/>
      <c r="L334" s="1783"/>
      <c r="M334" s="1783"/>
      <c r="N334" s="1783"/>
      <c r="O334" s="1783"/>
      <c r="P334" s="1783"/>
      <c r="Q334" s="1783"/>
      <c r="R334" s="1783"/>
      <c r="S334" s="1783"/>
      <c r="T334" s="1783"/>
      <c r="U334" s="1783"/>
      <c r="V334" s="1783"/>
      <c r="W334" s="1783"/>
      <c r="X334" s="1783"/>
      <c r="Y334" s="1783"/>
      <c r="Z334" s="1783"/>
      <c r="AA334" s="1783"/>
      <c r="AB334" s="1783"/>
      <c r="AC334" s="1783"/>
    </row>
    <row r="335" spans="1:29">
      <c r="A335" s="1783"/>
      <c r="B335" s="1783"/>
      <c r="C335" s="1783"/>
      <c r="D335" s="1783"/>
      <c r="E335" s="1783"/>
      <c r="F335" s="1783"/>
      <c r="G335" s="1783"/>
      <c r="H335" s="1783"/>
      <c r="I335" s="1783"/>
      <c r="J335" s="1783"/>
      <c r="K335" s="1783"/>
      <c r="L335" s="1783"/>
      <c r="M335" s="1783"/>
      <c r="N335" s="1783"/>
      <c r="O335" s="1783"/>
      <c r="P335" s="1783"/>
      <c r="Q335" s="1783"/>
      <c r="R335" s="1783"/>
      <c r="S335" s="1783"/>
      <c r="T335" s="1783"/>
      <c r="U335" s="1783"/>
      <c r="V335" s="1783"/>
      <c r="W335" s="1783"/>
      <c r="X335" s="1783"/>
      <c r="Y335" s="1783"/>
      <c r="Z335" s="1783"/>
      <c r="AA335" s="1783"/>
      <c r="AB335" s="1783"/>
      <c r="AC335" s="1783"/>
    </row>
    <row r="336" spans="1:29">
      <c r="A336" s="1783"/>
      <c r="B336" s="1783"/>
      <c r="C336" s="1783"/>
      <c r="D336" s="1783"/>
      <c r="E336" s="1783"/>
      <c r="F336" s="1783"/>
      <c r="G336" s="1783"/>
      <c r="H336" s="1783"/>
      <c r="I336" s="1783"/>
      <c r="J336" s="1783"/>
      <c r="K336" s="1783"/>
      <c r="L336" s="1783"/>
      <c r="M336" s="1783"/>
      <c r="N336" s="1783"/>
      <c r="O336" s="1783"/>
      <c r="P336" s="1783"/>
      <c r="Q336" s="1783"/>
      <c r="R336" s="1783"/>
      <c r="S336" s="1783"/>
      <c r="T336" s="1783"/>
      <c r="U336" s="1783"/>
      <c r="V336" s="1783"/>
      <c r="W336" s="1783"/>
      <c r="X336" s="1783"/>
      <c r="Y336" s="1783"/>
      <c r="Z336" s="1783"/>
      <c r="AA336" s="1783"/>
      <c r="AB336" s="1783"/>
      <c r="AC336" s="1783"/>
    </row>
    <row r="337" spans="1:29">
      <c r="A337" s="1783"/>
      <c r="B337" s="1783"/>
      <c r="C337" s="1783"/>
      <c r="D337" s="1783"/>
      <c r="E337" s="1783"/>
      <c r="F337" s="1783"/>
      <c r="G337" s="1783"/>
      <c r="H337" s="1783"/>
      <c r="I337" s="1783"/>
      <c r="J337" s="1783"/>
      <c r="K337" s="1783"/>
      <c r="L337" s="1783"/>
      <c r="M337" s="1783"/>
      <c r="N337" s="1783"/>
      <c r="O337" s="1783"/>
      <c r="P337" s="1783"/>
      <c r="Q337" s="1783"/>
      <c r="R337" s="1783"/>
      <c r="S337" s="1783"/>
      <c r="T337" s="1783"/>
      <c r="U337" s="1783"/>
      <c r="V337" s="1783"/>
      <c r="W337" s="1783"/>
      <c r="X337" s="1783"/>
      <c r="Y337" s="1783"/>
      <c r="Z337" s="1783"/>
      <c r="AA337" s="1783"/>
      <c r="AB337" s="1783"/>
      <c r="AC337" s="1783"/>
    </row>
    <row r="338" spans="1:29">
      <c r="A338" s="1783"/>
      <c r="B338" s="1783"/>
      <c r="C338" s="1783"/>
      <c r="D338" s="1783"/>
      <c r="E338" s="1783"/>
      <c r="F338" s="1783"/>
      <c r="G338" s="1783"/>
      <c r="H338" s="1783"/>
      <c r="I338" s="1783"/>
      <c r="J338" s="1783"/>
      <c r="K338" s="1783"/>
      <c r="L338" s="1783"/>
      <c r="M338" s="1783"/>
      <c r="N338" s="1783"/>
      <c r="O338" s="1783"/>
      <c r="P338" s="1783"/>
      <c r="Q338" s="1783"/>
      <c r="R338" s="1783"/>
      <c r="S338" s="1783"/>
      <c r="T338" s="1783"/>
      <c r="U338" s="1783"/>
      <c r="V338" s="1783"/>
      <c r="W338" s="1783"/>
      <c r="X338" s="1783"/>
      <c r="Y338" s="1783"/>
      <c r="Z338" s="1783"/>
      <c r="AA338" s="1783"/>
      <c r="AB338" s="1783"/>
      <c r="AC338" s="1783"/>
    </row>
    <row r="339" spans="1:29">
      <c r="A339" s="1783"/>
      <c r="B339" s="1783"/>
      <c r="C339" s="1783"/>
      <c r="D339" s="1783"/>
      <c r="E339" s="1783"/>
      <c r="F339" s="1783"/>
      <c r="G339" s="1783"/>
      <c r="H339" s="1783"/>
      <c r="I339" s="1783"/>
      <c r="J339" s="1783"/>
      <c r="K339" s="1783"/>
      <c r="L339" s="1783"/>
      <c r="M339" s="1783"/>
      <c r="N339" s="1783"/>
      <c r="O339" s="1783"/>
      <c r="P339" s="1783"/>
      <c r="Q339" s="1783"/>
      <c r="R339" s="1783"/>
      <c r="S339" s="1783"/>
      <c r="T339" s="1783"/>
      <c r="U339" s="1783"/>
      <c r="V339" s="1783"/>
      <c r="W339" s="1783"/>
      <c r="X339" s="1783"/>
      <c r="Y339" s="1783"/>
      <c r="Z339" s="1783"/>
      <c r="AA339" s="1783"/>
      <c r="AB339" s="1783"/>
      <c r="AC339" s="1783"/>
    </row>
    <row r="340" spans="1:29">
      <c r="A340" s="1783"/>
      <c r="B340" s="1783"/>
      <c r="C340" s="1783"/>
      <c r="D340" s="1783"/>
      <c r="E340" s="1783"/>
      <c r="F340" s="1783"/>
      <c r="G340" s="1783"/>
      <c r="H340" s="1783"/>
      <c r="I340" s="1783"/>
      <c r="J340" s="1783"/>
      <c r="K340" s="1783"/>
      <c r="L340" s="1783"/>
      <c r="M340" s="1783"/>
      <c r="N340" s="1783"/>
      <c r="O340" s="1783"/>
      <c r="P340" s="1783"/>
      <c r="Q340" s="1783"/>
      <c r="R340" s="1783"/>
      <c r="S340" s="1783"/>
      <c r="T340" s="1783"/>
      <c r="U340" s="1783"/>
      <c r="V340" s="1783"/>
      <c r="W340" s="1783"/>
      <c r="X340" s="1783"/>
      <c r="Y340" s="1783"/>
      <c r="Z340" s="1783"/>
      <c r="AA340" s="1783"/>
      <c r="AB340" s="1783"/>
      <c r="AC340" s="1783"/>
    </row>
    <row r="341" spans="1:29">
      <c r="A341" s="1783"/>
      <c r="B341" s="1783"/>
      <c r="C341" s="1783"/>
      <c r="D341" s="1783"/>
      <c r="E341" s="1783"/>
      <c r="F341" s="1783"/>
      <c r="G341" s="1783"/>
      <c r="H341" s="1783"/>
      <c r="I341" s="1783"/>
      <c r="J341" s="1783"/>
      <c r="K341" s="1783"/>
      <c r="L341" s="1783"/>
      <c r="M341" s="1783"/>
      <c r="N341" s="1783"/>
      <c r="O341" s="1783"/>
      <c r="P341" s="1783"/>
      <c r="Q341" s="1783"/>
      <c r="R341" s="1783"/>
      <c r="S341" s="1783"/>
      <c r="T341" s="1783"/>
      <c r="U341" s="1783"/>
      <c r="V341" s="1783"/>
      <c r="W341" s="1783"/>
      <c r="X341" s="1783"/>
      <c r="Y341" s="1783"/>
      <c r="Z341" s="1783"/>
      <c r="AA341" s="1783"/>
      <c r="AB341" s="1783"/>
      <c r="AC341" s="1783"/>
    </row>
    <row r="342" spans="1:29">
      <c r="A342" s="1783"/>
      <c r="B342" s="1783"/>
      <c r="C342" s="1783"/>
      <c r="D342" s="1783"/>
      <c r="E342" s="1783"/>
      <c r="F342" s="1783"/>
      <c r="G342" s="1783"/>
      <c r="H342" s="1783"/>
      <c r="I342" s="1783"/>
      <c r="J342" s="1783"/>
      <c r="K342" s="1783"/>
      <c r="L342" s="1783"/>
      <c r="M342" s="1783"/>
      <c r="N342" s="1783"/>
      <c r="O342" s="1783"/>
      <c r="P342" s="1783"/>
      <c r="Q342" s="1783"/>
      <c r="R342" s="1783"/>
      <c r="S342" s="1783"/>
      <c r="T342" s="1783"/>
      <c r="U342" s="1783"/>
      <c r="V342" s="1783"/>
      <c r="W342" s="1783"/>
      <c r="X342" s="1783"/>
      <c r="Y342" s="1783"/>
      <c r="Z342" s="1783"/>
      <c r="AA342" s="1783"/>
      <c r="AB342" s="1783"/>
      <c r="AC342" s="1783"/>
    </row>
    <row r="343" spans="1:29">
      <c r="A343" s="1783"/>
      <c r="B343" s="1783"/>
      <c r="C343" s="1783"/>
      <c r="D343" s="1783"/>
      <c r="E343" s="1783"/>
      <c r="F343" s="1783"/>
      <c r="G343" s="1783"/>
      <c r="H343" s="1783"/>
      <c r="I343" s="1783"/>
      <c r="J343" s="1783"/>
      <c r="K343" s="1783"/>
      <c r="L343" s="1783"/>
      <c r="M343" s="1783"/>
      <c r="N343" s="1783"/>
      <c r="O343" s="1783"/>
      <c r="P343" s="1783"/>
      <c r="Q343" s="1783"/>
      <c r="R343" s="1783"/>
      <c r="S343" s="1783"/>
      <c r="T343" s="1783"/>
      <c r="U343" s="1783"/>
      <c r="V343" s="1783"/>
      <c r="W343" s="1783"/>
      <c r="X343" s="1783"/>
      <c r="Y343" s="1783"/>
      <c r="Z343" s="1783"/>
      <c r="AA343" s="1783"/>
      <c r="AB343" s="1783"/>
      <c r="AC343" s="1783"/>
    </row>
    <row r="344" spans="1:29">
      <c r="A344" s="1783"/>
      <c r="B344" s="1783"/>
      <c r="C344" s="1783"/>
      <c r="D344" s="1783"/>
      <c r="E344" s="1783"/>
      <c r="F344" s="1783"/>
      <c r="G344" s="1783"/>
      <c r="H344" s="1783"/>
      <c r="I344" s="1783"/>
      <c r="J344" s="1783"/>
      <c r="K344" s="1783"/>
      <c r="L344" s="1783"/>
      <c r="M344" s="1783"/>
      <c r="N344" s="1783"/>
      <c r="O344" s="1783"/>
      <c r="P344" s="1783"/>
      <c r="Q344" s="1783"/>
      <c r="R344" s="1783"/>
      <c r="S344" s="1783"/>
      <c r="T344" s="1783"/>
      <c r="U344" s="1783"/>
      <c r="V344" s="1783"/>
      <c r="W344" s="1783"/>
      <c r="X344" s="1783"/>
      <c r="Y344" s="1783"/>
      <c r="Z344" s="1783"/>
      <c r="AA344" s="1783"/>
      <c r="AB344" s="1783"/>
      <c r="AC344" s="1783"/>
    </row>
    <row r="345" spans="1:29">
      <c r="A345" s="1783"/>
      <c r="B345" s="1783"/>
      <c r="C345" s="1783"/>
      <c r="D345" s="1783"/>
      <c r="E345" s="1783"/>
      <c r="F345" s="1783"/>
      <c r="G345" s="1783"/>
      <c r="H345" s="1783"/>
      <c r="I345" s="1783"/>
      <c r="J345" s="1783"/>
      <c r="K345" s="1783"/>
      <c r="L345" s="1783"/>
      <c r="M345" s="1783"/>
      <c r="N345" s="1783"/>
      <c r="O345" s="1783"/>
      <c r="P345" s="1783"/>
      <c r="Q345" s="1783"/>
      <c r="R345" s="1783"/>
      <c r="S345" s="1783"/>
      <c r="T345" s="1783"/>
      <c r="U345" s="1783"/>
      <c r="V345" s="1783"/>
      <c r="W345" s="1783"/>
      <c r="X345" s="1783"/>
      <c r="Y345" s="1783"/>
      <c r="Z345" s="1783"/>
      <c r="AA345" s="1783"/>
      <c r="AB345" s="1783"/>
      <c r="AC345" s="1783"/>
    </row>
    <row r="346" spans="1:29">
      <c r="A346" s="1783"/>
      <c r="B346" s="1783"/>
      <c r="C346" s="1783"/>
      <c r="D346" s="1783"/>
      <c r="E346" s="1783"/>
      <c r="F346" s="1783"/>
      <c r="G346" s="1783"/>
      <c r="H346" s="1783"/>
      <c r="I346" s="1783"/>
      <c r="J346" s="1783"/>
      <c r="K346" s="1783"/>
      <c r="L346" s="1783"/>
      <c r="M346" s="1783"/>
      <c r="N346" s="1783"/>
      <c r="O346" s="1783"/>
      <c r="P346" s="1783"/>
      <c r="Q346" s="1783"/>
      <c r="R346" s="1783"/>
      <c r="S346" s="1783"/>
      <c r="T346" s="1783"/>
      <c r="U346" s="1783"/>
      <c r="V346" s="1783"/>
      <c r="W346" s="1783"/>
      <c r="X346" s="1783"/>
      <c r="Y346" s="1783"/>
      <c r="Z346" s="1783"/>
      <c r="AA346" s="1783"/>
      <c r="AB346" s="1783"/>
      <c r="AC346" s="1783"/>
    </row>
    <row r="347" spans="1:29">
      <c r="A347" s="1783"/>
      <c r="B347" s="1783"/>
      <c r="C347" s="1783"/>
      <c r="D347" s="1783"/>
      <c r="E347" s="1783"/>
      <c r="F347" s="1783"/>
      <c r="G347" s="1783"/>
      <c r="H347" s="1783"/>
      <c r="I347" s="1783"/>
      <c r="J347" s="1783"/>
      <c r="K347" s="1783"/>
      <c r="L347" s="1783"/>
      <c r="M347" s="1783"/>
      <c r="N347" s="1783"/>
      <c r="O347" s="1783"/>
      <c r="P347" s="1783"/>
      <c r="Q347" s="1783"/>
      <c r="R347" s="1783"/>
      <c r="S347" s="1783"/>
      <c r="T347" s="1783"/>
      <c r="U347" s="1783"/>
      <c r="V347" s="1783"/>
      <c r="W347" s="1783"/>
      <c r="X347" s="1783"/>
      <c r="Y347" s="1783"/>
      <c r="Z347" s="1783"/>
      <c r="AA347" s="1783"/>
      <c r="AB347" s="1783"/>
      <c r="AC347" s="1783"/>
    </row>
    <row r="348" spans="1:29">
      <c r="A348" s="1783"/>
      <c r="B348" s="1783"/>
      <c r="C348" s="1783"/>
      <c r="D348" s="1783"/>
      <c r="E348" s="1783"/>
      <c r="F348" s="1783"/>
      <c r="G348" s="1783"/>
      <c r="H348" s="1783"/>
      <c r="I348" s="1783"/>
      <c r="J348" s="1783"/>
      <c r="K348" s="1783"/>
      <c r="L348" s="1783"/>
      <c r="M348" s="1783"/>
      <c r="N348" s="1783"/>
      <c r="O348" s="1783"/>
      <c r="P348" s="1783"/>
      <c r="Q348" s="1783"/>
      <c r="R348" s="1783"/>
      <c r="S348" s="1783"/>
      <c r="T348" s="1783"/>
      <c r="U348" s="1783"/>
      <c r="V348" s="1783"/>
      <c r="W348" s="1783"/>
      <c r="X348" s="1783"/>
      <c r="Y348" s="1783"/>
      <c r="Z348" s="1783"/>
      <c r="AA348" s="1783"/>
      <c r="AB348" s="1783"/>
      <c r="AC348" s="1783"/>
    </row>
    <row r="349" spans="1:29">
      <c r="A349" s="1783"/>
      <c r="B349" s="1783"/>
      <c r="C349" s="1783"/>
      <c r="D349" s="1783"/>
      <c r="E349" s="1783"/>
      <c r="F349" s="1783"/>
      <c r="G349" s="1783"/>
      <c r="H349" s="1783"/>
      <c r="I349" s="1783"/>
      <c r="J349" s="1783"/>
      <c r="K349" s="1783"/>
      <c r="L349" s="1783"/>
      <c r="M349" s="1783"/>
      <c r="N349" s="1783"/>
      <c r="O349" s="1783"/>
      <c r="P349" s="1783"/>
      <c r="Q349" s="1783"/>
      <c r="R349" s="1783"/>
      <c r="S349" s="1783"/>
      <c r="T349" s="1783"/>
      <c r="U349" s="1783"/>
      <c r="V349" s="1783"/>
      <c r="W349" s="1783"/>
      <c r="X349" s="1783"/>
      <c r="Y349" s="1783"/>
      <c r="Z349" s="1783"/>
      <c r="AA349" s="1783"/>
      <c r="AB349" s="1783"/>
      <c r="AC349" s="1783"/>
    </row>
    <row r="350" spans="1:29">
      <c r="A350" s="1783"/>
      <c r="B350" s="1783"/>
      <c r="C350" s="1783"/>
      <c r="D350" s="1783"/>
      <c r="E350" s="1783"/>
      <c r="F350" s="1783"/>
      <c r="G350" s="1783"/>
      <c r="H350" s="1783"/>
      <c r="I350" s="1783"/>
      <c r="J350" s="1783"/>
      <c r="K350" s="1783"/>
      <c r="L350" s="1783"/>
      <c r="M350" s="1783"/>
      <c r="N350" s="1783"/>
      <c r="O350" s="1783"/>
      <c r="P350" s="1783"/>
      <c r="Q350" s="1783"/>
      <c r="R350" s="1783"/>
      <c r="S350" s="1783"/>
      <c r="T350" s="1783"/>
      <c r="U350" s="1783"/>
      <c r="V350" s="1783"/>
      <c r="W350" s="1783"/>
      <c r="X350" s="1783"/>
      <c r="Y350" s="1783"/>
      <c r="Z350" s="1783"/>
      <c r="AA350" s="1783"/>
      <c r="AB350" s="1783"/>
      <c r="AC350" s="1783"/>
    </row>
    <row r="351" spans="1:29">
      <c r="A351" s="1783"/>
      <c r="B351" s="1783"/>
      <c r="C351" s="1783"/>
      <c r="D351" s="1783"/>
      <c r="E351" s="1783"/>
      <c r="F351" s="1783"/>
      <c r="G351" s="1783"/>
      <c r="H351" s="1783"/>
      <c r="I351" s="1783"/>
      <c r="J351" s="1783"/>
      <c r="K351" s="1783"/>
      <c r="L351" s="1783"/>
      <c r="M351" s="1783"/>
      <c r="N351" s="1783"/>
      <c r="O351" s="1783"/>
      <c r="P351" s="1783"/>
      <c r="Q351" s="1783"/>
      <c r="R351" s="1783"/>
      <c r="S351" s="1783"/>
      <c r="T351" s="1783"/>
      <c r="U351" s="1783"/>
      <c r="V351" s="1783"/>
      <c r="W351" s="1783"/>
      <c r="X351" s="1783"/>
      <c r="Y351" s="1783"/>
      <c r="Z351" s="1783"/>
      <c r="AA351" s="1783"/>
      <c r="AB351" s="1783"/>
      <c r="AC351" s="1783"/>
    </row>
    <row r="352" spans="1:29">
      <c r="A352" s="1783"/>
      <c r="B352" s="1783"/>
      <c r="C352" s="1783"/>
      <c r="D352" s="1783"/>
      <c r="E352" s="1783"/>
      <c r="F352" s="1783"/>
      <c r="G352" s="1783"/>
      <c r="H352" s="1783"/>
      <c r="I352" s="1783"/>
      <c r="J352" s="1783"/>
      <c r="K352" s="1783"/>
      <c r="L352" s="1783"/>
      <c r="M352" s="1783"/>
      <c r="N352" s="1783"/>
      <c r="O352" s="1783"/>
      <c r="P352" s="1783"/>
      <c r="Q352" s="1783"/>
      <c r="R352" s="1783"/>
      <c r="S352" s="1783"/>
      <c r="T352" s="1783"/>
      <c r="U352" s="1783"/>
      <c r="V352" s="1783"/>
      <c r="W352" s="1783"/>
      <c r="X352" s="1783"/>
      <c r="Y352" s="1783"/>
      <c r="Z352" s="1783"/>
      <c r="AA352" s="1783"/>
      <c r="AB352" s="1783"/>
      <c r="AC352" s="1783"/>
    </row>
    <row r="353" spans="1:29">
      <c r="A353" s="1783"/>
      <c r="B353" s="1783"/>
      <c r="C353" s="1783"/>
      <c r="D353" s="1783"/>
      <c r="E353" s="1783"/>
      <c r="F353" s="1783"/>
      <c r="G353" s="1783"/>
      <c r="H353" s="1783"/>
      <c r="I353" s="1783"/>
      <c r="J353" s="1783"/>
      <c r="K353" s="1783"/>
      <c r="L353" s="1783"/>
      <c r="M353" s="1783"/>
      <c r="N353" s="1783"/>
      <c r="O353" s="1783"/>
      <c r="P353" s="1783"/>
      <c r="Q353" s="1783"/>
      <c r="R353" s="1783"/>
      <c r="S353" s="1783"/>
      <c r="T353" s="1783"/>
      <c r="U353" s="1783"/>
      <c r="V353" s="1783"/>
      <c r="W353" s="1783"/>
      <c r="X353" s="1783"/>
      <c r="Y353" s="1783"/>
      <c r="Z353" s="1783"/>
      <c r="AA353" s="1783"/>
      <c r="AB353" s="1783"/>
      <c r="AC353" s="1783"/>
    </row>
    <row r="354" spans="1:29">
      <c r="A354" s="1783"/>
      <c r="B354" s="1783"/>
      <c r="C354" s="1783"/>
      <c r="D354" s="1783"/>
      <c r="E354" s="1783"/>
      <c r="F354" s="1783"/>
      <c r="G354" s="1783"/>
      <c r="H354" s="1783"/>
      <c r="I354" s="1783"/>
      <c r="J354" s="1783"/>
      <c r="K354" s="1783"/>
      <c r="L354" s="1783"/>
      <c r="M354" s="1783"/>
      <c r="N354" s="1783"/>
      <c r="O354" s="1783"/>
      <c r="P354" s="1783"/>
      <c r="Q354" s="1783"/>
      <c r="R354" s="1783"/>
      <c r="S354" s="1783"/>
      <c r="T354" s="1783"/>
      <c r="U354" s="1783"/>
      <c r="V354" s="1783"/>
      <c r="W354" s="1783"/>
      <c r="X354" s="1783"/>
      <c r="Y354" s="1783"/>
      <c r="Z354" s="1783"/>
      <c r="AA354" s="1783"/>
      <c r="AB354" s="1783"/>
      <c r="AC354" s="1783"/>
    </row>
    <row r="355" spans="1:29">
      <c r="A355" s="1783"/>
      <c r="B355" s="1783"/>
      <c r="C355" s="1783"/>
      <c r="D355" s="1783"/>
      <c r="E355" s="1783"/>
      <c r="F355" s="1783"/>
      <c r="G355" s="1783"/>
      <c r="H355" s="1783"/>
      <c r="I355" s="1783"/>
      <c r="J355" s="1783"/>
      <c r="K355" s="1783"/>
      <c r="L355" s="1783"/>
      <c r="M355" s="1783"/>
      <c r="N355" s="1783"/>
      <c r="O355" s="1783"/>
      <c r="P355" s="1783"/>
      <c r="Q355" s="1783"/>
      <c r="R355" s="1783"/>
      <c r="S355" s="1783"/>
      <c r="T355" s="1783"/>
      <c r="U355" s="1783"/>
      <c r="V355" s="1783"/>
      <c r="W355" s="1783"/>
      <c r="X355" s="1783"/>
      <c r="Y355" s="1783"/>
      <c r="Z355" s="1783"/>
      <c r="AA355" s="1783"/>
      <c r="AB355" s="1783"/>
      <c r="AC355" s="1783"/>
    </row>
    <row r="356" spans="1:29">
      <c r="A356" s="1783"/>
      <c r="B356" s="1783"/>
      <c r="C356" s="1783"/>
      <c r="D356" s="1783"/>
      <c r="E356" s="1783"/>
      <c r="F356" s="1783"/>
      <c r="G356" s="1783"/>
      <c r="H356" s="1783"/>
      <c r="I356" s="1783"/>
      <c r="J356" s="1783"/>
      <c r="K356" s="1783"/>
      <c r="L356" s="1783"/>
      <c r="M356" s="1783"/>
      <c r="N356" s="1783"/>
      <c r="O356" s="1783"/>
      <c r="P356" s="1783"/>
      <c r="Q356" s="1783"/>
      <c r="R356" s="1783"/>
      <c r="S356" s="1783"/>
      <c r="T356" s="1783"/>
      <c r="U356" s="1783"/>
      <c r="V356" s="1783"/>
      <c r="W356" s="1783"/>
      <c r="X356" s="1783"/>
      <c r="Y356" s="1783"/>
      <c r="Z356" s="1783"/>
      <c r="AA356" s="1783"/>
      <c r="AB356" s="1783"/>
      <c r="AC356" s="1783"/>
    </row>
    <row r="357" spans="1:29">
      <c r="A357" s="1783"/>
      <c r="B357" s="1783"/>
      <c r="C357" s="1783"/>
      <c r="D357" s="1783"/>
      <c r="E357" s="1783"/>
      <c r="F357" s="1783"/>
      <c r="G357" s="1783"/>
      <c r="H357" s="1783"/>
      <c r="I357" s="1783"/>
      <c r="J357" s="1783"/>
      <c r="K357" s="1783"/>
      <c r="L357" s="1783"/>
      <c r="M357" s="1783"/>
      <c r="N357" s="1783"/>
      <c r="O357" s="1783"/>
      <c r="P357" s="1783"/>
      <c r="Q357" s="1783"/>
      <c r="R357" s="1783"/>
      <c r="S357" s="1783"/>
      <c r="T357" s="1783"/>
      <c r="U357" s="1783"/>
      <c r="V357" s="1783"/>
      <c r="W357" s="1783"/>
      <c r="X357" s="1783"/>
      <c r="Y357" s="1783"/>
      <c r="Z357" s="1783"/>
      <c r="AA357" s="1783"/>
      <c r="AB357" s="1783"/>
      <c r="AC357" s="1783"/>
    </row>
    <row r="358" spans="1:29">
      <c r="A358" s="1783"/>
      <c r="B358" s="1783"/>
      <c r="C358" s="1783"/>
      <c r="D358" s="1783"/>
      <c r="E358" s="1783"/>
      <c r="F358" s="1783"/>
      <c r="G358" s="1783"/>
      <c r="H358" s="1783"/>
      <c r="I358" s="1783"/>
      <c r="J358" s="1783"/>
      <c r="K358" s="1783"/>
      <c r="L358" s="1783"/>
      <c r="M358" s="1783"/>
      <c r="N358" s="1783"/>
      <c r="O358" s="1783"/>
      <c r="P358" s="1783"/>
      <c r="Q358" s="1783"/>
      <c r="R358" s="1783"/>
      <c r="S358" s="1783"/>
      <c r="T358" s="1783"/>
      <c r="U358" s="1783"/>
      <c r="V358" s="1783"/>
      <c r="W358" s="1783"/>
      <c r="X358" s="1783"/>
      <c r="Y358" s="1783"/>
      <c r="Z358" s="1783"/>
      <c r="AA358" s="1783"/>
      <c r="AB358" s="1783"/>
      <c r="AC358" s="1783"/>
    </row>
    <row r="359" spans="1:29">
      <c r="A359" s="1783"/>
      <c r="B359" s="1783"/>
      <c r="C359" s="1783"/>
      <c r="D359" s="1783"/>
      <c r="E359" s="1783"/>
      <c r="F359" s="1783"/>
      <c r="G359" s="1783"/>
      <c r="H359" s="1783"/>
      <c r="I359" s="1783"/>
      <c r="J359" s="1783"/>
      <c r="K359" s="1783"/>
      <c r="L359" s="1783"/>
      <c r="M359" s="1783"/>
      <c r="N359" s="1783"/>
      <c r="O359" s="1783"/>
      <c r="P359" s="1783"/>
      <c r="Q359" s="1783"/>
      <c r="R359" s="1783"/>
      <c r="S359" s="1783"/>
      <c r="T359" s="1783"/>
      <c r="U359" s="1783"/>
      <c r="V359" s="1783"/>
      <c r="W359" s="1783"/>
      <c r="X359" s="1783"/>
      <c r="Y359" s="1783"/>
      <c r="Z359" s="1783"/>
      <c r="AA359" s="1783"/>
      <c r="AB359" s="1783"/>
      <c r="AC359" s="1783"/>
    </row>
    <row r="360" spans="1:29">
      <c r="A360" s="1783"/>
      <c r="B360" s="1783"/>
      <c r="C360" s="1783"/>
      <c r="D360" s="1783"/>
      <c r="E360" s="1783"/>
      <c r="F360" s="1783"/>
      <c r="G360" s="1783"/>
      <c r="H360" s="1783"/>
      <c r="I360" s="1783"/>
      <c r="J360" s="1783"/>
      <c r="K360" s="1783"/>
      <c r="L360" s="1783"/>
      <c r="M360" s="1783"/>
      <c r="N360" s="1783"/>
      <c r="O360" s="1783"/>
      <c r="P360" s="1783"/>
      <c r="Q360" s="1783"/>
      <c r="R360" s="1783"/>
      <c r="S360" s="1783"/>
      <c r="T360" s="1783"/>
      <c r="U360" s="1783"/>
      <c r="V360" s="1783"/>
      <c r="W360" s="1783"/>
      <c r="X360" s="1783"/>
      <c r="Y360" s="1783"/>
      <c r="Z360" s="1783"/>
      <c r="AA360" s="1783"/>
      <c r="AB360" s="1783"/>
      <c r="AC360" s="1783"/>
    </row>
    <row r="361" spans="1:29">
      <c r="A361" s="1783"/>
      <c r="B361" s="1783"/>
      <c r="C361" s="1783"/>
      <c r="D361" s="1783"/>
      <c r="E361" s="1783"/>
      <c r="F361" s="1783"/>
      <c r="G361" s="1783"/>
      <c r="H361" s="1783"/>
      <c r="I361" s="1783"/>
      <c r="J361" s="1783"/>
      <c r="K361" s="1783"/>
      <c r="L361" s="1783"/>
      <c r="M361" s="1783"/>
      <c r="N361" s="1783"/>
      <c r="O361" s="1783"/>
      <c r="P361" s="1783"/>
      <c r="Q361" s="1783"/>
      <c r="R361" s="1783"/>
      <c r="S361" s="1783"/>
      <c r="T361" s="1783"/>
      <c r="U361" s="1783"/>
      <c r="V361" s="1783"/>
      <c r="W361" s="1783"/>
      <c r="X361" s="1783"/>
      <c r="Y361" s="1783"/>
      <c r="Z361" s="1783"/>
      <c r="AA361" s="1783"/>
      <c r="AB361" s="1783"/>
      <c r="AC361" s="1783"/>
    </row>
    <row r="362" spans="1:29">
      <c r="A362" s="1783"/>
      <c r="B362" s="1783"/>
      <c r="C362" s="1783"/>
      <c r="D362" s="1783"/>
      <c r="E362" s="1783"/>
      <c r="F362" s="1783"/>
      <c r="G362" s="1783"/>
      <c r="H362" s="1783"/>
      <c r="I362" s="1783"/>
      <c r="J362" s="1783"/>
      <c r="K362" s="1783"/>
      <c r="L362" s="1783"/>
      <c r="M362" s="1783"/>
      <c r="N362" s="1783"/>
      <c r="O362" s="1783"/>
      <c r="P362" s="1783"/>
      <c r="Q362" s="1783"/>
      <c r="R362" s="1783"/>
      <c r="S362" s="1783"/>
      <c r="T362" s="1783"/>
      <c r="U362" s="1783"/>
      <c r="V362" s="1783"/>
      <c r="W362" s="1783"/>
      <c r="X362" s="1783"/>
      <c r="Y362" s="1783"/>
      <c r="Z362" s="1783"/>
      <c r="AA362" s="1783"/>
      <c r="AB362" s="1783"/>
      <c r="AC362" s="1783"/>
    </row>
    <row r="363" spans="1:29">
      <c r="A363" s="1783"/>
      <c r="B363" s="1783"/>
      <c r="C363" s="1783"/>
      <c r="D363" s="1783"/>
      <c r="E363" s="1783"/>
      <c r="F363" s="1783"/>
      <c r="G363" s="1783"/>
      <c r="H363" s="1783"/>
      <c r="I363" s="1783"/>
      <c r="J363" s="1783"/>
      <c r="K363" s="1783"/>
      <c r="L363" s="1783"/>
      <c r="M363" s="1783"/>
      <c r="N363" s="1783"/>
      <c r="O363" s="1783"/>
      <c r="P363" s="1783"/>
      <c r="Q363" s="1783"/>
      <c r="R363" s="1783"/>
      <c r="S363" s="1783"/>
      <c r="T363" s="1783"/>
      <c r="U363" s="1783"/>
      <c r="V363" s="1783"/>
      <c r="W363" s="1783"/>
      <c r="X363" s="1783"/>
      <c r="Y363" s="1783"/>
      <c r="Z363" s="1783"/>
      <c r="AA363" s="1783"/>
      <c r="AB363" s="1783"/>
      <c r="AC363" s="1783"/>
    </row>
    <row r="364" spans="1:29">
      <c r="A364" s="1783"/>
      <c r="B364" s="1783"/>
      <c r="C364" s="1783"/>
      <c r="D364" s="1783"/>
      <c r="E364" s="1783"/>
      <c r="F364" s="1783"/>
      <c r="G364" s="1783"/>
      <c r="H364" s="1783"/>
      <c r="I364" s="1783"/>
      <c r="J364" s="1783"/>
      <c r="K364" s="1783"/>
      <c r="L364" s="1783"/>
      <c r="M364" s="1783"/>
      <c r="N364" s="1783"/>
      <c r="O364" s="1783"/>
      <c r="P364" s="1783"/>
      <c r="Q364" s="1783"/>
      <c r="R364" s="1783"/>
      <c r="S364" s="1783"/>
      <c r="T364" s="1783"/>
      <c r="U364" s="1783"/>
      <c r="V364" s="1783"/>
      <c r="W364" s="1783"/>
      <c r="X364" s="1783"/>
      <c r="Y364" s="1783"/>
      <c r="Z364" s="1783"/>
      <c r="AA364" s="1783"/>
      <c r="AB364" s="1783"/>
      <c r="AC364" s="1783"/>
    </row>
    <row r="365" spans="1:29">
      <c r="A365" s="1783"/>
      <c r="B365" s="1783"/>
      <c r="C365" s="1783"/>
      <c r="D365" s="1783"/>
      <c r="E365" s="1783"/>
      <c r="F365" s="1783"/>
      <c r="G365" s="1783"/>
      <c r="H365" s="1783"/>
      <c r="I365" s="1783"/>
      <c r="J365" s="1783"/>
      <c r="K365" s="1783"/>
      <c r="L365" s="1783"/>
      <c r="M365" s="1783"/>
      <c r="N365" s="1783"/>
      <c r="O365" s="1783"/>
      <c r="P365" s="1783"/>
      <c r="Q365" s="1783"/>
      <c r="R365" s="1783"/>
      <c r="S365" s="1783"/>
      <c r="T365" s="1783"/>
      <c r="U365" s="1783"/>
      <c r="V365" s="1783"/>
      <c r="W365" s="1783"/>
      <c r="X365" s="1783"/>
      <c r="Y365" s="1783"/>
      <c r="Z365" s="1783"/>
      <c r="AA365" s="1783"/>
      <c r="AB365" s="1783"/>
      <c r="AC365" s="1783"/>
    </row>
    <row r="366" spans="1:29">
      <c r="A366" s="1783"/>
      <c r="B366" s="1783"/>
      <c r="C366" s="1783"/>
      <c r="D366" s="1783"/>
      <c r="E366" s="1783"/>
      <c r="F366" s="1783"/>
      <c r="G366" s="1783"/>
      <c r="H366" s="1783"/>
      <c r="I366" s="1783"/>
      <c r="J366" s="1783"/>
      <c r="K366" s="1783"/>
      <c r="L366" s="1783"/>
      <c r="M366" s="1783"/>
      <c r="N366" s="1783"/>
      <c r="O366" s="1783"/>
      <c r="P366" s="1783"/>
      <c r="Q366" s="1783"/>
      <c r="R366" s="1783"/>
      <c r="S366" s="1783"/>
      <c r="T366" s="1783"/>
      <c r="U366" s="1783"/>
      <c r="V366" s="1783"/>
      <c r="W366" s="1783"/>
      <c r="X366" s="1783"/>
      <c r="Y366" s="1783"/>
      <c r="Z366" s="1783"/>
      <c r="AA366" s="1783"/>
      <c r="AB366" s="1783"/>
      <c r="AC366" s="1783"/>
    </row>
    <row r="367" spans="1:29">
      <c r="A367" s="1783"/>
      <c r="B367" s="1783"/>
      <c r="C367" s="1783"/>
      <c r="D367" s="1783"/>
      <c r="E367" s="1783"/>
      <c r="F367" s="1783"/>
      <c r="G367" s="1783"/>
      <c r="H367" s="1783"/>
      <c r="I367" s="1783"/>
      <c r="J367" s="1783"/>
      <c r="K367" s="1783"/>
      <c r="L367" s="1783"/>
      <c r="M367" s="1783"/>
      <c r="N367" s="1783"/>
      <c r="O367" s="1783"/>
      <c r="P367" s="1783"/>
      <c r="Q367" s="1783"/>
      <c r="R367" s="1783"/>
      <c r="S367" s="1783"/>
      <c r="T367" s="1783"/>
      <c r="U367" s="1783"/>
      <c r="V367" s="1783"/>
      <c r="W367" s="1783"/>
      <c r="X367" s="1783"/>
      <c r="Y367" s="1783"/>
      <c r="Z367" s="1783"/>
      <c r="AA367" s="1783"/>
      <c r="AB367" s="1783"/>
      <c r="AC367" s="1783"/>
    </row>
    <row r="368" spans="1:29">
      <c r="A368" s="1783"/>
      <c r="B368" s="1783"/>
      <c r="C368" s="1783"/>
      <c r="D368" s="1783"/>
      <c r="E368" s="1783"/>
      <c r="F368" s="1783"/>
      <c r="G368" s="1783"/>
      <c r="H368" s="1783"/>
      <c r="I368" s="1783"/>
      <c r="J368" s="1783"/>
      <c r="K368" s="1783"/>
      <c r="L368" s="1783"/>
      <c r="M368" s="1783"/>
      <c r="N368" s="1783"/>
      <c r="O368" s="1783"/>
      <c r="P368" s="1783"/>
      <c r="Q368" s="1783"/>
      <c r="R368" s="1783"/>
      <c r="S368" s="1783"/>
      <c r="T368" s="1783"/>
      <c r="U368" s="1783"/>
      <c r="V368" s="1783"/>
      <c r="W368" s="1783"/>
      <c r="X368" s="1783"/>
      <c r="Y368" s="1783"/>
      <c r="Z368" s="1783"/>
      <c r="AA368" s="1783"/>
      <c r="AB368" s="1783"/>
      <c r="AC368" s="1783"/>
    </row>
    <row r="369" spans="1:29">
      <c r="A369" s="1783"/>
      <c r="B369" s="1783"/>
      <c r="C369" s="1783"/>
      <c r="D369" s="1783"/>
      <c r="E369" s="1783"/>
      <c r="F369" s="1783"/>
      <c r="G369" s="1783"/>
      <c r="H369" s="1783"/>
      <c r="I369" s="1783"/>
      <c r="J369" s="1783"/>
      <c r="K369" s="1783"/>
      <c r="L369" s="1783"/>
      <c r="M369" s="1783"/>
      <c r="N369" s="1783"/>
      <c r="O369" s="1783"/>
      <c r="P369" s="1783"/>
      <c r="Q369" s="1783"/>
      <c r="R369" s="1783"/>
      <c r="S369" s="1783"/>
      <c r="T369" s="1783"/>
      <c r="U369" s="1783"/>
      <c r="V369" s="1783"/>
      <c r="W369" s="1783"/>
      <c r="X369" s="1783"/>
      <c r="Y369" s="1783"/>
      <c r="Z369" s="1783"/>
      <c r="AA369" s="1783"/>
      <c r="AB369" s="1783"/>
      <c r="AC369" s="1783"/>
    </row>
    <row r="370" spans="1:29">
      <c r="A370" s="1783"/>
      <c r="B370" s="1783"/>
      <c r="C370" s="1783"/>
      <c r="D370" s="1783"/>
      <c r="E370" s="1783"/>
      <c r="F370" s="1783"/>
      <c r="G370" s="1783"/>
      <c r="H370" s="1783"/>
      <c r="I370" s="1783"/>
      <c r="J370" s="1783"/>
      <c r="K370" s="1783"/>
      <c r="L370" s="1783"/>
      <c r="M370" s="1783"/>
      <c r="N370" s="1783"/>
      <c r="O370" s="1783"/>
      <c r="P370" s="1783"/>
      <c r="Q370" s="1783"/>
      <c r="R370" s="1783"/>
      <c r="S370" s="1783"/>
      <c r="T370" s="1783"/>
      <c r="U370" s="1783"/>
      <c r="V370" s="1783"/>
      <c r="W370" s="1783"/>
      <c r="X370" s="1783"/>
      <c r="Y370" s="1783"/>
      <c r="Z370" s="1783"/>
      <c r="AA370" s="1783"/>
      <c r="AB370" s="1783"/>
      <c r="AC370" s="1783"/>
    </row>
    <row r="371" spans="1:29">
      <c r="A371" s="1783"/>
      <c r="B371" s="1783"/>
      <c r="C371" s="1783"/>
      <c r="D371" s="1783"/>
      <c r="E371" s="1783"/>
      <c r="F371" s="1783"/>
      <c r="G371" s="1783"/>
      <c r="H371" s="1783"/>
      <c r="I371" s="1783"/>
      <c r="J371" s="1783"/>
      <c r="K371" s="1783"/>
      <c r="L371" s="1783"/>
      <c r="M371" s="1783"/>
      <c r="N371" s="1783"/>
      <c r="O371" s="1783"/>
      <c r="P371" s="1783"/>
      <c r="Q371" s="1783"/>
      <c r="R371" s="1783"/>
      <c r="S371" s="1783"/>
      <c r="T371" s="1783"/>
      <c r="U371" s="1783"/>
      <c r="V371" s="1783"/>
      <c r="W371" s="1783"/>
      <c r="X371" s="1783"/>
      <c r="Y371" s="1783"/>
      <c r="Z371" s="1783"/>
      <c r="AA371" s="1783"/>
      <c r="AB371" s="1783"/>
      <c r="AC371" s="1783"/>
    </row>
    <row r="372" spans="1:29">
      <c r="A372" s="1783"/>
      <c r="B372" s="1783"/>
      <c r="C372" s="1783"/>
      <c r="D372" s="1783"/>
      <c r="E372" s="1783"/>
      <c r="F372" s="1783"/>
      <c r="G372" s="1783"/>
      <c r="H372" s="1783"/>
      <c r="I372" s="1783"/>
      <c r="J372" s="1783"/>
      <c r="K372" s="1783"/>
      <c r="L372" s="1783"/>
      <c r="M372" s="1783"/>
      <c r="N372" s="1783"/>
      <c r="O372" s="1783"/>
      <c r="P372" s="1783"/>
      <c r="Q372" s="1783"/>
      <c r="R372" s="1783"/>
      <c r="S372" s="1783"/>
      <c r="T372" s="1783"/>
      <c r="U372" s="1783"/>
      <c r="V372" s="1783"/>
      <c r="W372" s="1783"/>
      <c r="X372" s="1783"/>
      <c r="Y372" s="1783"/>
      <c r="Z372" s="1783"/>
      <c r="AA372" s="1783"/>
      <c r="AB372" s="1783"/>
      <c r="AC372" s="1783"/>
    </row>
    <row r="373" spans="1:29">
      <c r="A373" s="1783"/>
      <c r="B373" s="1783"/>
      <c r="C373" s="1783"/>
      <c r="D373" s="1783"/>
      <c r="E373" s="1783"/>
      <c r="F373" s="1783"/>
      <c r="G373" s="1783"/>
      <c r="H373" s="1783"/>
      <c r="I373" s="1783"/>
      <c r="J373" s="1783"/>
      <c r="K373" s="1783"/>
      <c r="L373" s="1783"/>
      <c r="M373" s="1783"/>
      <c r="N373" s="1783"/>
      <c r="O373" s="1783"/>
      <c r="P373" s="1783"/>
      <c r="Q373" s="1783"/>
      <c r="R373" s="1783"/>
      <c r="S373" s="1783"/>
      <c r="T373" s="1783"/>
      <c r="U373" s="1783"/>
      <c r="V373" s="1783"/>
      <c r="W373" s="1783"/>
      <c r="X373" s="1783"/>
      <c r="Y373" s="1783"/>
      <c r="Z373" s="1783"/>
      <c r="AA373" s="1783"/>
      <c r="AB373" s="1783"/>
      <c r="AC373" s="1783"/>
    </row>
    <row r="374" spans="1:29">
      <c r="A374" s="1783"/>
      <c r="B374" s="1783"/>
      <c r="C374" s="1783"/>
      <c r="D374" s="1783"/>
      <c r="E374" s="1783"/>
      <c r="F374" s="1783"/>
      <c r="G374" s="1783"/>
      <c r="H374" s="1783"/>
      <c r="I374" s="1783"/>
      <c r="J374" s="1783"/>
      <c r="K374" s="1783"/>
      <c r="L374" s="1783"/>
      <c r="M374" s="1783"/>
      <c r="N374" s="1783"/>
      <c r="O374" s="1783"/>
      <c r="P374" s="1783"/>
      <c r="Q374" s="1783"/>
      <c r="R374" s="1783"/>
      <c r="S374" s="1783"/>
      <c r="T374" s="1783"/>
      <c r="U374" s="1783"/>
      <c r="V374" s="1783"/>
      <c r="W374" s="1783"/>
      <c r="X374" s="1783"/>
      <c r="Y374" s="1783"/>
      <c r="Z374" s="1783"/>
      <c r="AA374" s="1783"/>
      <c r="AB374" s="1783"/>
      <c r="AC374" s="1783"/>
    </row>
    <row r="375" spans="1:29">
      <c r="A375" s="1783"/>
      <c r="B375" s="1783"/>
      <c r="C375" s="1783"/>
      <c r="D375" s="1783"/>
      <c r="E375" s="1783"/>
      <c r="F375" s="1783"/>
      <c r="G375" s="1783"/>
      <c r="H375" s="1783"/>
      <c r="I375" s="1783"/>
      <c r="J375" s="1783"/>
      <c r="K375" s="1783"/>
      <c r="L375" s="1783"/>
      <c r="M375" s="1783"/>
      <c r="N375" s="1783"/>
      <c r="O375" s="1783"/>
      <c r="P375" s="1783"/>
      <c r="Q375" s="1783"/>
      <c r="R375" s="1783"/>
      <c r="S375" s="1783"/>
      <c r="T375" s="1783"/>
      <c r="U375" s="1783"/>
      <c r="V375" s="1783"/>
      <c r="W375" s="1783"/>
      <c r="X375" s="1783"/>
      <c r="Y375" s="1783"/>
      <c r="Z375" s="1783"/>
      <c r="AA375" s="1783"/>
      <c r="AB375" s="1783"/>
      <c r="AC375" s="1783"/>
    </row>
    <row r="376" spans="1:29">
      <c r="A376" s="1783"/>
      <c r="B376" s="1783"/>
      <c r="C376" s="1783"/>
      <c r="D376" s="1783"/>
      <c r="E376" s="1783"/>
      <c r="F376" s="1783"/>
      <c r="G376" s="1783"/>
      <c r="H376" s="1783"/>
      <c r="I376" s="1783"/>
      <c r="J376" s="1783"/>
      <c r="K376" s="1783"/>
      <c r="L376" s="1783"/>
      <c r="M376" s="1783"/>
      <c r="N376" s="1783"/>
      <c r="O376" s="1783"/>
      <c r="P376" s="1783"/>
      <c r="Q376" s="1783"/>
      <c r="R376" s="1783"/>
      <c r="S376" s="1783"/>
      <c r="T376" s="1783"/>
      <c r="U376" s="1783"/>
      <c r="V376" s="1783"/>
      <c r="W376" s="1783"/>
      <c r="X376" s="1783"/>
      <c r="Y376" s="1783"/>
      <c r="Z376" s="1783"/>
      <c r="AA376" s="1783"/>
      <c r="AB376" s="1783"/>
      <c r="AC376" s="1783"/>
    </row>
    <row r="377" spans="1:29">
      <c r="A377" s="1783"/>
      <c r="B377" s="1783"/>
      <c r="C377" s="1783"/>
      <c r="D377" s="1783"/>
      <c r="E377" s="1783"/>
      <c r="F377" s="1783"/>
      <c r="G377" s="1783"/>
      <c r="H377" s="1783"/>
      <c r="I377" s="1783"/>
      <c r="J377" s="1783"/>
      <c r="K377" s="1783"/>
      <c r="L377" s="1783"/>
      <c r="M377" s="1783"/>
      <c r="N377" s="1783"/>
      <c r="O377" s="1783"/>
      <c r="P377" s="1783"/>
      <c r="Q377" s="1783"/>
      <c r="R377" s="1783"/>
      <c r="S377" s="1783"/>
      <c r="T377" s="1783"/>
      <c r="U377" s="1783"/>
      <c r="V377" s="1783"/>
      <c r="W377" s="1783"/>
      <c r="X377" s="1783"/>
      <c r="Y377" s="1783"/>
      <c r="Z377" s="1783"/>
      <c r="AA377" s="1783"/>
      <c r="AB377" s="1783"/>
      <c r="AC377" s="1783"/>
    </row>
    <row r="378" spans="1:29">
      <c r="A378" s="1783"/>
      <c r="B378" s="1783"/>
      <c r="C378" s="1783"/>
      <c r="D378" s="1783"/>
      <c r="E378" s="1783"/>
      <c r="F378" s="1783"/>
      <c r="G378" s="1783"/>
      <c r="H378" s="1783"/>
      <c r="I378" s="1783"/>
      <c r="J378" s="1783"/>
      <c r="K378" s="1783"/>
      <c r="L378" s="1783"/>
      <c r="M378" s="1783"/>
      <c r="N378" s="1783"/>
      <c r="O378" s="1783"/>
      <c r="P378" s="1783"/>
      <c r="Q378" s="1783"/>
      <c r="R378" s="1783"/>
      <c r="S378" s="1783"/>
      <c r="T378" s="1783"/>
      <c r="U378" s="1783"/>
      <c r="V378" s="1783"/>
      <c r="W378" s="1783"/>
      <c r="X378" s="1783"/>
      <c r="Y378" s="1783"/>
      <c r="Z378" s="1783"/>
      <c r="AA378" s="1783"/>
      <c r="AB378" s="1783"/>
      <c r="AC378" s="1783"/>
    </row>
    <row r="379" spans="1:29">
      <c r="A379" s="1783"/>
      <c r="B379" s="1783"/>
      <c r="C379" s="1783"/>
      <c r="D379" s="1783"/>
      <c r="E379" s="1783"/>
      <c r="F379" s="1783"/>
      <c r="G379" s="1783"/>
      <c r="H379" s="1783"/>
      <c r="I379" s="1783"/>
      <c r="J379" s="1783"/>
      <c r="K379" s="1783"/>
      <c r="L379" s="1783"/>
      <c r="M379" s="1783"/>
      <c r="N379" s="1783"/>
      <c r="O379" s="1783"/>
      <c r="P379" s="1783"/>
      <c r="Q379" s="1783"/>
      <c r="R379" s="1783"/>
      <c r="S379" s="1783"/>
      <c r="T379" s="1783"/>
      <c r="U379" s="1783"/>
      <c r="V379" s="1783"/>
      <c r="W379" s="1783"/>
      <c r="X379" s="1783"/>
      <c r="Y379" s="1783"/>
      <c r="Z379" s="1783"/>
      <c r="AA379" s="1783"/>
      <c r="AB379" s="1783"/>
      <c r="AC379" s="1783"/>
    </row>
    <row r="380" spans="1:29">
      <c r="A380" s="1783"/>
      <c r="B380" s="1783"/>
      <c r="C380" s="1783"/>
      <c r="D380" s="1783"/>
      <c r="E380" s="1783"/>
      <c r="F380" s="1783"/>
      <c r="G380" s="1783"/>
      <c r="H380" s="1783"/>
      <c r="I380" s="1783"/>
      <c r="J380" s="1783"/>
      <c r="K380" s="1783"/>
      <c r="L380" s="1783"/>
      <c r="M380" s="1783"/>
      <c r="N380" s="1783"/>
      <c r="O380" s="1783"/>
      <c r="P380" s="1783"/>
      <c r="Q380" s="1783"/>
      <c r="R380" s="1783"/>
      <c r="S380" s="1783"/>
      <c r="T380" s="1783"/>
      <c r="U380" s="1783"/>
      <c r="V380" s="1783"/>
      <c r="W380" s="1783"/>
      <c r="X380" s="1783"/>
      <c r="Y380" s="1783"/>
      <c r="Z380" s="1783"/>
      <c r="AA380" s="1783"/>
      <c r="AB380" s="1783"/>
      <c r="AC380" s="1783"/>
    </row>
    <row r="381" spans="1:29">
      <c r="A381" s="1783"/>
      <c r="B381" s="1783"/>
      <c r="C381" s="1783"/>
      <c r="D381" s="1783"/>
      <c r="E381" s="1783"/>
      <c r="F381" s="1783"/>
      <c r="G381" s="1783"/>
      <c r="H381" s="1783"/>
      <c r="I381" s="1783"/>
      <c r="J381" s="1783"/>
      <c r="K381" s="1783"/>
      <c r="L381" s="1783"/>
      <c r="M381" s="1783"/>
      <c r="N381" s="1783"/>
      <c r="O381" s="1783"/>
      <c r="P381" s="1783"/>
      <c r="Q381" s="1783"/>
      <c r="R381" s="1783"/>
      <c r="S381" s="1783"/>
      <c r="T381" s="1783"/>
      <c r="U381" s="1783"/>
      <c r="V381" s="1783"/>
      <c r="W381" s="1783"/>
      <c r="X381" s="1783"/>
      <c r="Y381" s="1783"/>
      <c r="Z381" s="1783"/>
      <c r="AA381" s="1783"/>
      <c r="AB381" s="1783"/>
      <c r="AC381" s="1783"/>
    </row>
    <row r="382" spans="1:29">
      <c r="A382" s="1783"/>
      <c r="B382" s="1783"/>
      <c r="C382" s="1783"/>
      <c r="D382" s="1783"/>
      <c r="E382" s="1783"/>
      <c r="F382" s="1783"/>
      <c r="G382" s="1783"/>
      <c r="H382" s="1783"/>
      <c r="I382" s="1783"/>
      <c r="J382" s="1783"/>
      <c r="K382" s="1783"/>
      <c r="L382" s="1783"/>
      <c r="M382" s="1783"/>
      <c r="N382" s="1783"/>
      <c r="O382" s="1783"/>
      <c r="P382" s="1783"/>
      <c r="Q382" s="1783"/>
      <c r="R382" s="1783"/>
      <c r="S382" s="1783"/>
      <c r="T382" s="1783"/>
      <c r="U382" s="1783"/>
      <c r="V382" s="1783"/>
      <c r="W382" s="1783"/>
      <c r="X382" s="1783"/>
      <c r="Y382" s="1783"/>
      <c r="Z382" s="1783"/>
      <c r="AA382" s="1783"/>
      <c r="AB382" s="1783"/>
      <c r="AC382" s="1783"/>
    </row>
    <row r="383" spans="1:29">
      <c r="A383" s="1783"/>
      <c r="B383" s="1783"/>
      <c r="C383" s="1783"/>
      <c r="D383" s="1783"/>
      <c r="E383" s="1783"/>
      <c r="F383" s="1783"/>
      <c r="G383" s="1783"/>
      <c r="H383" s="1783"/>
      <c r="I383" s="1783"/>
      <c r="J383" s="1783"/>
      <c r="K383" s="1783"/>
      <c r="L383" s="1783"/>
      <c r="M383" s="1783"/>
      <c r="N383" s="1783"/>
      <c r="O383" s="1783"/>
      <c r="P383" s="1783"/>
      <c r="Q383" s="1783"/>
      <c r="R383" s="1783"/>
      <c r="S383" s="1783"/>
      <c r="T383" s="1783"/>
      <c r="U383" s="1783"/>
      <c r="V383" s="1783"/>
      <c r="W383" s="1783"/>
      <c r="X383" s="1783"/>
      <c r="Y383" s="1783"/>
      <c r="Z383" s="1783"/>
      <c r="AA383" s="1783"/>
      <c r="AB383" s="1783"/>
      <c r="AC383" s="1783"/>
    </row>
    <row r="384" spans="1:29">
      <c r="A384" s="1783"/>
      <c r="B384" s="1783"/>
      <c r="C384" s="1783"/>
      <c r="D384" s="1783"/>
      <c r="E384" s="1783"/>
      <c r="F384" s="1783"/>
      <c r="G384" s="1783"/>
      <c r="H384" s="1783"/>
      <c r="I384" s="1783"/>
      <c r="J384" s="1783"/>
      <c r="K384" s="1783"/>
      <c r="L384" s="1783"/>
      <c r="M384" s="1783"/>
      <c r="N384" s="1783"/>
      <c r="O384" s="1783"/>
      <c r="P384" s="1783"/>
      <c r="Q384" s="1783"/>
      <c r="R384" s="1783"/>
      <c r="S384" s="1783"/>
      <c r="T384" s="1783"/>
      <c r="U384" s="1783"/>
      <c r="V384" s="1783"/>
      <c r="W384" s="1783"/>
      <c r="X384" s="1783"/>
      <c r="Y384" s="1783"/>
      <c r="Z384" s="1783"/>
      <c r="AA384" s="1783"/>
      <c r="AB384" s="1783"/>
      <c r="AC384" s="1783"/>
    </row>
    <row r="385" spans="1:29">
      <c r="A385" s="1783"/>
      <c r="B385" s="1783"/>
      <c r="C385" s="1783"/>
      <c r="D385" s="1783"/>
      <c r="E385" s="1783"/>
      <c r="F385" s="1783"/>
      <c r="G385" s="1783"/>
      <c r="H385" s="1783"/>
      <c r="I385" s="1783"/>
      <c r="J385" s="1783"/>
      <c r="K385" s="1783"/>
      <c r="L385" s="1783"/>
      <c r="M385" s="1783"/>
      <c r="N385" s="1783"/>
      <c r="O385" s="1783"/>
      <c r="P385" s="1783"/>
      <c r="Q385" s="1783"/>
      <c r="R385" s="1783"/>
      <c r="S385" s="1783"/>
      <c r="T385" s="1783"/>
      <c r="U385" s="1783"/>
      <c r="V385" s="1783"/>
      <c r="W385" s="1783"/>
      <c r="X385" s="1783"/>
      <c r="Y385" s="1783"/>
      <c r="Z385" s="1783"/>
      <c r="AA385" s="1783"/>
      <c r="AB385" s="1783"/>
      <c r="AC385" s="1783"/>
    </row>
    <row r="386" spans="1:29">
      <c r="A386" s="1783"/>
      <c r="B386" s="1783"/>
      <c r="C386" s="1783"/>
      <c r="D386" s="1783"/>
      <c r="E386" s="1783"/>
      <c r="F386" s="1783"/>
      <c r="G386" s="1783"/>
      <c r="H386" s="1783"/>
      <c r="I386" s="1783"/>
      <c r="J386" s="1783"/>
      <c r="K386" s="1783"/>
      <c r="L386" s="1783"/>
      <c r="M386" s="1783"/>
      <c r="N386" s="1783"/>
      <c r="O386" s="1783"/>
      <c r="P386" s="1783"/>
      <c r="Q386" s="1783"/>
      <c r="R386" s="1783"/>
      <c r="S386" s="1783"/>
      <c r="T386" s="1783"/>
      <c r="U386" s="1783"/>
      <c r="V386" s="1783"/>
      <c r="W386" s="1783"/>
      <c r="X386" s="1783"/>
      <c r="Y386" s="1783"/>
      <c r="Z386" s="1783"/>
      <c r="AA386" s="1783"/>
      <c r="AB386" s="1783"/>
      <c r="AC386" s="1783"/>
    </row>
    <row r="387" spans="1:29">
      <c r="A387" s="1783"/>
      <c r="B387" s="1783"/>
      <c r="C387" s="1783"/>
      <c r="D387" s="1783"/>
      <c r="E387" s="1783"/>
      <c r="F387" s="1783"/>
      <c r="G387" s="1783"/>
      <c r="H387" s="1783"/>
      <c r="I387" s="1783"/>
      <c r="J387" s="1783"/>
      <c r="K387" s="1783"/>
      <c r="L387" s="1783"/>
      <c r="M387" s="1783"/>
      <c r="N387" s="1783"/>
      <c r="O387" s="1783"/>
      <c r="P387" s="1783"/>
      <c r="Q387" s="1783"/>
      <c r="R387" s="1783"/>
      <c r="S387" s="1783"/>
      <c r="T387" s="1783"/>
      <c r="U387" s="1783"/>
      <c r="V387" s="1783"/>
      <c r="W387" s="1783"/>
      <c r="X387" s="1783"/>
      <c r="Y387" s="1783"/>
      <c r="Z387" s="1783"/>
      <c r="AA387" s="1783"/>
      <c r="AB387" s="1783"/>
      <c r="AC387" s="1783"/>
    </row>
    <row r="388" spans="1:29">
      <c r="A388" s="1783"/>
      <c r="B388" s="1783"/>
      <c r="C388" s="1783"/>
      <c r="D388" s="1783"/>
      <c r="E388" s="1783"/>
      <c r="F388" s="1783"/>
      <c r="G388" s="1783"/>
      <c r="H388" s="1783"/>
      <c r="I388" s="1783"/>
      <c r="J388" s="1783"/>
      <c r="K388" s="1783"/>
      <c r="L388" s="1783"/>
      <c r="M388" s="1783"/>
      <c r="N388" s="1783"/>
      <c r="O388" s="1783"/>
      <c r="P388" s="1783"/>
      <c r="Q388" s="1783"/>
      <c r="R388" s="1783"/>
      <c r="S388" s="1783"/>
      <c r="T388" s="1783"/>
      <c r="U388" s="1783"/>
      <c r="V388" s="1783"/>
      <c r="W388" s="1783"/>
      <c r="X388" s="1783"/>
      <c r="Y388" s="1783"/>
      <c r="Z388" s="1783"/>
      <c r="AA388" s="1783"/>
      <c r="AB388" s="1783"/>
      <c r="AC388" s="1783"/>
    </row>
    <row r="389" spans="1:29">
      <c r="A389" s="1783"/>
      <c r="B389" s="1783"/>
      <c r="C389" s="1783"/>
      <c r="D389" s="1783"/>
      <c r="E389" s="1783"/>
      <c r="F389" s="1783"/>
      <c r="G389" s="1783"/>
      <c r="H389" s="1783"/>
      <c r="I389" s="1783"/>
      <c r="J389" s="1783"/>
      <c r="K389" s="1783"/>
      <c r="L389" s="1783"/>
      <c r="M389" s="1783"/>
      <c r="N389" s="1783"/>
      <c r="O389" s="1783"/>
      <c r="P389" s="1783"/>
      <c r="Q389" s="1783"/>
      <c r="R389" s="1783"/>
      <c r="S389" s="1783"/>
      <c r="T389" s="1783"/>
      <c r="U389" s="1783"/>
      <c r="V389" s="1783"/>
      <c r="W389" s="1783"/>
      <c r="X389" s="1783"/>
      <c r="Y389" s="1783"/>
      <c r="Z389" s="1783"/>
      <c r="AA389" s="1783"/>
      <c r="AB389" s="1783"/>
      <c r="AC389" s="1783"/>
    </row>
    <row r="390" spans="1:29">
      <c r="A390" s="1783"/>
      <c r="B390" s="1783"/>
      <c r="C390" s="1783"/>
      <c r="D390" s="1783"/>
      <c r="E390" s="1783"/>
      <c r="F390" s="1783"/>
      <c r="G390" s="1783"/>
      <c r="H390" s="1783"/>
      <c r="I390" s="1783"/>
      <c r="J390" s="1783"/>
      <c r="K390" s="1783"/>
      <c r="L390" s="1783"/>
      <c r="M390" s="1783"/>
      <c r="N390" s="1783"/>
      <c r="O390" s="1783"/>
      <c r="P390" s="1783"/>
      <c r="Q390" s="1783"/>
      <c r="R390" s="1783"/>
      <c r="S390" s="1783"/>
      <c r="T390" s="1783"/>
      <c r="U390" s="1783"/>
      <c r="V390" s="1783"/>
      <c r="W390" s="1783"/>
      <c r="X390" s="1783"/>
      <c r="Y390" s="1783"/>
      <c r="Z390" s="1783"/>
      <c r="AA390" s="1783"/>
      <c r="AB390" s="1783"/>
      <c r="AC390" s="1783"/>
    </row>
    <row r="391" spans="1:29">
      <c r="A391" s="1783"/>
      <c r="B391" s="1783"/>
      <c r="C391" s="1783"/>
      <c r="D391" s="1783"/>
      <c r="E391" s="1783"/>
      <c r="F391" s="1783"/>
      <c r="G391" s="1783"/>
      <c r="H391" s="1783"/>
      <c r="I391" s="1783"/>
      <c r="J391" s="1783"/>
      <c r="K391" s="1783"/>
      <c r="L391" s="1783"/>
      <c r="M391" s="1783"/>
      <c r="N391" s="1783"/>
      <c r="O391" s="1783"/>
      <c r="P391" s="1783"/>
      <c r="Q391" s="1783"/>
      <c r="R391" s="1783"/>
      <c r="S391" s="1783"/>
      <c r="T391" s="1783"/>
      <c r="U391" s="1783"/>
      <c r="V391" s="1783"/>
      <c r="W391" s="1783"/>
      <c r="X391" s="1783"/>
      <c r="Y391" s="1783"/>
      <c r="Z391" s="1783"/>
      <c r="AA391" s="1783"/>
      <c r="AB391" s="1783"/>
      <c r="AC391" s="1783"/>
    </row>
    <row r="392" spans="1:29">
      <c r="A392" s="1783"/>
      <c r="B392" s="1783"/>
      <c r="C392" s="1783"/>
      <c r="D392" s="1783"/>
      <c r="E392" s="1783"/>
      <c r="F392" s="1783"/>
      <c r="G392" s="1783"/>
      <c r="H392" s="1783"/>
      <c r="I392" s="1783"/>
      <c r="J392" s="1783"/>
      <c r="K392" s="1783"/>
      <c r="L392" s="1783"/>
      <c r="M392" s="1783"/>
      <c r="N392" s="1783"/>
      <c r="O392" s="1783"/>
      <c r="P392" s="1783"/>
      <c r="Q392" s="1783"/>
      <c r="R392" s="1783"/>
      <c r="S392" s="1783"/>
      <c r="T392" s="1783"/>
      <c r="U392" s="1783"/>
      <c r="V392" s="1783"/>
      <c r="W392" s="1783"/>
      <c r="X392" s="1783"/>
      <c r="Y392" s="1783"/>
      <c r="Z392" s="1783"/>
      <c r="AA392" s="1783"/>
      <c r="AB392" s="1783"/>
      <c r="AC392" s="1783"/>
    </row>
    <row r="393" spans="1:29">
      <c r="A393" s="1783"/>
      <c r="B393" s="1783"/>
      <c r="C393" s="1783"/>
      <c r="D393" s="1783"/>
      <c r="E393" s="1783"/>
      <c r="F393" s="1783"/>
      <c r="G393" s="1783"/>
      <c r="H393" s="1783"/>
      <c r="I393" s="1783"/>
      <c r="J393" s="1783"/>
      <c r="K393" s="1783"/>
      <c r="L393" s="1783"/>
      <c r="M393" s="1783"/>
      <c r="N393" s="1783"/>
      <c r="O393" s="1783"/>
      <c r="P393" s="1783"/>
      <c r="Q393" s="1783"/>
      <c r="R393" s="1783"/>
      <c r="S393" s="1783"/>
      <c r="T393" s="1783"/>
      <c r="U393" s="1783"/>
      <c r="V393" s="1783"/>
      <c r="W393" s="1783"/>
      <c r="X393" s="1783"/>
      <c r="Y393" s="1783"/>
      <c r="Z393" s="1783"/>
      <c r="AA393" s="1783"/>
      <c r="AB393" s="1783"/>
      <c r="AC393" s="1783"/>
    </row>
    <row r="394" spans="1:29">
      <c r="A394" s="1783"/>
      <c r="B394" s="1783"/>
      <c r="C394" s="1783"/>
      <c r="D394" s="1783"/>
      <c r="E394" s="1783"/>
      <c r="F394" s="1783"/>
      <c r="G394" s="1783"/>
      <c r="H394" s="1783"/>
      <c r="I394" s="1783"/>
      <c r="J394" s="1783"/>
      <c r="K394" s="1783"/>
      <c r="L394" s="1783"/>
      <c r="M394" s="1783"/>
      <c r="N394" s="1783"/>
      <c r="O394" s="1783"/>
      <c r="P394" s="1783"/>
      <c r="Q394" s="1783"/>
      <c r="R394" s="1783"/>
      <c r="S394" s="1783"/>
      <c r="T394" s="1783"/>
      <c r="U394" s="1783"/>
      <c r="V394" s="1783"/>
      <c r="W394" s="1783"/>
      <c r="X394" s="1783"/>
      <c r="Y394" s="1783"/>
      <c r="Z394" s="1783"/>
      <c r="AA394" s="1783"/>
      <c r="AB394" s="1783"/>
      <c r="AC394" s="1783"/>
    </row>
    <row r="395" spans="1:29">
      <c r="A395" s="1783"/>
      <c r="B395" s="1783"/>
      <c r="C395" s="1783"/>
      <c r="D395" s="1783"/>
      <c r="E395" s="1783"/>
      <c r="F395" s="1783"/>
      <c r="G395" s="1783"/>
      <c r="H395" s="1783"/>
      <c r="I395" s="1783"/>
      <c r="J395" s="1783"/>
      <c r="K395" s="1783"/>
      <c r="L395" s="1783"/>
      <c r="M395" s="1783"/>
      <c r="N395" s="1783"/>
      <c r="O395" s="1783"/>
      <c r="P395" s="1783"/>
      <c r="Q395" s="1783"/>
      <c r="R395" s="1783"/>
      <c r="S395" s="1783"/>
      <c r="T395" s="1783"/>
      <c r="U395" s="1783"/>
      <c r="V395" s="1783"/>
      <c r="W395" s="1783"/>
      <c r="X395" s="1783"/>
      <c r="Y395" s="1783"/>
      <c r="Z395" s="1783"/>
      <c r="AA395" s="1783"/>
      <c r="AB395" s="1783"/>
      <c r="AC395" s="1783"/>
    </row>
    <row r="396" spans="1:29">
      <c r="A396" s="1783"/>
      <c r="B396" s="1783"/>
      <c r="C396" s="1783"/>
      <c r="D396" s="1783"/>
      <c r="E396" s="1783"/>
      <c r="F396" s="1783"/>
      <c r="G396" s="1783"/>
      <c r="H396" s="1783"/>
      <c r="I396" s="1783"/>
      <c r="J396" s="1783"/>
      <c r="K396" s="1783"/>
      <c r="L396" s="1783"/>
      <c r="M396" s="1783"/>
      <c r="N396" s="1783"/>
      <c r="O396" s="1783"/>
      <c r="P396" s="1783"/>
      <c r="Q396" s="1783"/>
      <c r="R396" s="1783"/>
      <c r="S396" s="1783"/>
      <c r="T396" s="1783"/>
      <c r="U396" s="1783"/>
      <c r="V396" s="1783"/>
      <c r="W396" s="1783"/>
      <c r="X396" s="1783"/>
      <c r="Y396" s="1783"/>
      <c r="Z396" s="1783"/>
      <c r="AA396" s="1783"/>
      <c r="AB396" s="1783"/>
      <c r="AC396" s="1783"/>
    </row>
    <row r="397" spans="1:29">
      <c r="A397" s="1783"/>
      <c r="B397" s="1783"/>
      <c r="C397" s="1783"/>
      <c r="D397" s="1783"/>
      <c r="E397" s="1783"/>
      <c r="F397" s="1783"/>
      <c r="G397" s="1783"/>
      <c r="H397" s="1783"/>
      <c r="I397" s="1783"/>
      <c r="J397" s="1783"/>
      <c r="K397" s="1783"/>
      <c r="L397" s="1783"/>
      <c r="M397" s="1783"/>
      <c r="N397" s="1783"/>
      <c r="O397" s="1783"/>
      <c r="P397" s="1783"/>
      <c r="Q397" s="1783"/>
      <c r="R397" s="1783"/>
      <c r="S397" s="1783"/>
      <c r="T397" s="1783"/>
      <c r="U397" s="1783"/>
      <c r="V397" s="1783"/>
      <c r="W397" s="1783"/>
      <c r="X397" s="1783"/>
      <c r="Y397" s="1783"/>
      <c r="Z397" s="1783"/>
      <c r="AA397" s="1783"/>
      <c r="AB397" s="1783"/>
      <c r="AC397" s="1783"/>
    </row>
    <row r="398" spans="1:29">
      <c r="A398" s="1783"/>
      <c r="B398" s="1783"/>
      <c r="C398" s="1783"/>
      <c r="D398" s="1783"/>
      <c r="E398" s="1783"/>
      <c r="F398" s="1783"/>
      <c r="G398" s="1783"/>
      <c r="H398" s="1783"/>
      <c r="I398" s="1783"/>
      <c r="J398" s="1783"/>
      <c r="K398" s="1783"/>
      <c r="L398" s="1783"/>
      <c r="M398" s="1783"/>
      <c r="N398" s="1783"/>
      <c r="O398" s="1783"/>
      <c r="P398" s="1783"/>
      <c r="Q398" s="1783"/>
      <c r="R398" s="1783"/>
      <c r="S398" s="1783"/>
      <c r="T398" s="1783"/>
      <c r="U398" s="1783"/>
      <c r="V398" s="1783"/>
      <c r="W398" s="1783"/>
      <c r="X398" s="1783"/>
      <c r="Y398" s="1783"/>
      <c r="Z398" s="1783"/>
      <c r="AA398" s="1783"/>
      <c r="AB398" s="1783"/>
      <c r="AC398" s="1783"/>
    </row>
    <row r="399" spans="1:29">
      <c r="A399" s="1783"/>
      <c r="B399" s="1783"/>
      <c r="C399" s="1783"/>
      <c r="D399" s="1783"/>
      <c r="E399" s="1783"/>
      <c r="F399" s="1783"/>
      <c r="G399" s="1783"/>
      <c r="H399" s="1783"/>
      <c r="I399" s="1783"/>
      <c r="J399" s="1783"/>
      <c r="K399" s="1783"/>
      <c r="L399" s="1783"/>
      <c r="M399" s="1783"/>
      <c r="N399" s="1783"/>
      <c r="O399" s="1783"/>
      <c r="P399" s="1783"/>
      <c r="Q399" s="1783"/>
      <c r="R399" s="1783"/>
      <c r="S399" s="1783"/>
      <c r="T399" s="1783"/>
      <c r="U399" s="1783"/>
      <c r="V399" s="1783"/>
      <c r="W399" s="1783"/>
      <c r="X399" s="1783"/>
      <c r="Y399" s="1783"/>
      <c r="Z399" s="1783"/>
      <c r="AA399" s="1783"/>
      <c r="AB399" s="1783"/>
      <c r="AC399" s="1783"/>
    </row>
    <row r="400" spans="1:29">
      <c r="A400" s="1783"/>
      <c r="B400" s="1783"/>
      <c r="C400" s="1783"/>
      <c r="D400" s="1783"/>
      <c r="E400" s="1783"/>
      <c r="F400" s="1783"/>
      <c r="G400" s="1783"/>
      <c r="H400" s="1783"/>
      <c r="I400" s="1783"/>
      <c r="J400" s="1783"/>
      <c r="K400" s="1783"/>
      <c r="L400" s="1783"/>
      <c r="M400" s="1783"/>
      <c r="N400" s="1783"/>
      <c r="O400" s="1783"/>
      <c r="P400" s="1783"/>
      <c r="Q400" s="1783"/>
      <c r="R400" s="1783"/>
      <c r="S400" s="1783"/>
      <c r="T400" s="1783"/>
      <c r="U400" s="1783"/>
      <c r="V400" s="1783"/>
      <c r="W400" s="1783"/>
      <c r="X400" s="1783"/>
      <c r="Y400" s="1783"/>
      <c r="Z400" s="1783"/>
      <c r="AA400" s="1783"/>
      <c r="AB400" s="1783"/>
      <c r="AC400" s="1783"/>
    </row>
    <row r="401" spans="1:29">
      <c r="A401" s="1783"/>
      <c r="B401" s="1783"/>
      <c r="C401" s="1783"/>
      <c r="D401" s="1783"/>
      <c r="E401" s="1783"/>
      <c r="F401" s="1783"/>
      <c r="G401" s="1783"/>
      <c r="H401" s="1783"/>
      <c r="I401" s="1783"/>
      <c r="J401" s="1783"/>
      <c r="K401" s="1783"/>
      <c r="L401" s="1783"/>
      <c r="M401" s="1783"/>
      <c r="N401" s="1783"/>
      <c r="O401" s="1783"/>
      <c r="P401" s="1783"/>
      <c r="Q401" s="1783"/>
      <c r="R401" s="1783"/>
      <c r="S401" s="1783"/>
      <c r="T401" s="1783"/>
      <c r="U401" s="1783"/>
      <c r="V401" s="1783"/>
      <c r="W401" s="1783"/>
      <c r="X401" s="1783"/>
      <c r="Y401" s="1783"/>
      <c r="Z401" s="1783"/>
      <c r="AA401" s="1783"/>
      <c r="AB401" s="1783"/>
      <c r="AC401" s="1783"/>
    </row>
    <row r="402" spans="1:29">
      <c r="A402" s="1783"/>
      <c r="B402" s="1783"/>
      <c r="C402" s="1783"/>
      <c r="D402" s="1783"/>
      <c r="E402" s="1783"/>
      <c r="F402" s="1783"/>
      <c r="G402" s="1783"/>
      <c r="H402" s="1783"/>
      <c r="I402" s="1783"/>
      <c r="J402" s="1783"/>
      <c r="K402" s="1783"/>
      <c r="L402" s="1783"/>
      <c r="M402" s="1783"/>
      <c r="N402" s="1783"/>
      <c r="O402" s="1783"/>
      <c r="P402" s="1783"/>
      <c r="Q402" s="1783"/>
      <c r="R402" s="1783"/>
      <c r="S402" s="1783"/>
      <c r="T402" s="1783"/>
      <c r="U402" s="1783"/>
      <c r="V402" s="1783"/>
      <c r="W402" s="1783"/>
      <c r="X402" s="1783"/>
      <c r="Y402" s="1783"/>
      <c r="Z402" s="1783"/>
      <c r="AA402" s="1783"/>
      <c r="AB402" s="1783"/>
      <c r="AC402" s="1783"/>
    </row>
    <row r="403" spans="1:29">
      <c r="A403" s="1783"/>
      <c r="B403" s="1783"/>
      <c r="C403" s="1783"/>
      <c r="D403" s="1783"/>
      <c r="E403" s="1783"/>
      <c r="F403" s="1783"/>
      <c r="G403" s="1783"/>
      <c r="H403" s="1783"/>
      <c r="I403" s="1783"/>
      <c r="J403" s="1783"/>
      <c r="K403" s="1783"/>
      <c r="L403" s="1783"/>
      <c r="M403" s="1783"/>
      <c r="N403" s="1783"/>
      <c r="O403" s="1783"/>
      <c r="P403" s="1783"/>
      <c r="Q403" s="1783"/>
      <c r="R403" s="1783"/>
      <c r="S403" s="1783"/>
      <c r="T403" s="1783"/>
      <c r="U403" s="1783"/>
      <c r="V403" s="1783"/>
      <c r="W403" s="1783"/>
      <c r="X403" s="1783"/>
      <c r="Y403" s="1783"/>
      <c r="Z403" s="1783"/>
      <c r="AA403" s="1783"/>
      <c r="AB403" s="1783"/>
      <c r="AC403" s="1783"/>
    </row>
    <row r="404" spans="1:29">
      <c r="A404" s="1783"/>
      <c r="B404" s="1783"/>
      <c r="C404" s="1783"/>
      <c r="D404" s="1783"/>
      <c r="E404" s="1783"/>
      <c r="F404" s="1783"/>
      <c r="G404" s="1783"/>
      <c r="H404" s="1783"/>
      <c r="I404" s="1783"/>
      <c r="J404" s="1783"/>
      <c r="K404" s="1783"/>
      <c r="L404" s="1783"/>
      <c r="M404" s="1783"/>
      <c r="N404" s="1783"/>
      <c r="O404" s="1783"/>
      <c r="P404" s="1783"/>
      <c r="Q404" s="1783"/>
      <c r="R404" s="1783"/>
      <c r="S404" s="1783"/>
      <c r="T404" s="1783"/>
      <c r="U404" s="1783"/>
      <c r="V404" s="1783"/>
      <c r="W404" s="1783"/>
      <c r="X404" s="1783"/>
      <c r="Y404" s="1783"/>
      <c r="Z404" s="1783"/>
      <c r="AA404" s="1783"/>
      <c r="AB404" s="1783"/>
      <c r="AC404" s="1783"/>
    </row>
    <row r="405" spans="1:29">
      <c r="A405" s="1783"/>
      <c r="B405" s="1783"/>
      <c r="C405" s="1783"/>
      <c r="D405" s="1783"/>
      <c r="E405" s="1783"/>
      <c r="F405" s="1783"/>
      <c r="G405" s="1783"/>
      <c r="H405" s="1783"/>
      <c r="I405" s="1783"/>
      <c r="J405" s="1783"/>
      <c r="K405" s="1783"/>
      <c r="L405" s="1783"/>
      <c r="M405" s="1783"/>
      <c r="N405" s="1783"/>
      <c r="O405" s="1783"/>
      <c r="P405" s="1783"/>
      <c r="Q405" s="1783"/>
      <c r="R405" s="1783"/>
      <c r="S405" s="1783"/>
      <c r="T405" s="1783"/>
      <c r="U405" s="1783"/>
      <c r="V405" s="1783"/>
      <c r="W405" s="1783"/>
      <c r="X405" s="1783"/>
      <c r="Y405" s="1783"/>
      <c r="Z405" s="1783"/>
      <c r="AA405" s="1783"/>
      <c r="AB405" s="1783"/>
      <c r="AC405" s="1783"/>
    </row>
    <row r="406" spans="1:29">
      <c r="A406" s="1783"/>
      <c r="B406" s="1783"/>
      <c r="C406" s="1783"/>
      <c r="D406" s="1783"/>
      <c r="E406" s="1783"/>
      <c r="F406" s="1783"/>
      <c r="G406" s="1783"/>
      <c r="H406" s="1783"/>
      <c r="I406" s="1783"/>
      <c r="J406" s="1783"/>
      <c r="K406" s="1783"/>
      <c r="L406" s="1783"/>
      <c r="M406" s="1783"/>
      <c r="N406" s="1783"/>
      <c r="O406" s="1783"/>
      <c r="P406" s="1783"/>
      <c r="Q406" s="1783"/>
      <c r="R406" s="1783"/>
      <c r="S406" s="1783"/>
      <c r="T406" s="1783"/>
      <c r="U406" s="1783"/>
      <c r="V406" s="1783"/>
      <c r="W406" s="1783"/>
      <c r="X406" s="1783"/>
      <c r="Y406" s="1783"/>
      <c r="Z406" s="1783"/>
      <c r="AA406" s="1783"/>
      <c r="AB406" s="1783"/>
      <c r="AC406" s="1783"/>
    </row>
    <row r="407" spans="1:29">
      <c r="A407" s="1783"/>
      <c r="B407" s="1783"/>
      <c r="C407" s="1783"/>
      <c r="D407" s="1783"/>
      <c r="E407" s="1783"/>
      <c r="F407" s="1783"/>
      <c r="G407" s="1783"/>
      <c r="H407" s="1783"/>
      <c r="I407" s="1783"/>
      <c r="J407" s="1783"/>
      <c r="K407" s="1783"/>
      <c r="L407" s="1783"/>
      <c r="M407" s="1783"/>
      <c r="N407" s="1783"/>
      <c r="O407" s="1783"/>
      <c r="P407" s="1783"/>
      <c r="Q407" s="1783"/>
      <c r="R407" s="1783"/>
      <c r="S407" s="1783"/>
      <c r="T407" s="1783"/>
      <c r="U407" s="1783"/>
      <c r="V407" s="1783"/>
      <c r="W407" s="1783"/>
      <c r="X407" s="1783"/>
      <c r="Y407" s="1783"/>
      <c r="Z407" s="1783"/>
      <c r="AA407" s="1783"/>
      <c r="AB407" s="1783"/>
      <c r="AC407" s="1783"/>
    </row>
    <row r="408" spans="1:29">
      <c r="A408" s="1783"/>
      <c r="B408" s="1783"/>
      <c r="C408" s="1783"/>
      <c r="D408" s="1783"/>
      <c r="E408" s="1783"/>
      <c r="F408" s="1783"/>
      <c r="G408" s="1783"/>
      <c r="H408" s="1783"/>
      <c r="I408" s="1783"/>
      <c r="J408" s="1783"/>
      <c r="K408" s="1783"/>
      <c r="L408" s="1783"/>
      <c r="M408" s="1783"/>
      <c r="N408" s="1783"/>
      <c r="O408" s="1783"/>
      <c r="P408" s="1783"/>
      <c r="Q408" s="1783"/>
      <c r="R408" s="1783"/>
      <c r="S408" s="1783"/>
      <c r="T408" s="1783"/>
      <c r="U408" s="1783"/>
      <c r="V408" s="1783"/>
      <c r="W408" s="1783"/>
      <c r="X408" s="1783"/>
      <c r="Y408" s="1783"/>
      <c r="Z408" s="1783"/>
      <c r="AA408" s="1783"/>
      <c r="AB408" s="1783"/>
      <c r="AC408" s="1783"/>
    </row>
    <row r="409" spans="1:29">
      <c r="A409" s="1783"/>
      <c r="B409" s="1783"/>
      <c r="C409" s="1783"/>
      <c r="D409" s="1783"/>
      <c r="E409" s="1783"/>
      <c r="F409" s="1783"/>
      <c r="G409" s="1783"/>
      <c r="H409" s="1783"/>
      <c r="I409" s="1783"/>
      <c r="J409" s="1783"/>
      <c r="K409" s="1783"/>
      <c r="L409" s="1783"/>
      <c r="M409" s="1783"/>
      <c r="N409" s="1783"/>
      <c r="O409" s="1783"/>
      <c r="P409" s="1783"/>
      <c r="Q409" s="1783"/>
      <c r="R409" s="1783"/>
      <c r="S409" s="1783"/>
      <c r="T409" s="1783"/>
      <c r="U409" s="1783"/>
      <c r="V409" s="1783"/>
      <c r="W409" s="1783"/>
      <c r="X409" s="1783"/>
      <c r="Y409" s="1783"/>
      <c r="Z409" s="1783"/>
      <c r="AA409" s="1783"/>
      <c r="AB409" s="1783"/>
      <c r="AC409" s="1783"/>
    </row>
    <row r="410" spans="1:29">
      <c r="A410" s="1783"/>
      <c r="B410" s="1783"/>
      <c r="C410" s="1783"/>
      <c r="D410" s="1783"/>
      <c r="E410" s="1783"/>
      <c r="F410" s="1783"/>
      <c r="G410" s="1783"/>
      <c r="H410" s="1783"/>
      <c r="I410" s="1783"/>
      <c r="J410" s="1783"/>
      <c r="K410" s="1783"/>
      <c r="L410" s="1783"/>
      <c r="M410" s="1783"/>
      <c r="N410" s="1783"/>
      <c r="O410" s="1783"/>
      <c r="P410" s="1783"/>
      <c r="Q410" s="1783"/>
      <c r="R410" s="1783"/>
      <c r="S410" s="1783"/>
      <c r="T410" s="1783"/>
      <c r="U410" s="1783"/>
      <c r="V410" s="1783"/>
      <c r="W410" s="1783"/>
      <c r="X410" s="1783"/>
      <c r="Y410" s="1783"/>
      <c r="Z410" s="1783"/>
      <c r="AA410" s="1783"/>
      <c r="AB410" s="1783"/>
      <c r="AC410" s="1783"/>
    </row>
    <row r="411" spans="1:29">
      <c r="A411" s="1783"/>
      <c r="B411" s="1783"/>
      <c r="C411" s="1783"/>
      <c r="D411" s="1783"/>
      <c r="E411" s="1783"/>
      <c r="F411" s="1783"/>
      <c r="G411" s="1783"/>
      <c r="H411" s="1783"/>
      <c r="I411" s="1783"/>
      <c r="J411" s="1783"/>
      <c r="K411" s="1783"/>
      <c r="L411" s="1783"/>
      <c r="M411" s="1783"/>
      <c r="N411" s="1783"/>
      <c r="O411" s="1783"/>
      <c r="P411" s="1783"/>
      <c r="Q411" s="1783"/>
      <c r="R411" s="1783"/>
      <c r="S411" s="1783"/>
      <c r="T411" s="1783"/>
      <c r="U411" s="1783"/>
      <c r="V411" s="1783"/>
      <c r="W411" s="1783"/>
      <c r="X411" s="1783"/>
      <c r="Y411" s="1783"/>
      <c r="Z411" s="1783"/>
      <c r="AA411" s="1783"/>
      <c r="AB411" s="1783"/>
      <c r="AC411" s="1783"/>
    </row>
    <row r="412" spans="1:29">
      <c r="A412" s="1783"/>
      <c r="B412" s="1783"/>
      <c r="C412" s="1783"/>
      <c r="D412" s="1783"/>
      <c r="E412" s="1783"/>
      <c r="F412" s="1783"/>
      <c r="G412" s="1783"/>
      <c r="H412" s="1783"/>
      <c r="I412" s="1783"/>
      <c r="J412" s="1783"/>
      <c r="K412" s="1783"/>
      <c r="L412" s="1783"/>
      <c r="M412" s="1783"/>
      <c r="N412" s="1783"/>
      <c r="O412" s="1783"/>
      <c r="P412" s="1783"/>
      <c r="Q412" s="1783"/>
      <c r="R412" s="1783"/>
      <c r="S412" s="1783"/>
      <c r="T412" s="1783"/>
      <c r="U412" s="1783"/>
      <c r="V412" s="1783"/>
      <c r="W412" s="1783"/>
      <c r="X412" s="1783"/>
      <c r="Y412" s="1783"/>
      <c r="Z412" s="1783"/>
      <c r="AA412" s="1783"/>
      <c r="AB412" s="1783"/>
      <c r="AC412" s="1783"/>
    </row>
    <row r="413" spans="1:29">
      <c r="A413" s="1783"/>
      <c r="B413" s="1783"/>
      <c r="C413" s="1783"/>
      <c r="D413" s="1783"/>
      <c r="E413" s="1783"/>
      <c r="F413" s="1783"/>
      <c r="G413" s="1783"/>
      <c r="H413" s="1783"/>
      <c r="I413" s="1783"/>
      <c r="J413" s="1783"/>
      <c r="K413" s="1783"/>
      <c r="L413" s="1783"/>
      <c r="M413" s="1783"/>
      <c r="N413" s="1783"/>
      <c r="O413" s="1783"/>
      <c r="P413" s="1783"/>
      <c r="Q413" s="1783"/>
      <c r="R413" s="1783"/>
      <c r="S413" s="1783"/>
      <c r="T413" s="1783"/>
      <c r="U413" s="1783"/>
      <c r="V413" s="1783"/>
      <c r="W413" s="1783"/>
      <c r="X413" s="1783"/>
      <c r="Y413" s="1783"/>
      <c r="Z413" s="1783"/>
      <c r="AA413" s="1783"/>
      <c r="AB413" s="1783"/>
      <c r="AC413" s="1783"/>
    </row>
    <row r="414" spans="1:29">
      <c r="A414" s="1783"/>
      <c r="B414" s="1783"/>
      <c r="C414" s="1783"/>
      <c r="D414" s="1783"/>
      <c r="E414" s="1783"/>
      <c r="F414" s="1783"/>
      <c r="G414" s="1783"/>
      <c r="H414" s="1783"/>
      <c r="I414" s="1783"/>
      <c r="J414" s="1783"/>
      <c r="K414" s="1783"/>
      <c r="L414" s="1783"/>
      <c r="M414" s="1783"/>
      <c r="N414" s="1783"/>
      <c r="O414" s="1783"/>
      <c r="P414" s="1783"/>
      <c r="Q414" s="1783"/>
      <c r="R414" s="1783"/>
      <c r="S414" s="1783"/>
      <c r="T414" s="1783"/>
      <c r="U414" s="1783"/>
      <c r="V414" s="1783"/>
      <c r="W414" s="1783"/>
      <c r="X414" s="1783"/>
      <c r="Y414" s="1783"/>
      <c r="Z414" s="1783"/>
      <c r="AA414" s="1783"/>
      <c r="AB414" s="1783"/>
      <c r="AC414" s="1783"/>
    </row>
    <row r="415" spans="1:29">
      <c r="A415" s="1783"/>
      <c r="B415" s="1783"/>
      <c r="C415" s="1783"/>
      <c r="D415" s="1783"/>
      <c r="E415" s="1783"/>
      <c r="F415" s="1783"/>
      <c r="G415" s="1783"/>
      <c r="H415" s="1783"/>
      <c r="I415" s="1783"/>
      <c r="J415" s="1783"/>
      <c r="K415" s="1783"/>
      <c r="L415" s="1783"/>
      <c r="M415" s="1783"/>
      <c r="N415" s="1783"/>
      <c r="O415" s="1783"/>
      <c r="P415" s="1783"/>
      <c r="Q415" s="1783"/>
      <c r="R415" s="1783"/>
      <c r="S415" s="1783"/>
      <c r="T415" s="1783"/>
      <c r="U415" s="1783"/>
      <c r="V415" s="1783"/>
      <c r="W415" s="1783"/>
      <c r="X415" s="1783"/>
      <c r="Y415" s="1783"/>
      <c r="Z415" s="1783"/>
      <c r="AA415" s="1783"/>
      <c r="AB415" s="1783"/>
      <c r="AC415" s="1783"/>
    </row>
    <row r="416" spans="1:29">
      <c r="A416" s="1783"/>
      <c r="B416" s="1783"/>
      <c r="C416" s="1783"/>
      <c r="D416" s="1783"/>
      <c r="E416" s="1783"/>
      <c r="F416" s="1783"/>
      <c r="G416" s="1783"/>
      <c r="H416" s="1783"/>
      <c r="I416" s="1783"/>
      <c r="J416" s="1783"/>
      <c r="K416" s="1783"/>
      <c r="L416" s="1783"/>
      <c r="M416" s="1783"/>
      <c r="N416" s="1783"/>
      <c r="O416" s="1783"/>
      <c r="P416" s="1783"/>
      <c r="Q416" s="1783"/>
      <c r="R416" s="1783"/>
      <c r="S416" s="1783"/>
      <c r="T416" s="1783"/>
      <c r="U416" s="1783"/>
      <c r="V416" s="1783"/>
      <c r="W416" s="1783"/>
      <c r="X416" s="1783"/>
      <c r="Y416" s="1783"/>
      <c r="Z416" s="1783"/>
      <c r="AA416" s="1783"/>
      <c r="AB416" s="1783"/>
      <c r="AC416" s="1783"/>
    </row>
    <row r="417" spans="1:29">
      <c r="A417" s="1783"/>
      <c r="B417" s="1783"/>
      <c r="C417" s="1783"/>
      <c r="D417" s="1783"/>
      <c r="E417" s="1783"/>
      <c r="F417" s="1783"/>
      <c r="G417" s="1783"/>
      <c r="H417" s="1783"/>
      <c r="I417" s="1783"/>
      <c r="J417" s="1783"/>
      <c r="K417" s="1783"/>
      <c r="L417" s="1783"/>
      <c r="M417" s="1783"/>
      <c r="N417" s="1783"/>
      <c r="O417" s="1783"/>
      <c r="P417" s="1783"/>
      <c r="Q417" s="1783"/>
      <c r="R417" s="1783"/>
      <c r="S417" s="1783"/>
      <c r="T417" s="1783"/>
      <c r="U417" s="1783"/>
      <c r="V417" s="1783"/>
      <c r="W417" s="1783"/>
      <c r="X417" s="1783"/>
      <c r="Y417" s="1783"/>
      <c r="Z417" s="1783"/>
      <c r="AA417" s="1783"/>
      <c r="AB417" s="1783"/>
      <c r="AC417" s="1783"/>
    </row>
    <row r="418" spans="1:29">
      <c r="A418" s="1783"/>
      <c r="B418" s="1783"/>
      <c r="C418" s="1783"/>
      <c r="D418" s="1783"/>
      <c r="E418" s="1783"/>
      <c r="F418" s="1783"/>
      <c r="G418" s="1783"/>
      <c r="H418" s="1783"/>
      <c r="I418" s="1783"/>
      <c r="J418" s="1783"/>
      <c r="K418" s="1783"/>
      <c r="L418" s="1783"/>
      <c r="M418" s="1783"/>
      <c r="N418" s="1783"/>
      <c r="O418" s="1783"/>
      <c r="P418" s="1783"/>
      <c r="Q418" s="1783"/>
      <c r="R418" s="1783"/>
      <c r="S418" s="1783"/>
      <c r="T418" s="1783"/>
      <c r="U418" s="1783"/>
      <c r="V418" s="1783"/>
      <c r="W418" s="1783"/>
      <c r="X418" s="1783"/>
      <c r="Y418" s="1783"/>
      <c r="Z418" s="1783"/>
      <c r="AA418" s="1783"/>
      <c r="AB418" s="1783"/>
      <c r="AC418" s="1783"/>
    </row>
    <row r="419" spans="1:29">
      <c r="A419" s="1783"/>
      <c r="B419" s="1783"/>
      <c r="C419" s="1783"/>
      <c r="D419" s="1783"/>
      <c r="E419" s="1783"/>
      <c r="F419" s="1783"/>
      <c r="G419" s="1783"/>
      <c r="H419" s="1783"/>
      <c r="I419" s="1783"/>
      <c r="J419" s="1783"/>
      <c r="K419" s="1783"/>
      <c r="L419" s="1783"/>
      <c r="M419" s="1783"/>
      <c r="N419" s="1783"/>
      <c r="O419" s="1783"/>
      <c r="P419" s="1783"/>
      <c r="Q419" s="1783"/>
      <c r="R419" s="1783"/>
      <c r="S419" s="1783"/>
      <c r="T419" s="1783"/>
      <c r="U419" s="1783"/>
      <c r="V419" s="1783"/>
      <c r="W419" s="1783"/>
      <c r="X419" s="1783"/>
      <c r="Y419" s="1783"/>
      <c r="Z419" s="1783"/>
      <c r="AA419" s="1783"/>
      <c r="AB419" s="1783"/>
      <c r="AC419" s="1783"/>
    </row>
    <row r="420" spans="1:29">
      <c r="A420" s="1783"/>
      <c r="B420" s="1783"/>
      <c r="C420" s="1783"/>
      <c r="D420" s="1783"/>
      <c r="E420" s="1783"/>
      <c r="F420" s="1783"/>
      <c r="G420" s="1783"/>
      <c r="H420" s="1783"/>
      <c r="I420" s="1783"/>
      <c r="J420" s="1783"/>
      <c r="K420" s="1783"/>
      <c r="L420" s="1783"/>
      <c r="M420" s="1783"/>
      <c r="N420" s="1783"/>
      <c r="O420" s="1783"/>
      <c r="P420" s="1783"/>
      <c r="Q420" s="1783"/>
      <c r="R420" s="1783"/>
      <c r="S420" s="1783"/>
      <c r="T420" s="1783"/>
      <c r="U420" s="1783"/>
      <c r="V420" s="1783"/>
      <c r="W420" s="1783"/>
      <c r="X420" s="1783"/>
      <c r="Y420" s="1783"/>
      <c r="Z420" s="1783"/>
      <c r="AA420" s="1783"/>
      <c r="AB420" s="1783"/>
      <c r="AC420" s="1783"/>
    </row>
    <row r="421" spans="1:29">
      <c r="A421" s="1783"/>
      <c r="B421" s="1783"/>
      <c r="C421" s="1783"/>
      <c r="D421" s="1783"/>
      <c r="E421" s="1783"/>
      <c r="F421" s="1783"/>
      <c r="G421" s="1783"/>
      <c r="H421" s="1783"/>
      <c r="I421" s="1783"/>
      <c r="J421" s="1783"/>
      <c r="K421" s="1783"/>
      <c r="L421" s="1783"/>
      <c r="M421" s="1783"/>
      <c r="N421" s="1783"/>
      <c r="O421" s="1783"/>
      <c r="P421" s="1783"/>
      <c r="Q421" s="1783"/>
      <c r="R421" s="1783"/>
      <c r="S421" s="1783"/>
      <c r="T421" s="1783"/>
      <c r="U421" s="1783"/>
      <c r="V421" s="1783"/>
      <c r="W421" s="1783"/>
      <c r="X421" s="1783"/>
      <c r="Y421" s="1783"/>
      <c r="Z421" s="1783"/>
      <c r="AA421" s="1783"/>
      <c r="AB421" s="1783"/>
      <c r="AC421" s="1783"/>
    </row>
    <row r="422" spans="1:29">
      <c r="A422" s="1783"/>
      <c r="B422" s="1783"/>
      <c r="C422" s="1783"/>
      <c r="D422" s="1783"/>
      <c r="E422" s="1783"/>
      <c r="F422" s="1783"/>
      <c r="G422" s="1783"/>
      <c r="H422" s="1783"/>
      <c r="I422" s="1783"/>
      <c r="J422" s="1783"/>
      <c r="K422" s="1783"/>
      <c r="L422" s="1783"/>
      <c r="M422" s="1783"/>
      <c r="N422" s="1783"/>
      <c r="O422" s="1783"/>
      <c r="P422" s="1783"/>
      <c r="Q422" s="1783"/>
      <c r="R422" s="1783"/>
      <c r="S422" s="1783"/>
      <c r="T422" s="1783"/>
      <c r="U422" s="1783"/>
      <c r="V422" s="1783"/>
      <c r="W422" s="1783"/>
      <c r="X422" s="1783"/>
      <c r="Y422" s="1783"/>
      <c r="Z422" s="1783"/>
      <c r="AA422" s="1783"/>
      <c r="AB422" s="1783"/>
      <c r="AC422" s="1783"/>
    </row>
    <row r="423" spans="1:29">
      <c r="A423" s="1783"/>
      <c r="B423" s="1783"/>
      <c r="C423" s="1783"/>
      <c r="D423" s="1783"/>
      <c r="E423" s="1783"/>
      <c r="F423" s="1783"/>
      <c r="G423" s="1783"/>
      <c r="H423" s="1783"/>
      <c r="I423" s="1783"/>
      <c r="J423" s="1783"/>
      <c r="K423" s="1783"/>
      <c r="L423" s="1783"/>
      <c r="M423" s="1783"/>
      <c r="N423" s="1783"/>
      <c r="O423" s="1783"/>
      <c r="P423" s="1783"/>
      <c r="Q423" s="1783"/>
      <c r="R423" s="1783"/>
      <c r="S423" s="1783"/>
      <c r="T423" s="1783"/>
      <c r="U423" s="1783"/>
      <c r="V423" s="1783"/>
      <c r="W423" s="1783"/>
      <c r="X423" s="1783"/>
      <c r="Y423" s="1783"/>
      <c r="Z423" s="1783"/>
      <c r="AA423" s="1783"/>
      <c r="AB423" s="1783"/>
      <c r="AC423" s="1783"/>
    </row>
    <row r="424" spans="1:29">
      <c r="A424" s="1783"/>
      <c r="B424" s="1783"/>
      <c r="C424" s="1783"/>
      <c r="D424" s="1783"/>
      <c r="E424" s="1783"/>
      <c r="F424" s="1783"/>
      <c r="G424" s="1783"/>
      <c r="H424" s="1783"/>
      <c r="I424" s="1783"/>
      <c r="J424" s="1783"/>
      <c r="K424" s="1783"/>
      <c r="L424" s="1783"/>
      <c r="M424" s="1783"/>
      <c r="N424" s="1783"/>
      <c r="O424" s="1783"/>
      <c r="P424" s="1783"/>
      <c r="Q424" s="1783"/>
      <c r="R424" s="1783"/>
      <c r="S424" s="1783"/>
      <c r="T424" s="1783"/>
      <c r="U424" s="1783"/>
      <c r="V424" s="1783"/>
      <c r="W424" s="1783"/>
      <c r="X424" s="1783"/>
      <c r="Y424" s="1783"/>
      <c r="Z424" s="1783"/>
      <c r="AA424" s="1783"/>
      <c r="AB424" s="1783"/>
      <c r="AC424" s="1783"/>
    </row>
    <row r="425" spans="1:29">
      <c r="A425" s="1783"/>
      <c r="B425" s="1783"/>
      <c r="C425" s="1783"/>
      <c r="D425" s="1783"/>
      <c r="E425" s="1783"/>
      <c r="F425" s="1783"/>
      <c r="G425" s="1783"/>
      <c r="H425" s="1783"/>
      <c r="I425" s="1783"/>
      <c r="J425" s="1783"/>
      <c r="K425" s="1783"/>
      <c r="L425" s="1783"/>
      <c r="M425" s="1783"/>
      <c r="N425" s="1783"/>
      <c r="O425" s="1783"/>
      <c r="P425" s="1783"/>
      <c r="Q425" s="1783"/>
      <c r="R425" s="1783"/>
      <c r="S425" s="1783"/>
      <c r="T425" s="1783"/>
      <c r="U425" s="1783"/>
      <c r="V425" s="1783"/>
      <c r="W425" s="1783"/>
      <c r="X425" s="1783"/>
      <c r="Y425" s="1783"/>
      <c r="Z425" s="1783"/>
      <c r="AA425" s="1783"/>
      <c r="AB425" s="1783"/>
      <c r="AC425" s="1783"/>
    </row>
    <row r="426" spans="1:29">
      <c r="A426" s="1783"/>
      <c r="B426" s="1783"/>
      <c r="C426" s="1783"/>
      <c r="D426" s="1783"/>
      <c r="E426" s="1783"/>
      <c r="F426" s="1783"/>
      <c r="G426" s="1783"/>
      <c r="H426" s="1783"/>
      <c r="I426" s="1783"/>
      <c r="J426" s="1783"/>
      <c r="K426" s="1783"/>
      <c r="L426" s="1783"/>
      <c r="M426" s="1783"/>
      <c r="N426" s="1783"/>
      <c r="O426" s="1783"/>
      <c r="P426" s="1783"/>
      <c r="Q426" s="1783"/>
      <c r="R426" s="1783"/>
      <c r="S426" s="1783"/>
      <c r="T426" s="1783"/>
      <c r="U426" s="1783"/>
      <c r="V426" s="1783"/>
      <c r="W426" s="1783"/>
      <c r="X426" s="1783"/>
      <c r="Y426" s="1783"/>
      <c r="Z426" s="1783"/>
      <c r="AA426" s="1783"/>
      <c r="AB426" s="1783"/>
      <c r="AC426" s="1783"/>
    </row>
    <row r="427" spans="1:29">
      <c r="A427" s="1783"/>
      <c r="B427" s="1783"/>
      <c r="C427" s="1783"/>
      <c r="D427" s="1783"/>
      <c r="E427" s="1783"/>
      <c r="F427" s="1783"/>
      <c r="G427" s="1783"/>
      <c r="H427" s="1783"/>
      <c r="I427" s="1783"/>
      <c r="J427" s="1783"/>
      <c r="K427" s="1783"/>
      <c r="L427" s="1783"/>
      <c r="M427" s="1783"/>
      <c r="N427" s="1783"/>
      <c r="O427" s="1783"/>
      <c r="P427" s="1783"/>
      <c r="Q427" s="1783"/>
      <c r="R427" s="1783"/>
      <c r="S427" s="1783"/>
      <c r="T427" s="1783"/>
      <c r="U427" s="1783"/>
      <c r="V427" s="1783"/>
      <c r="W427" s="1783"/>
      <c r="X427" s="1783"/>
      <c r="Y427" s="1783"/>
      <c r="Z427" s="1783"/>
      <c r="AA427" s="1783"/>
      <c r="AB427" s="1783"/>
      <c r="AC427" s="1783"/>
    </row>
    <row r="428" spans="1:29">
      <c r="A428" s="1783"/>
      <c r="B428" s="1783"/>
      <c r="C428" s="1783"/>
      <c r="D428" s="1783"/>
      <c r="E428" s="1783"/>
      <c r="F428" s="1783"/>
      <c r="G428" s="1783"/>
      <c r="H428" s="1783"/>
      <c r="I428" s="1783"/>
      <c r="J428" s="1783"/>
      <c r="K428" s="1783"/>
      <c r="L428" s="1783"/>
      <c r="M428" s="1783"/>
      <c r="N428" s="1783"/>
      <c r="O428" s="1783"/>
      <c r="P428" s="1783"/>
      <c r="Q428" s="1783"/>
      <c r="R428" s="1783"/>
      <c r="S428" s="1783"/>
      <c r="T428" s="1783"/>
      <c r="U428" s="1783"/>
      <c r="V428" s="1783"/>
      <c r="W428" s="1783"/>
      <c r="X428" s="1783"/>
      <c r="Y428" s="1783"/>
      <c r="Z428" s="1783"/>
      <c r="AA428" s="1783"/>
      <c r="AB428" s="1783"/>
      <c r="AC428" s="1783"/>
    </row>
    <row r="429" spans="1:29">
      <c r="A429" s="1783"/>
      <c r="B429" s="1783"/>
      <c r="C429" s="1783"/>
      <c r="D429" s="1783"/>
      <c r="E429" s="1783"/>
      <c r="F429" s="1783"/>
      <c r="G429" s="1783"/>
      <c r="H429" s="1783"/>
      <c r="I429" s="1783"/>
      <c r="J429" s="1783"/>
      <c r="K429" s="1783"/>
      <c r="L429" s="1783"/>
      <c r="M429" s="1783"/>
      <c r="N429" s="1783"/>
      <c r="O429" s="1783"/>
      <c r="P429" s="1783"/>
      <c r="Q429" s="1783"/>
      <c r="R429" s="1783"/>
      <c r="S429" s="1783"/>
      <c r="T429" s="1783"/>
      <c r="U429" s="1783"/>
      <c r="V429" s="1783"/>
      <c r="W429" s="1783"/>
      <c r="X429" s="1783"/>
      <c r="Y429" s="1783"/>
      <c r="Z429" s="1783"/>
      <c r="AA429" s="1783"/>
      <c r="AB429" s="1783"/>
      <c r="AC429" s="1783"/>
    </row>
    <row r="430" spans="1:29">
      <c r="A430" s="1783"/>
      <c r="B430" s="1783"/>
      <c r="C430" s="1783"/>
      <c r="D430" s="1783"/>
      <c r="E430" s="1783"/>
      <c r="F430" s="1783"/>
      <c r="G430" s="1783"/>
      <c r="H430" s="1783"/>
      <c r="I430" s="1783"/>
      <c r="J430" s="1783"/>
      <c r="K430" s="1783"/>
      <c r="L430" s="1783"/>
      <c r="M430" s="1783"/>
      <c r="N430" s="1783"/>
      <c r="O430" s="1783"/>
      <c r="P430" s="1783"/>
      <c r="Q430" s="1783"/>
      <c r="R430" s="1783"/>
      <c r="S430" s="1783"/>
      <c r="T430" s="1783"/>
      <c r="U430" s="1783"/>
      <c r="V430" s="1783"/>
      <c r="W430" s="1783"/>
      <c r="X430" s="1783"/>
      <c r="Y430" s="1783"/>
      <c r="Z430" s="1783"/>
      <c r="AA430" s="1783"/>
      <c r="AB430" s="1783"/>
      <c r="AC430" s="1783"/>
    </row>
    <row r="431" spans="1:29">
      <c r="A431" s="1783"/>
      <c r="B431" s="1783"/>
      <c r="C431" s="1783"/>
      <c r="D431" s="1783"/>
      <c r="E431" s="1783"/>
      <c r="F431" s="1783"/>
      <c r="G431" s="1783"/>
      <c r="H431" s="1783"/>
      <c r="I431" s="1783"/>
      <c r="J431" s="1783"/>
      <c r="K431" s="1783"/>
      <c r="L431" s="1783"/>
      <c r="M431" s="1783"/>
      <c r="N431" s="1783"/>
      <c r="O431" s="1783"/>
      <c r="P431" s="1783"/>
      <c r="Q431" s="1783"/>
      <c r="R431" s="1783"/>
      <c r="S431" s="1783"/>
      <c r="T431" s="1783"/>
      <c r="U431" s="1783"/>
      <c r="V431" s="1783"/>
      <c r="W431" s="1783"/>
      <c r="X431" s="1783"/>
      <c r="Y431" s="1783"/>
      <c r="Z431" s="1783"/>
      <c r="AA431" s="1783"/>
      <c r="AB431" s="1783"/>
      <c r="AC431" s="1783"/>
    </row>
    <row r="432" spans="1:29">
      <c r="A432" s="1783"/>
      <c r="B432" s="1783"/>
      <c r="C432" s="1783"/>
      <c r="D432" s="1783"/>
      <c r="E432" s="1783"/>
      <c r="F432" s="1783"/>
      <c r="G432" s="1783"/>
      <c r="H432" s="1783"/>
      <c r="I432" s="1783"/>
      <c r="J432" s="1783"/>
      <c r="K432" s="1783"/>
      <c r="L432" s="1783"/>
      <c r="M432" s="1783"/>
      <c r="N432" s="1783"/>
      <c r="O432" s="1783"/>
      <c r="P432" s="1783"/>
      <c r="Q432" s="1783"/>
      <c r="R432" s="1783"/>
      <c r="S432" s="1783"/>
      <c r="T432" s="1783"/>
      <c r="U432" s="1783"/>
      <c r="V432" s="1783"/>
      <c r="W432" s="1783"/>
      <c r="X432" s="1783"/>
      <c r="Y432" s="1783"/>
      <c r="Z432" s="1783"/>
      <c r="AA432" s="1783"/>
      <c r="AB432" s="1783"/>
      <c r="AC432" s="1783"/>
    </row>
    <row r="433" spans="1:29">
      <c r="A433" s="1783"/>
      <c r="B433" s="1783"/>
      <c r="C433" s="1783"/>
      <c r="D433" s="1783"/>
      <c r="E433" s="1783"/>
      <c r="F433" s="1783"/>
      <c r="G433" s="1783"/>
      <c r="H433" s="1783"/>
      <c r="I433" s="1783"/>
      <c r="J433" s="1783"/>
      <c r="K433" s="1783"/>
      <c r="L433" s="1783"/>
      <c r="M433" s="1783"/>
      <c r="N433" s="1783"/>
      <c r="O433" s="1783"/>
      <c r="P433" s="1783"/>
      <c r="Q433" s="1783"/>
      <c r="R433" s="1783"/>
      <c r="S433" s="1783"/>
      <c r="T433" s="1783"/>
      <c r="U433" s="1783"/>
      <c r="V433" s="1783"/>
      <c r="W433" s="1783"/>
      <c r="X433" s="1783"/>
      <c r="Y433" s="1783"/>
      <c r="Z433" s="1783"/>
      <c r="AA433" s="1783"/>
      <c r="AB433" s="1783"/>
      <c r="AC433" s="1783"/>
    </row>
    <row r="434" spans="1:29">
      <c r="A434" s="1783"/>
      <c r="B434" s="1783"/>
      <c r="C434" s="1783"/>
      <c r="D434" s="1783"/>
      <c r="E434" s="1783"/>
      <c r="F434" s="1783"/>
      <c r="G434" s="1783"/>
      <c r="H434" s="1783"/>
      <c r="I434" s="1783"/>
      <c r="J434" s="1783"/>
      <c r="K434" s="1783"/>
      <c r="L434" s="1783"/>
      <c r="M434" s="1783"/>
      <c r="N434" s="1783"/>
      <c r="O434" s="1783"/>
      <c r="P434" s="1783"/>
      <c r="Q434" s="1783"/>
      <c r="R434" s="1783"/>
      <c r="S434" s="1783"/>
      <c r="T434" s="1783"/>
      <c r="U434" s="1783"/>
      <c r="V434" s="1783"/>
      <c r="W434" s="1783"/>
      <c r="X434" s="1783"/>
      <c r="Y434" s="1783"/>
      <c r="Z434" s="1783"/>
      <c r="AA434" s="1783"/>
      <c r="AB434" s="1783"/>
      <c r="AC434" s="1783"/>
    </row>
    <row r="435" spans="1:29">
      <c r="A435" s="1783"/>
      <c r="B435" s="1783"/>
      <c r="C435" s="1783"/>
      <c r="D435" s="1783"/>
      <c r="E435" s="1783"/>
      <c r="F435" s="1783"/>
      <c r="G435" s="1783"/>
      <c r="H435" s="1783"/>
      <c r="I435" s="1783"/>
      <c r="J435" s="1783"/>
    </row>
    <row r="436" spans="1:29">
      <c r="A436" s="1783"/>
      <c r="B436" s="1783"/>
      <c r="C436" s="1783"/>
      <c r="D436" s="1783"/>
      <c r="E436" s="1783"/>
      <c r="F436" s="1783"/>
      <c r="G436" s="1783"/>
      <c r="H436" s="1783"/>
      <c r="I436" s="1783"/>
      <c r="J436" s="1783"/>
    </row>
    <row r="437" spans="1:29">
      <c r="A437" s="1783"/>
      <c r="B437" s="1783"/>
      <c r="C437" s="1783"/>
      <c r="D437" s="1783"/>
      <c r="E437" s="1783"/>
      <c r="F437" s="1783"/>
      <c r="G437" s="1783"/>
      <c r="H437" s="1783"/>
      <c r="I437" s="1783"/>
      <c r="J437" s="1783"/>
    </row>
    <row r="438" spans="1:29">
      <c r="A438" s="1783"/>
      <c r="B438" s="1783"/>
      <c r="C438" s="1783"/>
      <c r="D438" s="1783"/>
      <c r="E438" s="1783"/>
      <c r="F438" s="1783"/>
      <c r="G438" s="1783"/>
      <c r="H438" s="1783"/>
      <c r="I438" s="1783"/>
      <c r="J438" s="1783"/>
    </row>
    <row r="439" spans="1:29">
      <c r="A439" s="1783"/>
      <c r="B439" s="1783"/>
      <c r="C439" s="1783"/>
      <c r="D439" s="1783"/>
      <c r="E439" s="1783"/>
      <c r="F439" s="1783"/>
      <c r="G439" s="1783"/>
      <c r="H439" s="1783"/>
      <c r="I439" s="1783"/>
      <c r="J439" s="1783"/>
    </row>
    <row r="440" spans="1:29">
      <c r="A440" s="1783"/>
      <c r="B440" s="1783"/>
      <c r="C440" s="1783"/>
      <c r="D440" s="1783"/>
      <c r="E440" s="1783"/>
      <c r="F440" s="1783"/>
      <c r="G440" s="1783"/>
      <c r="H440" s="1783"/>
      <c r="I440" s="1783"/>
      <c r="J440" s="1783"/>
    </row>
    <row r="441" spans="1:29">
      <c r="A441" s="1783"/>
      <c r="B441" s="1783"/>
      <c r="C441" s="1783"/>
      <c r="D441" s="1783"/>
      <c r="E441" s="1783"/>
      <c r="F441" s="1783"/>
      <c r="G441" s="1783"/>
      <c r="H441" s="1783"/>
      <c r="I441" s="1783"/>
      <c r="J441" s="1783"/>
    </row>
    <row r="442" spans="1:29">
      <c r="A442" s="1783"/>
      <c r="B442" s="1783"/>
      <c r="C442" s="1783"/>
      <c r="D442" s="1783"/>
      <c r="E442" s="1783"/>
      <c r="F442" s="1783"/>
      <c r="G442" s="1783"/>
      <c r="H442" s="1783"/>
      <c r="I442" s="1783"/>
      <c r="J442" s="1783"/>
    </row>
    <row r="443" spans="1:29">
      <c r="A443" s="1783"/>
      <c r="B443" s="1783"/>
      <c r="C443" s="1783"/>
      <c r="D443" s="1783"/>
      <c r="E443" s="1783"/>
      <c r="F443" s="1783"/>
      <c r="G443" s="1783"/>
      <c r="H443" s="1783"/>
      <c r="I443" s="1783"/>
      <c r="J443" s="1783"/>
    </row>
    <row r="444" spans="1:29">
      <c r="A444" s="1783"/>
      <c r="B444" s="1783"/>
      <c r="C444" s="1783"/>
      <c r="D444" s="1783"/>
      <c r="E444" s="1783"/>
      <c r="F444" s="1783"/>
      <c r="G444" s="1783"/>
      <c r="H444" s="1783"/>
      <c r="I444" s="1783"/>
      <c r="J444" s="1783"/>
    </row>
    <row r="445" spans="1:29">
      <c r="A445" s="1783"/>
      <c r="B445" s="1783"/>
      <c r="C445" s="1783"/>
      <c r="D445" s="1783"/>
      <c r="E445" s="1783"/>
      <c r="F445" s="1783"/>
      <c r="G445" s="1783"/>
      <c r="H445" s="1783"/>
      <c r="I445" s="1783"/>
      <c r="J445" s="1783"/>
    </row>
    <row r="446" spans="1:29">
      <c r="A446" s="1783"/>
      <c r="B446" s="1783"/>
      <c r="C446" s="1783"/>
      <c r="D446" s="1783"/>
      <c r="E446" s="1783"/>
      <c r="F446" s="1783"/>
      <c r="G446" s="1783"/>
      <c r="H446" s="1783"/>
      <c r="I446" s="1783"/>
      <c r="J446" s="1783"/>
    </row>
    <row r="447" spans="1:29">
      <c r="A447" s="1783"/>
      <c r="B447" s="1783"/>
      <c r="C447" s="1783"/>
      <c r="D447" s="1783"/>
      <c r="E447" s="1783"/>
      <c r="F447" s="1783"/>
      <c r="G447" s="1783"/>
      <c r="H447" s="1783"/>
      <c r="I447" s="1783"/>
      <c r="J447" s="1783"/>
    </row>
    <row r="448" spans="1:29">
      <c r="A448" s="1783"/>
      <c r="B448" s="1783"/>
      <c r="C448" s="1783"/>
      <c r="D448" s="1783"/>
      <c r="E448" s="1783"/>
      <c r="F448" s="1783"/>
      <c r="G448" s="1783"/>
      <c r="H448" s="1783"/>
      <c r="I448" s="1783"/>
      <c r="J448" s="1783"/>
    </row>
    <row r="449" spans="1:10">
      <c r="A449" s="1783"/>
      <c r="B449" s="1783"/>
      <c r="C449" s="1783"/>
      <c r="D449" s="1783"/>
      <c r="E449" s="1783"/>
      <c r="F449" s="1783"/>
      <c r="G449" s="1783"/>
      <c r="H449" s="1783"/>
      <c r="I449" s="1783"/>
      <c r="J449" s="1783"/>
    </row>
    <row r="450" spans="1:10">
      <c r="A450" s="1783"/>
      <c r="B450" s="1783"/>
      <c r="C450" s="1783"/>
      <c r="D450" s="1783"/>
      <c r="E450" s="1783"/>
      <c r="F450" s="1783"/>
      <c r="G450" s="1783"/>
      <c r="H450" s="1783"/>
      <c r="I450" s="1783"/>
      <c r="J450" s="1783"/>
    </row>
    <row r="451" spans="1:10">
      <c r="A451" s="1783"/>
      <c r="B451" s="1783"/>
      <c r="C451" s="1783"/>
      <c r="D451" s="1783"/>
      <c r="E451" s="1783"/>
      <c r="F451" s="1783"/>
      <c r="G451" s="1783"/>
      <c r="H451" s="1783"/>
      <c r="I451" s="1783"/>
      <c r="J451" s="1783"/>
    </row>
    <row r="452" spans="1:10">
      <c r="A452" s="1783"/>
      <c r="B452" s="1783"/>
      <c r="C452" s="1783"/>
      <c r="D452" s="1783"/>
      <c r="E452" s="1783"/>
      <c r="F452" s="1783"/>
      <c r="G452" s="1783"/>
      <c r="H452" s="1783"/>
      <c r="I452" s="1783"/>
      <c r="J452" s="1783"/>
    </row>
    <row r="453" spans="1:10">
      <c r="A453" s="1783"/>
      <c r="B453" s="1783"/>
      <c r="C453" s="1783"/>
      <c r="D453" s="1783"/>
      <c r="E453" s="1783"/>
      <c r="F453" s="1783"/>
      <c r="G453" s="1783"/>
      <c r="H453" s="1783"/>
      <c r="I453" s="1783"/>
      <c r="J453" s="1783"/>
    </row>
    <row r="454" spans="1:10">
      <c r="A454" s="1783"/>
      <c r="B454" s="1783"/>
      <c r="C454" s="1783"/>
      <c r="D454" s="1783"/>
      <c r="E454" s="1783"/>
      <c r="F454" s="1783"/>
      <c r="G454" s="1783"/>
      <c r="H454" s="1783"/>
      <c r="I454" s="1783"/>
      <c r="J454" s="1783"/>
    </row>
    <row r="455" spans="1:10">
      <c r="A455" s="1783"/>
      <c r="B455" s="1783"/>
      <c r="C455" s="1783"/>
      <c r="D455" s="1783"/>
      <c r="E455" s="1783"/>
      <c r="F455" s="1783"/>
      <c r="G455" s="1783"/>
      <c r="H455" s="1783"/>
      <c r="I455" s="1783"/>
      <c r="J455" s="1783"/>
    </row>
    <row r="456" spans="1:10">
      <c r="A456" s="1783"/>
      <c r="B456" s="1783"/>
      <c r="C456" s="1783"/>
      <c r="D456" s="1783"/>
      <c r="E456" s="1783"/>
      <c r="F456" s="1783"/>
      <c r="G456" s="1783"/>
      <c r="H456" s="1783"/>
      <c r="I456" s="1783"/>
      <c r="J456" s="1783"/>
    </row>
    <row r="457" spans="1:10">
      <c r="A457" s="1783"/>
      <c r="B457" s="1783"/>
      <c r="C457" s="1783"/>
      <c r="D457" s="1783"/>
      <c r="E457" s="1783"/>
      <c r="F457" s="1783"/>
      <c r="G457" s="1783"/>
      <c r="H457" s="1783"/>
      <c r="I457" s="1783"/>
      <c r="J457" s="1783"/>
    </row>
    <row r="458" spans="1:10">
      <c r="A458" s="1783"/>
      <c r="B458" s="1783"/>
      <c r="C458" s="1783"/>
      <c r="D458" s="1783"/>
      <c r="E458" s="1783"/>
      <c r="F458" s="1783"/>
      <c r="G458" s="1783"/>
      <c r="H458" s="1783"/>
      <c r="I458" s="1783"/>
      <c r="J458" s="1783"/>
    </row>
    <row r="459" spans="1:10">
      <c r="A459" s="1783"/>
      <c r="B459" s="1783"/>
      <c r="C459" s="1783"/>
      <c r="D459" s="1783"/>
      <c r="E459" s="1783"/>
      <c r="F459" s="1783"/>
      <c r="G459" s="1783"/>
      <c r="H459" s="1783"/>
      <c r="I459" s="1783"/>
      <c r="J459" s="1783"/>
    </row>
    <row r="460" spans="1:10">
      <c r="A460" s="1783"/>
      <c r="B460" s="1783"/>
      <c r="C460" s="1783"/>
      <c r="D460" s="1783"/>
      <c r="E460" s="1783"/>
      <c r="F460" s="1783"/>
      <c r="G460" s="1783"/>
      <c r="H460" s="1783"/>
      <c r="I460" s="1783"/>
      <c r="J460" s="1783"/>
    </row>
    <row r="461" spans="1:10">
      <c r="A461" s="1783"/>
      <c r="B461" s="1783"/>
      <c r="C461" s="1783"/>
      <c r="D461" s="1783"/>
      <c r="E461" s="1783"/>
      <c r="F461" s="1783"/>
      <c r="G461" s="1783"/>
      <c r="H461" s="1783"/>
      <c r="I461" s="1783"/>
      <c r="J461" s="1783"/>
    </row>
    <row r="462" spans="1:10">
      <c r="A462" s="1783"/>
      <c r="B462" s="1783"/>
      <c r="C462" s="1783"/>
      <c r="D462" s="1783"/>
      <c r="E462" s="1783"/>
      <c r="F462" s="1783"/>
      <c r="G462" s="1783"/>
      <c r="H462" s="1783"/>
      <c r="I462" s="1783"/>
      <c r="J462" s="1783"/>
    </row>
    <row r="463" spans="1:10">
      <c r="A463" s="1783"/>
      <c r="B463" s="1783"/>
      <c r="C463" s="1783"/>
      <c r="D463" s="1783"/>
      <c r="E463" s="1783"/>
      <c r="F463" s="1783"/>
      <c r="G463" s="1783"/>
      <c r="H463" s="1783"/>
      <c r="I463" s="1783"/>
      <c r="J463" s="1783"/>
    </row>
    <row r="464" spans="1:10">
      <c r="A464" s="1783"/>
      <c r="B464" s="1783"/>
      <c r="C464" s="1783"/>
      <c r="D464" s="1783"/>
      <c r="E464" s="1783"/>
      <c r="F464" s="1783"/>
      <c r="G464" s="1783"/>
      <c r="H464" s="1783"/>
      <c r="I464" s="1783"/>
      <c r="J464" s="1783"/>
    </row>
    <row r="465" spans="1:10">
      <c r="A465" s="1783"/>
      <c r="B465" s="1783"/>
      <c r="C465" s="1783"/>
      <c r="D465" s="1783"/>
      <c r="E465" s="1783"/>
      <c r="F465" s="1783"/>
      <c r="G465" s="1783"/>
      <c r="H465" s="1783"/>
      <c r="I465" s="1783"/>
      <c r="J465" s="1783"/>
    </row>
    <row r="466" spans="1:10">
      <c r="A466" s="1783"/>
      <c r="B466" s="1783"/>
      <c r="C466" s="1783"/>
      <c r="D466" s="1783"/>
      <c r="E466" s="1783"/>
      <c r="F466" s="1783"/>
      <c r="G466" s="1783"/>
      <c r="H466" s="1783"/>
      <c r="I466" s="1783"/>
      <c r="J466" s="1783"/>
    </row>
    <row r="467" spans="1:10">
      <c r="A467" s="1783"/>
      <c r="B467" s="1783"/>
      <c r="C467" s="1783"/>
      <c r="D467" s="1783"/>
      <c r="E467" s="1783"/>
      <c r="F467" s="1783"/>
      <c r="G467" s="1783"/>
      <c r="H467" s="1783"/>
      <c r="I467" s="1783"/>
      <c r="J467" s="1783"/>
    </row>
    <row r="468" spans="1:10">
      <c r="A468" s="1783"/>
      <c r="B468" s="1783"/>
      <c r="C468" s="1783"/>
      <c r="D468" s="1783"/>
      <c r="E468" s="1783"/>
      <c r="F468" s="1783"/>
      <c r="G468" s="1783"/>
      <c r="H468" s="1783"/>
      <c r="I468" s="1783"/>
      <c r="J468" s="1783"/>
    </row>
    <row r="469" spans="1:10">
      <c r="A469" s="1783"/>
      <c r="B469" s="1783"/>
      <c r="C469" s="1783"/>
      <c r="D469" s="1783"/>
      <c r="E469" s="1783"/>
      <c r="F469" s="1783"/>
      <c r="G469" s="1783"/>
      <c r="H469" s="1783"/>
      <c r="I469" s="1783"/>
      <c r="J469" s="1783"/>
    </row>
    <row r="470" spans="1:10">
      <c r="A470" s="1783"/>
      <c r="B470" s="1783"/>
      <c r="C470" s="1783"/>
      <c r="D470" s="1783"/>
      <c r="E470" s="1783"/>
      <c r="F470" s="1783"/>
      <c r="G470" s="1783"/>
      <c r="H470" s="1783"/>
      <c r="I470" s="1783"/>
      <c r="J470" s="1783"/>
    </row>
    <row r="471" spans="1:10">
      <c r="A471" s="1783"/>
      <c r="B471" s="1783"/>
      <c r="C471" s="1783"/>
      <c r="D471" s="1783"/>
      <c r="E471" s="1783"/>
      <c r="F471" s="1783"/>
      <c r="G471" s="1783"/>
      <c r="H471" s="1783"/>
      <c r="I471" s="1783"/>
      <c r="J471" s="1783"/>
    </row>
    <row r="472" spans="1:10">
      <c r="A472" s="1783"/>
      <c r="B472" s="1783"/>
      <c r="C472" s="1783"/>
      <c r="D472" s="1783"/>
      <c r="E472" s="1783"/>
      <c r="F472" s="1783"/>
      <c r="G472" s="1783"/>
      <c r="H472" s="1783"/>
      <c r="I472" s="1783"/>
      <c r="J472" s="1783"/>
    </row>
    <row r="473" spans="1:10">
      <c r="A473" s="1783"/>
      <c r="B473" s="1783"/>
      <c r="C473" s="1783"/>
      <c r="D473" s="1783"/>
      <c r="E473" s="1783"/>
      <c r="F473" s="1783"/>
      <c r="G473" s="1783"/>
      <c r="H473" s="1783"/>
      <c r="I473" s="1783"/>
      <c r="J473" s="1783"/>
    </row>
    <row r="474" spans="1:10">
      <c r="A474" s="1783"/>
      <c r="B474" s="1783"/>
      <c r="C474" s="1783"/>
      <c r="D474" s="1783"/>
      <c r="E474" s="1783"/>
      <c r="F474" s="1783"/>
      <c r="G474" s="1783"/>
      <c r="H474" s="1783"/>
      <c r="I474" s="1783"/>
      <c r="J474" s="1783"/>
    </row>
    <row r="475" spans="1:10">
      <c r="A475" s="1783"/>
      <c r="B475" s="1783"/>
      <c r="C475" s="1783"/>
      <c r="D475" s="1783"/>
      <c r="E475" s="1783"/>
      <c r="F475" s="1783"/>
      <c r="G475" s="1783"/>
      <c r="H475" s="1783"/>
      <c r="I475" s="1783"/>
      <c r="J475" s="1783"/>
    </row>
    <row r="476" spans="1:10">
      <c r="A476" s="1783"/>
      <c r="B476" s="1783"/>
      <c r="C476" s="1783"/>
      <c r="D476" s="1783"/>
      <c r="E476" s="1783"/>
      <c r="F476" s="1783"/>
      <c r="G476" s="1783"/>
      <c r="H476" s="1783"/>
      <c r="I476" s="1783"/>
      <c r="J476" s="1783"/>
    </row>
    <row r="477" spans="1:10">
      <c r="A477" s="1783"/>
      <c r="B477" s="1783"/>
      <c r="C477" s="1783"/>
      <c r="D477" s="1783"/>
      <c r="E477" s="1783"/>
      <c r="F477" s="1783"/>
      <c r="G477" s="1783"/>
      <c r="H477" s="1783"/>
      <c r="I477" s="1783"/>
      <c r="J477" s="1783"/>
    </row>
    <row r="478" spans="1:10">
      <c r="A478" s="1783"/>
      <c r="B478" s="1783"/>
      <c r="C478" s="1783"/>
      <c r="D478" s="1783"/>
      <c r="E478" s="1783"/>
      <c r="F478" s="1783"/>
      <c r="G478" s="1783"/>
      <c r="H478" s="1783"/>
      <c r="I478" s="1783"/>
      <c r="J478" s="1783"/>
    </row>
    <row r="479" spans="1:10">
      <c r="A479" s="1783"/>
      <c r="B479" s="1783"/>
      <c r="C479" s="1783"/>
      <c r="D479" s="1783"/>
      <c r="E479" s="1783"/>
      <c r="F479" s="1783"/>
      <c r="G479" s="1783"/>
      <c r="H479" s="1783"/>
      <c r="I479" s="1783"/>
      <c r="J479" s="1783"/>
    </row>
    <row r="480" spans="1:10">
      <c r="A480" s="1783"/>
      <c r="B480" s="1783"/>
      <c r="C480" s="1783"/>
      <c r="D480" s="1783"/>
      <c r="E480" s="1783"/>
      <c r="F480" s="1783"/>
      <c r="G480" s="1783"/>
      <c r="H480" s="1783"/>
      <c r="I480" s="1783"/>
      <c r="J480" s="1783"/>
    </row>
    <row r="481" spans="1:10">
      <c r="A481" s="1783"/>
      <c r="B481" s="1783"/>
      <c r="C481" s="1783"/>
      <c r="D481" s="1783"/>
      <c r="E481" s="1783"/>
      <c r="F481" s="1783"/>
      <c r="G481" s="1783"/>
      <c r="H481" s="1783"/>
      <c r="I481" s="1783"/>
      <c r="J481" s="1783"/>
    </row>
    <row r="482" spans="1:10">
      <c r="A482" s="1783"/>
      <c r="B482" s="1783"/>
      <c r="C482" s="1783"/>
      <c r="D482" s="1783"/>
      <c r="E482" s="1783"/>
      <c r="F482" s="1783"/>
      <c r="G482" s="1783"/>
      <c r="H482" s="1783"/>
      <c r="I482" s="1783"/>
      <c r="J482" s="1783"/>
    </row>
    <row r="483" spans="1:10">
      <c r="A483" s="1783"/>
      <c r="B483" s="1783"/>
      <c r="C483" s="1783"/>
      <c r="D483" s="1783"/>
      <c r="E483" s="1783"/>
      <c r="F483" s="1783"/>
      <c r="G483" s="1783"/>
      <c r="H483" s="1783"/>
      <c r="I483" s="1783"/>
      <c r="J483" s="1783"/>
    </row>
    <row r="484" spans="1:10">
      <c r="A484" s="1783"/>
      <c r="B484" s="1783"/>
      <c r="C484" s="1783"/>
      <c r="D484" s="1783"/>
      <c r="E484" s="1783"/>
      <c r="F484" s="1783"/>
      <c r="G484" s="1783"/>
      <c r="H484" s="1783"/>
      <c r="I484" s="1783"/>
      <c r="J484" s="1783"/>
    </row>
    <row r="485" spans="1:10">
      <c r="A485" s="1783"/>
      <c r="B485" s="1783"/>
      <c r="C485" s="1783"/>
      <c r="D485" s="1783"/>
      <c r="E485" s="1783"/>
      <c r="F485" s="1783"/>
      <c r="G485" s="1783"/>
      <c r="H485" s="1783"/>
      <c r="I485" s="1783"/>
      <c r="J485" s="1783"/>
    </row>
    <row r="486" spans="1:10">
      <c r="A486" s="1783"/>
      <c r="B486" s="1783"/>
      <c r="C486" s="1783"/>
      <c r="D486" s="1783"/>
      <c r="E486" s="1783"/>
      <c r="F486" s="1783"/>
      <c r="G486" s="1783"/>
      <c r="H486" s="1783"/>
      <c r="I486" s="1783"/>
      <c r="J486" s="1783"/>
    </row>
    <row r="487" spans="1:10">
      <c r="A487" s="1783"/>
      <c r="B487" s="1783"/>
      <c r="C487" s="1783"/>
      <c r="D487" s="1783"/>
      <c r="E487" s="1783"/>
      <c r="F487" s="1783"/>
      <c r="G487" s="1783"/>
      <c r="H487" s="1783"/>
      <c r="I487" s="1783"/>
      <c r="J487" s="1783"/>
    </row>
    <row r="488" spans="1:10">
      <c r="A488" s="1783"/>
      <c r="B488" s="1783"/>
      <c r="C488" s="1783"/>
      <c r="D488" s="1783"/>
      <c r="E488" s="1783"/>
      <c r="F488" s="1783"/>
      <c r="G488" s="1783"/>
      <c r="H488" s="1783"/>
      <c r="I488" s="1783"/>
      <c r="J488" s="1783"/>
    </row>
    <row r="489" spans="1:10">
      <c r="A489" s="1783"/>
      <c r="B489" s="1783"/>
      <c r="C489" s="1783"/>
      <c r="D489" s="1783"/>
      <c r="E489" s="1783"/>
      <c r="F489" s="1783"/>
      <c r="G489" s="1783"/>
      <c r="H489" s="1783"/>
      <c r="I489" s="1783"/>
      <c r="J489" s="1783"/>
    </row>
    <row r="490" spans="1:10">
      <c r="A490" s="1783"/>
      <c r="B490" s="1783"/>
      <c r="C490" s="1783"/>
      <c r="D490" s="1783"/>
      <c r="E490" s="1783"/>
      <c r="F490" s="1783"/>
      <c r="G490" s="1783"/>
      <c r="H490" s="1783"/>
      <c r="I490" s="1783"/>
      <c r="J490" s="1783"/>
    </row>
    <row r="491" spans="1:10">
      <c r="A491" s="1783"/>
      <c r="B491" s="1783"/>
      <c r="C491" s="1783"/>
      <c r="D491" s="1783"/>
      <c r="E491" s="1783"/>
      <c r="F491" s="1783"/>
      <c r="G491" s="1783"/>
      <c r="H491" s="1783"/>
      <c r="I491" s="1783"/>
      <c r="J491" s="1783"/>
    </row>
    <row r="492" spans="1:10">
      <c r="A492" s="1783"/>
      <c r="B492" s="1783"/>
      <c r="C492" s="1783"/>
      <c r="D492" s="1783"/>
      <c r="E492" s="1783"/>
      <c r="F492" s="1783"/>
      <c r="G492" s="1783"/>
      <c r="H492" s="1783"/>
      <c r="I492" s="1783"/>
      <c r="J492" s="1783"/>
    </row>
    <row r="493" spans="1:10">
      <c r="A493" s="1783"/>
      <c r="B493" s="1783"/>
      <c r="C493" s="1783"/>
      <c r="D493" s="1783"/>
      <c r="E493" s="1783"/>
      <c r="F493" s="1783"/>
      <c r="G493" s="1783"/>
      <c r="H493" s="1783"/>
      <c r="I493" s="1783"/>
      <c r="J493" s="1783"/>
    </row>
    <row r="494" spans="1:10">
      <c r="A494" s="1783"/>
      <c r="B494" s="1783"/>
      <c r="C494" s="1783"/>
      <c r="D494" s="1783"/>
      <c r="E494" s="1783"/>
      <c r="F494" s="1783"/>
      <c r="G494" s="1783"/>
      <c r="H494" s="1783"/>
      <c r="I494" s="1783"/>
      <c r="J494" s="1783"/>
    </row>
    <row r="495" spans="1:10">
      <c r="A495" s="1783"/>
      <c r="B495" s="1783"/>
      <c r="C495" s="1783"/>
      <c r="D495" s="1783"/>
      <c r="E495" s="1783"/>
      <c r="F495" s="1783"/>
      <c r="G495" s="1783"/>
      <c r="H495" s="1783"/>
      <c r="I495" s="1783"/>
      <c r="J495" s="1783"/>
    </row>
    <row r="496" spans="1:10">
      <c r="A496" s="1783"/>
      <c r="B496" s="1783"/>
      <c r="C496" s="1783"/>
      <c r="D496" s="1783"/>
      <c r="E496" s="1783"/>
      <c r="F496" s="1783"/>
      <c r="G496" s="1783"/>
      <c r="H496" s="1783"/>
      <c r="I496" s="1783"/>
      <c r="J496" s="1783"/>
    </row>
    <row r="497" spans="1:10">
      <c r="A497" s="1783"/>
      <c r="B497" s="1783"/>
      <c r="C497" s="1783"/>
      <c r="D497" s="1783"/>
      <c r="E497" s="1783"/>
      <c r="F497" s="1783"/>
      <c r="G497" s="1783"/>
      <c r="H497" s="1783"/>
      <c r="I497" s="1783"/>
      <c r="J497" s="1783"/>
    </row>
    <row r="498" spans="1:10">
      <c r="A498" s="1783"/>
      <c r="B498" s="1783"/>
      <c r="C498" s="1783"/>
      <c r="D498" s="1783"/>
      <c r="E498" s="1783"/>
      <c r="F498" s="1783"/>
      <c r="G498" s="1783"/>
      <c r="H498" s="1783"/>
      <c r="I498" s="1783"/>
      <c r="J498" s="1783"/>
    </row>
    <row r="499" spans="1:10">
      <c r="A499" s="1783"/>
      <c r="B499" s="1783"/>
      <c r="C499" s="1783"/>
      <c r="D499" s="1783"/>
      <c r="E499" s="1783"/>
      <c r="F499" s="1783"/>
      <c r="G499" s="1783"/>
      <c r="H499" s="1783"/>
      <c r="I499" s="1783"/>
      <c r="J499" s="1783"/>
    </row>
    <row r="500" spans="1:10">
      <c r="A500" s="1783"/>
      <c r="B500" s="1783"/>
      <c r="C500" s="1783"/>
      <c r="D500" s="1783"/>
      <c r="E500" s="1783"/>
      <c r="F500" s="1783"/>
      <c r="G500" s="1783"/>
      <c r="H500" s="1783"/>
      <c r="I500" s="1783"/>
      <c r="J500" s="1783"/>
    </row>
    <row r="501" spans="1:10">
      <c r="A501" s="1783"/>
      <c r="B501" s="1783"/>
      <c r="C501" s="1783"/>
      <c r="D501" s="1783"/>
      <c r="E501" s="1783"/>
      <c r="F501" s="1783"/>
      <c r="G501" s="1783"/>
      <c r="H501" s="1783"/>
      <c r="I501" s="1783"/>
      <c r="J501" s="1783"/>
    </row>
    <row r="502" spans="1:10">
      <c r="A502" s="1783"/>
      <c r="B502" s="1783"/>
      <c r="C502" s="1783"/>
      <c r="D502" s="1783"/>
      <c r="E502" s="1783"/>
      <c r="F502" s="1783"/>
      <c r="G502" s="1783"/>
      <c r="H502" s="1783"/>
      <c r="I502" s="1783"/>
      <c r="J502" s="1783"/>
    </row>
    <row r="503" spans="1:10">
      <c r="A503" s="1783"/>
      <c r="B503" s="1783"/>
      <c r="C503" s="1783"/>
      <c r="D503" s="1783"/>
      <c r="E503" s="1783"/>
      <c r="F503" s="1783"/>
      <c r="G503" s="1783"/>
      <c r="H503" s="1783"/>
      <c r="I503" s="1783"/>
      <c r="J503" s="1783"/>
    </row>
    <row r="504" spans="1:10">
      <c r="A504" s="1783"/>
      <c r="B504" s="1783"/>
      <c r="C504" s="1783"/>
      <c r="D504" s="1783"/>
      <c r="E504" s="1783"/>
      <c r="F504" s="1783"/>
      <c r="G504" s="1783"/>
      <c r="H504" s="1783"/>
      <c r="I504" s="1783"/>
      <c r="J504" s="1783"/>
    </row>
    <row r="505" spans="1:10">
      <c r="A505" s="1783"/>
      <c r="B505" s="1783"/>
      <c r="C505" s="1783"/>
      <c r="D505" s="1783"/>
      <c r="E505" s="1783"/>
      <c r="F505" s="1783"/>
      <c r="G505" s="1783"/>
      <c r="H505" s="1783"/>
      <c r="I505" s="1783"/>
      <c r="J505" s="1783"/>
    </row>
    <row r="506" spans="1:10">
      <c r="A506" s="1783"/>
      <c r="B506" s="1783"/>
      <c r="C506" s="1783"/>
      <c r="D506" s="1783"/>
      <c r="E506" s="1783"/>
      <c r="F506" s="1783"/>
      <c r="G506" s="1783"/>
      <c r="H506" s="1783"/>
      <c r="I506" s="1783"/>
      <c r="J506" s="1783"/>
    </row>
    <row r="507" spans="1:10">
      <c r="A507" s="1783"/>
      <c r="B507" s="1783"/>
      <c r="C507" s="1783"/>
      <c r="D507" s="1783"/>
      <c r="E507" s="1783"/>
      <c r="F507" s="1783"/>
      <c r="G507" s="1783"/>
      <c r="H507" s="1783"/>
      <c r="I507" s="1783"/>
      <c r="J507" s="1783"/>
    </row>
    <row r="508" spans="1:10">
      <c r="A508" s="1783"/>
      <c r="B508" s="1783"/>
      <c r="C508" s="1783"/>
      <c r="D508" s="1783"/>
      <c r="E508" s="1783"/>
      <c r="F508" s="1783"/>
      <c r="G508" s="1783"/>
      <c r="H508" s="1783"/>
      <c r="I508" s="1783"/>
      <c r="J508" s="1783"/>
    </row>
    <row r="509" spans="1:10">
      <c r="A509" s="1783"/>
      <c r="B509" s="1783"/>
      <c r="C509" s="1783"/>
      <c r="D509" s="1783"/>
      <c r="E509" s="1783"/>
      <c r="F509" s="1783"/>
      <c r="G509" s="1783"/>
      <c r="H509" s="1783"/>
      <c r="I509" s="1783"/>
      <c r="J509" s="1783"/>
    </row>
    <row r="510" spans="1:10">
      <c r="A510" s="1783"/>
      <c r="B510" s="1783"/>
      <c r="C510" s="1783"/>
      <c r="D510" s="1783"/>
      <c r="E510" s="1783"/>
      <c r="F510" s="1783"/>
      <c r="G510" s="1783"/>
      <c r="H510" s="1783"/>
      <c r="I510" s="1783"/>
      <c r="J510" s="1783"/>
    </row>
    <row r="511" spans="1:10">
      <c r="A511" s="1783"/>
      <c r="B511" s="1783"/>
      <c r="C511" s="1783"/>
      <c r="D511" s="1783"/>
      <c r="E511" s="1783"/>
      <c r="F511" s="1783"/>
      <c r="G511" s="1783"/>
      <c r="H511" s="1783"/>
      <c r="I511" s="1783"/>
      <c r="J511" s="1783"/>
    </row>
    <row r="512" spans="1:10">
      <c r="A512" s="1783"/>
      <c r="B512" s="1783"/>
      <c r="C512" s="1783"/>
      <c r="D512" s="1783"/>
      <c r="E512" s="1783"/>
      <c r="F512" s="1783"/>
      <c r="G512" s="1783"/>
      <c r="H512" s="1783"/>
      <c r="I512" s="1783"/>
      <c r="J512" s="1783"/>
    </row>
    <row r="513" spans="1:10">
      <c r="A513" s="1783"/>
      <c r="B513" s="1783"/>
      <c r="C513" s="1783"/>
      <c r="D513" s="1783"/>
      <c r="E513" s="1783"/>
      <c r="F513" s="1783"/>
      <c r="G513" s="1783"/>
      <c r="H513" s="1783"/>
      <c r="I513" s="1783"/>
      <c r="J513" s="1783"/>
    </row>
    <row r="514" spans="1:10">
      <c r="A514" s="1783"/>
      <c r="B514" s="1783"/>
      <c r="C514" s="1783"/>
      <c r="D514" s="1783"/>
      <c r="E514" s="1783"/>
      <c r="F514" s="1783"/>
      <c r="G514" s="1783"/>
      <c r="H514" s="1783"/>
      <c r="I514" s="1783"/>
      <c r="J514" s="1783"/>
    </row>
    <row r="515" spans="1:10">
      <c r="A515" s="1783"/>
      <c r="B515" s="1783"/>
      <c r="C515" s="1783"/>
      <c r="D515" s="1783"/>
      <c r="E515" s="1783"/>
      <c r="F515" s="1783"/>
      <c r="G515" s="1783"/>
      <c r="H515" s="1783"/>
      <c r="I515" s="1783"/>
      <c r="J515" s="1783"/>
    </row>
    <row r="516" spans="1:10">
      <c r="A516" s="1783"/>
      <c r="B516" s="1783"/>
      <c r="C516" s="1783"/>
      <c r="D516" s="1783"/>
      <c r="E516" s="1783"/>
      <c r="F516" s="1783"/>
      <c r="G516" s="1783"/>
      <c r="H516" s="1783"/>
      <c r="I516" s="1783"/>
      <c r="J516" s="1783"/>
    </row>
    <row r="517" spans="1:10">
      <c r="A517" s="1783"/>
      <c r="B517" s="1783"/>
      <c r="C517" s="1783"/>
      <c r="D517" s="1783"/>
      <c r="E517" s="1783"/>
      <c r="F517" s="1783"/>
      <c r="G517" s="1783"/>
      <c r="H517" s="1783"/>
      <c r="I517" s="1783"/>
      <c r="J517" s="1783"/>
    </row>
    <row r="518" spans="1:10">
      <c r="A518" s="1783"/>
      <c r="B518" s="1783"/>
      <c r="C518" s="1783"/>
      <c r="D518" s="1783"/>
      <c r="E518" s="1783"/>
      <c r="F518" s="1783"/>
      <c r="G518" s="1783"/>
      <c r="H518" s="1783"/>
      <c r="I518" s="1783"/>
      <c r="J518" s="1783"/>
    </row>
    <row r="519" spans="1:10">
      <c r="A519" s="1783"/>
      <c r="B519" s="1783"/>
      <c r="C519" s="1783"/>
      <c r="D519" s="1783"/>
      <c r="E519" s="1783"/>
      <c r="F519" s="1783"/>
      <c r="G519" s="1783"/>
      <c r="H519" s="1783"/>
      <c r="I519" s="1783"/>
      <c r="J519" s="1783"/>
    </row>
    <row r="520" spans="1:10">
      <c r="A520" s="1783"/>
      <c r="B520" s="1783"/>
      <c r="C520" s="1783"/>
      <c r="D520" s="1783"/>
      <c r="E520" s="1783"/>
      <c r="F520" s="1783"/>
      <c r="G520" s="1783"/>
      <c r="H520" s="1783"/>
      <c r="I520" s="1783"/>
      <c r="J520" s="1783"/>
    </row>
    <row r="521" spans="1:10">
      <c r="A521" s="1783"/>
      <c r="B521" s="1783"/>
      <c r="C521" s="1783"/>
      <c r="D521" s="1783"/>
      <c r="E521" s="1783"/>
      <c r="F521" s="1783"/>
      <c r="G521" s="1783"/>
      <c r="H521" s="1783"/>
      <c r="I521" s="1783"/>
      <c r="J521" s="1783"/>
    </row>
    <row r="522" spans="1:10">
      <c r="A522" s="1783"/>
      <c r="B522" s="1783"/>
      <c r="C522" s="1783"/>
      <c r="D522" s="1783"/>
      <c r="E522" s="1783"/>
      <c r="F522" s="1783"/>
      <c r="G522" s="1783"/>
      <c r="H522" s="1783"/>
      <c r="I522" s="1783"/>
      <c r="J522" s="1783"/>
    </row>
    <row r="523" spans="1:10">
      <c r="A523" s="1783"/>
      <c r="B523" s="1783"/>
      <c r="C523" s="1783"/>
      <c r="D523" s="1783"/>
      <c r="E523" s="1783"/>
      <c r="F523" s="1783"/>
      <c r="G523" s="1783"/>
      <c r="H523" s="1783"/>
      <c r="I523" s="1783"/>
      <c r="J523" s="1783"/>
    </row>
    <row r="524" spans="1:10">
      <c r="A524" s="1783"/>
      <c r="B524" s="1783"/>
      <c r="C524" s="1783"/>
      <c r="D524" s="1783"/>
      <c r="E524" s="1783"/>
      <c r="F524" s="1783"/>
      <c r="G524" s="1783"/>
      <c r="H524" s="1783"/>
      <c r="I524" s="1783"/>
      <c r="J524" s="1783"/>
    </row>
    <row r="525" spans="1:10">
      <c r="A525" s="1783"/>
      <c r="B525" s="1783"/>
      <c r="C525" s="1783"/>
      <c r="D525" s="1783"/>
      <c r="E525" s="1783"/>
      <c r="F525" s="1783"/>
      <c r="G525" s="1783"/>
      <c r="H525" s="1783"/>
      <c r="I525" s="1783"/>
      <c r="J525" s="1783"/>
    </row>
    <row r="526" spans="1:10">
      <c r="A526" s="1783"/>
      <c r="B526" s="1783"/>
      <c r="C526" s="1783"/>
      <c r="D526" s="1783"/>
      <c r="E526" s="1783"/>
      <c r="F526" s="1783"/>
      <c r="G526" s="1783"/>
      <c r="H526" s="1783"/>
      <c r="I526" s="1783"/>
      <c r="J526" s="1783"/>
    </row>
    <row r="527" spans="1:10">
      <c r="A527" s="1783"/>
      <c r="B527" s="1783"/>
      <c r="C527" s="1783"/>
      <c r="D527" s="1783"/>
      <c r="E527" s="1783"/>
      <c r="F527" s="1783"/>
      <c r="G527" s="1783"/>
      <c r="H527" s="1783"/>
      <c r="I527" s="1783"/>
      <c r="J527" s="1783"/>
    </row>
    <row r="528" spans="1:10">
      <c r="A528" s="1783"/>
      <c r="B528" s="1783"/>
      <c r="C528" s="1783"/>
      <c r="D528" s="1783"/>
      <c r="E528" s="1783"/>
      <c r="F528" s="1783"/>
      <c r="G528" s="1783"/>
      <c r="H528" s="1783"/>
      <c r="I528" s="1783"/>
      <c r="J528" s="1783"/>
    </row>
    <row r="529" spans="1:10">
      <c r="A529" s="1783"/>
      <c r="B529" s="1783"/>
      <c r="C529" s="1783"/>
      <c r="D529" s="1783"/>
      <c r="E529" s="1783"/>
      <c r="F529" s="1783"/>
      <c r="G529" s="1783"/>
      <c r="H529" s="1783"/>
      <c r="I529" s="1783"/>
      <c r="J529" s="1783"/>
    </row>
    <row r="530" spans="1:10">
      <c r="A530" s="1783"/>
      <c r="B530" s="1783"/>
      <c r="C530" s="1783"/>
      <c r="D530" s="1783"/>
      <c r="E530" s="1783"/>
      <c r="F530" s="1783"/>
      <c r="G530" s="1783"/>
      <c r="H530" s="1783"/>
      <c r="I530" s="1783"/>
      <c r="J530" s="1783"/>
    </row>
    <row r="531" spans="1:10">
      <c r="A531" s="1783"/>
      <c r="B531" s="1783"/>
      <c r="C531" s="1783"/>
      <c r="D531" s="1783"/>
      <c r="E531" s="1783"/>
      <c r="F531" s="1783"/>
      <c r="G531" s="1783"/>
      <c r="H531" s="1783"/>
      <c r="I531" s="1783"/>
      <c r="J531" s="1783"/>
    </row>
    <row r="532" spans="1:10">
      <c r="A532" s="1783"/>
      <c r="B532" s="1783"/>
      <c r="C532" s="1783"/>
      <c r="D532" s="1783"/>
      <c r="E532" s="1783"/>
      <c r="F532" s="1783"/>
      <c r="G532" s="1783"/>
      <c r="H532" s="1783"/>
      <c r="I532" s="1783"/>
      <c r="J532" s="1783"/>
    </row>
    <row r="533" spans="1:10">
      <c r="A533" s="1783"/>
      <c r="B533" s="1783"/>
      <c r="C533" s="1783"/>
      <c r="D533" s="1783"/>
      <c r="E533" s="1783"/>
      <c r="F533" s="1783"/>
      <c r="G533" s="1783"/>
      <c r="H533" s="1783"/>
      <c r="I533" s="1783"/>
      <c r="J533" s="1783"/>
    </row>
    <row r="534" spans="1:10">
      <c r="A534" s="1783"/>
      <c r="B534" s="1783"/>
      <c r="C534" s="1783"/>
      <c r="D534" s="1783"/>
      <c r="E534" s="1783"/>
      <c r="F534" s="1783"/>
      <c r="G534" s="1783"/>
      <c r="H534" s="1783"/>
      <c r="I534" s="1783"/>
      <c r="J534" s="1783"/>
    </row>
    <row r="535" spans="1:10">
      <c r="A535" s="1783"/>
      <c r="B535" s="1783"/>
      <c r="C535" s="1783"/>
      <c r="D535" s="1783"/>
      <c r="E535" s="1783"/>
      <c r="F535" s="1783"/>
      <c r="G535" s="1783"/>
      <c r="H535" s="1783"/>
      <c r="I535" s="1783"/>
      <c r="J535" s="1783"/>
    </row>
    <row r="536" spans="1:10">
      <c r="A536" s="1783"/>
      <c r="B536" s="1783"/>
      <c r="C536" s="1783"/>
      <c r="D536" s="1783"/>
      <c r="E536" s="1783"/>
      <c r="F536" s="1783"/>
      <c r="G536" s="1783"/>
      <c r="H536" s="1783"/>
      <c r="I536" s="1783"/>
      <c r="J536" s="1783"/>
    </row>
    <row r="537" spans="1:10">
      <c r="A537" s="1783"/>
      <c r="B537" s="1783"/>
      <c r="C537" s="1783"/>
      <c r="D537" s="1783"/>
      <c r="E537" s="1783"/>
      <c r="F537" s="1783"/>
      <c r="G537" s="1783"/>
      <c r="H537" s="1783"/>
      <c r="I537" s="1783"/>
      <c r="J537" s="1783"/>
    </row>
    <row r="538" spans="1:10">
      <c r="A538" s="1783"/>
      <c r="B538" s="1783"/>
      <c r="C538" s="1783"/>
      <c r="D538" s="1783"/>
      <c r="E538" s="1783"/>
      <c r="F538" s="1783"/>
      <c r="G538" s="1783"/>
      <c r="H538" s="1783"/>
      <c r="I538" s="1783"/>
      <c r="J538" s="1783"/>
    </row>
    <row r="539" spans="1:10">
      <c r="A539" s="1783"/>
      <c r="B539" s="1783"/>
      <c r="C539" s="1783"/>
      <c r="D539" s="1783"/>
      <c r="E539" s="1783"/>
      <c r="F539" s="1783"/>
      <c r="G539" s="1783"/>
      <c r="H539" s="1783"/>
      <c r="I539" s="1783"/>
      <c r="J539" s="1783"/>
    </row>
    <row r="540" spans="1:10">
      <c r="A540" s="1783"/>
      <c r="B540" s="1783"/>
      <c r="C540" s="1783"/>
      <c r="D540" s="1783"/>
      <c r="E540" s="1783"/>
      <c r="F540" s="1783"/>
      <c r="G540" s="1783"/>
      <c r="H540" s="1783"/>
      <c r="I540" s="1783"/>
      <c r="J540" s="1783"/>
    </row>
    <row r="541" spans="1:10">
      <c r="A541" s="1783"/>
      <c r="B541" s="1783"/>
      <c r="C541" s="1783"/>
      <c r="D541" s="1783"/>
      <c r="E541" s="1783"/>
      <c r="F541" s="1783"/>
      <c r="G541" s="1783"/>
      <c r="H541" s="1783"/>
      <c r="I541" s="1783"/>
      <c r="J541" s="1783"/>
    </row>
    <row r="542" spans="1:10">
      <c r="A542" s="1783"/>
      <c r="B542" s="1783"/>
      <c r="C542" s="1783"/>
      <c r="D542" s="1783"/>
      <c r="E542" s="1783"/>
      <c r="F542" s="1783"/>
      <c r="G542" s="1783"/>
      <c r="H542" s="1783"/>
      <c r="I542" s="1783"/>
      <c r="J542" s="1783"/>
    </row>
    <row r="543" spans="1:10">
      <c r="A543" s="1783"/>
      <c r="B543" s="1783"/>
      <c r="C543" s="1783"/>
      <c r="D543" s="1783"/>
      <c r="E543" s="1783"/>
      <c r="F543" s="1783"/>
      <c r="G543" s="1783"/>
      <c r="H543" s="1783"/>
      <c r="I543" s="1783"/>
      <c r="J543" s="1783"/>
    </row>
    <row r="544" spans="1:10">
      <c r="A544" s="1783"/>
      <c r="B544" s="1783"/>
      <c r="C544" s="1783"/>
      <c r="D544" s="1783"/>
      <c r="E544" s="1783"/>
      <c r="F544" s="1783"/>
      <c r="G544" s="1783"/>
      <c r="H544" s="1783"/>
      <c r="I544" s="1783"/>
      <c r="J544" s="1783"/>
    </row>
    <row r="545" spans="1:10">
      <c r="A545" s="1783"/>
      <c r="B545" s="1783"/>
      <c r="C545" s="1783"/>
      <c r="D545" s="1783"/>
      <c r="E545" s="1783"/>
      <c r="F545" s="1783"/>
      <c r="G545" s="1783"/>
      <c r="H545" s="1783"/>
      <c r="I545" s="1783"/>
      <c r="J545" s="1783"/>
    </row>
    <row r="546" spans="1:10">
      <c r="A546" s="1783"/>
      <c r="B546" s="1783"/>
      <c r="C546" s="1783"/>
      <c r="D546" s="1783"/>
      <c r="E546" s="1783"/>
      <c r="F546" s="1783"/>
      <c r="G546" s="1783"/>
      <c r="H546" s="1783"/>
      <c r="I546" s="1783"/>
      <c r="J546" s="1783"/>
    </row>
    <row r="547" spans="1:10">
      <c r="A547" s="1783"/>
      <c r="B547" s="1783"/>
      <c r="C547" s="1783"/>
      <c r="D547" s="1783"/>
      <c r="E547" s="1783"/>
      <c r="F547" s="1783"/>
      <c r="G547" s="1783"/>
      <c r="H547" s="1783"/>
      <c r="I547" s="1783"/>
      <c r="J547" s="1783"/>
    </row>
    <row r="548" spans="1:10">
      <c r="A548" s="1783"/>
      <c r="B548" s="1783"/>
      <c r="C548" s="1783"/>
      <c r="D548" s="1783"/>
      <c r="E548" s="1783"/>
      <c r="F548" s="1783"/>
      <c r="G548" s="1783"/>
      <c r="H548" s="1783"/>
      <c r="I548" s="1783"/>
      <c r="J548" s="1783"/>
    </row>
    <row r="549" spans="1:10">
      <c r="A549" s="1783"/>
      <c r="B549" s="1783"/>
      <c r="C549" s="1783"/>
      <c r="D549" s="1783"/>
      <c r="E549" s="1783"/>
      <c r="F549" s="1783"/>
      <c r="G549" s="1783"/>
      <c r="H549" s="1783"/>
      <c r="I549" s="1783"/>
      <c r="J549" s="1783"/>
    </row>
    <row r="550" spans="1:10">
      <c r="A550" s="1783"/>
      <c r="B550" s="1783"/>
      <c r="C550" s="1783"/>
      <c r="D550" s="1783"/>
      <c r="E550" s="1783"/>
      <c r="F550" s="1783"/>
      <c r="G550" s="1783"/>
      <c r="H550" s="1783"/>
      <c r="I550" s="1783"/>
      <c r="J550" s="1783"/>
    </row>
    <row r="551" spans="1:10">
      <c r="A551" s="1783"/>
      <c r="B551" s="1783"/>
      <c r="C551" s="1783"/>
      <c r="D551" s="1783"/>
      <c r="E551" s="1783"/>
      <c r="F551" s="1783"/>
      <c r="G551" s="1783"/>
      <c r="H551" s="1783"/>
      <c r="I551" s="1783"/>
      <c r="J551" s="1783"/>
    </row>
    <row r="552" spans="1:10">
      <c r="A552" s="1783"/>
      <c r="B552" s="1783"/>
      <c r="C552" s="1783"/>
      <c r="D552" s="1783"/>
      <c r="E552" s="1783"/>
      <c r="F552" s="1783"/>
      <c r="G552" s="1783"/>
      <c r="H552" s="1783"/>
      <c r="I552" s="1783"/>
      <c r="J552" s="1783"/>
    </row>
    <row r="553" spans="1:10">
      <c r="A553" s="1783"/>
      <c r="B553" s="1783"/>
      <c r="C553" s="1783"/>
      <c r="D553" s="1783"/>
      <c r="E553" s="1783"/>
      <c r="F553" s="1783"/>
      <c r="G553" s="1783"/>
      <c r="H553" s="1783"/>
      <c r="I553" s="1783"/>
      <c r="J553" s="1783"/>
    </row>
    <row r="554" spans="1:10">
      <c r="A554" s="1783"/>
      <c r="B554" s="1783"/>
      <c r="C554" s="1783"/>
      <c r="D554" s="1783"/>
      <c r="E554" s="1783"/>
      <c r="F554" s="1783"/>
      <c r="G554" s="1783"/>
      <c r="H554" s="1783"/>
      <c r="I554" s="1783"/>
      <c r="J554" s="1783"/>
    </row>
    <row r="555" spans="1:10">
      <c r="A555" s="1783"/>
      <c r="B555" s="1783"/>
      <c r="C555" s="1783"/>
      <c r="D555" s="1783"/>
      <c r="E555" s="1783"/>
      <c r="F555" s="1783"/>
      <c r="G555" s="1783"/>
      <c r="H555" s="1783"/>
      <c r="I555" s="1783"/>
      <c r="J555" s="1783"/>
    </row>
    <row r="556" spans="1:10">
      <c r="A556" s="1783"/>
      <c r="B556" s="1783"/>
      <c r="C556" s="1783"/>
      <c r="D556" s="1783"/>
      <c r="E556" s="1783"/>
      <c r="F556" s="1783"/>
      <c r="G556" s="1783"/>
      <c r="H556" s="1783"/>
      <c r="I556" s="1783"/>
      <c r="J556" s="1783"/>
    </row>
    <row r="557" spans="1:10">
      <c r="A557" s="1783"/>
      <c r="B557" s="1783"/>
      <c r="C557" s="1783"/>
      <c r="D557" s="1783"/>
      <c r="E557" s="1783"/>
      <c r="F557" s="1783"/>
      <c r="G557" s="1783"/>
      <c r="H557" s="1783"/>
      <c r="I557" s="1783"/>
      <c r="J557" s="1783"/>
    </row>
    <row r="558" spans="1:10">
      <c r="A558" s="1783"/>
      <c r="B558" s="1783"/>
      <c r="C558" s="1783"/>
      <c r="D558" s="1783"/>
      <c r="E558" s="1783"/>
      <c r="F558" s="1783"/>
      <c r="G558" s="1783"/>
      <c r="H558" s="1783"/>
      <c r="I558" s="1783"/>
      <c r="J558" s="1783"/>
    </row>
    <row r="559" spans="1:10">
      <c r="A559" s="1783"/>
      <c r="B559" s="1783"/>
      <c r="C559" s="1783"/>
      <c r="D559" s="1783"/>
      <c r="E559" s="1783"/>
      <c r="F559" s="1783"/>
      <c r="G559" s="1783"/>
      <c r="H559" s="1783"/>
      <c r="I559" s="1783"/>
      <c r="J559" s="1783"/>
    </row>
    <row r="560" spans="1:10">
      <c r="A560" s="1783"/>
      <c r="B560" s="1783"/>
      <c r="C560" s="1783"/>
      <c r="D560" s="1783"/>
      <c r="E560" s="1783"/>
      <c r="F560" s="1783"/>
      <c r="G560" s="1783"/>
      <c r="H560" s="1783"/>
      <c r="I560" s="1783"/>
      <c r="J560" s="1783"/>
    </row>
    <row r="561" spans="1:10">
      <c r="A561" s="1783"/>
      <c r="B561" s="1783"/>
      <c r="C561" s="1783"/>
      <c r="D561" s="1783"/>
      <c r="E561" s="1783"/>
      <c r="F561" s="1783"/>
      <c r="G561" s="1783"/>
      <c r="H561" s="1783"/>
      <c r="I561" s="1783"/>
      <c r="J561" s="1783"/>
    </row>
    <row r="562" spans="1:10">
      <c r="A562" s="1783"/>
      <c r="B562" s="1783"/>
      <c r="C562" s="1783"/>
      <c r="D562" s="1783"/>
      <c r="E562" s="1783"/>
      <c r="F562" s="1783"/>
      <c r="G562" s="1783"/>
      <c r="H562" s="1783"/>
      <c r="I562" s="1783"/>
      <c r="J562" s="1783"/>
    </row>
    <row r="563" spans="1:10">
      <c r="A563" s="1783"/>
      <c r="B563" s="1783"/>
      <c r="C563" s="1783"/>
      <c r="D563" s="1783"/>
      <c r="E563" s="1783"/>
      <c r="F563" s="1783"/>
      <c r="G563" s="1783"/>
      <c r="H563" s="1783"/>
      <c r="I563" s="1783"/>
      <c r="J563" s="1783"/>
    </row>
    <row r="564" spans="1:10">
      <c r="A564" s="1783"/>
      <c r="B564" s="1783"/>
      <c r="C564" s="1783"/>
      <c r="D564" s="1783"/>
      <c r="E564" s="1783"/>
      <c r="F564" s="1783"/>
      <c r="G564" s="1783"/>
      <c r="H564" s="1783"/>
      <c r="I564" s="1783"/>
      <c r="J564" s="1783"/>
    </row>
    <row r="565" spans="1:10">
      <c r="A565" s="1783"/>
      <c r="B565" s="1783"/>
      <c r="C565" s="1783"/>
      <c r="D565" s="1783"/>
      <c r="E565" s="1783"/>
      <c r="F565" s="1783"/>
      <c r="G565" s="1783"/>
      <c r="H565" s="1783"/>
      <c r="I565" s="1783"/>
      <c r="J565" s="1783"/>
    </row>
    <row r="566" spans="1:10">
      <c r="A566" s="1783"/>
      <c r="B566" s="1783"/>
      <c r="C566" s="1783"/>
      <c r="D566" s="1783"/>
      <c r="E566" s="1783"/>
      <c r="F566" s="1783"/>
      <c r="G566" s="1783"/>
      <c r="H566" s="1783"/>
      <c r="I566" s="1783"/>
      <c r="J566" s="1783"/>
    </row>
    <row r="567" spans="1:10">
      <c r="A567" s="1783"/>
      <c r="B567" s="1783"/>
      <c r="C567" s="1783"/>
      <c r="D567" s="1783"/>
      <c r="E567" s="1783"/>
      <c r="F567" s="1783"/>
      <c r="G567" s="1783"/>
      <c r="H567" s="1783"/>
      <c r="I567" s="1783"/>
      <c r="J567" s="1783"/>
    </row>
    <row r="568" spans="1:10">
      <c r="A568" s="1783"/>
      <c r="B568" s="1783"/>
      <c r="C568" s="1783"/>
      <c r="D568" s="1783"/>
      <c r="E568" s="1783"/>
      <c r="F568" s="1783"/>
      <c r="G568" s="1783"/>
      <c r="H568" s="1783"/>
      <c r="I568" s="1783"/>
      <c r="J568" s="1783"/>
    </row>
    <row r="569" spans="1:10">
      <c r="A569" s="1783"/>
      <c r="B569" s="1783"/>
      <c r="C569" s="1783"/>
      <c r="D569" s="1783"/>
      <c r="E569" s="1783"/>
      <c r="F569" s="1783"/>
      <c r="G569" s="1783"/>
      <c r="H569" s="1783"/>
      <c r="I569" s="1783"/>
      <c r="J569" s="1783"/>
    </row>
    <row r="570" spans="1:10">
      <c r="A570" s="1783"/>
      <c r="B570" s="1783"/>
      <c r="C570" s="1783"/>
      <c r="D570" s="1783"/>
      <c r="E570" s="1783"/>
      <c r="F570" s="1783"/>
      <c r="G570" s="1783"/>
      <c r="H570" s="1783"/>
      <c r="I570" s="1783"/>
      <c r="J570" s="1783"/>
    </row>
    <row r="571" spans="1:10">
      <c r="A571" s="1783"/>
      <c r="B571" s="1783"/>
      <c r="C571" s="1783"/>
      <c r="D571" s="1783"/>
      <c r="E571" s="1783"/>
      <c r="F571" s="1783"/>
      <c r="G571" s="1783"/>
      <c r="H571" s="1783"/>
      <c r="I571" s="1783"/>
      <c r="J571" s="1783"/>
    </row>
    <row r="572" spans="1:10">
      <c r="A572" s="1783"/>
      <c r="B572" s="1783"/>
      <c r="C572" s="1783"/>
      <c r="D572" s="1783"/>
      <c r="E572" s="1783"/>
      <c r="F572" s="1783"/>
      <c r="G572" s="1783"/>
      <c r="H572" s="1783"/>
      <c r="I572" s="1783"/>
      <c r="J572" s="1783"/>
    </row>
    <row r="573" spans="1:10">
      <c r="A573" s="1783"/>
      <c r="B573" s="1783"/>
      <c r="C573" s="1783"/>
      <c r="D573" s="1783"/>
      <c r="E573" s="1783"/>
      <c r="F573" s="1783"/>
      <c r="G573" s="1783"/>
      <c r="H573" s="1783"/>
      <c r="I573" s="1783"/>
      <c r="J573" s="1783"/>
    </row>
    <row r="574" spans="1:10">
      <c r="A574" s="1783"/>
      <c r="B574" s="1783"/>
      <c r="C574" s="1783"/>
      <c r="D574" s="1783"/>
      <c r="E574" s="1783"/>
      <c r="F574" s="1783"/>
      <c r="G574" s="1783"/>
      <c r="H574" s="1783"/>
      <c r="I574" s="1783"/>
      <c r="J574" s="1783"/>
    </row>
    <row r="575" spans="1:10">
      <c r="A575" s="1783"/>
      <c r="B575" s="1783"/>
      <c r="C575" s="1783"/>
      <c r="D575" s="1783"/>
      <c r="E575" s="1783"/>
      <c r="F575" s="1783"/>
      <c r="G575" s="1783"/>
      <c r="H575" s="1783"/>
      <c r="I575" s="1783"/>
      <c r="J575" s="1783"/>
    </row>
    <row r="576" spans="1:10">
      <c r="A576" s="1783"/>
      <c r="B576" s="1783"/>
      <c r="C576" s="1783"/>
      <c r="D576" s="1783"/>
      <c r="E576" s="1783"/>
      <c r="F576" s="1783"/>
      <c r="G576" s="1783"/>
      <c r="H576" s="1783"/>
      <c r="I576" s="1783"/>
      <c r="J576" s="1783"/>
    </row>
    <row r="577" spans="1:10">
      <c r="A577" s="1783"/>
      <c r="B577" s="1783"/>
      <c r="C577" s="1783"/>
      <c r="D577" s="1783"/>
      <c r="E577" s="1783"/>
      <c r="F577" s="1783"/>
      <c r="G577" s="1783"/>
      <c r="H577" s="1783"/>
      <c r="I577" s="1783"/>
      <c r="J577" s="1783"/>
    </row>
    <row r="578" spans="1:10">
      <c r="A578" s="1783"/>
      <c r="B578" s="1783"/>
      <c r="C578" s="1783"/>
      <c r="D578" s="1783"/>
      <c r="E578" s="1783"/>
      <c r="F578" s="1783"/>
      <c r="G578" s="1783"/>
      <c r="H578" s="1783"/>
      <c r="I578" s="1783"/>
      <c r="J578" s="1783"/>
    </row>
    <row r="579" spans="1:10">
      <c r="A579" s="1783"/>
      <c r="B579" s="1783"/>
      <c r="C579" s="1783"/>
      <c r="D579" s="1783"/>
      <c r="E579" s="1783"/>
      <c r="F579" s="1783"/>
      <c r="G579" s="1783"/>
      <c r="H579" s="1783"/>
      <c r="I579" s="1783"/>
      <c r="J579" s="1783"/>
    </row>
    <row r="580" spans="1:10">
      <c r="A580" s="1783"/>
      <c r="B580" s="1783"/>
      <c r="C580" s="1783"/>
      <c r="D580" s="1783"/>
      <c r="E580" s="1783"/>
      <c r="F580" s="1783"/>
      <c r="G580" s="1783"/>
      <c r="H580" s="1783"/>
      <c r="I580" s="1783"/>
      <c r="J580" s="1783"/>
    </row>
    <row r="581" spans="1:10">
      <c r="A581" s="1783"/>
      <c r="B581" s="1783"/>
      <c r="C581" s="1783"/>
      <c r="D581" s="1783"/>
      <c r="E581" s="1783"/>
      <c r="F581" s="1783"/>
      <c r="G581" s="1783"/>
      <c r="H581" s="1783"/>
      <c r="I581" s="1783"/>
      <c r="J581" s="1783"/>
    </row>
    <row r="582" spans="1:10">
      <c r="A582" s="1783"/>
      <c r="B582" s="1783"/>
      <c r="C582" s="1783"/>
      <c r="D582" s="1783"/>
      <c r="E582" s="1783"/>
      <c r="F582" s="1783"/>
      <c r="G582" s="1783"/>
      <c r="H582" s="1783"/>
      <c r="I582" s="1783"/>
      <c r="J582" s="1783"/>
    </row>
    <row r="583" spans="1:10">
      <c r="A583" s="1783"/>
      <c r="B583" s="1783"/>
      <c r="C583" s="1783"/>
      <c r="D583" s="1783"/>
      <c r="E583" s="1783"/>
      <c r="F583" s="1783"/>
      <c r="G583" s="1783"/>
      <c r="H583" s="1783"/>
      <c r="I583" s="1783"/>
      <c r="J583" s="1783"/>
    </row>
    <row r="584" spans="1:10">
      <c r="A584" s="1783"/>
      <c r="B584" s="1783"/>
      <c r="C584" s="1783"/>
      <c r="D584" s="1783"/>
      <c r="E584" s="1783"/>
      <c r="F584" s="1783"/>
      <c r="G584" s="1783"/>
      <c r="H584" s="1783"/>
      <c r="I584" s="1783"/>
      <c r="J584" s="1783"/>
    </row>
    <row r="585" spans="1:10">
      <c r="A585" s="1783"/>
      <c r="B585" s="1783"/>
      <c r="C585" s="1783"/>
      <c r="D585" s="1783"/>
      <c r="E585" s="1783"/>
      <c r="F585" s="1783"/>
      <c r="G585" s="1783"/>
      <c r="H585" s="1783"/>
      <c r="I585" s="1783"/>
      <c r="J585" s="1783"/>
    </row>
    <row r="586" spans="1:10">
      <c r="A586" s="1783"/>
      <c r="B586" s="1783"/>
      <c r="C586" s="1783"/>
      <c r="D586" s="1783"/>
      <c r="E586" s="1783"/>
      <c r="F586" s="1783"/>
      <c r="G586" s="1783"/>
      <c r="H586" s="1783"/>
      <c r="I586" s="1783"/>
      <c r="J586" s="1783"/>
    </row>
    <row r="587" spans="1:10">
      <c r="A587" s="1783"/>
      <c r="B587" s="1783"/>
      <c r="C587" s="1783"/>
      <c r="D587" s="1783"/>
      <c r="E587" s="1783"/>
      <c r="F587" s="1783"/>
      <c r="G587" s="1783"/>
      <c r="H587" s="1783"/>
      <c r="I587" s="1783"/>
      <c r="J587" s="1783"/>
    </row>
    <row r="588" spans="1:10">
      <c r="A588" s="1783"/>
      <c r="B588" s="1783"/>
      <c r="C588" s="1783"/>
      <c r="D588" s="1783"/>
      <c r="E588" s="1783"/>
      <c r="F588" s="1783"/>
      <c r="G588" s="1783"/>
      <c r="H588" s="1783"/>
      <c r="I588" s="1783"/>
      <c r="J588" s="1783"/>
    </row>
    <row r="589" spans="1:10">
      <c r="A589" s="1783"/>
      <c r="B589" s="1783"/>
      <c r="C589" s="1783"/>
      <c r="D589" s="1783"/>
      <c r="E589" s="1783"/>
      <c r="F589" s="1783"/>
      <c r="G589" s="1783"/>
      <c r="H589" s="1783"/>
      <c r="I589" s="1783"/>
      <c r="J589" s="1783"/>
    </row>
    <row r="590" spans="1:10">
      <c r="A590" s="1783"/>
      <c r="B590" s="1783"/>
      <c r="C590" s="1783"/>
      <c r="D590" s="1783"/>
      <c r="E590" s="1783"/>
      <c r="F590" s="1783"/>
      <c r="G590" s="1783"/>
      <c r="H590" s="1783"/>
      <c r="I590" s="1783"/>
      <c r="J590" s="1783"/>
    </row>
    <row r="591" spans="1:10">
      <c r="A591" s="1783"/>
      <c r="B591" s="1783"/>
      <c r="C591" s="1783"/>
      <c r="D591" s="1783"/>
      <c r="E591" s="1783"/>
      <c r="F591" s="1783"/>
      <c r="G591" s="1783"/>
      <c r="H591" s="1783"/>
      <c r="I591" s="1783"/>
      <c r="J591" s="1783"/>
    </row>
    <row r="592" spans="1:10">
      <c r="A592" s="1783"/>
      <c r="B592" s="1783"/>
      <c r="C592" s="1783"/>
      <c r="D592" s="1783"/>
      <c r="E592" s="1783"/>
      <c r="F592" s="1783"/>
      <c r="G592" s="1783"/>
      <c r="H592" s="1783"/>
      <c r="I592" s="1783"/>
      <c r="J592" s="1783"/>
    </row>
    <row r="593" spans="1:10">
      <c r="A593" s="1783"/>
      <c r="B593" s="1783"/>
      <c r="C593" s="1783"/>
      <c r="D593" s="1783"/>
      <c r="E593" s="1783"/>
      <c r="F593" s="1783"/>
      <c r="G593" s="1783"/>
      <c r="H593" s="1783"/>
      <c r="I593" s="1783"/>
      <c r="J593" s="1783"/>
    </row>
    <row r="594" spans="1:10">
      <c r="A594" s="1783"/>
      <c r="B594" s="1783"/>
      <c r="C594" s="1783"/>
      <c r="D594" s="1783"/>
      <c r="E594" s="1783"/>
      <c r="F594" s="1783"/>
      <c r="G594" s="1783"/>
      <c r="H594" s="1783"/>
      <c r="I594" s="1783"/>
      <c r="J594" s="1783"/>
    </row>
    <row r="595" spans="1:10">
      <c r="A595" s="1783"/>
      <c r="B595" s="1783"/>
      <c r="C595" s="1783"/>
      <c r="D595" s="1783"/>
      <c r="E595" s="1783"/>
      <c r="F595" s="1783"/>
      <c r="G595" s="1783"/>
      <c r="H595" s="1783"/>
      <c r="I595" s="1783"/>
      <c r="J595" s="1783"/>
    </row>
    <row r="596" spans="1:10">
      <c r="A596" s="1783"/>
      <c r="B596" s="1783"/>
      <c r="C596" s="1783"/>
      <c r="D596" s="1783"/>
      <c r="E596" s="1783"/>
      <c r="F596" s="1783"/>
      <c r="G596" s="1783"/>
      <c r="H596" s="1783"/>
      <c r="I596" s="1783"/>
      <c r="J596" s="1783"/>
    </row>
    <row r="597" spans="1:10">
      <c r="A597" s="1783"/>
      <c r="B597" s="1783"/>
      <c r="C597" s="1783"/>
      <c r="D597" s="1783"/>
      <c r="E597" s="1783"/>
      <c r="F597" s="1783"/>
      <c r="G597" s="1783"/>
      <c r="H597" s="1783"/>
      <c r="I597" s="1783"/>
      <c r="J597" s="1783"/>
    </row>
    <row r="598" spans="1:10">
      <c r="A598" s="1783"/>
      <c r="B598" s="1783"/>
      <c r="C598" s="1783"/>
      <c r="D598" s="1783"/>
      <c r="E598" s="1783"/>
      <c r="F598" s="1783"/>
      <c r="G598" s="1783"/>
      <c r="H598" s="1783"/>
      <c r="I598" s="1783"/>
      <c r="J598" s="1783"/>
    </row>
    <row r="599" spans="1:10">
      <c r="A599" s="1783"/>
      <c r="B599" s="1783"/>
      <c r="C599" s="1783"/>
      <c r="D599" s="1783"/>
      <c r="E599" s="1783"/>
      <c r="F599" s="1783"/>
      <c r="G599" s="1783"/>
      <c r="H599" s="1783"/>
      <c r="I599" s="1783"/>
      <c r="J599" s="1783"/>
    </row>
    <row r="600" spans="1:10">
      <c r="A600" s="1783"/>
      <c r="B600" s="1783"/>
      <c r="C600" s="1783"/>
      <c r="D600" s="1783"/>
      <c r="E600" s="1783"/>
      <c r="F600" s="1783"/>
      <c r="G600" s="1783"/>
      <c r="H600" s="1783"/>
      <c r="I600" s="1783"/>
      <c r="J600" s="1783"/>
    </row>
    <row r="601" spans="1:10">
      <c r="A601" s="1783"/>
      <c r="B601" s="1783"/>
      <c r="C601" s="1783"/>
      <c r="D601" s="1783"/>
      <c r="E601" s="1783"/>
      <c r="F601" s="1783"/>
      <c r="G601" s="1783"/>
      <c r="H601" s="1783"/>
      <c r="I601" s="1783"/>
      <c r="J601" s="1783"/>
    </row>
    <row r="602" spans="1:10">
      <c r="A602" s="1783"/>
      <c r="B602" s="1783"/>
      <c r="C602" s="1783"/>
      <c r="D602" s="1783"/>
      <c r="E602" s="1783"/>
      <c r="F602" s="1783"/>
      <c r="G602" s="1783"/>
      <c r="H602" s="1783"/>
      <c r="I602" s="1783"/>
      <c r="J602" s="1783"/>
    </row>
    <row r="603" spans="1:10">
      <c r="A603" s="1783"/>
      <c r="B603" s="1783"/>
      <c r="C603" s="1783"/>
      <c r="D603" s="1783"/>
      <c r="E603" s="1783"/>
      <c r="F603" s="1783"/>
      <c r="G603" s="1783"/>
      <c r="H603" s="1783"/>
      <c r="I603" s="1783"/>
      <c r="J603" s="1783"/>
    </row>
    <row r="604" spans="1:10">
      <c r="A604" s="1783"/>
      <c r="B604" s="1783"/>
      <c r="C604" s="1783"/>
      <c r="D604" s="1783"/>
      <c r="E604" s="1783"/>
      <c r="F604" s="1783"/>
      <c r="G604" s="1783"/>
      <c r="H604" s="1783"/>
      <c r="I604" s="1783"/>
      <c r="J604" s="1783"/>
    </row>
    <row r="605" spans="1:10">
      <c r="A605" s="1783"/>
      <c r="B605" s="1783"/>
      <c r="C605" s="1783"/>
      <c r="D605" s="1783"/>
      <c r="E605" s="1783"/>
      <c r="F605" s="1783"/>
      <c r="G605" s="1783"/>
      <c r="H605" s="1783"/>
      <c r="I605" s="1783"/>
      <c r="J605" s="1783"/>
    </row>
    <row r="606" spans="1:10">
      <c r="A606" s="1783"/>
      <c r="B606" s="1783"/>
      <c r="C606" s="1783"/>
      <c r="D606" s="1783"/>
      <c r="E606" s="1783"/>
      <c r="F606" s="1783"/>
      <c r="G606" s="1783"/>
      <c r="H606" s="1783"/>
      <c r="I606" s="1783"/>
      <c r="J606" s="1783"/>
    </row>
    <row r="607" spans="1:10">
      <c r="A607" s="1783"/>
      <c r="B607" s="1783"/>
      <c r="C607" s="1783"/>
      <c r="D607" s="1783"/>
      <c r="E607" s="1783"/>
      <c r="F607" s="1783"/>
      <c r="G607" s="1783"/>
      <c r="H607" s="1783"/>
      <c r="I607" s="1783"/>
      <c r="J607" s="1783"/>
    </row>
    <row r="608" spans="1:10">
      <c r="A608" s="1783"/>
      <c r="B608" s="1783"/>
      <c r="C608" s="1783"/>
      <c r="D608" s="1783"/>
      <c r="E608" s="1783"/>
      <c r="F608" s="1783"/>
      <c r="G608" s="1783"/>
      <c r="H608" s="1783"/>
      <c r="I608" s="1783"/>
      <c r="J608" s="1783"/>
    </row>
    <row r="609" spans="1:10">
      <c r="A609" s="1783"/>
      <c r="B609" s="1783"/>
      <c r="C609" s="1783"/>
      <c r="D609" s="1783"/>
      <c r="E609" s="1783"/>
      <c r="F609" s="1783"/>
      <c r="G609" s="1783"/>
      <c r="H609" s="1783"/>
      <c r="I609" s="1783"/>
      <c r="J609" s="1783"/>
    </row>
    <row r="610" spans="1:10">
      <c r="A610" s="1783"/>
      <c r="B610" s="1783"/>
      <c r="C610" s="1783"/>
      <c r="D610" s="1783"/>
      <c r="E610" s="1783"/>
      <c r="F610" s="1783"/>
      <c r="G610" s="1783"/>
      <c r="H610" s="1783"/>
      <c r="I610" s="1783"/>
      <c r="J610" s="1783"/>
    </row>
    <row r="611" spans="1:10">
      <c r="A611" s="1783"/>
      <c r="B611" s="1783"/>
      <c r="C611" s="1783"/>
      <c r="D611" s="1783"/>
      <c r="E611" s="1783"/>
      <c r="F611" s="1783"/>
      <c r="G611" s="1783"/>
      <c r="H611" s="1783"/>
      <c r="I611" s="1783"/>
      <c r="J611" s="1783"/>
    </row>
    <row r="612" spans="1:10">
      <c r="A612" s="1783"/>
      <c r="B612" s="1783"/>
      <c r="C612" s="1783"/>
      <c r="D612" s="1783"/>
      <c r="E612" s="1783"/>
      <c r="F612" s="1783"/>
      <c r="G612" s="1783"/>
      <c r="H612" s="1783"/>
      <c r="I612" s="1783"/>
      <c r="J612" s="1783"/>
    </row>
    <row r="613" spans="1:10">
      <c r="A613" s="1783"/>
      <c r="B613" s="1783"/>
      <c r="C613" s="1783"/>
      <c r="D613" s="1783"/>
      <c r="E613" s="1783"/>
      <c r="F613" s="1783"/>
      <c r="G613" s="1783"/>
      <c r="H613" s="1783"/>
      <c r="I613" s="1783"/>
      <c r="J613" s="1783"/>
    </row>
    <row r="614" spans="1:10">
      <c r="A614" s="1783"/>
      <c r="B614" s="1783"/>
      <c r="C614" s="1783"/>
      <c r="D614" s="1783"/>
      <c r="E614" s="1783"/>
      <c r="F614" s="1783"/>
      <c r="G614" s="1783"/>
      <c r="H614" s="1783"/>
      <c r="I614" s="1783"/>
      <c r="J614" s="1783"/>
    </row>
    <row r="615" spans="1:10">
      <c r="A615" s="1783"/>
      <c r="B615" s="1783"/>
      <c r="C615" s="1783"/>
      <c r="D615" s="1783"/>
      <c r="E615" s="1783"/>
      <c r="F615" s="1783"/>
      <c r="G615" s="1783"/>
      <c r="H615" s="1783"/>
      <c r="I615" s="1783"/>
      <c r="J615" s="1783"/>
    </row>
    <row r="616" spans="1:10">
      <c r="A616" s="1783"/>
      <c r="B616" s="1783"/>
      <c r="C616" s="1783"/>
      <c r="D616" s="1783"/>
      <c r="E616" s="1783"/>
      <c r="F616" s="1783"/>
      <c r="G616" s="1783"/>
      <c r="H616" s="1783"/>
      <c r="I616" s="1783"/>
      <c r="J616" s="1783"/>
    </row>
    <row r="617" spans="1:10">
      <c r="A617" s="1783"/>
      <c r="B617" s="1783"/>
      <c r="C617" s="1783"/>
      <c r="D617" s="1783"/>
      <c r="E617" s="1783"/>
      <c r="F617" s="1783"/>
      <c r="G617" s="1783"/>
      <c r="H617" s="1783"/>
      <c r="I617" s="1783"/>
      <c r="J617" s="1783"/>
    </row>
    <row r="618" spans="1:10">
      <c r="A618" s="1783"/>
      <c r="B618" s="1783"/>
      <c r="C618" s="1783"/>
      <c r="D618" s="1783"/>
      <c r="E618" s="1783"/>
      <c r="F618" s="1783"/>
      <c r="G618" s="1783"/>
      <c r="H618" s="1783"/>
      <c r="I618" s="1783"/>
      <c r="J618" s="1783"/>
    </row>
    <row r="619" spans="1:10">
      <c r="A619" s="1783"/>
      <c r="B619" s="1783"/>
      <c r="C619" s="1783"/>
      <c r="D619" s="1783"/>
      <c r="E619" s="1783"/>
      <c r="F619" s="1783"/>
      <c r="G619" s="1783"/>
      <c r="H619" s="1783"/>
      <c r="I619" s="1783"/>
      <c r="J619" s="1783"/>
    </row>
    <row r="620" spans="1:10">
      <c r="A620" s="1783"/>
      <c r="B620" s="1783"/>
      <c r="C620" s="1783"/>
      <c r="D620" s="1783"/>
      <c r="E620" s="1783"/>
      <c r="F620" s="1783"/>
      <c r="G620" s="1783"/>
      <c r="H620" s="1783"/>
      <c r="I620" s="1783"/>
      <c r="J620" s="1783"/>
    </row>
    <row r="621" spans="1:10">
      <c r="A621" s="1783"/>
      <c r="B621" s="1783"/>
      <c r="C621" s="1783"/>
      <c r="D621" s="1783"/>
      <c r="E621" s="1783"/>
      <c r="F621" s="1783"/>
      <c r="G621" s="1783"/>
      <c r="H621" s="1783"/>
      <c r="I621" s="1783"/>
      <c r="J621" s="1783"/>
    </row>
    <row r="622" spans="1:10">
      <c r="A622" s="1783"/>
      <c r="B622" s="1783"/>
      <c r="C622" s="1783"/>
      <c r="D622" s="1783"/>
      <c r="E622" s="1783"/>
      <c r="F622" s="1783"/>
      <c r="G622" s="1783"/>
      <c r="H622" s="1783"/>
      <c r="I622" s="1783"/>
      <c r="J622" s="1783"/>
    </row>
    <row r="623" spans="1:10">
      <c r="A623" s="1783"/>
      <c r="B623" s="1783"/>
      <c r="C623" s="1783"/>
      <c r="D623" s="1783"/>
      <c r="E623" s="1783"/>
      <c r="F623" s="1783"/>
      <c r="G623" s="1783"/>
      <c r="H623" s="1783"/>
      <c r="I623" s="1783"/>
      <c r="J623" s="1783"/>
    </row>
    <row r="624" spans="1:10">
      <c r="A624" s="1783"/>
      <c r="B624" s="1783"/>
      <c r="C624" s="1783"/>
      <c r="D624" s="1783"/>
      <c r="E624" s="1783"/>
      <c r="F624" s="1783"/>
      <c r="G624" s="1783"/>
      <c r="H624" s="1783"/>
      <c r="I624" s="1783"/>
      <c r="J624" s="1783"/>
    </row>
    <row r="625" spans="1:10">
      <c r="A625" s="1783"/>
      <c r="B625" s="1783"/>
      <c r="C625" s="1783"/>
      <c r="D625" s="1783"/>
      <c r="E625" s="1783"/>
      <c r="F625" s="1783"/>
      <c r="G625" s="1783"/>
      <c r="H625" s="1783"/>
      <c r="I625" s="1783"/>
      <c r="J625" s="1783"/>
    </row>
    <row r="626" spans="1:10">
      <c r="A626" s="1783"/>
      <c r="B626" s="1783"/>
      <c r="C626" s="1783"/>
      <c r="D626" s="1783"/>
      <c r="E626" s="1783"/>
      <c r="F626" s="1783"/>
      <c r="G626" s="1783"/>
      <c r="H626" s="1783"/>
      <c r="I626" s="1783"/>
      <c r="J626" s="1783"/>
    </row>
    <row r="627" spans="1:10">
      <c r="A627" s="1783"/>
      <c r="B627" s="1783"/>
      <c r="C627" s="1783"/>
      <c r="D627" s="1783"/>
      <c r="E627" s="1783"/>
      <c r="F627" s="1783"/>
      <c r="G627" s="1783"/>
      <c r="H627" s="1783"/>
      <c r="I627" s="1783"/>
      <c r="J627" s="1783"/>
    </row>
    <row r="628" spans="1:10">
      <c r="A628" s="1783"/>
      <c r="B628" s="1783"/>
      <c r="C628" s="1783"/>
      <c r="D628" s="1783"/>
      <c r="E628" s="1783"/>
      <c r="F628" s="1783"/>
      <c r="G628" s="1783"/>
      <c r="H628" s="1783"/>
      <c r="I628" s="1783"/>
      <c r="J628" s="1783"/>
    </row>
    <row r="629" spans="1:10">
      <c r="A629" s="1783"/>
      <c r="B629" s="1783"/>
      <c r="C629" s="1783"/>
      <c r="D629" s="1783"/>
      <c r="E629" s="1783"/>
      <c r="F629" s="1783"/>
      <c r="G629" s="1783"/>
      <c r="H629" s="1783"/>
      <c r="I629" s="1783"/>
      <c r="J629" s="1783"/>
    </row>
    <row r="630" spans="1:10">
      <c r="A630" s="1783"/>
      <c r="B630" s="1783"/>
      <c r="C630" s="1783"/>
      <c r="D630" s="1783"/>
      <c r="E630" s="1783"/>
      <c r="F630" s="1783"/>
      <c r="G630" s="1783"/>
      <c r="H630" s="1783"/>
      <c r="I630" s="1783"/>
      <c r="J630" s="1783"/>
    </row>
    <row r="631" spans="1:10">
      <c r="A631" s="1783"/>
      <c r="B631" s="1783"/>
      <c r="C631" s="1783"/>
      <c r="D631" s="1783"/>
      <c r="E631" s="1783"/>
      <c r="F631" s="1783"/>
      <c r="G631" s="1783"/>
      <c r="H631" s="1783"/>
      <c r="I631" s="1783"/>
      <c r="J631" s="1783"/>
    </row>
    <row r="632" spans="1:10">
      <c r="A632" s="1783"/>
      <c r="B632" s="1783"/>
      <c r="C632" s="1783"/>
      <c r="D632" s="1783"/>
      <c r="E632" s="1783"/>
      <c r="F632" s="1783"/>
      <c r="G632" s="1783"/>
      <c r="H632" s="1783"/>
      <c r="I632" s="1783"/>
      <c r="J632" s="1783"/>
    </row>
    <row r="633" spans="1:10">
      <c r="A633" s="1783"/>
      <c r="B633" s="1783"/>
      <c r="C633" s="1783"/>
      <c r="D633" s="1783"/>
      <c r="E633" s="1783"/>
      <c r="F633" s="1783"/>
      <c r="G633" s="1783"/>
      <c r="H633" s="1783"/>
      <c r="I633" s="1783"/>
      <c r="J633" s="1783"/>
    </row>
    <row r="634" spans="1:10">
      <c r="A634" s="1783"/>
      <c r="B634" s="1783"/>
      <c r="C634" s="1783"/>
      <c r="D634" s="1783"/>
      <c r="E634" s="1783"/>
      <c r="F634" s="1783"/>
      <c r="G634" s="1783"/>
      <c r="H634" s="1783"/>
      <c r="I634" s="1783"/>
      <c r="J634" s="1783"/>
    </row>
    <row r="635" spans="1:10">
      <c r="A635" s="1783"/>
      <c r="B635" s="1783"/>
      <c r="C635" s="1783"/>
      <c r="D635" s="1783"/>
      <c r="E635" s="1783"/>
      <c r="F635" s="1783"/>
      <c r="G635" s="1783"/>
      <c r="H635" s="1783"/>
      <c r="I635" s="1783"/>
      <c r="J635" s="1783"/>
    </row>
    <row r="636" spans="1:10">
      <c r="A636" s="1783"/>
      <c r="B636" s="1783"/>
      <c r="C636" s="1783"/>
      <c r="D636" s="1783"/>
      <c r="E636" s="1783"/>
      <c r="F636" s="1783"/>
      <c r="G636" s="1783"/>
      <c r="H636" s="1783"/>
      <c r="I636" s="1783"/>
      <c r="J636" s="1783"/>
    </row>
    <row r="637" spans="1:10">
      <c r="A637" s="1783"/>
      <c r="B637" s="1783"/>
      <c r="C637" s="1783"/>
      <c r="D637" s="1783"/>
      <c r="E637" s="1783"/>
      <c r="F637" s="1783"/>
      <c r="G637" s="1783"/>
      <c r="H637" s="1783"/>
      <c r="I637" s="1783"/>
      <c r="J637" s="1783"/>
    </row>
    <row r="638" spans="1:10">
      <c r="A638" s="1783"/>
      <c r="B638" s="1783"/>
      <c r="C638" s="1783"/>
      <c r="D638" s="1783"/>
      <c r="E638" s="1783"/>
      <c r="F638" s="1783"/>
      <c r="G638" s="1783"/>
      <c r="H638" s="1783"/>
      <c r="I638" s="1783"/>
      <c r="J638" s="1783"/>
    </row>
    <row r="639" spans="1:10">
      <c r="A639" s="1783"/>
      <c r="B639" s="1783"/>
      <c r="C639" s="1783"/>
      <c r="D639" s="1783"/>
      <c r="E639" s="1783"/>
      <c r="F639" s="1783"/>
      <c r="G639" s="1783"/>
      <c r="H639" s="1783"/>
      <c r="I639" s="1783"/>
      <c r="J639" s="1783"/>
    </row>
    <row r="640" spans="1:10">
      <c r="A640" s="1783"/>
      <c r="B640" s="1783"/>
      <c r="C640" s="1783"/>
      <c r="D640" s="1783"/>
      <c r="E640" s="1783"/>
      <c r="F640" s="1783"/>
      <c r="G640" s="1783"/>
      <c r="H640" s="1783"/>
      <c r="I640" s="1783"/>
      <c r="J640" s="1783"/>
    </row>
    <row r="641" spans="1:10">
      <c r="A641" s="1783"/>
      <c r="B641" s="1783"/>
      <c r="C641" s="1783"/>
      <c r="D641" s="1783"/>
      <c r="E641" s="1783"/>
      <c r="F641" s="1783"/>
      <c r="G641" s="1783"/>
      <c r="H641" s="1783"/>
      <c r="I641" s="1783"/>
      <c r="J641" s="1783"/>
    </row>
    <row r="642" spans="1:10">
      <c r="A642" s="1783"/>
      <c r="B642" s="1783"/>
      <c r="C642" s="1783"/>
      <c r="D642" s="1783"/>
      <c r="E642" s="1783"/>
      <c r="F642" s="1783"/>
      <c r="G642" s="1783"/>
      <c r="H642" s="1783"/>
      <c r="I642" s="1783"/>
      <c r="J642" s="1783"/>
    </row>
    <row r="643" spans="1:10">
      <c r="A643" s="1783"/>
      <c r="B643" s="1783"/>
      <c r="C643" s="1783"/>
      <c r="D643" s="1783"/>
      <c r="E643" s="1783"/>
      <c r="F643" s="1783"/>
      <c r="G643" s="1783"/>
      <c r="H643" s="1783"/>
      <c r="I643" s="1783"/>
      <c r="J643" s="1783"/>
    </row>
    <row r="644" spans="1:10">
      <c r="A644" s="1783"/>
      <c r="B644" s="1783"/>
      <c r="C644" s="1783"/>
      <c r="D644" s="1783"/>
      <c r="E644" s="1783"/>
      <c r="F644" s="1783"/>
      <c r="G644" s="1783"/>
      <c r="H644" s="1783"/>
      <c r="I644" s="1783"/>
      <c r="J644" s="1783"/>
    </row>
    <row r="645" spans="1:10">
      <c r="A645" s="1783"/>
      <c r="B645" s="1783"/>
      <c r="C645" s="1783"/>
      <c r="D645" s="1783"/>
      <c r="E645" s="1783"/>
      <c r="F645" s="1783"/>
      <c r="G645" s="1783"/>
      <c r="H645" s="1783"/>
      <c r="I645" s="1783"/>
      <c r="J645" s="1783"/>
    </row>
    <row r="646" spans="1:10">
      <c r="A646" s="1783"/>
      <c r="B646" s="1783"/>
      <c r="C646" s="1783"/>
      <c r="D646" s="1783"/>
      <c r="E646" s="1783"/>
      <c r="F646" s="1783"/>
      <c r="G646" s="1783"/>
      <c r="H646" s="1783"/>
      <c r="I646" s="1783"/>
      <c r="J646" s="1783"/>
    </row>
    <row r="647" spans="1:10">
      <c r="A647" s="1783"/>
      <c r="B647" s="1783"/>
      <c r="C647" s="1783"/>
      <c r="D647" s="1783"/>
      <c r="E647" s="1783"/>
      <c r="F647" s="1783"/>
      <c r="G647" s="1783"/>
      <c r="H647" s="1783"/>
      <c r="I647" s="1783"/>
      <c r="J647" s="1783"/>
    </row>
    <row r="648" spans="1:10">
      <c r="A648" s="1783"/>
      <c r="B648" s="1783"/>
      <c r="C648" s="1783"/>
      <c r="D648" s="1783"/>
      <c r="E648" s="1783"/>
      <c r="F648" s="1783"/>
      <c r="G648" s="1783"/>
      <c r="H648" s="1783"/>
      <c r="I648" s="1783"/>
      <c r="J648" s="1783"/>
    </row>
    <row r="649" spans="1:10">
      <c r="A649" s="1783"/>
      <c r="B649" s="1783"/>
      <c r="C649" s="1783"/>
      <c r="D649" s="1783"/>
      <c r="E649" s="1783"/>
      <c r="F649" s="1783"/>
      <c r="G649" s="1783"/>
      <c r="H649" s="1783"/>
      <c r="I649" s="1783"/>
      <c r="J649" s="1783"/>
    </row>
    <row r="650" spans="1:10">
      <c r="A650" s="1783"/>
      <c r="B650" s="1783"/>
      <c r="C650" s="1783"/>
      <c r="D650" s="1783"/>
      <c r="E650" s="1783"/>
      <c r="F650" s="1783"/>
      <c r="G650" s="1783"/>
      <c r="H650" s="1783"/>
      <c r="I650" s="1783"/>
      <c r="J650" s="1783"/>
    </row>
    <row r="651" spans="1:10">
      <c r="A651" s="1783"/>
      <c r="B651" s="1783"/>
      <c r="C651" s="1783"/>
      <c r="D651" s="1783"/>
      <c r="E651" s="1783"/>
      <c r="F651" s="1783"/>
      <c r="G651" s="1783"/>
      <c r="H651" s="1783"/>
      <c r="I651" s="1783"/>
      <c r="J651" s="1783"/>
    </row>
    <row r="652" spans="1:10">
      <c r="A652" s="1783"/>
      <c r="B652" s="1783"/>
      <c r="C652" s="1783"/>
      <c r="D652" s="1783"/>
      <c r="E652" s="1783"/>
      <c r="F652" s="1783"/>
      <c r="G652" s="1783"/>
      <c r="H652" s="1783"/>
      <c r="I652" s="1783"/>
      <c r="J652" s="1783"/>
    </row>
    <row r="653" spans="1:10">
      <c r="A653" s="1783"/>
      <c r="B653" s="1783"/>
      <c r="C653" s="1783"/>
      <c r="D653" s="1783"/>
      <c r="E653" s="1783"/>
      <c r="F653" s="1783"/>
      <c r="G653" s="1783"/>
      <c r="H653" s="1783"/>
      <c r="I653" s="1783"/>
      <c r="J653" s="1783"/>
    </row>
    <row r="654" spans="1:10">
      <c r="A654" s="1783"/>
      <c r="B654" s="1783"/>
      <c r="C654" s="1783"/>
      <c r="D654" s="1783"/>
      <c r="E654" s="1783"/>
      <c r="F654" s="1783"/>
      <c r="G654" s="1783"/>
      <c r="H654" s="1783"/>
      <c r="I654" s="1783"/>
      <c r="J654" s="1783"/>
    </row>
    <row r="655" spans="1:10">
      <c r="A655" s="1783"/>
      <c r="B655" s="1783"/>
      <c r="C655" s="1783"/>
      <c r="D655" s="1783"/>
      <c r="E655" s="1783"/>
      <c r="F655" s="1783"/>
      <c r="G655" s="1783"/>
      <c r="H655" s="1783"/>
      <c r="I655" s="1783"/>
      <c r="J655" s="1783"/>
    </row>
    <row r="656" spans="1:10">
      <c r="A656" s="1783"/>
      <c r="B656" s="1783"/>
      <c r="C656" s="1783"/>
      <c r="D656" s="1783"/>
      <c r="E656" s="1783"/>
      <c r="F656" s="1783"/>
      <c r="G656" s="1783"/>
      <c r="H656" s="1783"/>
      <c r="I656" s="1783"/>
      <c r="J656" s="1783"/>
    </row>
    <row r="657" spans="1:10">
      <c r="A657" s="1783"/>
      <c r="B657" s="1783"/>
      <c r="C657" s="1783"/>
      <c r="D657" s="1783"/>
      <c r="E657" s="1783"/>
      <c r="F657" s="1783"/>
      <c r="G657" s="1783"/>
      <c r="H657" s="1783"/>
      <c r="I657" s="1783"/>
      <c r="J657" s="1783"/>
    </row>
    <row r="658" spans="1:10">
      <c r="A658" s="1783"/>
      <c r="B658" s="1783"/>
      <c r="C658" s="1783"/>
      <c r="D658" s="1783"/>
      <c r="E658" s="1783"/>
      <c r="F658" s="1783"/>
      <c r="G658" s="1783"/>
      <c r="H658" s="1783"/>
      <c r="I658" s="1783"/>
      <c r="J658" s="1783"/>
    </row>
    <row r="659" spans="1:10">
      <c r="A659" s="1783"/>
      <c r="B659" s="1783"/>
      <c r="C659" s="1783"/>
      <c r="D659" s="1783"/>
      <c r="E659" s="1783"/>
      <c r="F659" s="1783"/>
      <c r="G659" s="1783"/>
      <c r="H659" s="1783"/>
      <c r="I659" s="1783"/>
      <c r="J659" s="1783"/>
    </row>
    <row r="660" spans="1:10">
      <c r="A660" s="1783"/>
      <c r="B660" s="1783"/>
      <c r="C660" s="1783"/>
      <c r="D660" s="1783"/>
      <c r="E660" s="1783"/>
      <c r="F660" s="1783"/>
      <c r="G660" s="1783"/>
      <c r="H660" s="1783"/>
      <c r="I660" s="1783"/>
      <c r="J660" s="1783"/>
    </row>
    <row r="661" spans="1:10">
      <c r="A661" s="1783"/>
      <c r="B661" s="1783"/>
      <c r="C661" s="1783"/>
      <c r="D661" s="1783"/>
      <c r="E661" s="1783"/>
      <c r="F661" s="1783"/>
      <c r="G661" s="1783"/>
      <c r="H661" s="1783"/>
      <c r="I661" s="1783"/>
      <c r="J661" s="1783"/>
    </row>
    <row r="662" spans="1:10">
      <c r="A662" s="1783"/>
      <c r="B662" s="1783"/>
      <c r="C662" s="1783"/>
      <c r="D662" s="1783"/>
      <c r="E662" s="1783"/>
      <c r="F662" s="1783"/>
      <c r="G662" s="1783"/>
      <c r="H662" s="1783"/>
      <c r="I662" s="1783"/>
      <c r="J662" s="1783"/>
    </row>
    <row r="663" spans="1:10">
      <c r="A663" s="1783"/>
      <c r="B663" s="1783"/>
      <c r="C663" s="1783"/>
      <c r="D663" s="1783"/>
      <c r="E663" s="1783"/>
      <c r="F663" s="1783"/>
      <c r="G663" s="1783"/>
      <c r="H663" s="1783"/>
      <c r="I663" s="1783"/>
      <c r="J663" s="1783"/>
    </row>
    <row r="664" spans="1:10">
      <c r="A664" s="1783"/>
      <c r="B664" s="1783"/>
      <c r="C664" s="1783"/>
      <c r="D664" s="1783"/>
      <c r="E664" s="1783"/>
      <c r="F664" s="1783"/>
      <c r="G664" s="1783"/>
      <c r="H664" s="1783"/>
      <c r="I664" s="1783"/>
      <c r="J664" s="1783"/>
    </row>
    <row r="665" spans="1:10">
      <c r="A665" s="1783"/>
      <c r="B665" s="1783"/>
      <c r="C665" s="1783"/>
      <c r="D665" s="1783"/>
      <c r="E665" s="1783"/>
      <c r="F665" s="1783"/>
      <c r="G665" s="1783"/>
      <c r="H665" s="1783"/>
      <c r="I665" s="1783"/>
      <c r="J665" s="1783"/>
    </row>
    <row r="666" spans="1:10">
      <c r="A666" s="1783"/>
      <c r="B666" s="1783"/>
      <c r="C666" s="1783"/>
      <c r="D666" s="1783"/>
      <c r="E666" s="1783"/>
      <c r="F666" s="1783"/>
      <c r="G666" s="1783"/>
      <c r="H666" s="1783"/>
      <c r="I666" s="1783"/>
      <c r="J666" s="1783"/>
    </row>
    <row r="667" spans="1:10">
      <c r="A667" s="1783"/>
      <c r="B667" s="1783"/>
      <c r="C667" s="1783"/>
      <c r="D667" s="1783"/>
      <c r="E667" s="1783"/>
      <c r="F667" s="1783"/>
      <c r="G667" s="1783"/>
      <c r="H667" s="1783"/>
      <c r="I667" s="1783"/>
      <c r="J667" s="1783"/>
    </row>
    <row r="668" spans="1:10">
      <c r="A668" s="1783"/>
      <c r="B668" s="1783"/>
      <c r="C668" s="1783"/>
      <c r="D668" s="1783"/>
      <c r="E668" s="1783"/>
      <c r="F668" s="1783"/>
      <c r="G668" s="1783"/>
      <c r="H668" s="1783"/>
      <c r="I668" s="1783"/>
      <c r="J668" s="1783"/>
    </row>
    <row r="669" spans="1:10">
      <c r="A669" s="1783"/>
      <c r="B669" s="1783"/>
      <c r="C669" s="1783"/>
      <c r="D669" s="1783"/>
      <c r="E669" s="1783"/>
      <c r="F669" s="1783"/>
      <c r="G669" s="1783"/>
      <c r="H669" s="1783"/>
      <c r="I669" s="1783"/>
      <c r="J669" s="1783"/>
    </row>
    <row r="670" spans="1:10">
      <c r="A670" s="1783"/>
      <c r="B670" s="1783"/>
      <c r="C670" s="1783"/>
      <c r="D670" s="1783"/>
      <c r="E670" s="1783"/>
      <c r="F670" s="1783"/>
      <c r="G670" s="1783"/>
      <c r="H670" s="1783"/>
      <c r="I670" s="1783"/>
      <c r="J670" s="1783"/>
    </row>
    <row r="671" spans="1:10">
      <c r="A671" s="1783"/>
      <c r="B671" s="1783"/>
      <c r="C671" s="1783"/>
      <c r="D671" s="1783"/>
      <c r="E671" s="1783"/>
      <c r="F671" s="1783"/>
      <c r="G671" s="1783"/>
      <c r="H671" s="1783"/>
      <c r="I671" s="1783"/>
      <c r="J671" s="1783"/>
    </row>
    <row r="672" spans="1:10">
      <c r="A672" s="1783"/>
      <c r="B672" s="1783"/>
      <c r="C672" s="1783"/>
      <c r="D672" s="1783"/>
      <c r="E672" s="1783"/>
      <c r="F672" s="1783"/>
      <c r="G672" s="1783"/>
      <c r="H672" s="1783"/>
      <c r="I672" s="1783"/>
      <c r="J672" s="1783"/>
    </row>
    <row r="673" spans="1:10">
      <c r="A673" s="1783"/>
      <c r="B673" s="1783"/>
      <c r="C673" s="1783"/>
      <c r="D673" s="1783"/>
      <c r="E673" s="1783"/>
      <c r="F673" s="1783"/>
      <c r="G673" s="1783"/>
      <c r="H673" s="1783"/>
      <c r="I673" s="1783"/>
      <c r="J673" s="1783"/>
    </row>
    <row r="674" spans="1:10">
      <c r="A674" s="1783"/>
      <c r="B674" s="1783"/>
      <c r="C674" s="1783"/>
      <c r="D674" s="1783"/>
      <c r="E674" s="1783"/>
      <c r="F674" s="1783"/>
      <c r="G674" s="1783"/>
      <c r="H674" s="1783"/>
      <c r="I674" s="1783"/>
      <c r="J674" s="1783"/>
    </row>
    <row r="675" spans="1:10">
      <c r="A675" s="1783"/>
      <c r="B675" s="1783"/>
      <c r="C675" s="1783"/>
      <c r="D675" s="1783"/>
      <c r="E675" s="1783"/>
      <c r="F675" s="1783"/>
      <c r="G675" s="1783"/>
      <c r="H675" s="1783"/>
      <c r="I675" s="1783"/>
      <c r="J675" s="1783"/>
    </row>
    <row r="676" spans="1:10">
      <c r="A676" s="1783"/>
      <c r="B676" s="1783"/>
      <c r="C676" s="1783"/>
      <c r="D676" s="1783"/>
      <c r="E676" s="1783"/>
      <c r="F676" s="1783"/>
      <c r="G676" s="1783"/>
      <c r="H676" s="1783"/>
      <c r="I676" s="1783"/>
      <c r="J676" s="1783"/>
    </row>
    <row r="677" spans="1:10">
      <c r="A677" s="1783"/>
      <c r="B677" s="1783"/>
      <c r="C677" s="1783"/>
      <c r="D677" s="1783"/>
      <c r="E677" s="1783"/>
      <c r="F677" s="1783"/>
      <c r="G677" s="1783"/>
      <c r="H677" s="1783"/>
      <c r="I677" s="1783"/>
      <c r="J677" s="1783"/>
    </row>
    <row r="678" spans="1:10">
      <c r="A678" s="1783"/>
      <c r="B678" s="1783"/>
      <c r="C678" s="1783"/>
      <c r="D678" s="1783"/>
      <c r="E678" s="1783"/>
      <c r="F678" s="1783"/>
      <c r="G678" s="1783"/>
      <c r="H678" s="1783"/>
      <c r="I678" s="1783"/>
      <c r="J678" s="1783"/>
    </row>
    <row r="679" spans="1:10">
      <c r="A679" s="1783"/>
      <c r="B679" s="1783"/>
      <c r="C679" s="1783"/>
      <c r="D679" s="1783"/>
      <c r="E679" s="1783"/>
      <c r="F679" s="1783"/>
      <c r="G679" s="1783"/>
      <c r="H679" s="1783"/>
      <c r="I679" s="1783"/>
      <c r="J679" s="1783"/>
    </row>
    <row r="680" spans="1:10">
      <c r="A680" s="1783"/>
      <c r="B680" s="1783"/>
      <c r="C680" s="1783"/>
      <c r="D680" s="1783"/>
      <c r="E680" s="1783"/>
      <c r="F680" s="1783"/>
      <c r="G680" s="1783"/>
      <c r="H680" s="1783"/>
      <c r="I680" s="1783"/>
      <c r="J680" s="1783"/>
    </row>
    <row r="681" spans="1:10">
      <c r="A681" s="1783"/>
      <c r="B681" s="1783"/>
      <c r="C681" s="1783"/>
      <c r="D681" s="1783"/>
      <c r="E681" s="1783"/>
      <c r="F681" s="1783"/>
      <c r="G681" s="1783"/>
      <c r="H681" s="1783"/>
      <c r="I681" s="1783"/>
      <c r="J681" s="1783"/>
    </row>
    <row r="682" spans="1:10">
      <c r="A682" s="1783"/>
      <c r="B682" s="1783"/>
      <c r="C682" s="1783"/>
      <c r="D682" s="1783"/>
      <c r="E682" s="1783"/>
      <c r="F682" s="1783"/>
      <c r="G682" s="1783"/>
      <c r="H682" s="1783"/>
      <c r="I682" s="1783"/>
      <c r="J682" s="1783"/>
    </row>
    <row r="683" spans="1:10">
      <c r="A683" s="1783"/>
      <c r="B683" s="1783"/>
      <c r="C683" s="1783"/>
      <c r="D683" s="1783"/>
      <c r="E683" s="1783"/>
      <c r="F683" s="1783"/>
      <c r="G683" s="1783"/>
      <c r="H683" s="1783"/>
      <c r="I683" s="1783"/>
      <c r="J683" s="1783"/>
    </row>
    <row r="684" spans="1:10">
      <c r="A684" s="1783"/>
      <c r="B684" s="1783"/>
      <c r="C684" s="1783"/>
      <c r="D684" s="1783"/>
      <c r="E684" s="1783"/>
      <c r="F684" s="1783"/>
      <c r="G684" s="1783"/>
      <c r="H684" s="1783"/>
      <c r="I684" s="1783"/>
      <c r="J684" s="1783"/>
    </row>
    <row r="685" spans="1:10">
      <c r="A685" s="1783"/>
      <c r="B685" s="1783"/>
      <c r="C685" s="1783"/>
      <c r="D685" s="1783"/>
      <c r="E685" s="1783"/>
      <c r="F685" s="1783"/>
      <c r="G685" s="1783"/>
      <c r="H685" s="1783"/>
      <c r="I685" s="1783"/>
      <c r="J685" s="1783"/>
    </row>
    <row r="686" spans="1:10">
      <c r="A686" s="1783"/>
      <c r="B686" s="1783"/>
      <c r="C686" s="1783"/>
      <c r="D686" s="1783"/>
      <c r="E686" s="1783"/>
      <c r="F686" s="1783"/>
      <c r="G686" s="1783"/>
      <c r="H686" s="1783"/>
      <c r="I686" s="1783"/>
      <c r="J686" s="1783"/>
    </row>
    <row r="687" spans="1:10">
      <c r="A687" s="1783"/>
      <c r="B687" s="1783"/>
      <c r="C687" s="1783"/>
      <c r="D687" s="1783"/>
      <c r="E687" s="1783"/>
      <c r="F687" s="1783"/>
      <c r="G687" s="1783"/>
      <c r="H687" s="1783"/>
      <c r="I687" s="1783"/>
      <c r="J687" s="1783"/>
    </row>
    <row r="688" spans="1:10">
      <c r="A688" s="1783"/>
      <c r="B688" s="1783"/>
      <c r="C688" s="1783"/>
      <c r="D688" s="1783"/>
      <c r="E688" s="1783"/>
      <c r="F688" s="1783"/>
      <c r="G688" s="1783"/>
      <c r="H688" s="1783"/>
      <c r="I688" s="1783"/>
      <c r="J688" s="1783"/>
    </row>
    <row r="689" spans="1:10">
      <c r="A689" s="1783"/>
      <c r="B689" s="1783"/>
      <c r="C689" s="1783"/>
      <c r="D689" s="1783"/>
      <c r="E689" s="1783"/>
      <c r="F689" s="1783"/>
      <c r="G689" s="1783"/>
      <c r="H689" s="1783"/>
      <c r="I689" s="1783"/>
      <c r="J689" s="1783"/>
    </row>
    <row r="690" spans="1:10">
      <c r="A690" s="1783"/>
      <c r="B690" s="1783"/>
      <c r="C690" s="1783"/>
      <c r="D690" s="1783"/>
      <c r="E690" s="1783"/>
      <c r="F690" s="1783"/>
      <c r="G690" s="1783"/>
      <c r="H690" s="1783"/>
      <c r="I690" s="1783"/>
      <c r="J690" s="1783"/>
    </row>
    <row r="691" spans="1:10">
      <c r="A691" s="1783"/>
      <c r="B691" s="1783"/>
      <c r="C691" s="1783"/>
      <c r="D691" s="1783"/>
      <c r="E691" s="1783"/>
      <c r="F691" s="1783"/>
      <c r="G691" s="1783"/>
      <c r="H691" s="1783"/>
      <c r="I691" s="1783"/>
      <c r="J691" s="1783"/>
    </row>
    <row r="692" spans="1:10">
      <c r="A692" s="1783"/>
      <c r="B692" s="1783"/>
      <c r="C692" s="1783"/>
      <c r="D692" s="1783"/>
      <c r="E692" s="1783"/>
      <c r="F692" s="1783"/>
      <c r="G692" s="1783"/>
      <c r="H692" s="1783"/>
      <c r="I692" s="1783"/>
      <c r="J692" s="1783"/>
    </row>
    <row r="693" spans="1:10">
      <c r="A693" s="1783"/>
      <c r="B693" s="1783"/>
      <c r="C693" s="1783"/>
      <c r="D693" s="1783"/>
      <c r="E693" s="1783"/>
      <c r="F693" s="1783"/>
      <c r="G693" s="1783"/>
      <c r="H693" s="1783"/>
      <c r="I693" s="1783"/>
      <c r="J693" s="1783"/>
    </row>
    <row r="694" spans="1:10">
      <c r="A694" s="1783"/>
      <c r="B694" s="1783"/>
      <c r="C694" s="1783"/>
      <c r="D694" s="1783"/>
      <c r="E694" s="1783"/>
      <c r="F694" s="1783"/>
      <c r="G694" s="1783"/>
      <c r="H694" s="1783"/>
      <c r="I694" s="1783"/>
      <c r="J694" s="1783"/>
    </row>
    <row r="695" spans="1:10">
      <c r="A695" s="1783"/>
      <c r="B695" s="1783"/>
      <c r="C695" s="1783"/>
      <c r="D695" s="1783"/>
      <c r="E695" s="1783"/>
      <c r="F695" s="1783"/>
      <c r="G695" s="1783"/>
      <c r="H695" s="1783"/>
      <c r="I695" s="1783"/>
      <c r="J695" s="1783"/>
    </row>
    <row r="696" spans="1:10">
      <c r="A696" s="1783"/>
      <c r="B696" s="1783"/>
      <c r="C696" s="1783"/>
      <c r="D696" s="1783"/>
      <c r="E696" s="1783"/>
      <c r="F696" s="1783"/>
      <c r="G696" s="1783"/>
      <c r="H696" s="1783"/>
      <c r="I696" s="1783"/>
      <c r="J696" s="1783"/>
    </row>
    <row r="697" spans="1:10">
      <c r="A697" s="1783"/>
      <c r="B697" s="1783"/>
      <c r="C697" s="1783"/>
      <c r="D697" s="1783"/>
      <c r="E697" s="1783"/>
      <c r="F697" s="1783"/>
      <c r="G697" s="1783"/>
      <c r="H697" s="1783"/>
      <c r="I697" s="1783"/>
      <c r="J697" s="1783"/>
    </row>
    <row r="698" spans="1:10">
      <c r="A698" s="1783"/>
      <c r="B698" s="1783"/>
      <c r="C698" s="1783"/>
      <c r="D698" s="1783"/>
      <c r="E698" s="1783"/>
      <c r="F698" s="1783"/>
      <c r="G698" s="1783"/>
      <c r="H698" s="1783"/>
      <c r="I698" s="1783"/>
      <c r="J698" s="1783"/>
    </row>
    <row r="699" spans="1:10">
      <c r="A699" s="1783"/>
      <c r="B699" s="1783"/>
      <c r="C699" s="1783"/>
      <c r="D699" s="1783"/>
      <c r="E699" s="1783"/>
      <c r="F699" s="1783"/>
      <c r="G699" s="1783"/>
      <c r="H699" s="1783"/>
      <c r="I699" s="1783"/>
      <c r="J699" s="1783"/>
    </row>
    <row r="700" spans="1:10">
      <c r="A700" s="1783"/>
      <c r="B700" s="1783"/>
      <c r="C700" s="1783"/>
      <c r="D700" s="1783"/>
      <c r="E700" s="1783"/>
      <c r="F700" s="1783"/>
      <c r="G700" s="1783"/>
      <c r="H700" s="1783"/>
      <c r="I700" s="1783"/>
      <c r="J700" s="1783"/>
    </row>
    <row r="701" spans="1:10">
      <c r="A701" s="1783"/>
      <c r="B701" s="1783"/>
      <c r="C701" s="1783"/>
      <c r="D701" s="1783"/>
      <c r="E701" s="1783"/>
      <c r="F701" s="1783"/>
      <c r="G701" s="1783"/>
      <c r="H701" s="1783"/>
      <c r="I701" s="1783"/>
      <c r="J701" s="1783"/>
    </row>
    <row r="702" spans="1:10">
      <c r="A702" s="1783"/>
      <c r="B702" s="1783"/>
      <c r="C702" s="1783"/>
      <c r="D702" s="1783"/>
      <c r="E702" s="1783"/>
      <c r="F702" s="1783"/>
      <c r="G702" s="1783"/>
      <c r="H702" s="1783"/>
      <c r="I702" s="1783"/>
      <c r="J702" s="1783"/>
    </row>
    <row r="703" spans="1:10">
      <c r="A703" s="1783"/>
      <c r="B703" s="1783"/>
      <c r="C703" s="1783"/>
      <c r="D703" s="1783"/>
      <c r="E703" s="1783"/>
      <c r="F703" s="1783"/>
      <c r="G703" s="1783"/>
      <c r="H703" s="1783"/>
      <c r="I703" s="1783"/>
      <c r="J703" s="1783"/>
    </row>
    <row r="704" spans="1:10">
      <c r="A704" s="1783"/>
      <c r="B704" s="1783"/>
      <c r="C704" s="1783"/>
      <c r="D704" s="1783"/>
      <c r="E704" s="1783"/>
      <c r="F704" s="1783"/>
      <c r="G704" s="1783"/>
      <c r="H704" s="1783"/>
      <c r="I704" s="1783"/>
      <c r="J704" s="1783"/>
    </row>
    <row r="705" spans="1:10">
      <c r="A705" s="1783"/>
      <c r="B705" s="1783"/>
      <c r="C705" s="1783"/>
      <c r="D705" s="1783"/>
      <c r="E705" s="1783"/>
      <c r="F705" s="1783"/>
      <c r="G705" s="1783"/>
      <c r="H705" s="1783"/>
      <c r="I705" s="1783"/>
      <c r="J705" s="1783"/>
    </row>
    <row r="706" spans="1:10">
      <c r="A706" s="1783"/>
      <c r="B706" s="1783"/>
      <c r="C706" s="1783"/>
      <c r="D706" s="1783"/>
      <c r="E706" s="1783"/>
      <c r="F706" s="1783"/>
      <c r="G706" s="1783"/>
      <c r="H706" s="1783"/>
      <c r="I706" s="1783"/>
      <c r="J706" s="1783"/>
    </row>
    <row r="707" spans="1:10">
      <c r="A707" s="1783"/>
      <c r="B707" s="1783"/>
      <c r="C707" s="1783"/>
      <c r="D707" s="1783"/>
      <c r="E707" s="1783"/>
      <c r="F707" s="1783"/>
      <c r="G707" s="1783"/>
      <c r="H707" s="1783"/>
      <c r="I707" s="1783"/>
      <c r="J707" s="1783"/>
    </row>
    <row r="708" spans="1:10">
      <c r="A708" s="1783"/>
      <c r="B708" s="1783"/>
      <c r="C708" s="1783"/>
      <c r="D708" s="1783"/>
      <c r="E708" s="1783"/>
      <c r="F708" s="1783"/>
      <c r="G708" s="1783"/>
      <c r="H708" s="1783"/>
      <c r="I708" s="1783"/>
      <c r="J708" s="1783"/>
    </row>
    <row r="709" spans="1:10">
      <c r="A709" s="1783"/>
      <c r="B709" s="1783"/>
      <c r="C709" s="1783"/>
      <c r="D709" s="1783"/>
      <c r="E709" s="1783"/>
      <c r="F709" s="1783"/>
      <c r="G709" s="1783"/>
      <c r="H709" s="1783"/>
      <c r="I709" s="1783"/>
      <c r="J709" s="1783"/>
    </row>
    <row r="710" spans="1:10">
      <c r="A710" s="1783"/>
      <c r="B710" s="1783"/>
      <c r="C710" s="1783"/>
      <c r="D710" s="1783"/>
      <c r="E710" s="1783"/>
      <c r="F710" s="1783"/>
      <c r="G710" s="1783"/>
      <c r="H710" s="1783"/>
      <c r="I710" s="1783"/>
      <c r="J710" s="1783"/>
    </row>
    <row r="711" spans="1:10">
      <c r="A711" s="1783"/>
      <c r="B711" s="1783"/>
      <c r="C711" s="1783"/>
      <c r="D711" s="1783"/>
      <c r="E711" s="1783"/>
      <c r="F711" s="1783"/>
      <c r="G711" s="1783"/>
      <c r="H711" s="1783"/>
      <c r="I711" s="1783"/>
      <c r="J711" s="1783"/>
    </row>
    <row r="712" spans="1:10">
      <c r="A712" s="1783"/>
      <c r="B712" s="1783"/>
      <c r="C712" s="1783"/>
      <c r="D712" s="1783"/>
      <c r="E712" s="1783"/>
      <c r="F712" s="1783"/>
      <c r="G712" s="1783"/>
      <c r="H712" s="1783"/>
      <c r="I712" s="1783"/>
      <c r="J712" s="1783"/>
    </row>
    <row r="713" spans="1:10">
      <c r="A713" s="1783"/>
      <c r="B713" s="1783"/>
      <c r="C713" s="1783"/>
      <c r="D713" s="1783"/>
      <c r="E713" s="1783"/>
      <c r="F713" s="1783"/>
      <c r="G713" s="1783"/>
      <c r="H713" s="1783"/>
      <c r="I713" s="1783"/>
      <c r="J713" s="1783"/>
    </row>
    <row r="714" spans="1:10">
      <c r="A714" s="1783"/>
      <c r="B714" s="1783"/>
      <c r="C714" s="1783"/>
      <c r="D714" s="1783"/>
      <c r="E714" s="1783"/>
      <c r="F714" s="1783"/>
      <c r="G714" s="1783"/>
      <c r="H714" s="1783"/>
      <c r="I714" s="1783"/>
      <c r="J714" s="1783"/>
    </row>
    <row r="715" spans="1:10">
      <c r="A715" s="1783"/>
      <c r="B715" s="1783"/>
      <c r="C715" s="1783"/>
      <c r="D715" s="1783"/>
      <c r="E715" s="1783"/>
      <c r="F715" s="1783"/>
      <c r="G715" s="1783"/>
      <c r="H715" s="1783"/>
      <c r="I715" s="1783"/>
      <c r="J715" s="1783"/>
    </row>
    <row r="716" spans="1:10">
      <c r="A716" s="1783"/>
      <c r="B716" s="1783"/>
      <c r="C716" s="1783"/>
      <c r="D716" s="1783"/>
      <c r="E716" s="1783"/>
      <c r="F716" s="1783"/>
      <c r="G716" s="1783"/>
      <c r="H716" s="1783"/>
      <c r="I716" s="1783"/>
      <c r="J716" s="1783"/>
    </row>
    <row r="717" spans="1:10">
      <c r="A717" s="1783"/>
      <c r="B717" s="1783"/>
      <c r="C717" s="1783"/>
      <c r="D717" s="1783"/>
      <c r="E717" s="1783"/>
      <c r="F717" s="1783"/>
      <c r="G717" s="1783"/>
      <c r="H717" s="1783"/>
      <c r="I717" s="1783"/>
      <c r="J717" s="1783"/>
    </row>
    <row r="718" spans="1:10">
      <c r="A718" s="1783"/>
      <c r="B718" s="1783"/>
      <c r="C718" s="1783"/>
      <c r="D718" s="1783"/>
      <c r="E718" s="1783"/>
      <c r="F718" s="1783"/>
      <c r="G718" s="1783"/>
      <c r="H718" s="1783"/>
      <c r="I718" s="1783"/>
      <c r="J718" s="1783"/>
    </row>
    <row r="719" spans="1:10">
      <c r="A719" s="1783"/>
      <c r="B719" s="1783"/>
      <c r="C719" s="1783"/>
      <c r="D719" s="1783"/>
      <c r="E719" s="1783"/>
      <c r="F719" s="1783"/>
      <c r="G719" s="1783"/>
      <c r="H719" s="1783"/>
      <c r="I719" s="1783"/>
      <c r="J719" s="1783"/>
    </row>
    <row r="720" spans="1:10">
      <c r="A720" s="1783"/>
      <c r="B720" s="1783"/>
      <c r="C720" s="1783"/>
      <c r="D720" s="1783"/>
      <c r="E720" s="1783"/>
      <c r="F720" s="1783"/>
      <c r="G720" s="1783"/>
      <c r="H720" s="1783"/>
      <c r="I720" s="1783"/>
      <c r="J720" s="1783"/>
    </row>
    <row r="721" spans="1:10">
      <c r="A721" s="1783"/>
      <c r="B721" s="1783"/>
      <c r="C721" s="1783"/>
      <c r="D721" s="1783"/>
      <c r="E721" s="1783"/>
      <c r="F721" s="1783"/>
      <c r="G721" s="1783"/>
      <c r="H721" s="1783"/>
      <c r="I721" s="1783"/>
      <c r="J721" s="1783"/>
    </row>
    <row r="722" spans="1:10">
      <c r="A722" s="1783"/>
      <c r="B722" s="1783"/>
      <c r="C722" s="1783"/>
      <c r="D722" s="1783"/>
      <c r="E722" s="1783"/>
      <c r="F722" s="1783"/>
      <c r="G722" s="1783"/>
      <c r="H722" s="1783"/>
      <c r="I722" s="1783"/>
      <c r="J722" s="1783"/>
    </row>
    <row r="723" spans="1:10">
      <c r="A723" s="1783"/>
      <c r="B723" s="1783"/>
      <c r="C723" s="1783"/>
      <c r="D723" s="1783"/>
      <c r="E723" s="1783"/>
      <c r="F723" s="1783"/>
      <c r="G723" s="1783"/>
      <c r="H723" s="1783"/>
      <c r="I723" s="1783"/>
      <c r="J723" s="1783"/>
    </row>
    <row r="724" spans="1:10">
      <c r="A724" s="1783"/>
      <c r="B724" s="1783"/>
      <c r="C724" s="1783"/>
      <c r="D724" s="1783"/>
      <c r="E724" s="1783"/>
      <c r="F724" s="1783"/>
      <c r="G724" s="1783"/>
      <c r="H724" s="1783"/>
      <c r="I724" s="1783"/>
      <c r="J724" s="1783"/>
    </row>
    <row r="725" spans="1:10">
      <c r="A725" s="1783"/>
      <c r="B725" s="1783"/>
      <c r="C725" s="1783"/>
      <c r="D725" s="1783"/>
      <c r="E725" s="1783"/>
      <c r="F725" s="1783"/>
      <c r="G725" s="1783"/>
      <c r="H725" s="1783"/>
      <c r="I725" s="1783"/>
      <c r="J725" s="1783"/>
    </row>
    <row r="726" spans="1:10">
      <c r="A726" s="1783"/>
      <c r="B726" s="1783"/>
      <c r="C726" s="1783"/>
      <c r="D726" s="1783"/>
      <c r="E726" s="1783"/>
      <c r="F726" s="1783"/>
      <c r="G726" s="1783"/>
      <c r="H726" s="1783"/>
      <c r="I726" s="1783"/>
      <c r="J726" s="1783"/>
    </row>
    <row r="727" spans="1:10">
      <c r="A727" s="1783"/>
      <c r="B727" s="1783"/>
      <c r="C727" s="1783"/>
      <c r="D727" s="1783"/>
      <c r="E727" s="1783"/>
      <c r="F727" s="1783"/>
      <c r="G727" s="1783"/>
      <c r="H727" s="1783"/>
      <c r="I727" s="1783"/>
      <c r="J727" s="1783"/>
    </row>
    <row r="728" spans="1:10">
      <c r="A728" s="1783"/>
      <c r="B728" s="1783"/>
      <c r="C728" s="1783"/>
      <c r="D728" s="1783"/>
      <c r="E728" s="1783"/>
      <c r="F728" s="1783"/>
      <c r="G728" s="1783"/>
      <c r="H728" s="1783"/>
      <c r="I728" s="1783"/>
      <c r="J728" s="1783"/>
    </row>
    <row r="729" spans="1:10">
      <c r="A729" s="1783"/>
      <c r="B729" s="1783"/>
      <c r="C729" s="1783"/>
      <c r="D729" s="1783"/>
      <c r="E729" s="1783"/>
      <c r="F729" s="1783"/>
      <c r="G729" s="1783"/>
      <c r="H729" s="1783"/>
      <c r="I729" s="1783"/>
      <c r="J729" s="1783"/>
    </row>
    <row r="730" spans="1:10">
      <c r="A730" s="1783"/>
      <c r="B730" s="1783"/>
      <c r="C730" s="1783"/>
      <c r="D730" s="1783"/>
      <c r="E730" s="1783"/>
      <c r="F730" s="1783"/>
      <c r="G730" s="1783"/>
      <c r="H730" s="1783"/>
      <c r="I730" s="1783"/>
      <c r="J730" s="1783"/>
    </row>
    <row r="731" spans="1:10">
      <c r="A731" s="1783"/>
      <c r="B731" s="1783"/>
      <c r="C731" s="1783"/>
      <c r="D731" s="1783"/>
      <c r="E731" s="1783"/>
      <c r="F731" s="1783"/>
      <c r="G731" s="1783"/>
      <c r="H731" s="1783"/>
      <c r="I731" s="1783"/>
      <c r="J731" s="1783"/>
    </row>
    <row r="732" spans="1:10">
      <c r="A732" s="1783"/>
      <c r="B732" s="1783"/>
      <c r="C732" s="1783"/>
      <c r="D732" s="1783"/>
      <c r="E732" s="1783"/>
      <c r="F732" s="1783"/>
      <c r="G732" s="1783"/>
      <c r="H732" s="1783"/>
      <c r="I732" s="1783"/>
      <c r="J732" s="1783"/>
    </row>
    <row r="733" spans="1:10">
      <c r="A733" s="1783"/>
      <c r="B733" s="1783"/>
      <c r="C733" s="1783"/>
      <c r="D733" s="1783"/>
      <c r="E733" s="1783"/>
      <c r="F733" s="1783"/>
      <c r="G733" s="1783"/>
      <c r="H733" s="1783"/>
      <c r="I733" s="1783"/>
      <c r="J733" s="1783"/>
    </row>
    <row r="734" spans="1:10">
      <c r="A734" s="1783"/>
      <c r="B734" s="1783"/>
      <c r="C734" s="1783"/>
      <c r="D734" s="1783"/>
      <c r="E734" s="1783"/>
      <c r="F734" s="1783"/>
      <c r="G734" s="1783"/>
      <c r="H734" s="1783"/>
      <c r="I734" s="1783"/>
      <c r="J734" s="1783"/>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F59"/>
  <sheetViews>
    <sheetView zoomScaleNormal="100" workbookViewId="0">
      <selection activeCell="B8" sqref="B8"/>
    </sheetView>
  </sheetViews>
  <sheetFormatPr defaultColWidth="0" defaultRowHeight="12.75" zeroHeight="1"/>
  <cols>
    <col min="1" max="1" width="7.5703125" customWidth="1"/>
    <col min="2" max="2" width="107.42578125" customWidth="1"/>
    <col min="3" max="3" width="25.85546875" customWidth="1"/>
    <col min="4" max="4" width="9.140625" customWidth="1"/>
    <col min="5" max="5" width="12" customWidth="1"/>
    <col min="6" max="6" width="9.140625" customWidth="1"/>
  </cols>
  <sheetData>
    <row r="1" spans="1:6" ht="15.75" thickBot="1">
      <c r="A1" s="2157" t="s">
        <v>2805</v>
      </c>
      <c r="B1" s="793" t="s">
        <v>163</v>
      </c>
      <c r="C1" s="936" t="str">
        <f>+'1 Summary'!G2</f>
        <v/>
      </c>
      <c r="D1" s="58"/>
      <c r="E1" s="64"/>
      <c r="F1" s="15"/>
    </row>
    <row r="2" spans="1:6" ht="17.25" customHeight="1" thickBot="1">
      <c r="A2" s="14"/>
      <c r="B2" s="793" t="s">
        <v>162</v>
      </c>
      <c r="C2" s="851">
        <f>+'1 Summary'!G3</f>
        <v>0</v>
      </c>
      <c r="D2" s="7"/>
      <c r="E2" s="15"/>
      <c r="F2" s="15"/>
    </row>
    <row r="3" spans="1:6" ht="18">
      <c r="A3" s="43" t="s">
        <v>622</v>
      </c>
      <c r="B3" s="3"/>
      <c r="C3" s="10"/>
      <c r="D3" s="15"/>
      <c r="E3" s="15"/>
      <c r="F3" s="15"/>
    </row>
    <row r="4" spans="1:6">
      <c r="A4" s="17"/>
      <c r="B4" s="3"/>
      <c r="C4" s="3"/>
      <c r="D4" s="3"/>
      <c r="E4" s="3"/>
      <c r="F4" s="3"/>
    </row>
    <row r="5" spans="1:6" ht="20.25">
      <c r="A5" s="1085" t="s">
        <v>1670</v>
      </c>
      <c r="B5" s="3"/>
      <c r="C5" s="3"/>
      <c r="D5" s="3"/>
      <c r="E5" s="3"/>
      <c r="F5" s="3"/>
    </row>
    <row r="6" spans="1:6" ht="20.25">
      <c r="A6" s="1086" t="s">
        <v>931</v>
      </c>
      <c r="B6" s="3"/>
      <c r="C6" s="3"/>
      <c r="D6" s="3"/>
      <c r="E6" s="3"/>
      <c r="F6" s="3"/>
    </row>
    <row r="7" spans="1:6" ht="18">
      <c r="A7" s="24"/>
      <c r="B7" s="3"/>
      <c r="C7" s="3"/>
      <c r="D7" s="3"/>
      <c r="E7" s="3"/>
      <c r="F7" s="3"/>
    </row>
    <row r="8" spans="1:6" ht="32.25" customHeight="1">
      <c r="A8" s="85" t="s">
        <v>223</v>
      </c>
      <c r="B8" s="85"/>
      <c r="C8" s="85"/>
      <c r="D8" s="85"/>
      <c r="E8" s="85"/>
      <c r="F8" s="85"/>
    </row>
    <row r="9" spans="1:6" ht="30" customHeight="1">
      <c r="A9" s="935" t="s">
        <v>1671</v>
      </c>
      <c r="B9" s="100" t="s">
        <v>73</v>
      </c>
      <c r="C9" s="21"/>
      <c r="D9" s="22"/>
      <c r="E9" s="22"/>
      <c r="F9" s="2004" t="s">
        <v>1671</v>
      </c>
    </row>
    <row r="10" spans="1:6" ht="15">
      <c r="A10" s="935"/>
      <c r="B10" s="100"/>
      <c r="C10" s="21"/>
      <c r="D10" s="22"/>
      <c r="E10" s="22"/>
      <c r="F10" s="2004"/>
    </row>
    <row r="11" spans="1:6" ht="15">
      <c r="A11" s="85">
        <v>1.1000000000000001</v>
      </c>
      <c r="B11" s="698" t="s">
        <v>74</v>
      </c>
      <c r="C11" s="21"/>
      <c r="D11" s="91">
        <v>575</v>
      </c>
      <c r="E11" s="92"/>
      <c r="F11" s="700">
        <f>+A11</f>
        <v>1.1000000000000001</v>
      </c>
    </row>
    <row r="12" spans="1:6" ht="15">
      <c r="A12" s="85">
        <v>1.2</v>
      </c>
      <c r="B12" s="698" t="s">
        <v>823</v>
      </c>
      <c r="C12" s="21"/>
      <c r="D12" s="91">
        <v>576</v>
      </c>
      <c r="E12" s="92"/>
      <c r="F12" s="700">
        <f t="shared" ref="F12:F33" si="0">+A12</f>
        <v>1.2</v>
      </c>
    </row>
    <row r="13" spans="1:6" ht="15">
      <c r="A13" s="85">
        <v>1.3</v>
      </c>
      <c r="B13" s="698" t="s">
        <v>1609</v>
      </c>
      <c r="C13" s="21"/>
      <c r="D13" s="91"/>
      <c r="E13" s="92"/>
      <c r="F13" s="700">
        <f t="shared" si="0"/>
        <v>1.3</v>
      </c>
    </row>
    <row r="14" spans="1:6" ht="15">
      <c r="A14" s="85">
        <v>1.4</v>
      </c>
      <c r="B14" s="698" t="s">
        <v>1734</v>
      </c>
      <c r="C14" s="21"/>
      <c r="D14" s="91">
        <v>577</v>
      </c>
      <c r="E14" s="92"/>
      <c r="F14" s="700">
        <f t="shared" si="0"/>
        <v>1.4</v>
      </c>
    </row>
    <row r="15" spans="1:6" ht="15">
      <c r="A15" s="85">
        <v>1.5</v>
      </c>
      <c r="B15" s="698" t="s">
        <v>1672</v>
      </c>
      <c r="C15" s="21"/>
      <c r="D15" s="91">
        <v>578</v>
      </c>
      <c r="E15" s="92"/>
      <c r="F15" s="700">
        <f t="shared" si="0"/>
        <v>1.5</v>
      </c>
    </row>
    <row r="16" spans="1:6" ht="15">
      <c r="A16" s="937">
        <v>1.6</v>
      </c>
      <c r="B16" s="84" t="s">
        <v>2726</v>
      </c>
      <c r="C16" s="34"/>
      <c r="D16" s="91">
        <v>586</v>
      </c>
      <c r="E16" s="92"/>
      <c r="F16" s="700">
        <f t="shared" si="0"/>
        <v>1.6</v>
      </c>
    </row>
    <row r="17" spans="1:6" ht="15">
      <c r="A17" s="937">
        <v>1.7</v>
      </c>
      <c r="B17" s="84" t="s">
        <v>2727</v>
      </c>
      <c r="C17" s="34"/>
      <c r="D17" s="94">
        <v>593</v>
      </c>
      <c r="E17" s="92"/>
      <c r="F17" s="700">
        <f t="shared" si="0"/>
        <v>1.7</v>
      </c>
    </row>
    <row r="18" spans="1:6" ht="15">
      <c r="A18" s="937">
        <v>1.8</v>
      </c>
      <c r="B18" s="85" t="s">
        <v>224</v>
      </c>
      <c r="C18" s="34"/>
      <c r="D18" s="94">
        <v>594</v>
      </c>
      <c r="E18" s="95">
        <f>SUM(E11:E17)</f>
        <v>0</v>
      </c>
      <c r="F18" s="700">
        <f t="shared" si="0"/>
        <v>1.8</v>
      </c>
    </row>
    <row r="19" spans="1:6" ht="15">
      <c r="A19" s="935">
        <v>1.9</v>
      </c>
      <c r="B19" s="698" t="s">
        <v>945</v>
      </c>
      <c r="C19" s="21"/>
      <c r="D19" s="91">
        <v>596</v>
      </c>
      <c r="E19" s="96"/>
      <c r="F19" s="700">
        <f t="shared" si="0"/>
        <v>1.9</v>
      </c>
    </row>
    <row r="20" spans="1:6" ht="15">
      <c r="A20" s="935" t="s">
        <v>100</v>
      </c>
      <c r="B20" s="698" t="s">
        <v>1224</v>
      </c>
      <c r="C20" s="21"/>
      <c r="D20" s="91">
        <v>588</v>
      </c>
      <c r="E20" s="96"/>
      <c r="F20" s="700" t="str">
        <f t="shared" si="0"/>
        <v>1.10</v>
      </c>
    </row>
    <row r="21" spans="1:6" ht="15">
      <c r="A21" s="795">
        <v>1.1100000000000001</v>
      </c>
      <c r="B21" s="698" t="s">
        <v>1994</v>
      </c>
      <c r="C21" s="21"/>
      <c r="D21" s="94">
        <v>589</v>
      </c>
      <c r="E21" s="96"/>
      <c r="F21" s="700">
        <f t="shared" si="0"/>
        <v>1.1100000000000001</v>
      </c>
    </row>
    <row r="22" spans="1:6" ht="15">
      <c r="A22" s="795"/>
      <c r="B22" s="698"/>
      <c r="C22" s="21"/>
      <c r="D22" s="97"/>
      <c r="E22" s="98"/>
      <c r="F22" s="795"/>
    </row>
    <row r="23" spans="1:6" ht="15">
      <c r="A23" s="795">
        <v>1.1200000000000001</v>
      </c>
      <c r="B23" s="85" t="s">
        <v>2104</v>
      </c>
      <c r="C23" s="21"/>
      <c r="D23" s="91">
        <v>579</v>
      </c>
      <c r="E23" s="95">
        <f>SUM(E18:E21)</f>
        <v>0</v>
      </c>
      <c r="F23" s="700">
        <f t="shared" si="0"/>
        <v>1.1200000000000001</v>
      </c>
    </row>
    <row r="24" spans="1:6" ht="29.25" customHeight="1">
      <c r="A24" s="85"/>
      <c r="B24" s="698"/>
      <c r="C24" s="21"/>
      <c r="D24" s="71"/>
      <c r="E24" s="44"/>
      <c r="F24" s="93"/>
    </row>
    <row r="25" spans="1:6" ht="15">
      <c r="A25" s="935" t="s">
        <v>1366</v>
      </c>
      <c r="B25" s="100" t="s">
        <v>76</v>
      </c>
      <c r="C25" s="21"/>
      <c r="D25" s="71"/>
      <c r="E25" s="44"/>
      <c r="F25" s="8" t="str">
        <f t="shared" si="0"/>
        <v>2.</v>
      </c>
    </row>
    <row r="26" spans="1:6" ht="15">
      <c r="A26" s="85"/>
      <c r="B26" s="698"/>
      <c r="C26" s="21"/>
      <c r="D26" s="71"/>
      <c r="E26" s="44"/>
      <c r="F26" s="93"/>
    </row>
    <row r="27" spans="1:6" ht="15">
      <c r="A27" s="85">
        <v>2.1</v>
      </c>
      <c r="B27" s="698" t="s">
        <v>944</v>
      </c>
      <c r="C27" s="21"/>
      <c r="D27" s="91">
        <v>580</v>
      </c>
      <c r="E27" s="96"/>
      <c r="F27" s="8">
        <f t="shared" si="0"/>
        <v>2.1</v>
      </c>
    </row>
    <row r="28" spans="1:6" ht="15">
      <c r="A28" s="85">
        <v>2.2000000000000002</v>
      </c>
      <c r="B28" s="698" t="s">
        <v>1794</v>
      </c>
      <c r="C28" s="21"/>
      <c r="D28" s="91">
        <v>581</v>
      </c>
      <c r="E28" s="96"/>
      <c r="F28" s="8">
        <f t="shared" si="0"/>
        <v>2.2000000000000002</v>
      </c>
    </row>
    <row r="29" spans="1:6" ht="15">
      <c r="A29" s="85">
        <v>2.2999999999999998</v>
      </c>
      <c r="B29" s="84" t="s">
        <v>2726</v>
      </c>
      <c r="C29" s="11"/>
      <c r="D29" s="94">
        <v>591</v>
      </c>
      <c r="E29" s="96"/>
      <c r="F29" s="8">
        <f t="shared" si="0"/>
        <v>2.2999999999999998</v>
      </c>
    </row>
    <row r="30" spans="1:6" ht="15">
      <c r="A30" s="85">
        <v>2.4</v>
      </c>
      <c r="B30" s="84" t="s">
        <v>2727</v>
      </c>
      <c r="C30" s="21"/>
      <c r="D30" s="91">
        <v>592</v>
      </c>
      <c r="E30" s="96"/>
      <c r="F30" s="8">
        <f t="shared" si="0"/>
        <v>2.4</v>
      </c>
    </row>
    <row r="31" spans="1:6" ht="15">
      <c r="A31" s="85">
        <v>2.5</v>
      </c>
      <c r="B31" s="100" t="s">
        <v>748</v>
      </c>
      <c r="C31" s="21"/>
      <c r="D31" s="91">
        <v>582</v>
      </c>
      <c r="E31" s="68">
        <f>SUM(E27:E30)</f>
        <v>0</v>
      </c>
      <c r="F31" s="8">
        <f t="shared" si="0"/>
        <v>2.5</v>
      </c>
    </row>
    <row r="32" spans="1:6" ht="15">
      <c r="A32" s="85">
        <v>2.6</v>
      </c>
      <c r="B32" s="698" t="s">
        <v>1224</v>
      </c>
      <c r="C32" s="21"/>
      <c r="D32" s="91">
        <v>583</v>
      </c>
      <c r="E32" s="96"/>
      <c r="F32" s="8">
        <f t="shared" si="0"/>
        <v>2.6</v>
      </c>
    </row>
    <row r="33" spans="1:6" ht="15">
      <c r="A33" s="85">
        <v>2.7</v>
      </c>
      <c r="B33" s="698" t="s">
        <v>1994</v>
      </c>
      <c r="C33" s="21"/>
      <c r="D33" s="94">
        <v>590</v>
      </c>
      <c r="E33" s="96"/>
      <c r="F33" s="8">
        <f t="shared" si="0"/>
        <v>2.7</v>
      </c>
    </row>
    <row r="34" spans="1:6">
      <c r="A34" s="32"/>
      <c r="B34" s="11"/>
      <c r="C34" s="11"/>
      <c r="D34" s="97"/>
      <c r="E34" s="15"/>
      <c r="F34" s="93"/>
    </row>
    <row r="35" spans="1:6">
      <c r="A35" s="32"/>
      <c r="B35" s="11"/>
      <c r="C35" s="11"/>
      <c r="D35" s="99"/>
      <c r="E35" s="98"/>
      <c r="F35" s="93"/>
    </row>
    <row r="36" spans="1:6" ht="15">
      <c r="A36" s="85">
        <v>2.8</v>
      </c>
      <c r="B36" s="100" t="s">
        <v>2105</v>
      </c>
      <c r="C36" s="21"/>
      <c r="D36" s="91">
        <v>584</v>
      </c>
      <c r="E36" s="68">
        <f>SUM(E31:E33)</f>
        <v>0</v>
      </c>
      <c r="F36" s="8">
        <f>+A36</f>
        <v>2.8</v>
      </c>
    </row>
    <row r="37" spans="1:6" ht="18">
      <c r="A37" s="14"/>
      <c r="B37" s="40"/>
      <c r="C37" s="21"/>
      <c r="D37" s="22"/>
      <c r="E37" s="44"/>
      <c r="F37" s="93"/>
    </row>
    <row r="38" spans="1:6" ht="15">
      <c r="A38" s="935" t="s">
        <v>326</v>
      </c>
      <c r="B38" s="794" t="s">
        <v>1340</v>
      </c>
      <c r="C38" s="21"/>
      <c r="D38" s="22"/>
      <c r="E38" s="22"/>
      <c r="F38" s="8" t="str">
        <f>+A38</f>
        <v>3.</v>
      </c>
    </row>
    <row r="39" spans="1:6" ht="15">
      <c r="A39" s="85"/>
      <c r="B39" s="938" t="s">
        <v>636</v>
      </c>
      <c r="C39" s="21"/>
      <c r="D39" s="22"/>
      <c r="E39" s="22"/>
      <c r="F39" s="93"/>
    </row>
    <row r="40" spans="1:6" ht="15">
      <c r="A40" s="85"/>
      <c r="B40" s="199"/>
      <c r="C40" s="21"/>
      <c r="D40" s="22"/>
      <c r="E40" s="22"/>
      <c r="F40" s="93"/>
    </row>
    <row r="41" spans="1:6" ht="15">
      <c r="A41" s="85">
        <v>3.1</v>
      </c>
      <c r="B41" s="199" t="s">
        <v>290</v>
      </c>
      <c r="C41" s="21"/>
      <c r="D41" s="22"/>
      <c r="E41" s="92"/>
      <c r="F41" s="8">
        <f>+A41</f>
        <v>3.1</v>
      </c>
    </row>
    <row r="42" spans="1:6" ht="15">
      <c r="A42" s="85">
        <v>3.2</v>
      </c>
      <c r="B42" s="199" t="s">
        <v>291</v>
      </c>
      <c r="C42" s="21"/>
      <c r="D42" s="22"/>
      <c r="E42" s="92"/>
      <c r="F42" s="8">
        <f>+A42</f>
        <v>3.2</v>
      </c>
    </row>
    <row r="43" spans="1:6" ht="15">
      <c r="A43" s="85">
        <v>3.3</v>
      </c>
      <c r="B43" s="199" t="s">
        <v>1993</v>
      </c>
      <c r="C43" s="21"/>
      <c r="D43" s="22"/>
      <c r="E43" s="92"/>
      <c r="F43" s="8">
        <f>+A43</f>
        <v>3.3</v>
      </c>
    </row>
    <row r="44" spans="1:6" ht="15">
      <c r="A44" s="85"/>
      <c r="B44" s="199" t="s">
        <v>984</v>
      </c>
      <c r="C44" s="21"/>
      <c r="D44" s="22"/>
      <c r="E44" s="22"/>
      <c r="F44" s="93"/>
    </row>
    <row r="45" spans="1:6" ht="15">
      <c r="A45" s="85"/>
      <c r="B45" s="698"/>
      <c r="C45" s="21"/>
      <c r="D45" s="22"/>
      <c r="E45" s="22"/>
      <c r="F45" s="93"/>
    </row>
    <row r="46" spans="1:6" ht="14.25">
      <c r="A46" s="42"/>
      <c r="B46" s="42"/>
      <c r="C46" s="3"/>
      <c r="D46" s="3"/>
      <c r="E46" s="3"/>
      <c r="F46" s="3"/>
    </row>
    <row r="47" spans="1:6" ht="42.75">
      <c r="A47" s="939" t="s">
        <v>101</v>
      </c>
      <c r="B47" s="475" t="s">
        <v>2944</v>
      </c>
      <c r="C47" s="3"/>
      <c r="D47" s="3"/>
      <c r="E47" s="3"/>
      <c r="F47" s="3"/>
    </row>
    <row r="48" spans="1:6" hidden="1">
      <c r="A48" s="57"/>
      <c r="B48" s="57"/>
      <c r="C48" s="57"/>
      <c r="D48" s="57"/>
      <c r="E48" s="57"/>
      <c r="F48" s="57"/>
    </row>
    <row r="49" spans="1:6" hidden="1">
      <c r="A49" s="69"/>
      <c r="B49" s="69"/>
      <c r="C49" s="69"/>
      <c r="D49" s="69"/>
      <c r="E49" s="69"/>
      <c r="F49" s="69"/>
    </row>
    <row r="50" spans="1:6" hidden="1">
      <c r="A50" s="69"/>
      <c r="B50" s="69"/>
      <c r="C50" s="69"/>
      <c r="D50" s="69"/>
      <c r="E50" s="69"/>
      <c r="F50" s="69"/>
    </row>
    <row r="51" spans="1:6" hidden="1">
      <c r="A51" s="69"/>
      <c r="B51" s="69"/>
      <c r="C51" s="69"/>
      <c r="D51" s="69"/>
      <c r="E51" s="69"/>
      <c r="F51" s="69"/>
    </row>
    <row r="52" spans="1:6" hidden="1">
      <c r="A52" s="69"/>
      <c r="B52" s="69"/>
      <c r="C52" s="69"/>
      <c r="D52" s="69"/>
      <c r="E52" s="69"/>
      <c r="F52" s="69"/>
    </row>
    <row r="53" spans="1:6" hidden="1">
      <c r="A53" s="69"/>
      <c r="B53" s="69"/>
      <c r="C53" s="69"/>
      <c r="D53" s="69"/>
      <c r="E53" s="69"/>
      <c r="F53" s="69"/>
    </row>
    <row r="54" spans="1:6" hidden="1">
      <c r="A54" s="69"/>
      <c r="B54" s="69"/>
      <c r="C54" s="69"/>
      <c r="D54" s="69"/>
      <c r="E54" s="69"/>
      <c r="F54" s="69"/>
    </row>
    <row r="55" spans="1:6" hidden="1">
      <c r="A55" s="69"/>
      <c r="B55" s="69"/>
      <c r="C55" s="69"/>
      <c r="D55" s="69"/>
      <c r="E55" s="69"/>
      <c r="F55" s="69"/>
    </row>
    <row r="56" spans="1:6" hidden="1">
      <c r="A56" s="69"/>
      <c r="B56" s="69"/>
      <c r="C56" s="69"/>
      <c r="D56" s="69"/>
      <c r="E56" s="69"/>
      <c r="F56" s="69"/>
    </row>
    <row r="57" spans="1:6" hidden="1">
      <c r="A57" s="69"/>
      <c r="B57" s="69"/>
      <c r="C57" s="69"/>
      <c r="D57" s="69"/>
      <c r="E57" s="69"/>
      <c r="F57" s="69"/>
    </row>
    <row r="58" spans="1:6" hidden="1">
      <c r="A58" s="69"/>
      <c r="B58" s="69"/>
      <c r="C58" s="69"/>
      <c r="D58" s="69"/>
      <c r="E58" s="69"/>
      <c r="F58" s="69"/>
    </row>
    <row r="59" spans="1:6">
      <c r="A59" s="3"/>
      <c r="B59" s="3"/>
      <c r="C59" s="3"/>
      <c r="D59" s="3"/>
      <c r="E59" s="3"/>
      <c r="F59" s="3"/>
    </row>
  </sheetData>
  <sheetProtection password="C7B7" sheet="1" objects="1" scenarios="1"/>
  <protectedRanges>
    <protectedRange sqref="D13" name="Range6"/>
    <protectedRange sqref="E41:E43" name="Range5"/>
    <protectedRange sqref="E32:E33" name="Range4"/>
    <protectedRange sqref="E27:E30" name="Range3"/>
    <protectedRange sqref="E19:E21" name="Range2"/>
    <protectedRange sqref="E11:E17" name="Range1"/>
  </protectedRanges>
  <phoneticPr fontId="13"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X101"/>
  <sheetViews>
    <sheetView topLeftCell="C21" zoomScaleNormal="100" workbookViewId="0">
      <selection activeCell="H21" sqref="H21"/>
    </sheetView>
  </sheetViews>
  <sheetFormatPr defaultColWidth="0" defaultRowHeight="0" customHeight="1" zeroHeight="1"/>
  <cols>
    <col min="1" max="1" width="6.5703125" style="688" customWidth="1"/>
    <col min="2" max="3" width="4.7109375" style="688" customWidth="1"/>
    <col min="4" max="4" width="22.28515625" style="688" customWidth="1"/>
    <col min="5" max="6" width="5.7109375" style="688" customWidth="1"/>
    <col min="7" max="7" width="8.85546875" style="688" customWidth="1"/>
    <col min="8" max="8" width="12.7109375" style="688" customWidth="1"/>
    <col min="9" max="9" width="7.28515625" style="688" customWidth="1"/>
    <col min="10" max="10" width="12.7109375" style="688" customWidth="1"/>
    <col min="11" max="11" width="7.42578125" style="688" customWidth="1"/>
    <col min="12" max="12" width="16.28515625" style="688" customWidth="1"/>
    <col min="13" max="13" width="13.42578125" style="688" customWidth="1"/>
    <col min="14" max="14" width="12" style="688" customWidth="1"/>
    <col min="15" max="15" width="7.5703125" style="688" customWidth="1"/>
    <col min="16" max="16" width="12.7109375" style="688" customWidth="1"/>
    <col min="17" max="17" width="7.28515625" style="688" customWidth="1"/>
    <col min="18" max="18" width="12.7109375" style="688" customWidth="1"/>
    <col min="19" max="19" width="7.42578125" style="688" customWidth="1"/>
    <col min="20" max="20" width="12.7109375" style="688" customWidth="1"/>
    <col min="21" max="21" width="10.85546875" style="688" customWidth="1"/>
    <col min="22" max="22" width="13.140625" style="688" customWidth="1"/>
    <col min="23" max="23" width="10.85546875" style="688" customWidth="1"/>
    <col min="24" max="24" width="6" style="688" customWidth="1"/>
    <col min="25" max="16384" width="0" style="688" hidden="1"/>
  </cols>
  <sheetData>
    <row r="1" spans="1:24" ht="4.5" customHeight="1" thickBot="1">
      <c r="A1" s="2157" t="s">
        <v>2806</v>
      </c>
      <c r="B1" s="42"/>
      <c r="C1" s="42"/>
      <c r="D1" s="42"/>
      <c r="E1" s="42"/>
      <c r="F1" s="42"/>
      <c r="G1" s="42"/>
      <c r="H1" s="42"/>
      <c r="I1" s="42"/>
      <c r="J1" s="42"/>
      <c r="K1" s="42"/>
      <c r="L1" s="42"/>
      <c r="M1" s="42"/>
      <c r="N1" s="42"/>
      <c r="O1" s="42"/>
      <c r="P1" s="42"/>
      <c r="Q1" s="42"/>
      <c r="R1" s="42"/>
      <c r="S1" s="42"/>
      <c r="T1" s="42"/>
      <c r="U1" s="42"/>
      <c r="V1" s="42"/>
      <c r="W1" s="42"/>
      <c r="X1" s="687"/>
    </row>
    <row r="2" spans="1:24" ht="18.75" thickBot="1">
      <c r="A2" s="1877" t="s">
        <v>621</v>
      </c>
      <c r="B2" s="690"/>
      <c r="C2" s="691"/>
      <c r="D2" s="691"/>
      <c r="E2" s="691"/>
      <c r="F2" s="691"/>
      <c r="G2" s="180"/>
      <c r="H2" s="42"/>
      <c r="I2" s="691"/>
      <c r="J2" s="1878" t="str">
        <f>+'1 Summary'!G2</f>
        <v/>
      </c>
      <c r="K2" s="692"/>
      <c r="L2" s="692"/>
      <c r="M2" s="693"/>
      <c r="N2" s="694"/>
      <c r="O2" s="694"/>
      <c r="P2" s="694"/>
      <c r="Q2" s="694"/>
      <c r="R2" s="691"/>
      <c r="S2" s="691"/>
      <c r="T2" s="691"/>
      <c r="U2" s="691"/>
      <c r="V2" s="691"/>
      <c r="W2" s="691"/>
      <c r="X2" s="687"/>
    </row>
    <row r="3" spans="1:24" ht="18.75" thickBot="1">
      <c r="A3" s="1877" t="s">
        <v>1890</v>
      </c>
      <c r="B3" s="690"/>
      <c r="C3" s="691"/>
      <c r="D3" s="691"/>
      <c r="E3" s="691"/>
      <c r="F3" s="691"/>
      <c r="G3" s="180"/>
      <c r="H3" s="42"/>
      <c r="I3" s="695"/>
      <c r="J3" s="1879">
        <f>+'1 Summary'!G3</f>
        <v>0</v>
      </c>
      <c r="K3" s="694"/>
      <c r="L3" s="691"/>
      <c r="M3" s="691"/>
      <c r="N3" s="691"/>
      <c r="O3" s="691"/>
      <c r="P3" s="691"/>
      <c r="Q3" s="691"/>
      <c r="R3" s="691"/>
      <c r="S3" s="691"/>
      <c r="T3" s="691"/>
      <c r="U3" s="691"/>
      <c r="V3" s="691"/>
      <c r="W3" s="691"/>
      <c r="X3" s="687"/>
    </row>
    <row r="4" spans="1:24" ht="18">
      <c r="A4" s="1877" t="s">
        <v>2945</v>
      </c>
      <c r="B4" s="690"/>
      <c r="C4" s="691"/>
      <c r="D4" s="691"/>
      <c r="E4" s="691"/>
      <c r="F4" s="691"/>
      <c r="G4" s="691"/>
      <c r="H4" s="691"/>
      <c r="I4" s="691"/>
      <c r="J4" s="691"/>
      <c r="K4" s="691"/>
      <c r="L4" s="691"/>
      <c r="M4" s="691"/>
      <c r="N4" s="691"/>
      <c r="O4" s="691"/>
      <c r="P4" s="691"/>
      <c r="Q4" s="691"/>
      <c r="R4" s="691"/>
      <c r="S4" s="691"/>
      <c r="T4" s="691"/>
      <c r="U4" s="691"/>
      <c r="V4" s="691"/>
      <c r="W4" s="691"/>
      <c r="X4" s="687"/>
    </row>
    <row r="5" spans="1:24" ht="15">
      <c r="A5" s="689"/>
      <c r="B5" s="690"/>
      <c r="C5" s="691"/>
      <c r="D5" s="691"/>
      <c r="E5" s="691"/>
      <c r="F5" s="691"/>
      <c r="G5" s="691"/>
      <c r="H5" s="691"/>
      <c r="I5" s="691"/>
      <c r="J5" s="691"/>
      <c r="K5" s="691"/>
      <c r="L5" s="691"/>
      <c r="M5" s="691"/>
      <c r="N5" s="691"/>
      <c r="O5" s="691"/>
      <c r="P5" s="691"/>
      <c r="Q5" s="691"/>
      <c r="R5" s="691"/>
      <c r="S5" s="691"/>
      <c r="T5" s="691"/>
      <c r="U5" s="691"/>
      <c r="V5" s="691"/>
      <c r="W5" s="691"/>
      <c r="X5" s="687"/>
    </row>
    <row r="6" spans="1:24" ht="15">
      <c r="A6" s="689" t="s">
        <v>565</v>
      </c>
      <c r="B6" s="690"/>
      <c r="C6" s="691"/>
      <c r="D6" s="691"/>
      <c r="E6" s="691"/>
      <c r="F6" s="691"/>
      <c r="G6" s="691"/>
      <c r="H6" s="691"/>
      <c r="I6" s="691"/>
      <c r="J6" s="691"/>
      <c r="K6" s="691"/>
      <c r="L6" s="691"/>
      <c r="M6" s="691"/>
      <c r="N6" s="691"/>
      <c r="O6" s="691"/>
      <c r="P6" s="691"/>
      <c r="Q6" s="691"/>
      <c r="R6" s="691"/>
      <c r="S6" s="691"/>
      <c r="T6" s="691"/>
      <c r="U6" s="691"/>
      <c r="V6" s="691"/>
      <c r="W6" s="691"/>
      <c r="X6" s="687"/>
    </row>
    <row r="7" spans="1:24" ht="15">
      <c r="A7" s="696"/>
      <c r="B7" s="690"/>
      <c r="C7" s="691"/>
      <c r="D7" s="691"/>
      <c r="E7" s="691"/>
      <c r="F7" s="691"/>
      <c r="G7" s="691"/>
      <c r="H7" s="691"/>
      <c r="I7" s="691"/>
      <c r="J7" s="691"/>
      <c r="K7" s="691"/>
      <c r="L7" s="691"/>
      <c r="M7" s="691"/>
      <c r="N7" s="691"/>
      <c r="O7" s="691"/>
      <c r="P7" s="691"/>
      <c r="Q7" s="691"/>
      <c r="R7" s="691"/>
      <c r="S7" s="691"/>
      <c r="T7" s="691"/>
      <c r="U7" s="691"/>
      <c r="V7" s="691"/>
      <c r="W7" s="691"/>
      <c r="X7" s="687"/>
    </row>
    <row r="8" spans="1:24" ht="15">
      <c r="A8" s="85" t="s">
        <v>2946</v>
      </c>
      <c r="B8" s="697"/>
      <c r="C8" s="691"/>
      <c r="D8" s="691"/>
      <c r="E8" s="691"/>
      <c r="F8" s="691"/>
      <c r="G8" s="691"/>
      <c r="H8" s="691"/>
      <c r="I8" s="691"/>
      <c r="J8" s="691"/>
      <c r="K8" s="691"/>
      <c r="L8" s="691"/>
      <c r="M8" s="691"/>
      <c r="N8" s="691"/>
      <c r="O8" s="691"/>
      <c r="P8" s="691"/>
      <c r="Q8" s="691"/>
      <c r="R8" s="691"/>
      <c r="S8" s="691"/>
      <c r="T8" s="691"/>
      <c r="U8" s="691"/>
      <c r="V8" s="691"/>
      <c r="W8" s="691"/>
      <c r="X8" s="687"/>
    </row>
    <row r="9" spans="1:24" ht="15">
      <c r="A9" s="85" t="s">
        <v>566</v>
      </c>
      <c r="B9" s="42"/>
      <c r="C9" s="691"/>
      <c r="D9" s="691"/>
      <c r="E9" s="691"/>
      <c r="F9" s="691"/>
      <c r="G9" s="691"/>
      <c r="H9" s="691"/>
      <c r="I9" s="691"/>
      <c r="J9" s="691"/>
      <c r="K9" s="691"/>
      <c r="L9" s="691"/>
      <c r="M9" s="691"/>
      <c r="N9" s="691"/>
      <c r="O9" s="691"/>
      <c r="P9" s="691"/>
      <c r="Q9" s="691"/>
      <c r="R9" s="691"/>
      <c r="S9" s="691"/>
      <c r="T9" s="691"/>
      <c r="U9" s="691"/>
      <c r="V9" s="691"/>
      <c r="W9" s="691"/>
      <c r="X9" s="687"/>
    </row>
    <row r="10" spans="1:24" ht="15">
      <c r="A10" s="85" t="s">
        <v>161</v>
      </c>
      <c r="B10" s="698" t="s">
        <v>251</v>
      </c>
      <c r="C10" s="691"/>
      <c r="D10" s="691"/>
      <c r="E10" s="691"/>
      <c r="F10" s="691"/>
      <c r="G10" s="691"/>
      <c r="H10" s="691"/>
      <c r="I10" s="691"/>
      <c r="J10" s="691"/>
      <c r="K10" s="691"/>
      <c r="L10" s="691"/>
      <c r="M10" s="691"/>
      <c r="N10" s="691"/>
      <c r="O10" s="691"/>
      <c r="P10" s="691"/>
      <c r="Q10" s="691"/>
      <c r="R10" s="691"/>
      <c r="S10" s="691"/>
      <c r="T10" s="691"/>
      <c r="U10" s="691"/>
      <c r="V10" s="691"/>
      <c r="W10" s="691"/>
      <c r="X10" s="687"/>
    </row>
    <row r="11" spans="1:24" ht="15">
      <c r="A11" s="85" t="s">
        <v>1824</v>
      </c>
      <c r="B11" s="698" t="s">
        <v>920</v>
      </c>
      <c r="C11" s="691"/>
      <c r="D11" s="691"/>
      <c r="E11" s="691"/>
      <c r="F11" s="691"/>
      <c r="G11" s="691"/>
      <c r="H11" s="691"/>
      <c r="I11" s="691"/>
      <c r="J11" s="691"/>
      <c r="K11" s="691"/>
      <c r="L11" s="691"/>
      <c r="M11" s="691"/>
      <c r="N11" s="691"/>
      <c r="O11" s="691"/>
      <c r="P11" s="691"/>
      <c r="Q11" s="691"/>
      <c r="R11" s="691"/>
      <c r="S11" s="691"/>
      <c r="T11" s="691"/>
      <c r="U11" s="691"/>
      <c r="V11" s="691"/>
      <c r="W11" s="691"/>
      <c r="X11" s="687"/>
    </row>
    <row r="12" spans="1:24" ht="15">
      <c r="A12" s="85" t="s">
        <v>1825</v>
      </c>
      <c r="B12" s="698" t="s">
        <v>1652</v>
      </c>
      <c r="C12" s="691"/>
      <c r="D12" s="691"/>
      <c r="E12" s="691"/>
      <c r="F12" s="691"/>
      <c r="G12" s="691"/>
      <c r="H12" s="691"/>
      <c r="I12" s="691"/>
      <c r="J12" s="691"/>
      <c r="K12" s="691"/>
      <c r="L12" s="691"/>
      <c r="M12" s="691"/>
      <c r="N12" s="691"/>
      <c r="O12" s="691"/>
      <c r="P12" s="691"/>
      <c r="Q12" s="691"/>
      <c r="R12" s="691"/>
      <c r="S12" s="691"/>
      <c r="T12" s="691"/>
      <c r="U12" s="691"/>
      <c r="V12" s="691"/>
      <c r="W12" s="691"/>
      <c r="X12" s="687"/>
    </row>
    <row r="13" spans="1:24" ht="15">
      <c r="A13" s="689"/>
      <c r="B13" s="698"/>
      <c r="C13" s="691"/>
      <c r="D13" s="691"/>
      <c r="E13" s="691"/>
      <c r="F13" s="691"/>
      <c r="G13" s="691"/>
      <c r="H13" s="691"/>
      <c r="I13" s="691"/>
      <c r="J13" s="691"/>
      <c r="K13" s="691"/>
      <c r="L13" s="691"/>
      <c r="M13" s="691"/>
      <c r="N13" s="691"/>
      <c r="O13" s="691"/>
      <c r="P13" s="691"/>
      <c r="Q13" s="691"/>
      <c r="R13" s="691"/>
      <c r="S13" s="691"/>
      <c r="T13" s="691"/>
      <c r="U13" s="691"/>
      <c r="V13" s="691"/>
      <c r="W13" s="691"/>
      <c r="X13" s="687"/>
    </row>
    <row r="14" spans="1:24" ht="15">
      <c r="A14" s="689"/>
      <c r="B14" s="697"/>
      <c r="C14" s="691"/>
      <c r="D14" s="691"/>
      <c r="E14" s="691"/>
      <c r="F14" s="691"/>
      <c r="G14" s="691"/>
      <c r="H14" s="691"/>
      <c r="I14" s="691"/>
      <c r="J14" s="691"/>
      <c r="K14" s="691"/>
      <c r="L14" s="691"/>
      <c r="M14" s="691"/>
      <c r="N14" s="691"/>
      <c r="O14" s="691"/>
      <c r="P14" s="691"/>
      <c r="Q14" s="691"/>
      <c r="R14" s="691"/>
      <c r="S14" s="691"/>
      <c r="T14" s="691"/>
      <c r="U14" s="691"/>
      <c r="V14" s="691"/>
      <c r="W14" s="691"/>
      <c r="X14" s="687"/>
    </row>
    <row r="15" spans="1:24" ht="15">
      <c r="A15" s="689">
        <v>1</v>
      </c>
      <c r="B15" s="699" t="s">
        <v>1733</v>
      </c>
      <c r="C15" s="691"/>
      <c r="D15" s="691"/>
      <c r="E15" s="691"/>
      <c r="F15" s="691"/>
      <c r="G15" s="691"/>
      <c r="H15" s="691"/>
      <c r="I15" s="691"/>
      <c r="J15" s="691"/>
      <c r="K15" s="691"/>
      <c r="L15" s="691"/>
      <c r="M15" s="691"/>
      <c r="N15" s="691"/>
      <c r="O15" s="691"/>
      <c r="P15" s="691"/>
      <c r="Q15" s="691"/>
      <c r="R15" s="691"/>
      <c r="S15" s="691"/>
      <c r="T15" s="691"/>
      <c r="U15" s="691"/>
      <c r="V15" s="691"/>
      <c r="W15" s="691"/>
      <c r="X15" s="700">
        <f>+A15</f>
        <v>1</v>
      </c>
    </row>
    <row r="16" spans="1:24" ht="15">
      <c r="A16" s="689">
        <v>1.1000000000000001</v>
      </c>
      <c r="B16" s="690" t="s">
        <v>1574</v>
      </c>
      <c r="C16" s="691"/>
      <c r="D16" s="691"/>
      <c r="E16" s="691"/>
      <c r="F16" s="691"/>
      <c r="G16" s="691"/>
      <c r="H16" s="701"/>
      <c r="I16" s="701"/>
      <c r="J16" s="701"/>
      <c r="K16" s="701"/>
      <c r="L16" s="701"/>
      <c r="M16" s="701"/>
      <c r="N16" s="691"/>
      <c r="O16" s="701"/>
      <c r="P16" s="701"/>
      <c r="Q16" s="701"/>
      <c r="R16" s="701"/>
      <c r="S16" s="701"/>
      <c r="T16" s="701"/>
      <c r="U16" s="701"/>
      <c r="V16" s="701"/>
      <c r="W16" s="701"/>
      <c r="X16" s="700">
        <f>+A16</f>
        <v>1.1000000000000001</v>
      </c>
    </row>
    <row r="17" spans="1:24" ht="15">
      <c r="A17" s="689"/>
      <c r="B17" s="690"/>
      <c r="C17" s="691"/>
      <c r="D17" s="691"/>
      <c r="E17" s="691"/>
      <c r="F17" s="691"/>
      <c r="G17" s="702"/>
      <c r="H17" s="703" t="s">
        <v>1286</v>
      </c>
      <c r="I17" s="702"/>
      <c r="J17" s="703" t="s">
        <v>1575</v>
      </c>
      <c r="K17" s="702"/>
      <c r="L17" s="703" t="s">
        <v>1576</v>
      </c>
      <c r="M17" s="703" t="s">
        <v>842</v>
      </c>
      <c r="N17" s="691"/>
      <c r="O17" s="702"/>
      <c r="P17" s="703" t="s">
        <v>843</v>
      </c>
      <c r="Q17" s="702"/>
      <c r="R17" s="703" t="s">
        <v>844</v>
      </c>
      <c r="S17" s="702"/>
      <c r="T17" s="703" t="s">
        <v>2122</v>
      </c>
      <c r="U17" s="703" t="s">
        <v>840</v>
      </c>
      <c r="V17" s="187"/>
      <c r="W17" s="187"/>
      <c r="X17" s="700"/>
    </row>
    <row r="18" spans="1:24" ht="15">
      <c r="A18" s="689"/>
      <c r="B18" s="690"/>
      <c r="C18" s="691"/>
      <c r="D18" s="691"/>
      <c r="E18" s="691"/>
      <c r="F18" s="691"/>
      <c r="G18" s="704"/>
      <c r="H18" s="705"/>
      <c r="I18" s="706"/>
      <c r="J18" s="706"/>
      <c r="K18" s="707"/>
      <c r="L18" s="706"/>
      <c r="M18" s="706"/>
      <c r="N18" s="691"/>
      <c r="O18" s="705"/>
      <c r="P18" s="705"/>
      <c r="Q18" s="705"/>
      <c r="R18" s="705"/>
      <c r="S18" s="706"/>
      <c r="T18" s="706"/>
      <c r="U18" s="706"/>
      <c r="V18" s="182"/>
      <c r="W18" s="182"/>
      <c r="X18" s="700"/>
    </row>
    <row r="19" spans="1:24" ht="15">
      <c r="A19" s="85"/>
      <c r="B19" s="698"/>
      <c r="C19" s="42"/>
      <c r="D19" s="42"/>
      <c r="E19" s="42"/>
      <c r="F19" s="42"/>
      <c r="G19" s="708">
        <v>43039</v>
      </c>
      <c r="H19" s="709"/>
      <c r="I19" s="710"/>
      <c r="J19" s="710"/>
      <c r="K19" s="710"/>
      <c r="L19" s="710"/>
      <c r="M19" s="711"/>
      <c r="N19" s="691"/>
      <c r="O19" s="708">
        <v>43190</v>
      </c>
      <c r="P19" s="712"/>
      <c r="Q19" s="712"/>
      <c r="R19" s="712"/>
      <c r="S19" s="712"/>
      <c r="T19" s="712"/>
      <c r="U19" s="713"/>
      <c r="V19" s="714"/>
      <c r="W19" s="714"/>
      <c r="X19" s="700"/>
    </row>
    <row r="20" spans="1:24" ht="57.75">
      <c r="A20" s="85"/>
      <c r="B20" s="100" t="s">
        <v>1577</v>
      </c>
      <c r="C20" s="42"/>
      <c r="D20" s="42"/>
      <c r="E20" s="42"/>
      <c r="F20" s="42"/>
      <c r="G20" s="715"/>
      <c r="H20" s="716" t="s">
        <v>1500</v>
      </c>
      <c r="I20" s="717"/>
      <c r="J20" s="718" t="s">
        <v>754</v>
      </c>
      <c r="K20" s="717"/>
      <c r="L20" s="718" t="s">
        <v>761</v>
      </c>
      <c r="M20" s="719" t="s">
        <v>654</v>
      </c>
      <c r="N20" s="691"/>
      <c r="O20" s="715"/>
      <c r="P20" s="716" t="s">
        <v>1500</v>
      </c>
      <c r="Q20" s="717"/>
      <c r="R20" s="718" t="s">
        <v>754</v>
      </c>
      <c r="S20" s="717"/>
      <c r="T20" s="718" t="s">
        <v>761</v>
      </c>
      <c r="U20" s="719" t="s">
        <v>654</v>
      </c>
      <c r="V20" s="720"/>
      <c r="W20" s="720"/>
      <c r="X20" s="700"/>
    </row>
    <row r="21" spans="1:24" ht="15">
      <c r="A21" s="85" t="s">
        <v>1551</v>
      </c>
      <c r="B21" s="698" t="s">
        <v>655</v>
      </c>
      <c r="C21" s="42"/>
      <c r="D21" s="42"/>
      <c r="E21" s="42"/>
      <c r="F21" s="42"/>
      <c r="G21" s="721" t="s">
        <v>893</v>
      </c>
      <c r="H21" s="722"/>
      <c r="I21" s="721" t="s">
        <v>896</v>
      </c>
      <c r="J21" s="723"/>
      <c r="K21" s="721" t="s">
        <v>898</v>
      </c>
      <c r="L21" s="724"/>
      <c r="M21" s="722"/>
      <c r="N21" s="691"/>
      <c r="O21" s="721" t="s">
        <v>901</v>
      </c>
      <c r="P21" s="722"/>
      <c r="Q21" s="721">
        <v>4</v>
      </c>
      <c r="R21" s="723"/>
      <c r="S21" s="721" t="s">
        <v>1667</v>
      </c>
      <c r="T21" s="725"/>
      <c r="U21" s="722"/>
      <c r="V21" s="720"/>
      <c r="W21" s="720"/>
      <c r="X21" s="700" t="str">
        <f>+A21</f>
        <v>1.1.1</v>
      </c>
    </row>
    <row r="22" spans="1:24" ht="15">
      <c r="A22" s="85" t="s">
        <v>1552</v>
      </c>
      <c r="B22" s="698" t="s">
        <v>819</v>
      </c>
      <c r="C22" s="42"/>
      <c r="D22" s="42"/>
      <c r="E22" s="42"/>
      <c r="F22" s="42"/>
      <c r="G22" s="721" t="s">
        <v>894</v>
      </c>
      <c r="H22" s="722"/>
      <c r="I22" s="721" t="s">
        <v>897</v>
      </c>
      <c r="J22" s="723"/>
      <c r="K22" s="721" t="s">
        <v>899</v>
      </c>
      <c r="L22" s="724"/>
      <c r="M22" s="722"/>
      <c r="N22" s="691"/>
      <c r="O22" s="721" t="s">
        <v>902</v>
      </c>
      <c r="P22" s="722"/>
      <c r="Q22" s="721" t="s">
        <v>1666</v>
      </c>
      <c r="R22" s="723"/>
      <c r="S22" s="721" t="s">
        <v>1668</v>
      </c>
      <c r="T22" s="725"/>
      <c r="U22" s="722"/>
      <c r="V22" s="720"/>
      <c r="W22" s="720"/>
      <c r="X22" s="700" t="str">
        <f>+A22</f>
        <v>1.1.2</v>
      </c>
    </row>
    <row r="23" spans="1:24" ht="15">
      <c r="A23" s="85" t="s">
        <v>820</v>
      </c>
      <c r="B23" s="698" t="s">
        <v>1815</v>
      </c>
      <c r="C23" s="42"/>
      <c r="D23" s="42"/>
      <c r="E23" s="42"/>
      <c r="F23" s="42"/>
      <c r="G23" s="721">
        <v>500</v>
      </c>
      <c r="H23" s="722"/>
      <c r="I23" s="726"/>
      <c r="J23" s="723"/>
      <c r="K23" s="721">
        <v>501</v>
      </c>
      <c r="L23" s="724"/>
      <c r="M23" s="722"/>
      <c r="N23" s="691"/>
      <c r="O23" s="721">
        <v>502</v>
      </c>
      <c r="P23" s="722"/>
      <c r="Q23" s="726"/>
      <c r="R23" s="723"/>
      <c r="S23" s="727">
        <v>503</v>
      </c>
      <c r="T23" s="724"/>
      <c r="U23" s="722"/>
      <c r="V23" s="720"/>
      <c r="W23" s="720"/>
      <c r="X23" s="700" t="str">
        <f>+A23</f>
        <v>1.1.3</v>
      </c>
    </row>
    <row r="24" spans="1:24" ht="15">
      <c r="A24" s="85" t="s">
        <v>1816</v>
      </c>
      <c r="B24" s="698" t="s">
        <v>1331</v>
      </c>
      <c r="C24" s="42"/>
      <c r="D24" s="42"/>
      <c r="E24" s="42"/>
      <c r="F24" s="42"/>
      <c r="G24" s="721" t="s">
        <v>895</v>
      </c>
      <c r="H24" s="722"/>
      <c r="I24" s="726"/>
      <c r="J24" s="723"/>
      <c r="K24" s="721" t="s">
        <v>900</v>
      </c>
      <c r="L24" s="724"/>
      <c r="M24" s="722"/>
      <c r="N24" s="691"/>
      <c r="O24" s="721" t="s">
        <v>1665</v>
      </c>
      <c r="P24" s="722"/>
      <c r="Q24" s="726"/>
      <c r="R24" s="723"/>
      <c r="S24" s="727" t="s">
        <v>1669</v>
      </c>
      <c r="T24" s="724"/>
      <c r="U24" s="722"/>
      <c r="V24" s="720"/>
      <c r="W24" s="720"/>
      <c r="X24" s="700" t="str">
        <f>+A24</f>
        <v>1.1.4</v>
      </c>
    </row>
    <row r="25" spans="1:24" ht="15">
      <c r="A25" s="85" t="s">
        <v>1817</v>
      </c>
      <c r="B25" s="698" t="s">
        <v>225</v>
      </c>
      <c r="C25" s="42"/>
      <c r="D25" s="42"/>
      <c r="E25" s="42"/>
      <c r="F25" s="42"/>
      <c r="G25" s="721">
        <v>504</v>
      </c>
      <c r="H25" s="728">
        <f>SUM(H21:H24)</f>
        <v>0</v>
      </c>
      <c r="I25" s="721">
        <f>1+G25</f>
        <v>505</v>
      </c>
      <c r="J25" s="723">
        <f>SUM(J21:J24)</f>
        <v>0</v>
      </c>
      <c r="K25" s="721">
        <v>506</v>
      </c>
      <c r="L25" s="723">
        <f>SUM(L21:L24)</f>
        <v>0</v>
      </c>
      <c r="M25" s="728">
        <f>(SUM(M21:M24))</f>
        <v>0</v>
      </c>
      <c r="N25" s="691"/>
      <c r="O25" s="721">
        <v>507</v>
      </c>
      <c r="P25" s="728">
        <f>SUM(P21:P24)</f>
        <v>0</v>
      </c>
      <c r="Q25" s="721">
        <f>1+O25</f>
        <v>508</v>
      </c>
      <c r="R25" s="723">
        <f>SUM(R21:R24)</f>
        <v>0</v>
      </c>
      <c r="S25" s="721">
        <v>509</v>
      </c>
      <c r="T25" s="723">
        <f>SUM(T21:T24)</f>
        <v>0</v>
      </c>
      <c r="U25" s="728">
        <f>SUM(U21:U24)</f>
        <v>0</v>
      </c>
      <c r="V25" s="720"/>
      <c r="W25" s="720"/>
      <c r="X25" s="700" t="str">
        <f>+A25</f>
        <v>1.1.5</v>
      </c>
    </row>
    <row r="26" spans="1:24" ht="15">
      <c r="A26" s="181"/>
      <c r="B26" s="182"/>
      <c r="C26" s="185"/>
      <c r="D26" s="185"/>
      <c r="E26" s="185"/>
      <c r="F26" s="185"/>
      <c r="G26" s="729"/>
      <c r="H26" s="730"/>
      <c r="I26" s="184"/>
      <c r="J26" s="730"/>
      <c r="K26" s="184"/>
      <c r="L26" s="730"/>
      <c r="M26" s="183"/>
      <c r="N26" s="691"/>
      <c r="O26" s="182"/>
      <c r="P26" s="183"/>
      <c r="Q26" s="182"/>
      <c r="R26" s="183"/>
      <c r="S26" s="182"/>
      <c r="T26" s="183"/>
      <c r="U26" s="183"/>
      <c r="V26" s="720"/>
      <c r="W26" s="720"/>
      <c r="X26" s="731"/>
    </row>
    <row r="27" spans="1:24" ht="15">
      <c r="A27" s="689">
        <v>1.2</v>
      </c>
      <c r="B27" s="690" t="s">
        <v>1818</v>
      </c>
      <c r="C27" s="698"/>
      <c r="D27" s="698"/>
      <c r="E27" s="698"/>
      <c r="F27" s="698"/>
      <c r="G27" s="698"/>
      <c r="H27" s="732"/>
      <c r="I27" s="732"/>
      <c r="J27" s="732"/>
      <c r="K27" s="732"/>
      <c r="L27" s="732"/>
      <c r="M27" s="698"/>
      <c r="N27" s="698"/>
      <c r="O27" s="698"/>
      <c r="P27" s="698"/>
      <c r="Q27" s="698"/>
      <c r="R27" s="691"/>
      <c r="S27" s="691"/>
      <c r="T27" s="691"/>
      <c r="U27" s="691"/>
      <c r="V27" s="720"/>
      <c r="W27" s="720"/>
      <c r="X27" s="700">
        <f>+A27</f>
        <v>1.2</v>
      </c>
    </row>
    <row r="28" spans="1:24" ht="15">
      <c r="A28" s="700"/>
      <c r="B28" s="698"/>
      <c r="C28" s="698"/>
      <c r="D28" s="698"/>
      <c r="E28" s="698"/>
      <c r="F28" s="698"/>
      <c r="G28" s="698"/>
      <c r="H28" s="732"/>
      <c r="I28" s="732"/>
      <c r="J28" s="732"/>
      <c r="K28" s="732"/>
      <c r="L28" s="732"/>
      <c r="M28" s="698"/>
      <c r="N28" s="698"/>
      <c r="O28" s="698"/>
      <c r="P28" s="698"/>
      <c r="Q28" s="698"/>
      <c r="R28" s="691"/>
      <c r="S28" s="691"/>
      <c r="T28" s="691"/>
      <c r="U28" s="691"/>
      <c r="V28" s="720"/>
      <c r="W28" s="720"/>
      <c r="X28" s="700"/>
    </row>
    <row r="29" spans="1:24" ht="15">
      <c r="A29" s="700"/>
      <c r="B29" s="698"/>
      <c r="C29" s="698"/>
      <c r="D29" s="698"/>
      <c r="E29" s="698"/>
      <c r="F29" s="698"/>
      <c r="G29" s="698"/>
      <c r="H29" s="732"/>
      <c r="I29" s="732"/>
      <c r="J29" s="732"/>
      <c r="K29" s="732"/>
      <c r="L29" s="732"/>
      <c r="M29" s="698"/>
      <c r="N29" s="698"/>
      <c r="O29" s="698"/>
      <c r="P29" s="698"/>
      <c r="Q29" s="698"/>
      <c r="R29" s="691"/>
      <c r="S29" s="691"/>
      <c r="T29" s="691"/>
      <c r="U29" s="691"/>
      <c r="V29" s="720"/>
      <c r="W29" s="720"/>
      <c r="X29" s="700"/>
    </row>
    <row r="30" spans="1:24" ht="15">
      <c r="A30" s="85"/>
      <c r="B30" s="698"/>
      <c r="C30" s="42"/>
      <c r="D30" s="42"/>
      <c r="E30" s="42"/>
      <c r="F30" s="42"/>
      <c r="G30" s="708">
        <f>+G19</f>
        <v>43039</v>
      </c>
      <c r="H30" s="709"/>
      <c r="I30" s="710"/>
      <c r="J30" s="710"/>
      <c r="K30" s="710"/>
      <c r="L30" s="710"/>
      <c r="M30" s="711"/>
      <c r="N30" s="691"/>
      <c r="O30" s="708">
        <f>+O19</f>
        <v>43190</v>
      </c>
      <c r="P30" s="712"/>
      <c r="Q30" s="712"/>
      <c r="R30" s="712"/>
      <c r="S30" s="712"/>
      <c r="T30" s="712"/>
      <c r="U30" s="713"/>
      <c r="V30" s="720"/>
      <c r="W30" s="720"/>
      <c r="X30" s="700"/>
    </row>
    <row r="31" spans="1:24" ht="57.75">
      <c r="A31" s="85"/>
      <c r="B31" s="100" t="s">
        <v>1577</v>
      </c>
      <c r="C31" s="42"/>
      <c r="D31" s="42"/>
      <c r="E31" s="42"/>
      <c r="F31" s="42"/>
      <c r="G31" s="715"/>
      <c r="H31" s="716" t="s">
        <v>1500</v>
      </c>
      <c r="I31" s="717"/>
      <c r="J31" s="718" t="s">
        <v>754</v>
      </c>
      <c r="K31" s="717"/>
      <c r="L31" s="718" t="s">
        <v>761</v>
      </c>
      <c r="M31" s="719" t="s">
        <v>654</v>
      </c>
      <c r="N31" s="698"/>
      <c r="O31" s="715"/>
      <c r="P31" s="716" t="s">
        <v>1500</v>
      </c>
      <c r="Q31" s="717"/>
      <c r="R31" s="718" t="s">
        <v>754</v>
      </c>
      <c r="S31" s="717"/>
      <c r="T31" s="718" t="s">
        <v>761</v>
      </c>
      <c r="U31" s="719" t="s">
        <v>654</v>
      </c>
      <c r="V31" s="720"/>
      <c r="W31" s="720"/>
      <c r="X31" s="700"/>
    </row>
    <row r="32" spans="1:24" ht="15">
      <c r="A32" s="85" t="s">
        <v>1819</v>
      </c>
      <c r="B32" s="698" t="s">
        <v>655</v>
      </c>
      <c r="C32" s="42"/>
      <c r="D32" s="42"/>
      <c r="E32" s="42"/>
      <c r="F32" s="42"/>
      <c r="G32" s="733"/>
      <c r="H32" s="722"/>
      <c r="I32" s="726"/>
      <c r="J32" s="734"/>
      <c r="K32" s="726"/>
      <c r="L32" s="724"/>
      <c r="M32" s="722"/>
      <c r="N32" s="698"/>
      <c r="O32" s="735"/>
      <c r="P32" s="722"/>
      <c r="Q32" s="736"/>
      <c r="R32" s="723"/>
      <c r="S32" s="736"/>
      <c r="T32" s="725"/>
      <c r="U32" s="722"/>
      <c r="V32" s="720"/>
      <c r="W32" s="720"/>
      <c r="X32" s="700" t="str">
        <f>+A32</f>
        <v>1.2.1</v>
      </c>
    </row>
    <row r="33" spans="1:24" ht="15">
      <c r="A33" s="85" t="s">
        <v>1820</v>
      </c>
      <c r="B33" s="698" t="s">
        <v>819</v>
      </c>
      <c r="C33" s="42"/>
      <c r="D33" s="42"/>
      <c r="E33" s="42"/>
      <c r="F33" s="42"/>
      <c r="G33" s="733"/>
      <c r="H33" s="722"/>
      <c r="I33" s="726"/>
      <c r="J33" s="734"/>
      <c r="K33" s="726"/>
      <c r="L33" s="724"/>
      <c r="M33" s="722"/>
      <c r="N33" s="698"/>
      <c r="O33" s="735"/>
      <c r="P33" s="722"/>
      <c r="Q33" s="736"/>
      <c r="R33" s="723"/>
      <c r="S33" s="736"/>
      <c r="T33" s="725"/>
      <c r="U33" s="722"/>
      <c r="V33" s="720"/>
      <c r="W33" s="720"/>
      <c r="X33" s="700" t="str">
        <f>+A33</f>
        <v>1.2.2</v>
      </c>
    </row>
    <row r="34" spans="1:24" ht="15">
      <c r="A34" s="85" t="s">
        <v>2119</v>
      </c>
      <c r="B34" s="698" t="s">
        <v>1815</v>
      </c>
      <c r="C34" s="42"/>
      <c r="D34" s="42"/>
      <c r="E34" s="42"/>
      <c r="F34" s="42"/>
      <c r="G34" s="733"/>
      <c r="H34" s="722"/>
      <c r="I34" s="726"/>
      <c r="J34" s="723"/>
      <c r="K34" s="726"/>
      <c r="L34" s="724"/>
      <c r="M34" s="722"/>
      <c r="N34" s="698"/>
      <c r="O34" s="735"/>
      <c r="P34" s="722"/>
      <c r="Q34" s="736"/>
      <c r="R34" s="723"/>
      <c r="S34" s="735"/>
      <c r="T34" s="724"/>
      <c r="U34" s="722"/>
      <c r="V34" s="720"/>
      <c r="W34" s="720"/>
      <c r="X34" s="700" t="str">
        <f>+A34</f>
        <v>1.2.3</v>
      </c>
    </row>
    <row r="35" spans="1:24" ht="15">
      <c r="A35" s="85" t="s">
        <v>2120</v>
      </c>
      <c r="B35" s="698" t="s">
        <v>1331</v>
      </c>
      <c r="C35" s="42"/>
      <c r="D35" s="42"/>
      <c r="E35" s="42"/>
      <c r="F35" s="42"/>
      <c r="G35" s="733"/>
      <c r="H35" s="722"/>
      <c r="I35" s="726"/>
      <c r="J35" s="723"/>
      <c r="K35" s="726"/>
      <c r="L35" s="724"/>
      <c r="M35" s="722"/>
      <c r="N35" s="698"/>
      <c r="O35" s="735"/>
      <c r="P35" s="722"/>
      <c r="Q35" s="736"/>
      <c r="R35" s="723"/>
      <c r="S35" s="736"/>
      <c r="T35" s="724"/>
      <c r="U35" s="722"/>
      <c r="V35" s="720"/>
      <c r="W35" s="720"/>
      <c r="X35" s="700" t="str">
        <f>+A35</f>
        <v>1.2.4</v>
      </c>
    </row>
    <row r="36" spans="1:24" ht="15">
      <c r="A36" s="85" t="s">
        <v>2121</v>
      </c>
      <c r="B36" s="698" t="s">
        <v>1365</v>
      </c>
      <c r="C36" s="42"/>
      <c r="D36" s="42"/>
      <c r="E36" s="42"/>
      <c r="F36" s="42"/>
      <c r="G36" s="737" t="s">
        <v>1981</v>
      </c>
      <c r="H36" s="728">
        <f>SUM(H32:H35)</f>
        <v>0</v>
      </c>
      <c r="I36" s="737" t="s">
        <v>1982</v>
      </c>
      <c r="J36" s="723">
        <f>SUM(J32:J35)</f>
        <v>0</v>
      </c>
      <c r="K36" s="738"/>
      <c r="L36" s="723">
        <f>SUM(L32:L35)</f>
        <v>0</v>
      </c>
      <c r="M36" s="728">
        <f>SUM(M32:M35)</f>
        <v>0</v>
      </c>
      <c r="N36" s="698"/>
      <c r="O36" s="737" t="s">
        <v>1983</v>
      </c>
      <c r="P36" s="728">
        <f>SUM(P32:P35)</f>
        <v>0</v>
      </c>
      <c r="Q36" s="737" t="s">
        <v>1984</v>
      </c>
      <c r="R36" s="723">
        <f>SUM(R32:R35)</f>
        <v>0</v>
      </c>
      <c r="S36" s="735"/>
      <c r="T36" s="723">
        <f>SUM(T32:T35)</f>
        <v>0</v>
      </c>
      <c r="U36" s="728">
        <f>SUM(U32:U35)</f>
        <v>0</v>
      </c>
      <c r="V36" s="720"/>
      <c r="W36" s="720"/>
      <c r="X36" s="700" t="str">
        <f>+A36</f>
        <v>1.2.5</v>
      </c>
    </row>
    <row r="37" spans="1:24" ht="15">
      <c r="A37" s="85"/>
      <c r="B37" s="698"/>
      <c r="C37" s="42"/>
      <c r="D37" s="42"/>
      <c r="E37" s="42"/>
      <c r="F37" s="42"/>
      <c r="G37" s="42"/>
      <c r="H37" s="184"/>
      <c r="I37" s="42"/>
      <c r="J37" s="184"/>
      <c r="K37" s="42"/>
      <c r="L37" s="184"/>
      <c r="M37" s="739"/>
      <c r="N37" s="698"/>
      <c r="O37" s="42"/>
      <c r="P37" s="184"/>
      <c r="Q37" s="42"/>
      <c r="R37" s="184"/>
      <c r="S37" s="42"/>
      <c r="T37" s="184"/>
      <c r="U37" s="739"/>
      <c r="V37" s="739"/>
      <c r="W37" s="739"/>
      <c r="X37" s="700"/>
    </row>
    <row r="38" spans="1:24" ht="15">
      <c r="A38" s="181" t="s">
        <v>2951</v>
      </c>
      <c r="B38" s="182"/>
      <c r="C38" s="185"/>
      <c r="D38" s="185"/>
      <c r="E38" s="185"/>
      <c r="F38" s="185"/>
      <c r="G38" s="185"/>
      <c r="H38" s="185"/>
      <c r="I38" s="184"/>
      <c r="J38" s="730"/>
      <c r="K38" s="185"/>
      <c r="L38" s="185"/>
      <c r="M38" s="185"/>
      <c r="N38" s="185"/>
      <c r="O38" s="185"/>
      <c r="P38" s="185"/>
      <c r="Q38" s="182"/>
      <c r="R38" s="185"/>
      <c r="S38" s="185"/>
      <c r="T38" s="185"/>
      <c r="U38" s="185"/>
      <c r="V38" s="185"/>
      <c r="W38" s="185"/>
      <c r="X38" s="185"/>
    </row>
    <row r="39" spans="1:24" ht="15">
      <c r="A39" s="181"/>
      <c r="B39" s="181" t="s">
        <v>1793</v>
      </c>
      <c r="C39" s="185"/>
      <c r="D39" s="185"/>
      <c r="E39" s="185"/>
      <c r="F39" s="185"/>
      <c r="G39" s="185"/>
      <c r="H39" s="185"/>
      <c r="I39" s="184"/>
      <c r="J39" s="730"/>
      <c r="K39" s="185"/>
      <c r="L39" s="185"/>
      <c r="M39" s="185"/>
      <c r="N39" s="185"/>
      <c r="O39" s="185"/>
      <c r="P39" s="185"/>
      <c r="Q39" s="182"/>
      <c r="R39" s="185"/>
      <c r="S39" s="185"/>
      <c r="T39" s="185"/>
      <c r="U39" s="185"/>
      <c r="V39" s="185"/>
      <c r="W39" s="185"/>
      <c r="X39" s="185"/>
    </row>
    <row r="40" spans="1:24" ht="15">
      <c r="A40" s="85"/>
      <c r="B40" s="698"/>
      <c r="C40" s="42"/>
      <c r="D40" s="42"/>
      <c r="E40" s="42"/>
      <c r="F40" s="42"/>
      <c r="G40" s="42"/>
      <c r="H40" s="184"/>
      <c r="I40" s="42"/>
      <c r="J40" s="184"/>
      <c r="K40" s="42"/>
      <c r="L40" s="184"/>
      <c r="M40" s="739"/>
      <c r="N40" s="698"/>
      <c r="O40" s="42"/>
      <c r="P40" s="184"/>
      <c r="Q40" s="42"/>
      <c r="R40" s="184"/>
      <c r="S40" s="42"/>
      <c r="T40" s="184"/>
      <c r="U40" s="739"/>
      <c r="V40" s="739"/>
      <c r="W40" s="739"/>
      <c r="X40" s="700"/>
    </row>
    <row r="41" spans="1:24" ht="15">
      <c r="A41" s="85"/>
      <c r="B41" s="182"/>
      <c r="C41" s="185"/>
      <c r="D41" s="185"/>
      <c r="E41" s="185"/>
      <c r="F41" s="185"/>
      <c r="G41" s="729"/>
      <c r="H41" s="183"/>
      <c r="I41" s="182"/>
      <c r="J41" s="183"/>
      <c r="K41" s="182"/>
      <c r="L41" s="42"/>
      <c r="M41" s="183"/>
      <c r="N41" s="698"/>
      <c r="O41" s="182"/>
      <c r="P41" s="183"/>
      <c r="Q41" s="182"/>
      <c r="R41" s="183"/>
      <c r="S41" s="182"/>
      <c r="T41" s="183"/>
      <c r="U41" s="183"/>
      <c r="V41" s="183"/>
      <c r="W41" s="183"/>
      <c r="X41" s="700"/>
    </row>
    <row r="42" spans="1:24" ht="15">
      <c r="A42" s="85" t="s">
        <v>1366</v>
      </c>
      <c r="B42" s="100" t="s">
        <v>1367</v>
      </c>
      <c r="C42" s="698"/>
      <c r="D42" s="698"/>
      <c r="E42" s="698"/>
      <c r="F42" s="698"/>
      <c r="G42" s="698"/>
      <c r="H42" s="182"/>
      <c r="I42" s="698"/>
      <c r="J42" s="698"/>
      <c r="K42" s="698"/>
      <c r="L42" s="698"/>
      <c r="M42" s="698"/>
      <c r="N42" s="698"/>
      <c r="O42" s="698"/>
      <c r="P42" s="698"/>
      <c r="Q42" s="698"/>
      <c r="R42" s="691"/>
      <c r="S42" s="691"/>
      <c r="T42" s="691"/>
      <c r="U42" s="691"/>
      <c r="V42" s="691"/>
      <c r="W42" s="691"/>
      <c r="X42" s="700" t="str">
        <f>+A42</f>
        <v>2.</v>
      </c>
    </row>
    <row r="43" spans="1:24" ht="15">
      <c r="A43" s="689"/>
      <c r="B43" s="690"/>
      <c r="C43" s="691"/>
      <c r="D43" s="691"/>
      <c r="E43" s="691"/>
      <c r="F43" s="691"/>
      <c r="G43" s="702"/>
      <c r="H43" s="702" t="s">
        <v>1368</v>
      </c>
      <c r="I43" s="702"/>
      <c r="J43" s="702" t="s">
        <v>1575</v>
      </c>
      <c r="K43" s="702"/>
      <c r="L43" s="703" t="s">
        <v>1576</v>
      </c>
      <c r="M43" s="2064" t="s">
        <v>842</v>
      </c>
      <c r="N43" s="2064"/>
      <c r="O43" s="702"/>
      <c r="P43" s="702" t="s">
        <v>843</v>
      </c>
      <c r="Q43" s="702"/>
      <c r="R43" s="702" t="s">
        <v>844</v>
      </c>
      <c r="S43" s="702"/>
      <c r="T43" s="702" t="s">
        <v>2122</v>
      </c>
      <c r="U43" s="691"/>
      <c r="V43" s="691"/>
      <c r="W43" s="691"/>
      <c r="X43" s="700"/>
    </row>
    <row r="44" spans="1:24" ht="15">
      <c r="A44" s="85"/>
      <c r="B44" s="698"/>
      <c r="C44" s="698"/>
      <c r="D44" s="698"/>
      <c r="E44" s="698"/>
      <c r="F44" s="698"/>
      <c r="G44" s="740"/>
      <c r="H44" s="698"/>
      <c r="I44" s="698"/>
      <c r="J44" s="698"/>
      <c r="K44" s="698"/>
      <c r="L44" s="741" t="s">
        <v>1369</v>
      </c>
      <c r="M44" s="698"/>
      <c r="N44" s="698"/>
      <c r="O44" s="740"/>
      <c r="P44" s="698" t="s">
        <v>1370</v>
      </c>
      <c r="Q44" s="698"/>
      <c r="R44" s="691" t="s">
        <v>97</v>
      </c>
      <c r="S44" s="691"/>
      <c r="T44" s="691" t="s">
        <v>1115</v>
      </c>
      <c r="U44" s="691"/>
      <c r="V44" s="691"/>
      <c r="W44" s="691"/>
      <c r="X44" s="700"/>
    </row>
    <row r="45" spans="1:24" ht="15">
      <c r="A45" s="85"/>
      <c r="B45" s="698"/>
      <c r="C45" s="742"/>
      <c r="D45" s="742"/>
      <c r="E45" s="742"/>
      <c r="F45" s="742"/>
      <c r="G45" s="715" t="s">
        <v>484</v>
      </c>
      <c r="H45" s="743"/>
      <c r="I45" s="743"/>
      <c r="J45" s="743"/>
      <c r="K45" s="743"/>
      <c r="L45" s="744"/>
      <c r="M45" s="698"/>
      <c r="N45" s="698"/>
      <c r="O45" s="745" t="s">
        <v>523</v>
      </c>
      <c r="P45" s="746"/>
      <c r="Q45" s="746"/>
      <c r="R45" s="747"/>
      <c r="S45" s="748"/>
      <c r="T45" s="744"/>
      <c r="U45" s="749"/>
      <c r="V45" s="749"/>
      <c r="W45" s="749"/>
      <c r="X45" s="700"/>
    </row>
    <row r="46" spans="1:24" ht="29.25">
      <c r="A46" s="85"/>
      <c r="B46" s="698"/>
      <c r="C46" s="742"/>
      <c r="D46" s="42"/>
      <c r="E46" s="42"/>
      <c r="F46" s="42"/>
      <c r="G46" s="745"/>
      <c r="H46" s="750" t="s">
        <v>524</v>
      </c>
      <c r="I46" s="745"/>
      <c r="J46" s="751" t="s">
        <v>1138</v>
      </c>
      <c r="K46" s="745"/>
      <c r="L46" s="751" t="s">
        <v>1139</v>
      </c>
      <c r="M46" s="2065" t="s">
        <v>1140</v>
      </c>
      <c r="N46" s="2066"/>
      <c r="O46" s="754"/>
      <c r="P46" s="750" t="s">
        <v>524</v>
      </c>
      <c r="Q46" s="745"/>
      <c r="R46" s="751" t="s">
        <v>1138</v>
      </c>
      <c r="S46" s="755"/>
      <c r="T46" s="751" t="s">
        <v>1139</v>
      </c>
      <c r="U46" s="187"/>
      <c r="V46" s="187"/>
      <c r="W46" s="187"/>
      <c r="X46" s="700"/>
    </row>
    <row r="47" spans="1:24" ht="15">
      <c r="A47" s="85">
        <v>2.1</v>
      </c>
      <c r="B47" s="698" t="s">
        <v>2950</v>
      </c>
      <c r="C47" s="42"/>
      <c r="D47" s="42"/>
      <c r="E47" s="42"/>
      <c r="F47" s="42"/>
      <c r="G47" s="721">
        <f>+S25+1</f>
        <v>510</v>
      </c>
      <c r="H47" s="756">
        <f>ROUND(+H21+M21,2)</f>
        <v>0</v>
      </c>
      <c r="I47" s="721">
        <f t="shared" ref="I47:I52" si="0">1+G47</f>
        <v>511</v>
      </c>
      <c r="J47" s="756">
        <f>ROUND(+H32+M32,2)</f>
        <v>0</v>
      </c>
      <c r="K47" s="721">
        <f t="shared" ref="K47:K52" si="1">1+I47</f>
        <v>512</v>
      </c>
      <c r="L47" s="728">
        <f t="shared" ref="L47:L52" si="2">+J47+H47</f>
        <v>0</v>
      </c>
      <c r="M47" s="2067">
        <v>0.5</v>
      </c>
      <c r="N47" s="2068"/>
      <c r="O47" s="721">
        <f t="shared" ref="O47:O52" si="3">K47+1</f>
        <v>513</v>
      </c>
      <c r="P47" s="756">
        <f t="shared" ref="P47:P52" si="4">H47*M47</f>
        <v>0</v>
      </c>
      <c r="Q47" s="735"/>
      <c r="R47" s="728">
        <f t="shared" ref="R47:R52" si="5">M47*J47</f>
        <v>0</v>
      </c>
      <c r="S47" s="721" t="s">
        <v>801</v>
      </c>
      <c r="T47" s="759">
        <f t="shared" ref="T47:T52" si="6">+R47+P47</f>
        <v>0</v>
      </c>
      <c r="U47" s="760"/>
      <c r="V47" s="760"/>
      <c r="W47" s="760"/>
      <c r="X47" s="700">
        <f>+A47</f>
        <v>2.1</v>
      </c>
    </row>
    <row r="48" spans="1:24" ht="15">
      <c r="A48" s="85" t="s">
        <v>1004</v>
      </c>
      <c r="B48" s="698" t="s">
        <v>227</v>
      </c>
      <c r="C48" s="42"/>
      <c r="D48" s="42"/>
      <c r="E48" s="42"/>
      <c r="F48" s="42"/>
      <c r="G48" s="721">
        <f>+O47+1</f>
        <v>514</v>
      </c>
      <c r="H48" s="756">
        <f>ROUND(H22+M22+H23+M23,2)</f>
        <v>0</v>
      </c>
      <c r="I48" s="721">
        <f t="shared" si="0"/>
        <v>515</v>
      </c>
      <c r="J48" s="756">
        <f>ROUND(+H33+H34+M33+M34,2)</f>
        <v>0</v>
      </c>
      <c r="K48" s="721">
        <f t="shared" si="1"/>
        <v>516</v>
      </c>
      <c r="L48" s="728">
        <f t="shared" si="2"/>
        <v>0</v>
      </c>
      <c r="M48" s="2069">
        <v>0.5</v>
      </c>
      <c r="N48" s="2070"/>
      <c r="O48" s="721">
        <f t="shared" si="3"/>
        <v>517</v>
      </c>
      <c r="P48" s="756">
        <f t="shared" si="4"/>
        <v>0</v>
      </c>
      <c r="Q48" s="735"/>
      <c r="R48" s="728">
        <f t="shared" si="5"/>
        <v>0</v>
      </c>
      <c r="S48" s="721" t="s">
        <v>802</v>
      </c>
      <c r="T48" s="759">
        <f t="shared" si="6"/>
        <v>0</v>
      </c>
      <c r="U48" s="760"/>
      <c r="V48" s="760"/>
      <c r="W48" s="760"/>
      <c r="X48" s="700"/>
    </row>
    <row r="49" spans="1:24" ht="15">
      <c r="A49" s="85" t="s">
        <v>527</v>
      </c>
      <c r="B49" s="698" t="s">
        <v>228</v>
      </c>
      <c r="C49" s="42"/>
      <c r="D49" s="42"/>
      <c r="E49" s="42"/>
      <c r="F49" s="42"/>
      <c r="G49" s="721">
        <f>+O48+1</f>
        <v>518</v>
      </c>
      <c r="H49" s="756">
        <f>ROUND((+H24+M24),2)</f>
        <v>0</v>
      </c>
      <c r="I49" s="721">
        <f t="shared" si="0"/>
        <v>519</v>
      </c>
      <c r="J49" s="756">
        <f>ROUND(+H35+M35,2)</f>
        <v>0</v>
      </c>
      <c r="K49" s="721">
        <f t="shared" si="1"/>
        <v>520</v>
      </c>
      <c r="L49" s="728">
        <f t="shared" si="2"/>
        <v>0</v>
      </c>
      <c r="M49" s="2069">
        <v>0.5</v>
      </c>
      <c r="N49" s="2070"/>
      <c r="O49" s="721">
        <f t="shared" si="3"/>
        <v>521</v>
      </c>
      <c r="P49" s="756">
        <f t="shared" si="4"/>
        <v>0</v>
      </c>
      <c r="Q49" s="735"/>
      <c r="R49" s="728">
        <f t="shared" si="5"/>
        <v>0</v>
      </c>
      <c r="S49" s="721" t="s">
        <v>803</v>
      </c>
      <c r="T49" s="759">
        <f t="shared" si="6"/>
        <v>0</v>
      </c>
      <c r="U49" s="760"/>
      <c r="V49" s="760"/>
      <c r="W49" s="760"/>
      <c r="X49" s="700"/>
    </row>
    <row r="50" spans="1:24" ht="15">
      <c r="A50" s="85">
        <v>2.2000000000000002</v>
      </c>
      <c r="B50" s="698" t="s">
        <v>2949</v>
      </c>
      <c r="C50" s="42"/>
      <c r="D50" s="42"/>
      <c r="E50" s="42"/>
      <c r="F50" s="42"/>
      <c r="G50" s="721">
        <f>+O49+1</f>
        <v>522</v>
      </c>
      <c r="H50" s="756">
        <f>ROUND(P21+U21,2)</f>
        <v>0</v>
      </c>
      <c r="I50" s="721">
        <f t="shared" si="0"/>
        <v>523</v>
      </c>
      <c r="J50" s="756">
        <f>ROUND(+P32+U32,2)</f>
        <v>0</v>
      </c>
      <c r="K50" s="721">
        <f t="shared" si="1"/>
        <v>524</v>
      </c>
      <c r="L50" s="728">
        <f t="shared" si="2"/>
        <v>0</v>
      </c>
      <c r="M50" s="2069">
        <v>0.5</v>
      </c>
      <c r="N50" s="2070"/>
      <c r="O50" s="721">
        <f t="shared" si="3"/>
        <v>525</v>
      </c>
      <c r="P50" s="756">
        <f t="shared" si="4"/>
        <v>0</v>
      </c>
      <c r="Q50" s="735"/>
      <c r="R50" s="728">
        <f t="shared" si="5"/>
        <v>0</v>
      </c>
      <c r="S50" s="721" t="s">
        <v>804</v>
      </c>
      <c r="T50" s="759">
        <f t="shared" si="6"/>
        <v>0</v>
      </c>
      <c r="U50" s="760"/>
      <c r="V50" s="760"/>
      <c r="W50" s="760"/>
      <c r="X50" s="700">
        <f>+A50</f>
        <v>2.2000000000000002</v>
      </c>
    </row>
    <row r="51" spans="1:24" ht="15">
      <c r="A51" s="85" t="s">
        <v>1229</v>
      </c>
      <c r="B51" s="698" t="s">
        <v>227</v>
      </c>
      <c r="C51" s="42"/>
      <c r="D51" s="42"/>
      <c r="E51" s="42"/>
      <c r="F51" s="42"/>
      <c r="G51" s="721">
        <f>+O50+1</f>
        <v>526</v>
      </c>
      <c r="H51" s="756">
        <f>ROUND(P22+U22+P23+U23,2)</f>
        <v>0</v>
      </c>
      <c r="I51" s="721">
        <f t="shared" si="0"/>
        <v>527</v>
      </c>
      <c r="J51" s="756">
        <f>ROUND(P33+U33+P34+U34,2)</f>
        <v>0</v>
      </c>
      <c r="K51" s="721">
        <f t="shared" si="1"/>
        <v>528</v>
      </c>
      <c r="L51" s="728">
        <f t="shared" si="2"/>
        <v>0</v>
      </c>
      <c r="M51" s="2069">
        <v>0.5</v>
      </c>
      <c r="N51" s="2070"/>
      <c r="O51" s="721">
        <f t="shared" si="3"/>
        <v>529</v>
      </c>
      <c r="P51" s="756">
        <f t="shared" si="4"/>
        <v>0</v>
      </c>
      <c r="Q51" s="735"/>
      <c r="R51" s="728">
        <f t="shared" si="5"/>
        <v>0</v>
      </c>
      <c r="S51" s="721" t="s">
        <v>805</v>
      </c>
      <c r="T51" s="759">
        <f t="shared" si="6"/>
        <v>0</v>
      </c>
      <c r="U51" s="760"/>
      <c r="V51" s="760"/>
      <c r="W51" s="760"/>
      <c r="X51" s="700"/>
    </row>
    <row r="52" spans="1:24" ht="15">
      <c r="A52" s="85" t="s">
        <v>1967</v>
      </c>
      <c r="B52" s="698" t="s">
        <v>228</v>
      </c>
      <c r="C52" s="42"/>
      <c r="D52" s="42"/>
      <c r="E52" s="42"/>
      <c r="F52" s="42"/>
      <c r="G52" s="721">
        <f>+O51+1</f>
        <v>530</v>
      </c>
      <c r="H52" s="756">
        <f>ROUND(+P24+U24,2)</f>
        <v>0</v>
      </c>
      <c r="I52" s="721">
        <f t="shared" si="0"/>
        <v>531</v>
      </c>
      <c r="J52" s="756">
        <f>ROUND(+P35+U35,2)</f>
        <v>0</v>
      </c>
      <c r="K52" s="721">
        <f t="shared" si="1"/>
        <v>532</v>
      </c>
      <c r="L52" s="728">
        <f t="shared" si="2"/>
        <v>0</v>
      </c>
      <c r="M52" s="2069">
        <v>0.5</v>
      </c>
      <c r="N52" s="2070"/>
      <c r="O52" s="721">
        <f t="shared" si="3"/>
        <v>533</v>
      </c>
      <c r="P52" s="756">
        <f t="shared" si="4"/>
        <v>0</v>
      </c>
      <c r="Q52" s="735"/>
      <c r="R52" s="728">
        <f t="shared" si="5"/>
        <v>0</v>
      </c>
      <c r="S52" s="721" t="s">
        <v>2053</v>
      </c>
      <c r="T52" s="759">
        <f t="shared" si="6"/>
        <v>0</v>
      </c>
      <c r="U52" s="760"/>
      <c r="V52" s="760"/>
      <c r="W52" s="760"/>
      <c r="X52" s="700"/>
    </row>
    <row r="53" spans="1:24" ht="15">
      <c r="A53" s="181"/>
      <c r="B53" s="182"/>
      <c r="C53" s="185"/>
      <c r="D53" s="185"/>
      <c r="E53" s="185"/>
      <c r="F53" s="185"/>
      <c r="G53" s="182"/>
      <c r="H53" s="739"/>
      <c r="I53" s="182"/>
      <c r="J53" s="739"/>
      <c r="K53" s="182"/>
      <c r="L53" s="182"/>
      <c r="M53" s="187"/>
      <c r="N53" s="187"/>
      <c r="O53" s="182"/>
      <c r="P53" s="739"/>
      <c r="Q53" s="182"/>
      <c r="R53" s="739"/>
      <c r="S53" s="763"/>
      <c r="T53" s="739"/>
      <c r="U53" s="739"/>
      <c r="V53" s="739"/>
      <c r="W53" s="739"/>
      <c r="X53" s="700"/>
    </row>
    <row r="54" spans="1:24" ht="15">
      <c r="A54" s="85">
        <v>2.2999999999999998</v>
      </c>
      <c r="B54" s="100" t="s">
        <v>946</v>
      </c>
      <c r="C54" s="698"/>
      <c r="D54" s="698"/>
      <c r="E54" s="698"/>
      <c r="F54" s="698"/>
      <c r="G54" s="698"/>
      <c r="H54" s="698"/>
      <c r="I54" s="698"/>
      <c r="J54" s="698"/>
      <c r="K54" s="698"/>
      <c r="L54" s="698"/>
      <c r="M54" s="698"/>
      <c r="N54" s="698"/>
      <c r="O54" s="721">
        <f>+O52+1</f>
        <v>534</v>
      </c>
      <c r="P54" s="728">
        <f>SUM(P47:P53)</f>
        <v>0</v>
      </c>
      <c r="Q54" s="721">
        <f>1+O54</f>
        <v>535</v>
      </c>
      <c r="R54" s="728">
        <f>SUM(R47:R53)</f>
        <v>0</v>
      </c>
      <c r="S54" s="721">
        <f>1+Q54</f>
        <v>536</v>
      </c>
      <c r="T54" s="728">
        <f>SUM(T47:T53)</f>
        <v>0</v>
      </c>
      <c r="U54" s="739"/>
      <c r="V54" s="739"/>
      <c r="W54" s="739"/>
      <c r="X54" s="700">
        <f>+A54</f>
        <v>2.2999999999999998</v>
      </c>
    </row>
    <row r="55" spans="1:24" ht="15">
      <c r="A55" s="85"/>
      <c r="B55" s="698"/>
      <c r="C55" s="698"/>
      <c r="D55" s="698"/>
      <c r="E55" s="698"/>
      <c r="F55" s="698"/>
      <c r="G55" s="698"/>
      <c r="H55" s="698"/>
      <c r="I55" s="698"/>
      <c r="J55" s="698"/>
      <c r="K55" s="698"/>
      <c r="L55" s="698"/>
      <c r="M55" s="698"/>
      <c r="N55" s="698"/>
      <c r="O55" s="698"/>
      <c r="P55" s="698"/>
      <c r="Q55" s="698"/>
      <c r="R55" s="701"/>
      <c r="S55" s="701"/>
      <c r="T55" s="764"/>
      <c r="U55" s="701"/>
      <c r="V55" s="701"/>
      <c r="W55" s="701"/>
      <c r="X55" s="700"/>
    </row>
    <row r="56" spans="1:24" ht="15">
      <c r="A56" s="85" t="s">
        <v>326</v>
      </c>
      <c r="B56" s="100" t="s">
        <v>2205</v>
      </c>
      <c r="C56" s="698"/>
      <c r="D56" s="698"/>
      <c r="E56" s="698"/>
      <c r="F56" s="698"/>
      <c r="G56" s="698"/>
      <c r="H56" s="698"/>
      <c r="I56" s="698"/>
      <c r="J56" s="698"/>
      <c r="K56" s="698"/>
      <c r="L56" s="698"/>
      <c r="M56" s="698"/>
      <c r="N56" s="698"/>
      <c r="O56" s="698"/>
      <c r="P56" s="698"/>
      <c r="Q56" s="698"/>
      <c r="R56" s="701"/>
      <c r="S56" s="701"/>
      <c r="T56" s="701"/>
      <c r="U56" s="701"/>
      <c r="V56" s="701"/>
      <c r="W56" s="701"/>
      <c r="X56" s="700" t="str">
        <f>+A56</f>
        <v>3.</v>
      </c>
    </row>
    <row r="57" spans="1:24" ht="15">
      <c r="A57" s="85"/>
      <c r="B57" s="698"/>
      <c r="C57" s="698"/>
      <c r="D57" s="698"/>
      <c r="E57" s="698"/>
      <c r="F57" s="698"/>
      <c r="G57" s="698"/>
      <c r="H57" s="702" t="s">
        <v>1368</v>
      </c>
      <c r="I57" s="702"/>
      <c r="J57" s="702" t="s">
        <v>1575</v>
      </c>
      <c r="K57" s="702"/>
      <c r="L57" s="702" t="s">
        <v>1576</v>
      </c>
      <c r="M57" s="765"/>
      <c r="N57" s="698" t="s">
        <v>952</v>
      </c>
      <c r="O57" s="698"/>
      <c r="P57" s="698" t="s">
        <v>789</v>
      </c>
      <c r="Q57" s="698"/>
      <c r="R57" s="701" t="s">
        <v>953</v>
      </c>
      <c r="S57" s="701"/>
      <c r="T57" s="701" t="s">
        <v>969</v>
      </c>
      <c r="U57" s="701"/>
      <c r="V57" s="701" t="s">
        <v>971</v>
      </c>
      <c r="W57" s="701"/>
      <c r="X57" s="700"/>
    </row>
    <row r="58" spans="1:24" ht="15">
      <c r="A58" s="85"/>
      <c r="B58" s="698"/>
      <c r="C58" s="742"/>
      <c r="D58" s="742"/>
      <c r="E58" s="742"/>
      <c r="F58" s="742"/>
      <c r="G58" s="715" t="s">
        <v>789</v>
      </c>
      <c r="H58" s="743"/>
      <c r="I58" s="743"/>
      <c r="J58" s="743"/>
      <c r="K58" s="743"/>
      <c r="L58" s="743"/>
      <c r="M58" s="698" t="s">
        <v>2326</v>
      </c>
      <c r="N58" s="746"/>
      <c r="O58" s="751"/>
      <c r="P58" s="745" t="s">
        <v>789</v>
      </c>
      <c r="Q58" s="746"/>
      <c r="R58" s="746" t="s">
        <v>2327</v>
      </c>
      <c r="S58" s="746"/>
      <c r="T58" s="747" t="s">
        <v>2328</v>
      </c>
      <c r="U58" s="747"/>
      <c r="V58" s="751" t="s">
        <v>2329</v>
      </c>
      <c r="W58" s="187"/>
      <c r="X58" s="700"/>
    </row>
    <row r="59" spans="1:24" ht="15">
      <c r="A59" s="85"/>
      <c r="B59" s="698"/>
      <c r="C59" s="742"/>
      <c r="D59" s="742"/>
      <c r="E59" s="742"/>
      <c r="F59" s="742"/>
      <c r="G59" s="715" t="s">
        <v>484</v>
      </c>
      <c r="H59" s="743"/>
      <c r="I59" s="743"/>
      <c r="J59" s="743"/>
      <c r="K59" s="743"/>
      <c r="L59" s="743"/>
      <c r="M59" s="746"/>
      <c r="N59" s="746"/>
      <c r="O59" s="751"/>
      <c r="P59" s="746"/>
      <c r="Q59" s="745" t="s">
        <v>523</v>
      </c>
      <c r="R59" s="746"/>
      <c r="S59" s="746"/>
      <c r="T59" s="747"/>
      <c r="U59" s="747"/>
      <c r="V59" s="751"/>
      <c r="W59" s="187"/>
      <c r="X59" s="700"/>
    </row>
    <row r="60" spans="1:24" ht="43.5">
      <c r="A60" s="85"/>
      <c r="B60" s="698"/>
      <c r="C60" s="742"/>
      <c r="D60" s="42"/>
      <c r="E60" s="42"/>
      <c r="F60" s="42"/>
      <c r="G60" s="745"/>
      <c r="H60" s="750" t="s">
        <v>2207</v>
      </c>
      <c r="I60" s="745"/>
      <c r="J60" s="750" t="s">
        <v>2208</v>
      </c>
      <c r="K60" s="745"/>
      <c r="L60" s="751" t="s">
        <v>1138</v>
      </c>
      <c r="M60" s="745"/>
      <c r="N60" s="751" t="s">
        <v>1139</v>
      </c>
      <c r="O60" s="752" t="s">
        <v>1140</v>
      </c>
      <c r="P60" s="753"/>
      <c r="Q60" s="740"/>
      <c r="R60" s="750" t="s">
        <v>524</v>
      </c>
      <c r="S60" s="745"/>
      <c r="T60" s="751" t="s">
        <v>1138</v>
      </c>
      <c r="U60" s="766"/>
      <c r="V60" s="751" t="s">
        <v>1139</v>
      </c>
      <c r="W60" s="187"/>
      <c r="X60" s="700"/>
    </row>
    <row r="61" spans="1:24" ht="15">
      <c r="A61" s="85">
        <v>3.1</v>
      </c>
      <c r="B61" s="767" t="s">
        <v>2948</v>
      </c>
      <c r="C61" s="767"/>
      <c r="D61" s="768"/>
      <c r="E61" s="768"/>
      <c r="F61" s="769"/>
      <c r="G61" s="721">
        <f>1+S54</f>
        <v>537</v>
      </c>
      <c r="H61" s="770"/>
      <c r="I61" s="721"/>
      <c r="J61" s="771"/>
      <c r="K61" s="721">
        <f>1+G61</f>
        <v>538</v>
      </c>
      <c r="L61" s="771"/>
      <c r="M61" s="721">
        <f>1+K61</f>
        <v>539</v>
      </c>
      <c r="N61" s="728">
        <f>+L61+H61-J61</f>
        <v>0</v>
      </c>
      <c r="O61" s="757">
        <v>0.5</v>
      </c>
      <c r="P61" s="758"/>
      <c r="Q61" s="721">
        <f>M61+1</f>
        <v>540</v>
      </c>
      <c r="R61" s="728">
        <f>(H61-J61)*$O61</f>
        <v>0</v>
      </c>
      <c r="S61" s="735"/>
      <c r="T61" s="728">
        <f>L61*$O61</f>
        <v>0</v>
      </c>
      <c r="U61" s="772"/>
      <c r="V61" s="759">
        <f>+T61+R61</f>
        <v>0</v>
      </c>
      <c r="W61" s="760"/>
      <c r="X61" s="700">
        <f>+A61</f>
        <v>3.1</v>
      </c>
    </row>
    <row r="62" spans="1:24" ht="15">
      <c r="A62" s="85">
        <v>3.2</v>
      </c>
      <c r="B62" s="773" t="s">
        <v>2947</v>
      </c>
      <c r="C62" s="42"/>
      <c r="D62" s="42"/>
      <c r="E62" s="42"/>
      <c r="F62" s="42"/>
      <c r="G62" s="721">
        <f>1+Q61</f>
        <v>541</v>
      </c>
      <c r="H62" s="770"/>
      <c r="I62" s="721"/>
      <c r="J62" s="771"/>
      <c r="K62" s="721">
        <f>1+G62</f>
        <v>542</v>
      </c>
      <c r="L62" s="771"/>
      <c r="M62" s="721">
        <f>1+K62</f>
        <v>543</v>
      </c>
      <c r="N62" s="728">
        <f>+L62+H62-J62</f>
        <v>0</v>
      </c>
      <c r="O62" s="761">
        <v>0.5</v>
      </c>
      <c r="P62" s="762"/>
      <c r="Q62" s="721">
        <f>M62+1</f>
        <v>544</v>
      </c>
      <c r="R62" s="728">
        <f>(H62-J62)*$O62</f>
        <v>0</v>
      </c>
      <c r="S62" s="735"/>
      <c r="T62" s="728">
        <f>L62*$O62</f>
        <v>0</v>
      </c>
      <c r="U62" s="772"/>
      <c r="V62" s="759">
        <f>+T62+R62</f>
        <v>0</v>
      </c>
      <c r="W62" s="760"/>
      <c r="X62" s="700">
        <f>+A62</f>
        <v>3.2</v>
      </c>
    </row>
    <row r="63" spans="1:24" ht="15">
      <c r="A63" s="85"/>
      <c r="B63" s="698"/>
      <c r="C63" s="42"/>
      <c r="D63" s="42"/>
      <c r="E63" s="42"/>
      <c r="F63" s="42"/>
      <c r="G63" s="698"/>
      <c r="H63" s="698"/>
      <c r="I63" s="698"/>
      <c r="J63" s="698"/>
      <c r="K63" s="698"/>
      <c r="L63" s="698"/>
      <c r="M63" s="698"/>
      <c r="N63" s="698"/>
      <c r="O63" s="742"/>
      <c r="P63" s="742"/>
      <c r="Q63" s="698"/>
      <c r="R63" s="774"/>
      <c r="S63" s="698"/>
      <c r="T63" s="775"/>
      <c r="U63" s="701"/>
      <c r="V63" s="775"/>
      <c r="W63" s="775"/>
      <c r="X63" s="700"/>
    </row>
    <row r="64" spans="1:24" ht="15">
      <c r="A64" s="85">
        <v>3.3</v>
      </c>
      <c r="B64" s="698" t="s">
        <v>327</v>
      </c>
      <c r="C64" s="698"/>
      <c r="D64" s="698"/>
      <c r="E64" s="698"/>
      <c r="F64" s="698"/>
      <c r="G64" s="698"/>
      <c r="H64" s="698"/>
      <c r="I64" s="698"/>
      <c r="J64" s="698"/>
      <c r="K64" s="698"/>
      <c r="L64" s="698"/>
      <c r="M64" s="698"/>
      <c r="N64" s="698"/>
      <c r="O64" s="698"/>
      <c r="P64" s="698"/>
      <c r="Q64" s="721">
        <f>+Q62+1</f>
        <v>545</v>
      </c>
      <c r="R64" s="728">
        <f>SUM(R61:R63)</f>
        <v>0</v>
      </c>
      <c r="S64" s="721">
        <f>1+Q64</f>
        <v>546</v>
      </c>
      <c r="T64" s="728">
        <f>SUM(T61:T63)</f>
        <v>0</v>
      </c>
      <c r="U64" s="721">
        <f>1+S64</f>
        <v>547</v>
      </c>
      <c r="V64" s="728">
        <f>SUM(V61:V63)</f>
        <v>0</v>
      </c>
      <c r="W64" s="739"/>
      <c r="X64" s="700">
        <f>+A64</f>
        <v>3.3</v>
      </c>
    </row>
    <row r="65" spans="1:24" ht="15">
      <c r="A65" s="85"/>
      <c r="B65" s="698"/>
      <c r="C65" s="698"/>
      <c r="D65" s="698"/>
      <c r="E65" s="698"/>
      <c r="F65" s="698"/>
      <c r="G65" s="698"/>
      <c r="H65" s="698"/>
      <c r="I65" s="698"/>
      <c r="J65" s="698"/>
      <c r="K65" s="698"/>
      <c r="L65" s="698"/>
      <c r="M65" s="698"/>
      <c r="N65" s="698"/>
      <c r="O65" s="698"/>
      <c r="P65" s="698"/>
      <c r="Q65" s="698"/>
      <c r="R65" s="774"/>
      <c r="S65" s="698"/>
      <c r="T65" s="775"/>
      <c r="U65" s="698"/>
      <c r="V65" s="775"/>
      <c r="W65" s="775"/>
      <c r="X65" s="700"/>
    </row>
    <row r="66" spans="1:24" ht="15">
      <c r="A66" s="85">
        <v>3.4</v>
      </c>
      <c r="B66" s="698" t="s">
        <v>1228</v>
      </c>
      <c r="C66" s="698"/>
      <c r="D66" s="698"/>
      <c r="E66" s="698"/>
      <c r="F66" s="698"/>
      <c r="G66" s="698"/>
      <c r="H66" s="698"/>
      <c r="I66" s="698"/>
      <c r="J66" s="698"/>
      <c r="K66" s="698"/>
      <c r="L66" s="698"/>
      <c r="M66" s="698"/>
      <c r="N66" s="698"/>
      <c r="O66" s="698"/>
      <c r="P66" s="698"/>
      <c r="Q66" s="721">
        <f>+U64+1</f>
        <v>548</v>
      </c>
      <c r="R66" s="776"/>
      <c r="S66" s="721">
        <f>1+Q66</f>
        <v>549</v>
      </c>
      <c r="T66" s="776"/>
      <c r="U66" s="721">
        <f>1+S66</f>
        <v>550</v>
      </c>
      <c r="V66" s="728">
        <f>+T66+R66</f>
        <v>0</v>
      </c>
      <c r="W66" s="739"/>
      <c r="X66" s="700">
        <f>+A66</f>
        <v>3.4</v>
      </c>
    </row>
    <row r="67" spans="1:24" ht="15">
      <c r="A67" s="85"/>
      <c r="B67" s="698"/>
      <c r="C67" s="698"/>
      <c r="D67" s="698"/>
      <c r="E67" s="698"/>
      <c r="F67" s="698"/>
      <c r="G67" s="698"/>
      <c r="H67" s="698"/>
      <c r="I67" s="698"/>
      <c r="J67" s="698"/>
      <c r="K67" s="698"/>
      <c r="L67" s="698"/>
      <c r="M67" s="698"/>
      <c r="N67" s="698"/>
      <c r="O67" s="698"/>
      <c r="P67" s="698"/>
      <c r="Q67" s="698"/>
      <c r="R67" s="777"/>
      <c r="S67" s="698"/>
      <c r="T67" s="775"/>
      <c r="U67" s="698"/>
      <c r="V67" s="775"/>
      <c r="W67" s="775"/>
      <c r="X67" s="700"/>
    </row>
    <row r="68" spans="1:24" ht="15">
      <c r="A68" s="85">
        <v>3.5</v>
      </c>
      <c r="B68" s="100" t="s">
        <v>1584</v>
      </c>
      <c r="C68" s="698"/>
      <c r="D68" s="698"/>
      <c r="E68" s="698"/>
      <c r="F68" s="698"/>
      <c r="G68" s="698"/>
      <c r="H68" s="698"/>
      <c r="I68" s="698"/>
      <c r="J68" s="698"/>
      <c r="K68" s="698"/>
      <c r="L68" s="698"/>
      <c r="M68" s="698"/>
      <c r="N68" s="698"/>
      <c r="O68" s="698"/>
      <c r="P68" s="698"/>
      <c r="Q68" s="721">
        <f>+U66+1</f>
        <v>551</v>
      </c>
      <c r="R68" s="728">
        <f>+R66+R64</f>
        <v>0</v>
      </c>
      <c r="S68" s="721">
        <f>1+Q68</f>
        <v>552</v>
      </c>
      <c r="T68" s="728">
        <f>+T66+T64</f>
        <v>0</v>
      </c>
      <c r="U68" s="721">
        <f>1+S68</f>
        <v>553</v>
      </c>
      <c r="V68" s="728">
        <f>+V66+V64</f>
        <v>0</v>
      </c>
      <c r="W68" s="739"/>
      <c r="X68" s="700">
        <f>+A68</f>
        <v>3.5</v>
      </c>
    </row>
    <row r="69" spans="1:24" ht="15">
      <c r="A69" s="85"/>
      <c r="B69" s="698"/>
      <c r="C69" s="698"/>
      <c r="D69" s="698"/>
      <c r="E69" s="698"/>
      <c r="F69" s="698"/>
      <c r="G69" s="698"/>
      <c r="H69" s="698"/>
      <c r="I69" s="698"/>
      <c r="J69" s="698"/>
      <c r="K69" s="698"/>
      <c r="L69" s="698"/>
      <c r="M69" s="698"/>
      <c r="N69" s="698"/>
      <c r="O69" s="698"/>
      <c r="P69" s="698"/>
      <c r="Q69" s="698"/>
      <c r="R69" s="774"/>
      <c r="S69" s="698"/>
      <c r="T69" s="775"/>
      <c r="U69" s="698"/>
      <c r="V69" s="775"/>
      <c r="W69" s="775"/>
      <c r="X69" s="700"/>
    </row>
    <row r="70" spans="1:24" ht="15">
      <c r="A70" s="85" t="s">
        <v>1585</v>
      </c>
      <c r="B70" s="100" t="s">
        <v>1664</v>
      </c>
      <c r="C70" s="698"/>
      <c r="D70" s="698"/>
      <c r="E70" s="698"/>
      <c r="F70" s="698"/>
      <c r="G70" s="698"/>
      <c r="H70" s="698"/>
      <c r="I70" s="698"/>
      <c r="J70" s="698"/>
      <c r="K70" s="698"/>
      <c r="L70" s="698"/>
      <c r="M70" s="698"/>
      <c r="N70" s="698"/>
      <c r="O70" s="698"/>
      <c r="P70" s="698"/>
      <c r="Q70" s="721">
        <f>+U68+1</f>
        <v>554</v>
      </c>
      <c r="R70" s="728">
        <f>+R68+P54</f>
        <v>0</v>
      </c>
      <c r="S70" s="721">
        <f>1+Q70</f>
        <v>555</v>
      </c>
      <c r="T70" s="728">
        <f>+T68+R54</f>
        <v>0</v>
      </c>
      <c r="U70" s="721">
        <f>1+S70</f>
        <v>556</v>
      </c>
      <c r="V70" s="728">
        <f>+V68+T54</f>
        <v>0</v>
      </c>
      <c r="W70" s="739"/>
      <c r="X70" s="700" t="str">
        <f>+A70</f>
        <v>4.</v>
      </c>
    </row>
    <row r="71" spans="1:24" ht="15">
      <c r="A71" s="85"/>
      <c r="B71" s="698"/>
      <c r="C71" s="698"/>
      <c r="D71" s="698"/>
      <c r="E71" s="698"/>
      <c r="F71" s="698"/>
      <c r="G71" s="698"/>
      <c r="H71" s="698"/>
      <c r="I71" s="698"/>
      <c r="J71" s="698"/>
      <c r="K71" s="698"/>
      <c r="L71" s="698"/>
      <c r="M71" s="698"/>
      <c r="N71" s="698"/>
      <c r="O71" s="698"/>
      <c r="P71" s="698"/>
      <c r="Q71" s="698"/>
      <c r="R71" s="701"/>
      <c r="S71" s="701"/>
      <c r="T71" s="701"/>
      <c r="U71" s="701"/>
      <c r="V71" s="701"/>
      <c r="W71" s="701"/>
      <c r="X71" s="700"/>
    </row>
    <row r="72" spans="1:24" ht="15">
      <c r="A72" s="85"/>
      <c r="B72" s="698"/>
      <c r="C72" s="698"/>
      <c r="D72" s="698"/>
      <c r="E72" s="698"/>
      <c r="F72" s="698"/>
      <c r="G72" s="698"/>
      <c r="H72" s="698"/>
      <c r="I72" s="698"/>
      <c r="J72" s="698"/>
      <c r="K72" s="698"/>
      <c r="L72" s="698"/>
      <c r="M72" s="698"/>
      <c r="N72" s="698"/>
      <c r="O72" s="698"/>
      <c r="P72" s="698"/>
      <c r="Q72" s="698"/>
      <c r="R72" s="701"/>
      <c r="S72" s="701"/>
      <c r="T72" s="701"/>
      <c r="U72" s="701"/>
      <c r="V72" s="701"/>
      <c r="W72" s="701"/>
      <c r="X72" s="700"/>
    </row>
    <row r="73" spans="1:24" ht="15">
      <c r="A73" s="85"/>
      <c r="B73" s="698"/>
      <c r="C73" s="698"/>
      <c r="D73" s="698"/>
      <c r="E73" s="698"/>
      <c r="F73" s="698"/>
      <c r="G73" s="698"/>
      <c r="H73" s="698"/>
      <c r="I73" s="698"/>
      <c r="J73" s="698"/>
      <c r="K73" s="698"/>
      <c r="L73" s="698"/>
      <c r="M73" s="698"/>
      <c r="N73" s="698"/>
      <c r="O73" s="698"/>
      <c r="P73" s="778" t="s">
        <v>1434</v>
      </c>
      <c r="Q73" s="698"/>
      <c r="R73" s="778" t="s">
        <v>1435</v>
      </c>
      <c r="S73" s="701"/>
      <c r="T73" s="778" t="s">
        <v>1436</v>
      </c>
      <c r="U73" s="701"/>
      <c r="V73" s="701"/>
      <c r="W73" s="701"/>
      <c r="X73" s="700"/>
    </row>
    <row r="74" spans="1:24" ht="15">
      <c r="A74" s="85">
        <v>4.0999999999999996</v>
      </c>
      <c r="B74" s="100" t="s">
        <v>133</v>
      </c>
      <c r="C74" s="698"/>
      <c r="D74" s="698"/>
      <c r="E74" s="698"/>
      <c r="F74" s="698"/>
      <c r="G74" s="698"/>
      <c r="H74" s="698"/>
      <c r="I74" s="698"/>
      <c r="J74" s="698"/>
      <c r="K74" s="698"/>
      <c r="L74" s="698"/>
      <c r="M74" s="698"/>
      <c r="N74" s="698"/>
      <c r="O74" s="715" t="s">
        <v>523</v>
      </c>
      <c r="P74" s="743"/>
      <c r="Q74" s="743"/>
      <c r="R74" s="748"/>
      <c r="S74" s="748"/>
      <c r="T74" s="744"/>
      <c r="U74" s="701"/>
      <c r="V74" s="701"/>
      <c r="W74" s="701"/>
      <c r="X74" s="700"/>
    </row>
    <row r="75" spans="1:24" ht="29.25">
      <c r="A75" s="85"/>
      <c r="B75" s="100" t="s">
        <v>2446</v>
      </c>
      <c r="C75" s="42"/>
      <c r="D75" s="698"/>
      <c r="E75" s="698"/>
      <c r="F75" s="698"/>
      <c r="G75" s="698"/>
      <c r="H75" s="698"/>
      <c r="I75" s="698"/>
      <c r="J75" s="698"/>
      <c r="K75" s="698"/>
      <c r="L75" s="698"/>
      <c r="M75" s="698"/>
      <c r="N75" s="698"/>
      <c r="O75" s="740"/>
      <c r="P75" s="750" t="s">
        <v>524</v>
      </c>
      <c r="Q75" s="745"/>
      <c r="R75" s="751" t="s">
        <v>1138</v>
      </c>
      <c r="S75" s="766"/>
      <c r="T75" s="751" t="s">
        <v>1139</v>
      </c>
      <c r="U75" s="701"/>
      <c r="V75" s="701"/>
      <c r="W75" s="701"/>
      <c r="X75" s="700"/>
    </row>
    <row r="76" spans="1:24" ht="15">
      <c r="A76" s="85"/>
      <c r="B76" s="698"/>
      <c r="C76" s="698"/>
      <c r="D76" s="698"/>
      <c r="E76" s="698"/>
      <c r="F76" s="698"/>
      <c r="G76" s="698"/>
      <c r="H76" s="698"/>
      <c r="I76" s="698"/>
      <c r="J76" s="698"/>
      <c r="K76" s="698"/>
      <c r="L76" s="698"/>
      <c r="M76" s="698"/>
      <c r="N76" s="698"/>
      <c r="O76" s="698"/>
      <c r="P76" s="654"/>
      <c r="Q76" s="698"/>
      <c r="R76" s="701"/>
      <c r="S76" s="701"/>
      <c r="T76" s="701"/>
      <c r="U76" s="701"/>
      <c r="V76" s="701"/>
      <c r="W76" s="701"/>
      <c r="X76" s="700"/>
    </row>
    <row r="77" spans="1:24" ht="15">
      <c r="A77" s="85" t="s">
        <v>196</v>
      </c>
      <c r="B77" s="698"/>
      <c r="C77" s="698"/>
      <c r="D77" s="698"/>
      <c r="E77" s="698"/>
      <c r="F77" s="698"/>
      <c r="G77" s="698" t="s">
        <v>1289</v>
      </c>
      <c r="H77" s="698"/>
      <c r="I77" s="698" t="str">
        <f>IF('1 Summary'!$G$3=15245,"Armstrong School","English Language Instructional Unit")</f>
        <v>English Language Instructional Unit</v>
      </c>
      <c r="J77" s="779"/>
      <c r="K77" s="698"/>
      <c r="L77" s="698"/>
      <c r="M77" s="698"/>
      <c r="N77" s="698"/>
      <c r="O77" s="721" t="s">
        <v>99</v>
      </c>
      <c r="P77" s="780"/>
      <c r="Q77" s="721" t="s">
        <v>1662</v>
      </c>
      <c r="R77" s="780"/>
      <c r="S77" s="721" t="s">
        <v>1663</v>
      </c>
      <c r="T77" s="781">
        <f>+P77+R77</f>
        <v>0</v>
      </c>
      <c r="U77" s="701"/>
      <c r="V77" s="701"/>
      <c r="W77" s="701"/>
      <c r="X77" s="700" t="str">
        <f>+A77</f>
        <v>4.1.1</v>
      </c>
    </row>
    <row r="78" spans="1:24" ht="15">
      <c r="A78" s="85" t="s">
        <v>1544</v>
      </c>
      <c r="B78" s="698"/>
      <c r="C78" s="698"/>
      <c r="D78" s="698"/>
      <c r="E78" s="698"/>
      <c r="F78" s="698"/>
      <c r="G78" s="698"/>
      <c r="H78" s="698"/>
      <c r="I78" s="698" t="str">
        <f>IF('1 Summary'!$G$3=15245,"Savant Lake School","French Language Instructional Unit")</f>
        <v>French Language Instructional Unit</v>
      </c>
      <c r="J78" s="779"/>
      <c r="K78" s="698"/>
      <c r="L78" s="698"/>
      <c r="M78" s="698"/>
      <c r="N78" s="698"/>
      <c r="O78" s="721" t="s">
        <v>83</v>
      </c>
      <c r="P78" s="780"/>
      <c r="Q78" s="721" t="s">
        <v>84</v>
      </c>
      <c r="R78" s="780"/>
      <c r="S78" s="721" t="s">
        <v>85</v>
      </c>
      <c r="T78" s="781">
        <f>+P78+R78</f>
        <v>0</v>
      </c>
      <c r="U78" s="701"/>
      <c r="V78" s="701"/>
      <c r="W78" s="701"/>
      <c r="X78" s="700" t="str">
        <f>+A78</f>
        <v>4.1.2</v>
      </c>
    </row>
    <row r="79" spans="1:24" ht="15">
      <c r="A79" s="85" t="s">
        <v>1545</v>
      </c>
      <c r="B79" s="698"/>
      <c r="C79" s="698"/>
      <c r="D79" s="698"/>
      <c r="E79" s="698"/>
      <c r="F79" s="698"/>
      <c r="G79" s="698" t="s">
        <v>997</v>
      </c>
      <c r="H79" s="698"/>
      <c r="I79" s="698"/>
      <c r="J79" s="698"/>
      <c r="K79" s="698"/>
      <c r="L79" s="698"/>
      <c r="M79" s="698"/>
      <c r="N79" s="698"/>
      <c r="O79" s="698"/>
      <c r="P79" s="781">
        <f>+P77+P78</f>
        <v>0</v>
      </c>
      <c r="Q79" s="698"/>
      <c r="R79" s="781">
        <f>+R77+R78</f>
        <v>0</v>
      </c>
      <c r="S79" s="701"/>
      <c r="T79" s="781">
        <f>+T77+T78</f>
        <v>0</v>
      </c>
      <c r="U79" s="701"/>
      <c r="V79" s="701"/>
      <c r="W79" s="701"/>
      <c r="X79" s="700" t="str">
        <f>+A79</f>
        <v>4.1.3</v>
      </c>
    </row>
    <row r="80" spans="1:24" ht="15">
      <c r="A80" s="85"/>
      <c r="B80" s="782"/>
      <c r="C80" s="782"/>
      <c r="D80" s="782"/>
      <c r="E80" s="782"/>
      <c r="F80" s="782"/>
      <c r="G80" s="698"/>
      <c r="H80" s="698"/>
      <c r="I80" s="698"/>
      <c r="J80" s="698"/>
      <c r="K80" s="698"/>
      <c r="L80" s="698"/>
      <c r="M80" s="698"/>
      <c r="N80" s="698"/>
      <c r="O80" s="698"/>
      <c r="P80" s="783" t="str">
        <f>"CP 0" &amp; TEXT(O54,"####")</f>
        <v>CP 0534</v>
      </c>
      <c r="Q80" s="742"/>
      <c r="R80" s="783" t="str">
        <f>"CP 0" &amp; TEXT(Q54,"####")</f>
        <v>CP 0535</v>
      </c>
      <c r="S80" s="784"/>
      <c r="T80" s="783" t="str">
        <f>"CP 0" &amp; TEXT(S54,"####")</f>
        <v>CP 0536</v>
      </c>
      <c r="U80" s="701"/>
      <c r="V80" s="701"/>
      <c r="W80" s="701"/>
      <c r="X80" s="700"/>
    </row>
    <row r="81" spans="1:24" ht="15">
      <c r="A81" s="85"/>
      <c r="B81" s="698"/>
      <c r="C81" s="698"/>
      <c r="D81" s="698"/>
      <c r="E81" s="698"/>
      <c r="F81" s="698"/>
      <c r="G81" s="698"/>
      <c r="H81" s="698"/>
      <c r="I81" s="698"/>
      <c r="J81" s="698"/>
      <c r="K81" s="698"/>
      <c r="L81" s="698"/>
      <c r="M81" s="698"/>
      <c r="N81" s="698"/>
      <c r="O81" s="698"/>
      <c r="P81" s="785"/>
      <c r="Q81" s="698"/>
      <c r="R81" s="785"/>
      <c r="S81" s="701"/>
      <c r="T81" s="701"/>
      <c r="U81" s="701"/>
      <c r="V81" s="701"/>
      <c r="W81" s="701"/>
      <c r="X81" s="700"/>
    </row>
    <row r="82" spans="1:24" ht="15">
      <c r="A82" s="85" t="s">
        <v>1546</v>
      </c>
      <c r="B82" s="698"/>
      <c r="C82" s="698"/>
      <c r="D82" s="698"/>
      <c r="E82" s="698"/>
      <c r="F82" s="698"/>
      <c r="G82" s="698" t="s">
        <v>1000</v>
      </c>
      <c r="H82" s="698"/>
      <c r="I82" s="698" t="str">
        <f>IF('1 Summary'!$G$3=15245,"Armstrong School","English Language Instructional Unit")</f>
        <v>English Language Instructional Unit</v>
      </c>
      <c r="J82" s="782"/>
      <c r="K82" s="698"/>
      <c r="L82" s="698"/>
      <c r="M82" s="698"/>
      <c r="N82" s="698"/>
      <c r="O82" s="721" t="s">
        <v>86</v>
      </c>
      <c r="P82" s="780"/>
      <c r="Q82" s="721" t="s">
        <v>87</v>
      </c>
      <c r="R82" s="780"/>
      <c r="S82" s="721" t="s">
        <v>88</v>
      </c>
      <c r="T82" s="781">
        <f>+P82+R82</f>
        <v>0</v>
      </c>
      <c r="U82" s="701"/>
      <c r="V82" s="701"/>
      <c r="W82" s="701"/>
      <c r="X82" s="700" t="str">
        <f>+A82</f>
        <v>4.1.4</v>
      </c>
    </row>
    <row r="83" spans="1:24" ht="15">
      <c r="A83" s="85" t="s">
        <v>1547</v>
      </c>
      <c r="B83" s="698"/>
      <c r="C83" s="698"/>
      <c r="D83" s="698"/>
      <c r="E83" s="698"/>
      <c r="F83" s="698"/>
      <c r="G83" s="698"/>
      <c r="H83" s="698"/>
      <c r="I83" s="698" t="str">
        <f>IF('1 Summary'!$G$3=15245,"Savant Lake School","French Language Instructional Unit")</f>
        <v>French Language Instructional Unit</v>
      </c>
      <c r="J83" s="782"/>
      <c r="K83" s="698"/>
      <c r="L83" s="698"/>
      <c r="M83" s="698"/>
      <c r="N83" s="698"/>
      <c r="O83" s="721" t="s">
        <v>89</v>
      </c>
      <c r="P83" s="780"/>
      <c r="Q83" s="721" t="s">
        <v>90</v>
      </c>
      <c r="R83" s="780"/>
      <c r="S83" s="721" t="s">
        <v>91</v>
      </c>
      <c r="T83" s="781">
        <f>+P83+R83</f>
        <v>0</v>
      </c>
      <c r="U83" s="701"/>
      <c r="V83" s="701"/>
      <c r="W83" s="701"/>
      <c r="X83" s="700" t="str">
        <f>+A83</f>
        <v>4.1.5</v>
      </c>
    </row>
    <row r="84" spans="1:24" ht="15">
      <c r="A84" s="85" t="s">
        <v>1548</v>
      </c>
      <c r="B84" s="698"/>
      <c r="C84" s="698"/>
      <c r="D84" s="698"/>
      <c r="E84" s="698"/>
      <c r="F84" s="698"/>
      <c r="G84" s="698" t="s">
        <v>136</v>
      </c>
      <c r="H84" s="698"/>
      <c r="I84" s="698"/>
      <c r="J84" s="698"/>
      <c r="K84" s="698"/>
      <c r="L84" s="698"/>
      <c r="M84" s="698"/>
      <c r="N84" s="698"/>
      <c r="O84" s="698"/>
      <c r="P84" s="781">
        <f>+P82+P83</f>
        <v>0</v>
      </c>
      <c r="Q84" s="698"/>
      <c r="R84" s="781">
        <f>+R82+R83</f>
        <v>0</v>
      </c>
      <c r="S84" s="701"/>
      <c r="T84" s="781">
        <f>+T82+T83</f>
        <v>0</v>
      </c>
      <c r="U84" s="701"/>
      <c r="V84" s="701"/>
      <c r="W84" s="701"/>
      <c r="X84" s="700" t="str">
        <f>+A84</f>
        <v>4.1.6</v>
      </c>
    </row>
    <row r="85" spans="1:24" ht="15">
      <c r="A85" s="85"/>
      <c r="B85" s="698"/>
      <c r="C85" s="698"/>
      <c r="D85" s="698"/>
      <c r="E85" s="698"/>
      <c r="F85" s="698"/>
      <c r="G85" s="698"/>
      <c r="H85" s="698"/>
      <c r="I85" s="698"/>
      <c r="J85" s="698"/>
      <c r="K85" s="698"/>
      <c r="L85" s="698"/>
      <c r="M85" s="698"/>
      <c r="N85" s="698"/>
      <c r="O85" s="698"/>
      <c r="P85" s="783" t="str">
        <f>"CP 0" &amp; TEXT(Q68,"####")</f>
        <v>CP 0551</v>
      </c>
      <c r="Q85" s="698"/>
      <c r="R85" s="783" t="str">
        <f>"CP 0" &amp; TEXT(S68,"####")</f>
        <v>CP 0552</v>
      </c>
      <c r="S85" s="701"/>
      <c r="T85" s="783" t="str">
        <f>"CP 0" &amp; TEXT(U68,"####")</f>
        <v>CP 0553</v>
      </c>
      <c r="U85" s="701"/>
      <c r="V85" s="701"/>
      <c r="W85" s="701"/>
      <c r="X85" s="700"/>
    </row>
    <row r="86" spans="1:24" ht="15">
      <c r="A86" s="85"/>
      <c r="B86" s="698"/>
      <c r="C86" s="698"/>
      <c r="D86" s="698"/>
      <c r="E86" s="100"/>
      <c r="F86" s="698"/>
      <c r="G86" s="698"/>
      <c r="H86" s="698"/>
      <c r="I86" s="698"/>
      <c r="J86" s="698"/>
      <c r="K86" s="698"/>
      <c r="L86" s="698"/>
      <c r="M86" s="698"/>
      <c r="N86" s="698"/>
      <c r="O86" s="698"/>
      <c r="P86" s="785"/>
      <c r="Q86" s="698"/>
      <c r="R86" s="785"/>
      <c r="S86" s="701"/>
      <c r="T86" s="701"/>
      <c r="U86" s="701"/>
      <c r="V86" s="701"/>
      <c r="W86" s="701"/>
      <c r="X86" s="700"/>
    </row>
    <row r="87" spans="1:24" ht="15">
      <c r="A87" s="85" t="s">
        <v>1549</v>
      </c>
      <c r="B87" s="698"/>
      <c r="C87" s="698"/>
      <c r="D87" s="698"/>
      <c r="E87" s="698"/>
      <c r="F87" s="698"/>
      <c r="G87" s="698"/>
      <c r="H87" s="698"/>
      <c r="I87" s="698"/>
      <c r="J87" s="100" t="s">
        <v>134</v>
      </c>
      <c r="K87" s="698"/>
      <c r="L87" s="698"/>
      <c r="M87" s="698"/>
      <c r="N87" s="698"/>
      <c r="O87" s="698"/>
      <c r="P87" s="786">
        <f>+P79+P84</f>
        <v>0</v>
      </c>
      <c r="Q87" s="698"/>
      <c r="R87" s="786">
        <f>+R79+R84</f>
        <v>0</v>
      </c>
      <c r="S87" s="701"/>
      <c r="T87" s="786">
        <f>+T79+T84</f>
        <v>0</v>
      </c>
      <c r="U87" s="701"/>
      <c r="V87" s="701"/>
      <c r="W87" s="701"/>
      <c r="X87" s="700" t="str">
        <f>+A87</f>
        <v>4.1.7</v>
      </c>
    </row>
    <row r="88" spans="1:24" ht="15">
      <c r="A88" s="85"/>
      <c r="B88" s="698"/>
      <c r="C88" s="698"/>
      <c r="D88" s="698"/>
      <c r="E88" s="100"/>
      <c r="F88" s="698"/>
      <c r="G88" s="698"/>
      <c r="H88" s="698"/>
      <c r="I88" s="698"/>
      <c r="J88" s="698"/>
      <c r="K88" s="698"/>
      <c r="L88" s="698"/>
      <c r="M88" s="698"/>
      <c r="N88" s="698" t="s">
        <v>135</v>
      </c>
      <c r="O88" s="698"/>
      <c r="P88" s="783" t="str">
        <f>"CP 0" &amp; TEXT(Q70,"####")</f>
        <v>CP 0554</v>
      </c>
      <c r="Q88" s="698"/>
      <c r="R88" s="783" t="str">
        <f>"CP 0" &amp; TEXT(S70,"####")</f>
        <v>CP 0555</v>
      </c>
      <c r="S88" s="701"/>
      <c r="T88" s="783" t="str">
        <f>"CP 0" &amp; TEXT(U70,"####")</f>
        <v>CP 0556</v>
      </c>
      <c r="U88" s="701"/>
      <c r="V88" s="701"/>
      <c r="W88" s="701"/>
      <c r="X88" s="700"/>
    </row>
    <row r="89" spans="1:24" ht="15">
      <c r="A89" s="85"/>
      <c r="B89" s="698"/>
      <c r="C89" s="698"/>
      <c r="D89" s="698"/>
      <c r="E89" s="100"/>
      <c r="F89" s="698"/>
      <c r="G89" s="698"/>
      <c r="H89" s="698"/>
      <c r="I89" s="698"/>
      <c r="J89" s="698"/>
      <c r="K89" s="698"/>
      <c r="L89" s="698"/>
      <c r="M89" s="698"/>
      <c r="N89" s="698"/>
      <c r="O89" s="698"/>
      <c r="P89" s="783"/>
      <c r="Q89" s="698"/>
      <c r="R89" s="783"/>
      <c r="S89" s="701"/>
      <c r="T89" s="783"/>
      <c r="U89" s="701"/>
      <c r="V89" s="701"/>
      <c r="W89" s="701"/>
      <c r="X89" s="700"/>
    </row>
    <row r="90" spans="1:24" ht="15">
      <c r="A90" s="85"/>
      <c r="B90" s="698"/>
      <c r="C90" s="698"/>
      <c r="D90" s="698"/>
      <c r="E90" s="698"/>
      <c r="F90" s="698"/>
      <c r="G90" s="698"/>
      <c r="H90" s="698"/>
      <c r="I90" s="698"/>
      <c r="J90" s="698"/>
      <c r="K90" s="698"/>
      <c r="L90" s="698"/>
      <c r="M90" s="698"/>
      <c r="N90" s="698"/>
      <c r="O90" s="698"/>
      <c r="P90" s="654"/>
      <c r="Q90" s="698"/>
      <c r="R90" s="701"/>
      <c r="S90" s="701"/>
      <c r="T90" s="701"/>
      <c r="U90" s="701"/>
      <c r="V90" s="701"/>
      <c r="W90" s="701"/>
      <c r="X90" s="700"/>
    </row>
    <row r="91" spans="1:24" ht="15">
      <c r="A91" s="85" t="s">
        <v>1586</v>
      </c>
      <c r="B91" s="100" t="s">
        <v>2203</v>
      </c>
      <c r="C91" s="698"/>
      <c r="D91" s="698"/>
      <c r="E91" s="698"/>
      <c r="F91" s="698"/>
      <c r="G91" s="698"/>
      <c r="H91" s="698"/>
      <c r="I91" s="698"/>
      <c r="J91" s="698"/>
      <c r="K91" s="698"/>
      <c r="L91" s="698"/>
      <c r="M91" s="698"/>
      <c r="N91" s="698"/>
      <c r="O91" s="698"/>
      <c r="P91" s="698"/>
      <c r="Q91" s="698"/>
      <c r="R91" s="701"/>
      <c r="S91" s="701"/>
      <c r="T91" s="701"/>
      <c r="U91" s="701"/>
      <c r="V91" s="701"/>
      <c r="W91" s="701"/>
      <c r="X91" s="700" t="str">
        <f>+A91</f>
        <v>5.</v>
      </c>
    </row>
    <row r="92" spans="1:24" ht="15">
      <c r="A92" s="85"/>
      <c r="B92" s="698"/>
      <c r="C92" s="742"/>
      <c r="D92" s="742"/>
      <c r="E92" s="742"/>
      <c r="F92" s="742"/>
      <c r="G92" s="715" t="s">
        <v>484</v>
      </c>
      <c r="H92" s="743"/>
      <c r="I92" s="743"/>
      <c r="J92" s="743"/>
      <c r="K92" s="743"/>
      <c r="L92" s="743"/>
      <c r="M92" s="744"/>
      <c r="N92" s="743"/>
      <c r="O92" s="715" t="s">
        <v>523</v>
      </c>
      <c r="P92" s="743"/>
      <c r="Q92" s="743"/>
      <c r="R92" s="748"/>
      <c r="S92" s="748"/>
      <c r="T92" s="744"/>
      <c r="U92" s="749"/>
      <c r="V92" s="749"/>
      <c r="W92" s="749"/>
      <c r="X92" s="700"/>
    </row>
    <row r="93" spans="1:24" ht="29.25">
      <c r="A93" s="85"/>
      <c r="B93" s="698"/>
      <c r="C93" s="742"/>
      <c r="D93" s="42"/>
      <c r="E93" s="42"/>
      <c r="F93" s="42"/>
      <c r="G93" s="745"/>
      <c r="H93" s="750" t="s">
        <v>524</v>
      </c>
      <c r="I93" s="745"/>
      <c r="J93" s="751" t="s">
        <v>1138</v>
      </c>
      <c r="K93" s="745"/>
      <c r="L93" s="751" t="s">
        <v>1139</v>
      </c>
      <c r="M93" s="2065" t="s">
        <v>1140</v>
      </c>
      <c r="N93" s="2066"/>
      <c r="O93" s="740"/>
      <c r="P93" s="750" t="s">
        <v>524</v>
      </c>
      <c r="Q93" s="745"/>
      <c r="R93" s="751" t="s">
        <v>1138</v>
      </c>
      <c r="S93" s="766"/>
      <c r="T93" s="751" t="s">
        <v>1139</v>
      </c>
      <c r="U93" s="187"/>
      <c r="V93" s="187"/>
      <c r="W93" s="187"/>
      <c r="X93" s="700"/>
    </row>
    <row r="94" spans="1:24" ht="15">
      <c r="A94" s="85">
        <v>5.0999999999999996</v>
      </c>
      <c r="B94" s="787" t="s">
        <v>2948</v>
      </c>
      <c r="C94" s="42"/>
      <c r="D94" s="42"/>
      <c r="E94" s="42"/>
      <c r="F94" s="42"/>
      <c r="G94" s="721">
        <f>+U70+1</f>
        <v>557</v>
      </c>
      <c r="H94" s="788"/>
      <c r="I94" s="721">
        <f>1+G94</f>
        <v>558</v>
      </c>
      <c r="J94" s="788"/>
      <c r="K94" s="721">
        <f>1+I94</f>
        <v>559</v>
      </c>
      <c r="L94" s="728">
        <f>+J94+H94</f>
        <v>0</v>
      </c>
      <c r="M94" s="2071">
        <v>0.5</v>
      </c>
      <c r="N94" s="2072"/>
      <c r="O94" s="721">
        <f>K94+1</f>
        <v>560</v>
      </c>
      <c r="P94" s="728">
        <f>ROUND(H94*$M94,2)</f>
        <v>0</v>
      </c>
      <c r="Q94" s="789"/>
      <c r="R94" s="728">
        <f>ROUND(J94*$M94,2)</f>
        <v>0</v>
      </c>
      <c r="S94" s="790"/>
      <c r="T94" s="759">
        <f t="shared" ref="T94:T100" si="7">+R94+P94</f>
        <v>0</v>
      </c>
      <c r="U94" s="760"/>
      <c r="V94" s="760"/>
      <c r="W94" s="760"/>
      <c r="X94" s="700">
        <f>+A94</f>
        <v>5.0999999999999996</v>
      </c>
    </row>
    <row r="95" spans="1:24" ht="15">
      <c r="A95" s="85">
        <v>5.2</v>
      </c>
      <c r="B95" s="787" t="s">
        <v>2947</v>
      </c>
      <c r="C95" s="42"/>
      <c r="D95" s="42"/>
      <c r="E95" s="42"/>
      <c r="F95" s="42"/>
      <c r="G95" s="721">
        <f>+O94+1</f>
        <v>561</v>
      </c>
      <c r="H95" s="788"/>
      <c r="I95" s="721">
        <f>1+G95</f>
        <v>562</v>
      </c>
      <c r="J95" s="788"/>
      <c r="K95" s="721">
        <f>1+I95</f>
        <v>563</v>
      </c>
      <c r="L95" s="728">
        <f>+J95+H95</f>
        <v>0</v>
      </c>
      <c r="M95" s="2073">
        <v>0.5</v>
      </c>
      <c r="N95" s="2074"/>
      <c r="O95" s="721">
        <f>K95+1</f>
        <v>564</v>
      </c>
      <c r="P95" s="728">
        <f>ROUND(H95*$M95,2)</f>
        <v>0</v>
      </c>
      <c r="Q95" s="789"/>
      <c r="R95" s="728">
        <f>ROUND(J95*$M95,2)</f>
        <v>0</v>
      </c>
      <c r="S95" s="790"/>
      <c r="T95" s="759">
        <f t="shared" si="7"/>
        <v>0</v>
      </c>
      <c r="U95" s="760"/>
      <c r="V95" s="760"/>
      <c r="W95" s="760"/>
      <c r="X95" s="700">
        <f>+A95</f>
        <v>5.2</v>
      </c>
    </row>
    <row r="96" spans="1:24" ht="15">
      <c r="A96" s="85">
        <v>5.3</v>
      </c>
      <c r="B96" s="698" t="s">
        <v>1587</v>
      </c>
      <c r="C96" s="698"/>
      <c r="D96" s="698"/>
      <c r="E96" s="698"/>
      <c r="F96" s="698"/>
      <c r="G96" s="698"/>
      <c r="H96" s="698"/>
      <c r="I96" s="698"/>
      <c r="J96" s="698"/>
      <c r="K96" s="698"/>
      <c r="L96" s="698"/>
      <c r="M96" s="698"/>
      <c r="N96" s="698"/>
      <c r="O96" s="721">
        <f>+O95+1</f>
        <v>565</v>
      </c>
      <c r="P96" s="756">
        <f>+P95+P94</f>
        <v>0</v>
      </c>
      <c r="Q96" s="721">
        <f>1+O96</f>
        <v>566</v>
      </c>
      <c r="R96" s="756">
        <f>+R95+R94</f>
        <v>0</v>
      </c>
      <c r="S96" s="721">
        <f>1+Q96</f>
        <v>567</v>
      </c>
      <c r="T96" s="756">
        <f>+T95+T94</f>
        <v>0</v>
      </c>
      <c r="U96" s="791"/>
      <c r="V96" s="791"/>
      <c r="W96" s="791"/>
      <c r="X96" s="700">
        <f>+A96</f>
        <v>5.3</v>
      </c>
    </row>
    <row r="97" spans="1:24" ht="15">
      <c r="A97" s="85"/>
      <c r="B97" s="698"/>
      <c r="C97" s="698"/>
      <c r="D97" s="698"/>
      <c r="E97" s="698"/>
      <c r="F97" s="698"/>
      <c r="G97" s="698"/>
      <c r="H97" s="698"/>
      <c r="I97" s="698"/>
      <c r="J97" s="698"/>
      <c r="K97" s="698"/>
      <c r="L97" s="698"/>
      <c r="M97" s="698"/>
      <c r="N97" s="698"/>
      <c r="O97" s="698"/>
      <c r="P97" s="698"/>
      <c r="Q97" s="698"/>
      <c r="R97" s="701"/>
      <c r="S97" s="698"/>
      <c r="T97" s="701"/>
      <c r="U97" s="701"/>
      <c r="V97" s="701"/>
      <c r="W97" s="701"/>
      <c r="X97" s="700"/>
    </row>
    <row r="98" spans="1:24" ht="15">
      <c r="A98" s="85">
        <v>5.4</v>
      </c>
      <c r="B98" s="698" t="s">
        <v>2204</v>
      </c>
      <c r="C98" s="698"/>
      <c r="D98" s="698"/>
      <c r="E98" s="698"/>
      <c r="F98" s="698"/>
      <c r="G98" s="698"/>
      <c r="H98" s="698"/>
      <c r="I98" s="698"/>
      <c r="J98" s="698"/>
      <c r="K98" s="698"/>
      <c r="L98" s="698"/>
      <c r="M98" s="698"/>
      <c r="N98" s="698"/>
      <c r="O98" s="721">
        <f>1+S96</f>
        <v>568</v>
      </c>
      <c r="P98" s="776"/>
      <c r="Q98" s="721">
        <f>1+O98</f>
        <v>569</v>
      </c>
      <c r="R98" s="776"/>
      <c r="S98" s="721">
        <f>1+Q98</f>
        <v>570</v>
      </c>
      <c r="T98" s="759">
        <f t="shared" si="7"/>
        <v>0</v>
      </c>
      <c r="U98" s="760"/>
      <c r="V98" s="760"/>
      <c r="W98" s="760"/>
      <c r="X98" s="700">
        <f>+A98</f>
        <v>5.4</v>
      </c>
    </row>
    <row r="99" spans="1:24" ht="15">
      <c r="A99" s="85"/>
      <c r="B99" s="698"/>
      <c r="C99" s="698"/>
      <c r="D99" s="698"/>
      <c r="E99" s="698"/>
      <c r="F99" s="698"/>
      <c r="G99" s="698"/>
      <c r="H99" s="698"/>
      <c r="I99" s="698"/>
      <c r="J99" s="698"/>
      <c r="K99" s="698"/>
      <c r="L99" s="698"/>
      <c r="M99" s="698"/>
      <c r="N99" s="698"/>
      <c r="O99" s="698"/>
      <c r="P99" s="774"/>
      <c r="Q99" s="698"/>
      <c r="R99" s="775"/>
      <c r="S99" s="698"/>
      <c r="T99" s="701"/>
      <c r="U99" s="701"/>
      <c r="V99" s="701"/>
      <c r="W99" s="701"/>
      <c r="X99" s="700"/>
    </row>
    <row r="100" spans="1:24" ht="15">
      <c r="A100" s="85">
        <v>5.5</v>
      </c>
      <c r="B100" s="100" t="s">
        <v>1876</v>
      </c>
      <c r="C100" s="698"/>
      <c r="D100" s="698"/>
      <c r="E100" s="698"/>
      <c r="F100" s="698"/>
      <c r="G100" s="698"/>
      <c r="H100" s="698"/>
      <c r="I100" s="698"/>
      <c r="J100" s="698"/>
      <c r="K100" s="698"/>
      <c r="L100" s="698"/>
      <c r="M100" s="698"/>
      <c r="N100" s="698"/>
      <c r="O100" s="721">
        <f>1+S98</f>
        <v>571</v>
      </c>
      <c r="P100" s="756">
        <f>+P98+P96</f>
        <v>0</v>
      </c>
      <c r="Q100" s="721">
        <f>1+O100</f>
        <v>572</v>
      </c>
      <c r="R100" s="756">
        <f>+R98+R96</f>
        <v>0</v>
      </c>
      <c r="S100" s="721">
        <f>1+Q100</f>
        <v>573</v>
      </c>
      <c r="T100" s="759">
        <f t="shared" si="7"/>
        <v>0</v>
      </c>
      <c r="U100" s="760"/>
      <c r="V100" s="760"/>
      <c r="W100" s="760"/>
      <c r="X100" s="700">
        <f>+A100</f>
        <v>5.5</v>
      </c>
    </row>
    <row r="101" spans="1:24" ht="15">
      <c r="A101" s="85"/>
      <c r="B101" s="698"/>
      <c r="C101" s="698"/>
      <c r="D101" s="698"/>
      <c r="E101" s="698"/>
      <c r="F101" s="698"/>
      <c r="G101" s="698"/>
      <c r="H101" s="698"/>
      <c r="I101" s="698"/>
      <c r="J101" s="698"/>
      <c r="K101" s="698"/>
      <c r="L101" s="698"/>
      <c r="M101" s="698"/>
      <c r="N101" s="698"/>
      <c r="O101" s="698"/>
      <c r="P101" s="698"/>
      <c r="Q101" s="698"/>
      <c r="R101" s="701"/>
      <c r="S101" s="701"/>
      <c r="T101" s="701"/>
      <c r="U101" s="701"/>
      <c r="V101" s="701"/>
      <c r="W101" s="701"/>
      <c r="X101" s="700"/>
    </row>
  </sheetData>
  <sheetProtection password="C7B7" sheet="1" objects="1" scenarios="1"/>
  <protectedRanges>
    <protectedRange sqref="R98" name="Range24"/>
    <protectedRange sqref="P98" name="Range23"/>
    <protectedRange sqref="J94:J95" name="Range22"/>
    <protectedRange sqref="H94:H95" name="Range21"/>
    <protectedRange sqref="R82:R83" name="Range20"/>
    <protectedRange sqref="P82:P83" name="Range19"/>
    <protectedRange sqref="R78" name="Range18"/>
    <protectedRange sqref="R77 P77:P78" name="Range17"/>
    <protectedRange sqref="T66" name="Range16"/>
    <protectedRange sqref="R66" name="Range15"/>
    <protectedRange sqref="L21:L24" name="Range3"/>
    <protectedRange sqref="T21:T24" name="Range6"/>
    <protectedRange sqref="J32:J33" name="Range8"/>
    <protectedRange sqref="L32:M35" name="Range9"/>
    <protectedRange sqref="R32:R33" name="Range11"/>
    <protectedRange sqref="T32:U35" name="Range12"/>
    <protectedRange sqref="P32:P34 H32:H34" name="Range8_2"/>
    <protectedRange sqref="H21:H23" name="Range8_2_1"/>
    <protectedRange sqref="P21:P23" name="Range8_2_2"/>
  </protectedRanges>
  <phoneticPr fontId="13"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rowBreaks count="1" manualBreakCount="1">
    <brk id="89" max="21"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zoomScaleNormal="100" workbookViewId="0">
      <selection activeCell="C18" sqref="C18"/>
    </sheetView>
  </sheetViews>
  <sheetFormatPr defaultColWidth="0" defaultRowHeight="12.75" zeroHeight="1"/>
  <cols>
    <col min="1" max="1" width="6.28515625" style="69" customWidth="1"/>
    <col min="2" max="2" width="94.140625" style="69" customWidth="1"/>
    <col min="3" max="4" width="25.85546875" style="69" customWidth="1"/>
    <col min="5" max="5" width="7.5703125" style="69" customWidth="1"/>
    <col min="6" max="16384" width="0" style="69" hidden="1"/>
  </cols>
  <sheetData>
    <row r="1" spans="1:5" ht="15.75">
      <c r="A1" s="27" t="s">
        <v>622</v>
      </c>
      <c r="B1" s="3"/>
      <c r="C1" s="3"/>
      <c r="D1" s="3"/>
      <c r="E1" s="3"/>
    </row>
    <row r="2" spans="1:5" ht="15.75" customHeight="1">
      <c r="A2" s="2075" t="s">
        <v>380</v>
      </c>
      <c r="B2" s="2075"/>
      <c r="C2" s="2075"/>
      <c r="D2" s="2075"/>
      <c r="E2" s="3"/>
    </row>
    <row r="3" spans="1:5" ht="15.75" customHeight="1">
      <c r="A3" s="2075" t="s">
        <v>2923</v>
      </c>
      <c r="B3" s="2075"/>
      <c r="C3" s="2075"/>
      <c r="D3" s="2075"/>
      <c r="E3" s="3"/>
    </row>
    <row r="4" spans="1:5" ht="14.25">
      <c r="A4" s="2158" t="s">
        <v>2808</v>
      </c>
      <c r="B4" s="2076"/>
      <c r="C4" s="2076"/>
      <c r="D4" s="2076"/>
      <c r="E4" s="3"/>
    </row>
    <row r="5" spans="1:5" ht="14.25">
      <c r="A5" s="2005"/>
      <c r="B5" s="2005"/>
      <c r="C5" s="2006" t="s">
        <v>1289</v>
      </c>
      <c r="D5" s="2006" t="s">
        <v>1000</v>
      </c>
      <c r="E5" s="3"/>
    </row>
    <row r="6" spans="1:5" ht="14.25">
      <c r="A6" s="2005"/>
      <c r="B6" s="2005"/>
      <c r="C6" s="2006" t="s">
        <v>1368</v>
      </c>
      <c r="D6" s="2006" t="s">
        <v>1575</v>
      </c>
      <c r="E6" s="3"/>
    </row>
    <row r="7" spans="1:5" ht="14.25">
      <c r="A7" s="2007">
        <v>1</v>
      </c>
      <c r="B7" s="2007" t="s">
        <v>381</v>
      </c>
      <c r="C7" s="2005"/>
      <c r="D7" s="2005"/>
      <c r="E7" s="3"/>
    </row>
    <row r="8" spans="1:5" ht="22.5" customHeight="1">
      <c r="A8" s="2007">
        <v>1.1000000000000001</v>
      </c>
      <c r="B8" s="2007" t="s">
        <v>382</v>
      </c>
      <c r="C8" s="2008"/>
      <c r="D8" s="2008"/>
      <c r="E8" s="3"/>
    </row>
    <row r="9" spans="1:5" ht="14.25">
      <c r="A9" s="2007">
        <v>1.2</v>
      </c>
      <c r="B9" s="2007" t="s">
        <v>173</v>
      </c>
      <c r="C9" s="2008"/>
      <c r="D9" s="2008"/>
      <c r="E9" s="3"/>
    </row>
    <row r="10" spans="1:5" ht="14.25">
      <c r="A10" s="2007">
        <v>1.3</v>
      </c>
      <c r="B10" s="2007" t="s">
        <v>174</v>
      </c>
      <c r="C10" s="2008"/>
      <c r="D10" s="2008"/>
      <c r="E10" s="3"/>
    </row>
    <row r="11" spans="1:5" ht="14.25">
      <c r="A11" s="2007">
        <v>1.4</v>
      </c>
      <c r="B11" s="2007" t="s">
        <v>642</v>
      </c>
      <c r="C11" s="2008"/>
      <c r="D11" s="2008"/>
      <c r="E11" s="3"/>
    </row>
    <row r="12" spans="1:5" ht="14.25">
      <c r="A12" s="2007">
        <v>1.5</v>
      </c>
      <c r="B12" s="2007" t="s">
        <v>175</v>
      </c>
      <c r="C12" s="2009">
        <f>SUM(C8:C11)</f>
        <v>0</v>
      </c>
      <c r="D12" s="2009">
        <f>SUM(D8:D11)</f>
        <v>0</v>
      </c>
      <c r="E12" s="3"/>
    </row>
    <row r="13" spans="1:5" ht="14.25">
      <c r="A13" s="2007">
        <v>1.6</v>
      </c>
      <c r="B13" s="2007" t="s">
        <v>176</v>
      </c>
      <c r="C13" s="2008"/>
      <c r="D13" s="2008"/>
      <c r="E13" s="3"/>
    </row>
    <row r="14" spans="1:5" ht="14.25">
      <c r="A14" s="2007">
        <v>1.7</v>
      </c>
      <c r="B14" s="2007" t="s">
        <v>2399</v>
      </c>
      <c r="C14" s="2009">
        <f>C13</f>
        <v>0</v>
      </c>
      <c r="D14" s="2009">
        <f>D13</f>
        <v>0</v>
      </c>
      <c r="E14" s="3"/>
    </row>
    <row r="15" spans="1:5" ht="14.25">
      <c r="A15" s="2007">
        <v>1.8</v>
      </c>
      <c r="B15" s="2007" t="s">
        <v>1459</v>
      </c>
      <c r="C15" s="2009">
        <f>C14+C12</f>
        <v>0</v>
      </c>
      <c r="D15" s="2009">
        <f>D14+D12</f>
        <v>0</v>
      </c>
      <c r="E15" s="3"/>
    </row>
    <row r="16" spans="1:5" ht="14.25">
      <c r="A16" s="2005"/>
      <c r="B16" s="2005"/>
      <c r="C16" s="2005"/>
      <c r="D16" s="2005"/>
      <c r="E16" s="3"/>
    </row>
    <row r="17" spans="1:5" ht="14.25">
      <c r="A17" s="2007">
        <v>2</v>
      </c>
      <c r="B17" s="2007" t="s">
        <v>1460</v>
      </c>
      <c r="C17" s="2005"/>
      <c r="D17" s="2005"/>
      <c r="E17" s="3"/>
    </row>
    <row r="18" spans="1:5" ht="14.25">
      <c r="A18" s="2007">
        <v>2.1</v>
      </c>
      <c r="B18" s="2007" t="s">
        <v>382</v>
      </c>
      <c r="C18" s="2008"/>
      <c r="D18" s="2008"/>
      <c r="E18" s="3"/>
    </row>
    <row r="19" spans="1:5" ht="14.25">
      <c r="A19" s="2007">
        <v>2.2000000000000002</v>
      </c>
      <c r="B19" s="2007" t="s">
        <v>199</v>
      </c>
      <c r="C19" s="2008"/>
      <c r="D19" s="2008"/>
      <c r="E19" s="3"/>
    </row>
    <row r="20" spans="1:5" ht="28.5">
      <c r="A20" s="2007">
        <v>2.2999999999999998</v>
      </c>
      <c r="B20" s="2007" t="s">
        <v>200</v>
      </c>
      <c r="C20" s="2008"/>
      <c r="D20" s="2008"/>
      <c r="E20" s="3"/>
    </row>
    <row r="21" spans="1:5" ht="14.25">
      <c r="A21" s="2007">
        <v>2.4</v>
      </c>
      <c r="B21" s="2007" t="s">
        <v>642</v>
      </c>
      <c r="C21" s="2008"/>
      <c r="D21" s="2008"/>
      <c r="E21" s="3"/>
    </row>
    <row r="22" spans="1:5" ht="14.25">
      <c r="A22" s="2007">
        <v>2.5</v>
      </c>
      <c r="B22" s="2007" t="s">
        <v>201</v>
      </c>
      <c r="C22" s="2009">
        <f>SUM(C18:C21)</f>
        <v>0</v>
      </c>
      <c r="D22" s="2009">
        <f>SUM(D18:D21)</f>
        <v>0</v>
      </c>
      <c r="E22" s="3"/>
    </row>
    <row r="23" spans="1:5" ht="14.25">
      <c r="A23" s="2007">
        <v>2.6</v>
      </c>
      <c r="B23" s="2007" t="s">
        <v>202</v>
      </c>
      <c r="C23" s="2008"/>
      <c r="D23" s="2008"/>
      <c r="E23" s="3"/>
    </row>
    <row r="24" spans="1:5" ht="28.5">
      <c r="A24" s="2007">
        <v>2.7</v>
      </c>
      <c r="B24" s="2007" t="s">
        <v>203</v>
      </c>
      <c r="C24" s="2009">
        <f>C23</f>
        <v>0</v>
      </c>
      <c r="D24" s="2009">
        <f>D23</f>
        <v>0</v>
      </c>
      <c r="E24" s="3"/>
    </row>
    <row r="25" spans="1:5" s="1088" customFormat="1" ht="15">
      <c r="A25" s="2010">
        <v>2.8</v>
      </c>
      <c r="B25" s="2010" t="s">
        <v>639</v>
      </c>
      <c r="C25" s="2011">
        <f>C24+C22</f>
        <v>0</v>
      </c>
      <c r="D25" s="2011">
        <f>D24+D22</f>
        <v>0</v>
      </c>
      <c r="E25" s="1"/>
    </row>
    <row r="26" spans="1:5" ht="14.25">
      <c r="A26" s="2005"/>
      <c r="B26" s="2005"/>
      <c r="C26" s="2005"/>
      <c r="D26" s="2005"/>
      <c r="E26" s="3"/>
    </row>
    <row r="27" spans="1:5" ht="14.25">
      <c r="A27" s="2005"/>
      <c r="B27" s="2005"/>
      <c r="C27" s="2005"/>
      <c r="D27" s="2005"/>
      <c r="E27" s="3"/>
    </row>
    <row r="28" spans="1:5">
      <c r="A28" s="2023"/>
      <c r="B28" s="2023"/>
      <c r="C28" s="2023"/>
      <c r="D28" s="2023"/>
      <c r="E28" s="3"/>
    </row>
  </sheetData>
  <sheetProtection password="C7B7" sheet="1" objects="1" scenarios="1"/>
  <protectedRanges>
    <protectedRange sqref="C8:D11" name="Range1"/>
    <protectedRange sqref="C13:D13" name="Range2"/>
    <protectedRange sqref="C18:D21" name="Range3"/>
    <protectedRange sqref="C23:D23" name="Range4"/>
  </protectedRanges>
  <phoneticPr fontId="13" type="noConversion"/>
  <pageMargins left="0" right="0" top="1" bottom="1" header="0.5" footer="0.5"/>
  <pageSetup scale="68" orientation="landscape" r:id="rId1"/>
  <headerFooter alignWithMargins="0">
    <oddFooter>&amp;L&amp;D,&amp;" ,Regular" &amp;T
&amp;CPage &amp;P of &amp;N&amp;R2015/16 School Authority Estimates
&amp;A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U110"/>
  <sheetViews>
    <sheetView zoomScaleNormal="100" workbookViewId="0">
      <selection activeCell="G3" sqref="G3"/>
    </sheetView>
  </sheetViews>
  <sheetFormatPr defaultColWidth="0" defaultRowHeight="15" zeroHeight="1"/>
  <cols>
    <col min="1" max="1" width="8" style="976" customWidth="1"/>
    <col min="2" max="2" width="6" style="976" customWidth="1"/>
    <col min="3" max="3" width="81.28515625" style="976" bestFit="1" customWidth="1"/>
    <col min="4" max="4" width="9.7109375" style="976" customWidth="1"/>
    <col min="5" max="5" width="14" style="976" customWidth="1"/>
    <col min="6" max="6" width="5.42578125" style="976" customWidth="1"/>
    <col min="7" max="7" width="13.7109375" style="976" customWidth="1"/>
    <col min="8" max="8" width="3" style="976" customWidth="1"/>
    <col min="9" max="9" width="12.28515625" style="976" customWidth="1"/>
    <col min="10" max="10" width="9.28515625" style="976" bestFit="1" customWidth="1"/>
    <col min="11" max="11" width="13.7109375" style="976" customWidth="1"/>
    <col min="12" max="12" width="8.85546875" style="976" customWidth="1"/>
    <col min="13" max="13" width="4.28515625" style="976" customWidth="1"/>
    <col min="14" max="14" width="11.28515625" style="976" hidden="1" customWidth="1"/>
    <col min="15" max="20" width="9.140625" style="976" hidden="1" customWidth="1"/>
    <col min="21" max="255" width="0" style="976" hidden="1" customWidth="1"/>
    <col min="256" max="16384" width="0.140625" style="976" hidden="1"/>
  </cols>
  <sheetData>
    <row r="1" spans="1:20" ht="3.75" customHeight="1" thickBot="1">
      <c r="A1" s="2153" t="s">
        <v>2807</v>
      </c>
      <c r="B1" s="1030" t="e">
        <f>IF(#REF!="&lt;&lt; Enter Y or N",0,1)</f>
        <v>#REF!</v>
      </c>
      <c r="C1" s="78"/>
      <c r="D1" s="78"/>
      <c r="E1" s="78"/>
      <c r="F1" s="78"/>
      <c r="G1" s="78"/>
      <c r="H1" s="78"/>
      <c r="I1" s="78"/>
      <c r="J1" s="78"/>
      <c r="K1" s="78"/>
      <c r="L1" s="78"/>
      <c r="M1" s="78"/>
      <c r="N1" s="78"/>
      <c r="O1" s="78"/>
      <c r="P1" s="78"/>
      <c r="Q1" s="78"/>
      <c r="R1" s="78"/>
      <c r="S1" s="78"/>
      <c r="T1" s="78"/>
    </row>
    <row r="2" spans="1:20" ht="18.75" thickBot="1">
      <c r="A2" s="6" t="s">
        <v>621</v>
      </c>
      <c r="B2" s="1031"/>
      <c r="C2" s="78"/>
      <c r="D2" s="941" t="s">
        <v>163</v>
      </c>
      <c r="E2" s="941"/>
      <c r="F2" s="941"/>
      <c r="G2" s="2080" t="str">
        <f>IF($G$3="","",VLOOKUP($G$3,Tables!$A$5:$B$8,2,FALSE))</f>
        <v/>
      </c>
      <c r="H2" s="2081"/>
      <c r="I2" s="2081"/>
      <c r="J2" s="2082"/>
      <c r="K2" s="1032"/>
      <c r="L2" s="1033"/>
      <c r="M2" s="941"/>
      <c r="N2" s="79"/>
      <c r="O2" s="79"/>
      <c r="P2" s="79"/>
      <c r="Q2" s="79"/>
      <c r="R2" s="79"/>
      <c r="S2" s="79"/>
      <c r="T2" s="79"/>
    </row>
    <row r="3" spans="1:20" ht="18.75" thickBot="1">
      <c r="A3" s="6" t="s">
        <v>17</v>
      </c>
      <c r="B3" s="1031"/>
      <c r="C3" s="78"/>
      <c r="D3" s="941" t="s">
        <v>162</v>
      </c>
      <c r="E3" s="941"/>
      <c r="F3" s="941"/>
      <c r="G3" s="1034"/>
      <c r="H3" s="814"/>
      <c r="I3" s="78"/>
      <c r="J3" s="941"/>
      <c r="K3" s="941"/>
      <c r="L3" s="1035"/>
      <c r="M3" s="1021"/>
      <c r="N3" s="976">
        <v>15008</v>
      </c>
      <c r="O3" s="79">
        <v>15199</v>
      </c>
      <c r="P3" s="79"/>
      <c r="Q3" s="79"/>
      <c r="R3" s="79"/>
      <c r="S3" s="79"/>
      <c r="T3" s="79"/>
    </row>
    <row r="4" spans="1:20" ht="18.75" thickBot="1">
      <c r="A4" s="6" t="s">
        <v>789</v>
      </c>
      <c r="B4" s="1031"/>
      <c r="C4" s="78"/>
      <c r="D4" s="78" t="s">
        <v>1681</v>
      </c>
      <c r="E4" s="78"/>
      <c r="F4" s="78"/>
      <c r="G4" s="1036" t="str">
        <f>IF(G3="","",IF(G3=15148,"S","E"))</f>
        <v/>
      </c>
      <c r="H4" s="78"/>
      <c r="I4" s="78"/>
      <c r="J4" s="941"/>
      <c r="K4" s="941"/>
      <c r="L4" s="1035"/>
      <c r="M4" s="78"/>
      <c r="N4" s="976">
        <v>15016</v>
      </c>
      <c r="O4" s="79">
        <v>15202</v>
      </c>
      <c r="P4" s="79"/>
      <c r="Q4" s="79"/>
      <c r="R4" s="79"/>
      <c r="S4" s="79"/>
      <c r="T4" s="79"/>
    </row>
    <row r="5" spans="1:20" ht="18.75" hidden="1" thickBot="1">
      <c r="A5" s="6"/>
      <c r="B5" s="1031"/>
      <c r="C5" s="78"/>
      <c r="D5" s="78"/>
      <c r="E5" s="78"/>
      <c r="F5" s="78"/>
      <c r="G5" s="1876"/>
      <c r="H5" s="78"/>
      <c r="I5" s="78"/>
      <c r="J5" s="941"/>
      <c r="K5" s="941"/>
      <c r="L5" s="1035"/>
      <c r="M5" s="78"/>
      <c r="O5" s="79">
        <v>15148</v>
      </c>
      <c r="P5" s="79"/>
      <c r="Q5" s="79"/>
      <c r="R5" s="79"/>
      <c r="S5" s="79"/>
      <c r="T5" s="79"/>
    </row>
    <row r="6" spans="1:20" ht="18" hidden="1" customHeight="1" thickBot="1">
      <c r="A6" s="3"/>
      <c r="B6" s="2"/>
      <c r="C6" s="3"/>
      <c r="D6" s="78" t="s">
        <v>2669</v>
      </c>
      <c r="E6" s="3"/>
      <c r="F6" s="3"/>
      <c r="G6" s="2077"/>
      <c r="H6" s="2078"/>
      <c r="I6" s="2078"/>
      <c r="J6" s="2079"/>
      <c r="K6" s="941"/>
      <c r="L6" s="1035"/>
      <c r="M6" s="78"/>
      <c r="N6" s="976">
        <v>15059</v>
      </c>
      <c r="O6" s="79">
        <v>79910</v>
      </c>
      <c r="P6" s="79"/>
      <c r="Q6" s="79"/>
      <c r="R6" s="79"/>
      <c r="S6" s="79"/>
      <c r="T6" s="79"/>
    </row>
    <row r="7" spans="1:20" ht="12.75" customHeight="1">
      <c r="A7" s="78"/>
      <c r="B7" s="1031"/>
      <c r="C7" s="78"/>
      <c r="D7" s="78"/>
      <c r="E7" s="78"/>
      <c r="F7" s="78"/>
      <c r="G7" s="1033"/>
      <c r="H7" s="78"/>
      <c r="I7" s="78"/>
      <c r="J7" s="941"/>
      <c r="K7" s="941"/>
      <c r="L7" s="1035"/>
      <c r="M7" s="78"/>
      <c r="N7" s="976">
        <v>15067</v>
      </c>
      <c r="O7" s="79">
        <v>79910</v>
      </c>
      <c r="P7" s="79"/>
      <c r="Q7" s="79"/>
      <c r="R7" s="79"/>
      <c r="S7" s="79"/>
      <c r="T7" s="79"/>
    </row>
    <row r="8" spans="1:20" ht="31.5">
      <c r="A8" s="78"/>
      <c r="B8" s="400"/>
      <c r="C8" s="27"/>
      <c r="D8" s="78"/>
      <c r="E8" s="27"/>
      <c r="F8" s="27"/>
      <c r="G8" s="1037" t="s">
        <v>18</v>
      </c>
      <c r="H8" s="27"/>
      <c r="I8" s="27"/>
      <c r="J8" s="200"/>
      <c r="K8" s="1038"/>
      <c r="L8" s="1039"/>
      <c r="M8" s="1040"/>
      <c r="N8" s="976">
        <v>15083</v>
      </c>
      <c r="O8" s="79"/>
      <c r="P8" s="79"/>
      <c r="Q8" s="78" t="s">
        <v>324</v>
      </c>
      <c r="R8" s="79"/>
      <c r="S8" s="79"/>
      <c r="T8" s="79"/>
    </row>
    <row r="9" spans="1:20" ht="15.75">
      <c r="A9" s="78"/>
      <c r="B9" s="78"/>
      <c r="C9" s="78"/>
      <c r="D9" s="78"/>
      <c r="E9" s="901"/>
      <c r="F9" s="78"/>
      <c r="G9" s="1041"/>
      <c r="H9" s="78"/>
      <c r="I9" s="78"/>
      <c r="J9" s="1042"/>
      <c r="K9" s="1042"/>
      <c r="L9" s="1043"/>
      <c r="M9" s="1044"/>
      <c r="N9" s="976">
        <v>15105</v>
      </c>
      <c r="O9" s="79"/>
      <c r="P9" s="79"/>
      <c r="Q9" s="78" t="s">
        <v>1856</v>
      </c>
      <c r="R9" s="79"/>
      <c r="S9" s="79"/>
      <c r="T9" s="79"/>
    </row>
    <row r="10" spans="1:20" ht="15.75">
      <c r="A10" s="1045">
        <v>1.1000000000000001</v>
      </c>
      <c r="B10" s="78"/>
      <c r="C10" s="2083" t="s">
        <v>1247</v>
      </c>
      <c r="D10" s="78"/>
      <c r="E10" s="901"/>
      <c r="F10" s="401"/>
      <c r="G10" s="977">
        <v>1.2</v>
      </c>
      <c r="H10" s="78"/>
      <c r="I10" s="200"/>
      <c r="J10" s="1046"/>
      <c r="K10" s="954">
        <f>ROUND('1.1 Pupil Foundation'!H29,0)</f>
        <v>0</v>
      </c>
      <c r="L10" s="1047">
        <f>+A10</f>
        <v>1.1000000000000001</v>
      </c>
      <c r="M10" s="78"/>
      <c r="N10" s="976">
        <v>15148</v>
      </c>
      <c r="O10" s="79"/>
      <c r="P10" s="79"/>
      <c r="Q10" s="78" t="s">
        <v>325</v>
      </c>
      <c r="R10" s="79"/>
      <c r="S10" s="79"/>
      <c r="T10" s="79"/>
    </row>
    <row r="11" spans="1:20" ht="15.75">
      <c r="A11" s="1045" t="s">
        <v>1551</v>
      </c>
      <c r="B11" s="1048"/>
      <c r="C11" s="2083" t="s">
        <v>14</v>
      </c>
      <c r="D11" s="2083"/>
      <c r="E11" s="2083"/>
      <c r="F11" s="401"/>
      <c r="G11" s="1049" t="s">
        <v>2059</v>
      </c>
      <c r="H11" s="78"/>
      <c r="I11" s="200"/>
      <c r="J11" s="1046"/>
      <c r="K11" s="954">
        <f>ROUND(+'1.3 School Foundation'!I44,0)</f>
        <v>0</v>
      </c>
      <c r="L11" s="1047" t="str">
        <f>+A11</f>
        <v>1.1.1</v>
      </c>
      <c r="M11" s="78"/>
      <c r="N11" s="976">
        <v>15164</v>
      </c>
      <c r="O11" s="79"/>
      <c r="P11" s="79"/>
      <c r="Q11" s="79"/>
      <c r="R11" s="79"/>
      <c r="S11" s="79"/>
      <c r="T11" s="79"/>
    </row>
    <row r="12" spans="1:20" ht="15.75">
      <c r="A12" s="1045">
        <v>1.2</v>
      </c>
      <c r="B12" s="78"/>
      <c r="C12" s="2083" t="s">
        <v>13</v>
      </c>
      <c r="D12" s="2083"/>
      <c r="E12" s="2083"/>
      <c r="F12" s="1007"/>
      <c r="G12" s="1050">
        <v>2.6</v>
      </c>
      <c r="H12" s="78"/>
      <c r="I12" s="200"/>
      <c r="J12" s="1051">
        <f>+'1.1 Pupil Foundation'!G27+1</f>
        <v>1</v>
      </c>
      <c r="K12" s="954">
        <f>ROUND('2 Special Ed'!T64,0)</f>
        <v>0</v>
      </c>
      <c r="L12" s="1047">
        <f>+A12</f>
        <v>1.2</v>
      </c>
      <c r="M12" s="815"/>
      <c r="N12" s="976">
        <v>15172</v>
      </c>
      <c r="O12" s="79"/>
      <c r="P12" s="79"/>
      <c r="Q12" s="79"/>
      <c r="R12" s="79"/>
      <c r="S12" s="79"/>
      <c r="T12" s="79"/>
    </row>
    <row r="13" spans="1:20" ht="15.75">
      <c r="A13" s="1045">
        <v>1.3</v>
      </c>
      <c r="B13" s="78"/>
      <c r="C13" s="2083" t="s">
        <v>308</v>
      </c>
      <c r="D13" s="2083"/>
      <c r="E13" s="2083"/>
      <c r="F13" s="901"/>
      <c r="G13" s="1052" t="str">
        <f>+'3 Language'!A90</f>
        <v>3.4</v>
      </c>
      <c r="H13" s="78"/>
      <c r="I13" s="1053"/>
      <c r="J13" s="1051">
        <f>+J12+1</f>
        <v>2</v>
      </c>
      <c r="K13" s="1054">
        <f>ROUND(+'3 Language'!L90,0)</f>
        <v>0</v>
      </c>
      <c r="L13" s="1047">
        <f>+A13</f>
        <v>1.3</v>
      </c>
      <c r="M13" s="815"/>
      <c r="N13" s="976">
        <v>15180</v>
      </c>
      <c r="O13" s="79"/>
      <c r="P13" s="79"/>
      <c r="Q13" s="79"/>
      <c r="R13" s="79"/>
      <c r="S13" s="79"/>
      <c r="T13" s="79"/>
    </row>
    <row r="14" spans="1:20" ht="15.75">
      <c r="A14" s="1045">
        <v>1.4</v>
      </c>
      <c r="B14" s="78"/>
      <c r="C14" s="2083" t="s">
        <v>2325</v>
      </c>
      <c r="D14" s="2083"/>
      <c r="E14" s="2083"/>
      <c r="F14" s="901"/>
      <c r="G14" s="1052">
        <v>4.9000000000000004</v>
      </c>
      <c r="H14" s="78"/>
      <c r="I14" s="200"/>
      <c r="J14" s="1051">
        <f>+J13+1</f>
        <v>3</v>
      </c>
      <c r="K14" s="954">
        <f>ROUND(+'4 Outlying Schools'!H28,0)</f>
        <v>0</v>
      </c>
      <c r="L14" s="1047">
        <f t="shared" ref="L14:L40" si="0">+A14</f>
        <v>1.4</v>
      </c>
      <c r="M14" s="815"/>
      <c r="N14" s="976">
        <v>15199</v>
      </c>
      <c r="O14" s="79"/>
      <c r="P14" s="79"/>
      <c r="Q14" s="79"/>
      <c r="R14" s="79"/>
      <c r="S14" s="79"/>
      <c r="T14" s="79"/>
    </row>
    <row r="15" spans="1:20" ht="15.75">
      <c r="A15" s="1045">
        <v>1.5</v>
      </c>
      <c r="B15" s="78"/>
      <c r="C15" s="2083" t="s">
        <v>784</v>
      </c>
      <c r="D15" s="2083"/>
      <c r="E15" s="2083"/>
      <c r="F15" s="901"/>
      <c r="G15" s="1052">
        <f>+'5 Remote and Rural'!A30</f>
        <v>5.4</v>
      </c>
      <c r="H15" s="78"/>
      <c r="I15" s="200"/>
      <c r="J15" s="1051">
        <f>+J14+1</f>
        <v>4</v>
      </c>
      <c r="K15" s="1054">
        <f>ROUND('5 Remote and Rural'!J30,0)</f>
        <v>0</v>
      </c>
      <c r="L15" s="1047">
        <f t="shared" si="0"/>
        <v>1.5</v>
      </c>
      <c r="M15" s="815"/>
      <c r="N15" s="976">
        <v>15202</v>
      </c>
      <c r="O15" s="79"/>
      <c r="P15" s="79"/>
      <c r="Q15" s="79"/>
      <c r="R15" s="79"/>
      <c r="S15" s="79"/>
      <c r="T15" s="79"/>
    </row>
    <row r="16" spans="1:20" ht="15.75">
      <c r="A16" s="1045">
        <v>1.6</v>
      </c>
      <c r="B16" s="78"/>
      <c r="C16" s="2083" t="s">
        <v>785</v>
      </c>
      <c r="D16" s="2083"/>
      <c r="E16" s="2083"/>
      <c r="F16" s="901"/>
      <c r="G16" s="1055">
        <v>13.11</v>
      </c>
      <c r="H16" s="78"/>
      <c r="I16" s="200"/>
      <c r="J16" s="1051">
        <f>+J15+1</f>
        <v>5</v>
      </c>
      <c r="K16" s="1023">
        <f>ROUND('13 Learning Opportunities'!H74,0)</f>
        <v>5000</v>
      </c>
      <c r="L16" s="1047">
        <f t="shared" si="0"/>
        <v>1.6</v>
      </c>
      <c r="M16" s="856"/>
      <c r="N16" s="976">
        <v>15229</v>
      </c>
      <c r="O16" s="79"/>
      <c r="P16" s="79"/>
      <c r="Q16" s="79"/>
      <c r="R16" s="79"/>
      <c r="S16" s="79"/>
      <c r="T16" s="79"/>
    </row>
    <row r="17" spans="1:20" ht="15.75" customHeight="1">
      <c r="A17" s="1045">
        <v>1.7</v>
      </c>
      <c r="B17" s="78"/>
      <c r="C17" s="2083" t="s">
        <v>1314</v>
      </c>
      <c r="D17" s="2083"/>
      <c r="E17" s="2083"/>
      <c r="F17" s="901"/>
      <c r="G17" s="1055">
        <v>6.5</v>
      </c>
      <c r="H17" s="78"/>
      <c r="I17" s="200"/>
      <c r="J17" s="1051">
        <v>607</v>
      </c>
      <c r="K17" s="954">
        <f>ROUND(+'6 Continuing Education'!N49,0)</f>
        <v>0</v>
      </c>
      <c r="L17" s="1047">
        <f t="shared" si="0"/>
        <v>1.7</v>
      </c>
      <c r="M17" s="815"/>
      <c r="N17" s="976">
        <v>15237</v>
      </c>
      <c r="O17" s="79"/>
      <c r="P17" s="79"/>
      <c r="Q17" s="79"/>
      <c r="R17" s="79"/>
      <c r="S17" s="79"/>
      <c r="T17" s="79"/>
    </row>
    <row r="18" spans="1:20" ht="15.75" customHeight="1">
      <c r="A18" s="1045">
        <v>1.8</v>
      </c>
      <c r="B18" s="78"/>
      <c r="C18" s="2083" t="s">
        <v>309</v>
      </c>
      <c r="D18" s="2083"/>
      <c r="E18" s="2083"/>
      <c r="F18" s="901"/>
      <c r="G18" s="1056" t="s">
        <v>3097</v>
      </c>
      <c r="H18" s="78"/>
      <c r="I18" s="1053"/>
      <c r="J18" s="1051">
        <v>608</v>
      </c>
      <c r="K18" s="954">
        <f>'7 Teacher Compensation'!R197</f>
        <v>0</v>
      </c>
      <c r="L18" s="1047">
        <f t="shared" si="0"/>
        <v>1.8</v>
      </c>
      <c r="M18" s="815"/>
      <c r="N18" s="976">
        <v>15245</v>
      </c>
      <c r="O18" s="79"/>
      <c r="P18" s="79"/>
      <c r="Q18" s="79"/>
      <c r="R18" s="79"/>
      <c r="S18" s="79"/>
      <c r="T18" s="79"/>
    </row>
    <row r="19" spans="1:20" ht="15.75" customHeight="1">
      <c r="A19" s="1045" t="s">
        <v>2176</v>
      </c>
      <c r="B19" s="78"/>
      <c r="C19" s="2083" t="s">
        <v>2293</v>
      </c>
      <c r="D19" s="2083"/>
      <c r="E19" s="2083"/>
      <c r="F19" s="901"/>
      <c r="G19" s="1056">
        <v>7.36</v>
      </c>
      <c r="H19" s="78"/>
      <c r="I19" s="1053"/>
      <c r="J19" s="1051"/>
      <c r="K19" s="954">
        <f>ROUND(+'7A ECE'!F31,0)</f>
        <v>0</v>
      </c>
      <c r="L19" s="1047" t="str">
        <f t="shared" si="0"/>
        <v>1.8.1</v>
      </c>
      <c r="M19" s="815"/>
      <c r="O19" s="79"/>
      <c r="P19" s="79"/>
      <c r="Q19" s="79"/>
      <c r="R19" s="79"/>
      <c r="S19" s="79"/>
      <c r="T19" s="79"/>
    </row>
    <row r="20" spans="1:20" ht="15.75">
      <c r="A20" s="1045" t="s">
        <v>2292</v>
      </c>
      <c r="B20" s="78"/>
      <c r="C20" s="2083" t="s">
        <v>1077</v>
      </c>
      <c r="D20" s="2083"/>
      <c r="E20" s="2083"/>
      <c r="F20" s="901"/>
      <c r="G20" s="535">
        <v>7.24</v>
      </c>
      <c r="H20" s="78"/>
      <c r="I20" s="1053"/>
      <c r="J20" s="1051"/>
      <c r="K20" s="954">
        <f>ROUND('7B NTIP'!H18,0)</f>
        <v>0</v>
      </c>
      <c r="L20" s="1047" t="str">
        <f t="shared" si="0"/>
        <v>1.8.2</v>
      </c>
      <c r="M20" s="815"/>
      <c r="O20" s="79"/>
      <c r="P20" s="79"/>
      <c r="Q20" s="79"/>
      <c r="R20" s="79"/>
      <c r="S20" s="79"/>
      <c r="T20" s="79"/>
    </row>
    <row r="21" spans="1:20" ht="15.75">
      <c r="A21" s="1045">
        <v>1.9</v>
      </c>
      <c r="B21" s="78"/>
      <c r="C21" s="2083" t="s">
        <v>195</v>
      </c>
      <c r="D21" s="2083"/>
      <c r="E21" s="2083"/>
      <c r="F21" s="901"/>
      <c r="G21" s="1052">
        <f>'9 Transportation'!A47</f>
        <v>9.6</v>
      </c>
      <c r="H21" s="78"/>
      <c r="I21" s="1053"/>
      <c r="J21" s="1051">
        <v>610</v>
      </c>
      <c r="K21" s="954">
        <f>ROUND('9 Transportation'!G47,0)</f>
        <v>0</v>
      </c>
      <c r="L21" s="1047">
        <f t="shared" si="0"/>
        <v>1.9</v>
      </c>
      <c r="M21" s="815"/>
      <c r="N21" s="976">
        <v>15288</v>
      </c>
      <c r="O21" s="79"/>
      <c r="P21" s="79"/>
      <c r="Q21" s="79"/>
      <c r="R21" s="79"/>
      <c r="S21" s="79"/>
      <c r="T21" s="79"/>
    </row>
    <row r="22" spans="1:20" ht="15.75">
      <c r="A22" s="1057">
        <v>1.1000000000000001</v>
      </c>
      <c r="B22" s="78"/>
      <c r="C22" s="2083" t="s">
        <v>1026</v>
      </c>
      <c r="D22" s="2083"/>
      <c r="E22" s="2083"/>
      <c r="F22" s="901"/>
      <c r="G22" s="1052">
        <v>10.7</v>
      </c>
      <c r="H22" s="78"/>
      <c r="I22" s="200"/>
      <c r="J22" s="1051">
        <v>611</v>
      </c>
      <c r="K22" s="954">
        <f>ROUND(+'10 Admin and Governance'!J51,0)</f>
        <v>0</v>
      </c>
      <c r="L22" s="1058">
        <f t="shared" si="0"/>
        <v>1.1000000000000001</v>
      </c>
      <c r="M22" s="815"/>
      <c r="N22" s="976">
        <v>15296</v>
      </c>
      <c r="O22" s="79"/>
      <c r="P22" s="79"/>
      <c r="Q22" s="79"/>
      <c r="R22" s="79"/>
      <c r="S22" s="79"/>
      <c r="T22" s="79"/>
    </row>
    <row r="23" spans="1:20" ht="15.75">
      <c r="A23" s="1057" t="s">
        <v>2444</v>
      </c>
      <c r="B23" s="78"/>
      <c r="C23" s="2083" t="s">
        <v>2874</v>
      </c>
      <c r="D23" s="2083"/>
      <c r="E23" s="2083"/>
      <c r="F23" s="901"/>
      <c r="G23" s="1055">
        <v>10.8</v>
      </c>
      <c r="H23" s="78"/>
      <c r="I23" s="200"/>
      <c r="J23" s="1051"/>
      <c r="K23" s="954">
        <f>ROUND('10 Admin and Governance'!J54,0)</f>
        <v>0</v>
      </c>
      <c r="L23" s="1058" t="str">
        <f t="shared" si="0"/>
        <v>1.10.1</v>
      </c>
      <c r="M23" s="815"/>
      <c r="O23" s="79"/>
      <c r="P23" s="79"/>
      <c r="Q23" s="79"/>
      <c r="R23" s="79"/>
      <c r="S23" s="79"/>
      <c r="T23" s="79"/>
    </row>
    <row r="24" spans="1:20" ht="15.75">
      <c r="A24" s="1057">
        <v>1.1100000000000001</v>
      </c>
      <c r="B24" s="78"/>
      <c r="C24" s="2083" t="s">
        <v>1987</v>
      </c>
      <c r="D24" s="2083"/>
      <c r="E24" s="2083"/>
      <c r="F24" s="901"/>
      <c r="G24" s="1052">
        <f>+'11 Accommodations'!J30</f>
        <v>11.8</v>
      </c>
      <c r="H24" s="78"/>
      <c r="I24" s="200"/>
      <c r="J24" s="1051">
        <v>612</v>
      </c>
      <c r="K24" s="954">
        <f>ROUND('11 Accommodations'!I30,0)</f>
        <v>0</v>
      </c>
      <c r="L24" s="1058">
        <f t="shared" si="0"/>
        <v>1.1100000000000001</v>
      </c>
      <c r="M24" s="815"/>
      <c r="N24" s="976">
        <v>15300</v>
      </c>
      <c r="O24" s="79"/>
      <c r="P24" s="79"/>
      <c r="Q24" s="79"/>
      <c r="R24" s="79"/>
      <c r="S24" s="79"/>
      <c r="T24" s="79"/>
    </row>
    <row r="25" spans="1:20" ht="13.5" customHeight="1">
      <c r="A25" s="1057" t="s">
        <v>2180</v>
      </c>
      <c r="B25" s="78"/>
      <c r="C25" s="2083" t="s">
        <v>1085</v>
      </c>
      <c r="D25" s="2083"/>
      <c r="E25" s="2083"/>
      <c r="F25" s="901"/>
      <c r="G25" s="1052" t="s">
        <v>2144</v>
      </c>
      <c r="H25" s="78"/>
      <c r="I25" s="200"/>
      <c r="J25" s="1051"/>
      <c r="K25" s="954">
        <f>ROUND('11A Community Use'!H16,0)</f>
        <v>0</v>
      </c>
      <c r="L25" s="1058" t="str">
        <f t="shared" si="0"/>
        <v>1.11.1</v>
      </c>
      <c r="M25" s="815"/>
      <c r="O25" s="79"/>
      <c r="P25" s="79"/>
      <c r="Q25" s="79"/>
      <c r="R25" s="79"/>
      <c r="S25" s="79"/>
      <c r="T25" s="79"/>
    </row>
    <row r="26" spans="1:20" ht="15.75">
      <c r="A26" s="1057">
        <v>1.1200000000000001</v>
      </c>
      <c r="B26" s="78"/>
      <c r="C26" s="2083" t="s">
        <v>978</v>
      </c>
      <c r="D26" s="2083"/>
      <c r="E26" s="2083"/>
      <c r="F26" s="78"/>
      <c r="G26" s="977">
        <v>16.600000000000001</v>
      </c>
      <c r="H26" s="78"/>
      <c r="I26" s="200"/>
      <c r="J26" s="1051">
        <v>10007</v>
      </c>
      <c r="K26" s="954">
        <f>ROUND('16 Declining Enrolment'!J30,0)</f>
        <v>0</v>
      </c>
      <c r="L26" s="1058">
        <f t="shared" si="0"/>
        <v>1.1200000000000001</v>
      </c>
      <c r="M26" s="815"/>
      <c r="N26" s="976">
        <v>16004</v>
      </c>
      <c r="O26" s="79"/>
      <c r="P26" s="79"/>
      <c r="Q26" s="79"/>
      <c r="R26" s="79"/>
      <c r="S26" s="79"/>
      <c r="T26" s="79"/>
    </row>
    <row r="27" spans="1:20" ht="15.75" customHeight="1">
      <c r="A27" s="1057">
        <v>1.1399999999999999</v>
      </c>
      <c r="B27" s="78"/>
      <c r="C27" s="2083" t="s">
        <v>3078</v>
      </c>
      <c r="D27" s="2083"/>
      <c r="E27" s="2083"/>
      <c r="F27" s="78"/>
      <c r="G27" s="977">
        <v>18.399999999999999</v>
      </c>
      <c r="H27" s="78"/>
      <c r="I27" s="200"/>
      <c r="J27" s="1051"/>
      <c r="K27" s="954">
        <f>ROUND(+'18 Indigenous Education'!J53,0)</f>
        <v>42042</v>
      </c>
      <c r="L27" s="1058">
        <f t="shared" si="0"/>
        <v>1.1399999999999999</v>
      </c>
      <c r="M27" s="815"/>
      <c r="O27" s="79"/>
      <c r="P27" s="79"/>
      <c r="Q27" s="79"/>
      <c r="R27" s="79"/>
      <c r="S27" s="79"/>
      <c r="T27" s="79"/>
    </row>
    <row r="28" spans="1:20" ht="15.75">
      <c r="A28" s="1057">
        <v>1.1499999999999999</v>
      </c>
      <c r="B28" s="78"/>
      <c r="C28" s="2083" t="s">
        <v>1956</v>
      </c>
      <c r="D28" s="2083"/>
      <c r="E28" s="2083"/>
      <c r="F28" s="78"/>
      <c r="G28" s="977">
        <v>19.2</v>
      </c>
      <c r="H28" s="78"/>
      <c r="I28" s="200"/>
      <c r="J28" s="1051"/>
      <c r="K28" s="954">
        <f>ROUND('19 Safe Schools'!J14,0)</f>
        <v>0</v>
      </c>
      <c r="L28" s="1058">
        <f t="shared" si="0"/>
        <v>1.1499999999999999</v>
      </c>
      <c r="M28" s="815"/>
      <c r="O28" s="79"/>
      <c r="P28" s="79"/>
      <c r="Q28" s="79"/>
      <c r="R28" s="79"/>
      <c r="S28" s="79"/>
      <c r="T28" s="79"/>
    </row>
    <row r="29" spans="1:20" ht="15.75" customHeight="1">
      <c r="A29" s="1059">
        <v>1.1599999999999999</v>
      </c>
      <c r="B29" s="78"/>
      <c r="C29" s="1072" t="s">
        <v>1090</v>
      </c>
      <c r="D29" s="2083"/>
      <c r="E29" s="2083"/>
      <c r="F29" s="901"/>
      <c r="G29" s="1052"/>
      <c r="H29" s="78"/>
      <c r="I29" s="200"/>
      <c r="J29" s="1051">
        <v>614</v>
      </c>
      <c r="K29" s="954">
        <f>SUM(K10:K28)</f>
        <v>47042</v>
      </c>
      <c r="L29" s="1058">
        <f t="shared" si="0"/>
        <v>1.1599999999999999</v>
      </c>
      <c r="M29" s="815"/>
      <c r="N29" s="976">
        <v>16012</v>
      </c>
      <c r="O29" s="79"/>
      <c r="P29" s="79"/>
      <c r="Q29" s="79"/>
      <c r="R29" s="79"/>
      <c r="S29" s="79"/>
      <c r="T29" s="79"/>
    </row>
    <row r="30" spans="1:20" ht="6.75" customHeight="1">
      <c r="A30" s="1057"/>
      <c r="B30" s="78"/>
      <c r="C30" s="27"/>
      <c r="D30" s="78"/>
      <c r="E30" s="78"/>
      <c r="F30" s="901"/>
      <c r="G30" s="1052"/>
      <c r="H30" s="78"/>
      <c r="I30" s="200"/>
      <c r="J30" s="78"/>
      <c r="K30" s="78"/>
      <c r="L30" s="1047"/>
      <c r="M30" s="815"/>
      <c r="N30" s="976">
        <v>16020</v>
      </c>
      <c r="O30" s="79"/>
      <c r="P30" s="79"/>
      <c r="Q30" s="79"/>
      <c r="R30" s="79"/>
      <c r="S30" s="79"/>
      <c r="T30" s="79"/>
    </row>
    <row r="31" spans="1:20" ht="15.75">
      <c r="A31" s="1060">
        <v>1.17</v>
      </c>
      <c r="B31" s="78"/>
      <c r="C31" s="1061" t="s">
        <v>1232</v>
      </c>
      <c r="D31" s="78"/>
      <c r="E31" s="901"/>
      <c r="F31" s="901"/>
      <c r="G31" s="977" t="str">
        <f>+'15 Special Approvals'!A38</f>
        <v>15.1.3</v>
      </c>
      <c r="H31" s="78"/>
      <c r="I31" s="200"/>
      <c r="J31" s="1051">
        <v>891</v>
      </c>
      <c r="K31" s="954">
        <f>ROUND('15 Special Approvals'!J38,0)</f>
        <v>0</v>
      </c>
      <c r="L31" s="1058">
        <f t="shared" si="0"/>
        <v>1.17</v>
      </c>
      <c r="M31" s="815"/>
      <c r="N31" s="976">
        <v>16039</v>
      </c>
      <c r="O31" s="79"/>
      <c r="P31" s="79"/>
      <c r="Q31" s="79"/>
      <c r="R31" s="79"/>
      <c r="S31" s="79"/>
      <c r="T31" s="79"/>
    </row>
    <row r="32" spans="1:20" ht="15.75">
      <c r="A32" s="1060">
        <v>1.18</v>
      </c>
      <c r="B32" s="78"/>
      <c r="C32" s="27" t="s">
        <v>1091</v>
      </c>
      <c r="D32" s="78"/>
      <c r="E32" s="78"/>
      <c r="F32" s="78"/>
      <c r="G32" s="1062"/>
      <c r="H32" s="78"/>
      <c r="I32" s="200"/>
      <c r="J32" s="1051">
        <v>624</v>
      </c>
      <c r="K32" s="954">
        <f>K29+K31</f>
        <v>47042</v>
      </c>
      <c r="L32" s="1058">
        <f t="shared" si="0"/>
        <v>1.18</v>
      </c>
      <c r="M32" s="815"/>
      <c r="N32" s="976">
        <v>16047</v>
      </c>
      <c r="O32" s="79"/>
      <c r="P32" s="79"/>
      <c r="Q32" s="79"/>
      <c r="R32" s="79"/>
      <c r="S32" s="79"/>
      <c r="T32" s="79"/>
    </row>
    <row r="33" spans="1:20" ht="15.75">
      <c r="A33" s="1060"/>
      <c r="B33" s="78"/>
      <c r="C33" s="27"/>
      <c r="D33" s="78"/>
      <c r="E33" s="78"/>
      <c r="F33" s="78"/>
      <c r="G33" s="1062"/>
      <c r="H33" s="78"/>
      <c r="I33" s="200"/>
      <c r="J33" s="1012"/>
      <c r="K33" s="956"/>
      <c r="L33" s="1047"/>
      <c r="M33" s="815"/>
      <c r="N33" s="976">
        <v>16055</v>
      </c>
      <c r="O33" s="79"/>
      <c r="P33" s="79"/>
      <c r="Q33" s="79"/>
      <c r="R33" s="79"/>
      <c r="S33" s="79"/>
      <c r="T33" s="79"/>
    </row>
    <row r="34" spans="1:20" ht="15.75">
      <c r="A34" s="1060">
        <v>1.19</v>
      </c>
      <c r="B34" s="78"/>
      <c r="C34" s="27" t="s">
        <v>1192</v>
      </c>
      <c r="D34" s="78"/>
      <c r="E34" s="78"/>
      <c r="F34" s="78"/>
      <c r="G34" s="977">
        <f>'11 Accommodations'!J56</f>
        <v>11.14</v>
      </c>
      <c r="H34" s="78"/>
      <c r="I34" s="200"/>
      <c r="J34" s="1051">
        <v>635</v>
      </c>
      <c r="K34" s="954">
        <f>ROUND('11 Accommodations'!I56,0)</f>
        <v>0</v>
      </c>
      <c r="L34" s="1058">
        <f t="shared" si="0"/>
        <v>1.19</v>
      </c>
      <c r="M34" s="815"/>
      <c r="N34" s="976">
        <v>16063</v>
      </c>
      <c r="O34" s="79"/>
      <c r="P34" s="79"/>
      <c r="Q34" s="79"/>
      <c r="R34" s="79"/>
      <c r="S34" s="79"/>
      <c r="T34" s="79"/>
    </row>
    <row r="35" spans="1:20" ht="15.75">
      <c r="A35" s="1060">
        <v>1.2</v>
      </c>
      <c r="B35" s="78"/>
      <c r="C35" s="1061" t="s">
        <v>148</v>
      </c>
      <c r="D35" s="78"/>
      <c r="E35" s="78"/>
      <c r="F35" s="78"/>
      <c r="G35" s="977">
        <v>11.17</v>
      </c>
      <c r="H35" s="78"/>
      <c r="I35" s="200"/>
      <c r="J35" s="1051">
        <v>100113</v>
      </c>
      <c r="K35" s="954">
        <f>ROUND('11 Accommodations'!I62,0)</f>
        <v>0</v>
      </c>
      <c r="L35" s="1058">
        <f t="shared" si="0"/>
        <v>1.2</v>
      </c>
      <c r="M35" s="815"/>
      <c r="N35" s="976">
        <v>16071</v>
      </c>
      <c r="O35" s="79"/>
      <c r="P35" s="79"/>
      <c r="Q35" s="79"/>
      <c r="R35" s="79"/>
      <c r="S35" s="79"/>
      <c r="T35" s="79"/>
    </row>
    <row r="36" spans="1:20" ht="15.75">
      <c r="A36" s="1060">
        <v>1.21</v>
      </c>
      <c r="B36" s="78"/>
      <c r="C36" s="1061" t="s">
        <v>1315</v>
      </c>
      <c r="D36" s="78"/>
      <c r="E36" s="78"/>
      <c r="F36" s="78"/>
      <c r="G36" s="977">
        <v>12.4</v>
      </c>
      <c r="H36" s="78"/>
      <c r="I36" s="1053"/>
      <c r="J36" s="1051">
        <v>10008</v>
      </c>
      <c r="K36" s="954">
        <f>ROUND('12 Teacherage'!J17,0)</f>
        <v>0</v>
      </c>
      <c r="L36" s="1058">
        <f t="shared" si="0"/>
        <v>1.21</v>
      </c>
      <c r="M36" s="815"/>
      <c r="N36" s="976">
        <v>16080</v>
      </c>
      <c r="O36" s="79"/>
      <c r="P36" s="79"/>
      <c r="Q36" s="79"/>
      <c r="R36" s="79"/>
      <c r="S36" s="79"/>
      <c r="T36" s="79"/>
    </row>
    <row r="37" spans="1:20" ht="15.75">
      <c r="A37" s="1060">
        <v>1.22</v>
      </c>
      <c r="B37" s="78"/>
      <c r="C37" s="1061" t="s">
        <v>149</v>
      </c>
      <c r="D37" s="78"/>
      <c r="E37" s="78"/>
      <c r="F37" s="78"/>
      <c r="G37" s="977" t="s">
        <v>273</v>
      </c>
      <c r="H37" s="78"/>
      <c r="I37" s="200"/>
      <c r="J37" s="1051">
        <v>616</v>
      </c>
      <c r="K37" s="954">
        <f>ROUND('15 Special Approvals'!J60,0)</f>
        <v>0</v>
      </c>
      <c r="L37" s="1058">
        <f t="shared" si="0"/>
        <v>1.22</v>
      </c>
      <c r="M37" s="815"/>
      <c r="N37" s="1063">
        <v>79901</v>
      </c>
      <c r="O37" s="79"/>
      <c r="P37" s="79"/>
      <c r="Q37" s="79"/>
      <c r="R37" s="79"/>
      <c r="S37" s="79"/>
      <c r="T37" s="79"/>
    </row>
    <row r="38" spans="1:20" ht="15.75">
      <c r="A38" s="1060" t="s">
        <v>1086</v>
      </c>
      <c r="B38" s="958"/>
      <c r="C38" s="1061" t="s">
        <v>1979</v>
      </c>
      <c r="D38" s="958"/>
      <c r="E38" s="958"/>
      <c r="F38" s="958"/>
      <c r="G38" s="977" t="s">
        <v>835</v>
      </c>
      <c r="H38" s="958"/>
      <c r="I38" s="1064"/>
      <c r="J38" s="1065"/>
      <c r="K38" s="954">
        <f>ROUND(+'15 Special Approvals'!J71,0)</f>
        <v>0</v>
      </c>
      <c r="L38" s="1058" t="str">
        <f>+A38</f>
        <v>1.22.1</v>
      </c>
      <c r="M38" s="815"/>
      <c r="N38" s="1063"/>
      <c r="O38" s="79"/>
      <c r="P38" s="79"/>
      <c r="Q38" s="79"/>
      <c r="R38" s="79"/>
      <c r="S38" s="79"/>
      <c r="T38" s="79"/>
    </row>
    <row r="39" spans="1:20" ht="38.25" customHeight="1">
      <c r="A39" s="1060"/>
      <c r="B39" s="958"/>
      <c r="C39" s="1061"/>
      <c r="D39" s="958"/>
      <c r="E39" s="958"/>
      <c r="F39" s="958"/>
      <c r="G39" s="977"/>
      <c r="H39" s="958"/>
      <c r="I39" s="1064"/>
      <c r="J39" s="1065"/>
      <c r="K39" s="954"/>
      <c r="L39" s="1058"/>
      <c r="M39" s="815"/>
      <c r="N39" s="1063"/>
      <c r="O39" s="79"/>
      <c r="P39" s="79"/>
      <c r="Q39" s="79"/>
      <c r="R39" s="79"/>
      <c r="S39" s="79"/>
      <c r="T39" s="79"/>
    </row>
    <row r="40" spans="1:20" ht="15.75">
      <c r="A40" s="1060">
        <v>1.23</v>
      </c>
      <c r="B40" s="78"/>
      <c r="C40" s="27" t="s">
        <v>1134</v>
      </c>
      <c r="D40" s="856"/>
      <c r="E40" s="78"/>
      <c r="F40" s="78"/>
      <c r="G40" s="78"/>
      <c r="H40" s="78"/>
      <c r="I40" s="200"/>
      <c r="J40" s="1051">
        <v>617</v>
      </c>
      <c r="K40" s="954">
        <f>SUM(K32:K38)</f>
        <v>47042</v>
      </c>
      <c r="L40" s="1058">
        <f t="shared" si="0"/>
        <v>1.23</v>
      </c>
      <c r="M40" s="815"/>
      <c r="N40" s="1063">
        <v>79910</v>
      </c>
      <c r="O40" s="79"/>
      <c r="P40" s="79"/>
      <c r="Q40" s="79"/>
      <c r="R40" s="79"/>
      <c r="S40" s="79"/>
      <c r="T40" s="79"/>
    </row>
    <row r="41" spans="1:20" ht="4.5" customHeight="1">
      <c r="A41" s="1060"/>
      <c r="B41" s="78"/>
      <c r="C41" s="27"/>
      <c r="D41" s="856"/>
      <c r="E41" s="78"/>
      <c r="F41" s="78"/>
      <c r="G41" s="78"/>
      <c r="H41" s="78"/>
      <c r="I41" s="200"/>
      <c r="J41" s="339"/>
      <c r="K41" s="956"/>
      <c r="L41" s="1047"/>
      <c r="M41" s="815"/>
      <c r="N41" s="79"/>
      <c r="O41" s="79"/>
      <c r="P41" s="79"/>
      <c r="Q41" s="79"/>
      <c r="R41" s="79"/>
      <c r="S41" s="79"/>
      <c r="T41" s="79"/>
    </row>
    <row r="42" spans="1:20" ht="11.25" customHeight="1">
      <c r="A42" s="78"/>
      <c r="B42" s="27" t="s">
        <v>1193</v>
      </c>
      <c r="C42" s="78"/>
      <c r="D42" s="78"/>
      <c r="E42" s="78"/>
      <c r="F42" s="78"/>
      <c r="G42" s="78"/>
      <c r="H42" s="78"/>
      <c r="I42" s="200"/>
      <c r="J42" s="78"/>
      <c r="K42" s="957"/>
      <c r="L42" s="1047"/>
      <c r="M42" s="815"/>
      <c r="N42" s="79"/>
      <c r="O42" s="79"/>
      <c r="P42" s="79"/>
      <c r="Q42" s="79"/>
      <c r="R42" s="79"/>
      <c r="S42" s="79"/>
      <c r="T42" s="79"/>
    </row>
    <row r="43" spans="1:20" ht="11.25" customHeight="1">
      <c r="A43" s="78"/>
      <c r="B43" s="27"/>
      <c r="C43" s="78"/>
      <c r="D43" s="78"/>
      <c r="E43" s="78"/>
      <c r="F43" s="78"/>
      <c r="G43" s="78"/>
      <c r="H43" s="78"/>
      <c r="I43" s="200"/>
      <c r="J43" s="78"/>
      <c r="K43" s="957"/>
      <c r="L43" s="1047"/>
      <c r="M43" s="815"/>
      <c r="N43" s="79"/>
      <c r="O43" s="79"/>
      <c r="P43" s="79"/>
      <c r="Q43" s="79"/>
      <c r="R43" s="79"/>
      <c r="S43" s="79"/>
      <c r="T43" s="79"/>
    </row>
    <row r="44" spans="1:20" ht="15.75">
      <c r="A44" s="1060">
        <v>1.24</v>
      </c>
      <c r="B44" s="78"/>
      <c r="C44" s="27" t="s">
        <v>2952</v>
      </c>
      <c r="D44" s="27"/>
      <c r="E44" s="901"/>
      <c r="F44" s="901"/>
      <c r="G44" s="78"/>
      <c r="H44" s="78"/>
      <c r="I44" s="200"/>
      <c r="J44" s="1051">
        <v>1001</v>
      </c>
      <c r="K44" s="954">
        <f>ROUND(+'Sch 11A Tax Revenue Adj '!J50-'Sch 11A Tax Revenue Adj '!J46,0)</f>
        <v>0</v>
      </c>
      <c r="L44" s="1058">
        <f t="shared" ref="L44:L53" si="1">+A44</f>
        <v>1.24</v>
      </c>
      <c r="M44" s="815"/>
      <c r="N44" s="79"/>
      <c r="O44" s="79"/>
      <c r="P44" s="79"/>
      <c r="Q44" s="79"/>
      <c r="R44" s="79"/>
      <c r="S44" s="79"/>
      <c r="T44" s="79"/>
    </row>
    <row r="45" spans="1:20" ht="15.75">
      <c r="A45" s="1060">
        <v>1.25</v>
      </c>
      <c r="B45" s="78"/>
      <c r="C45" s="27" t="s">
        <v>1414</v>
      </c>
      <c r="D45" s="27"/>
      <c r="E45" s="78"/>
      <c r="F45" s="78"/>
      <c r="G45" s="78"/>
      <c r="H45" s="78"/>
      <c r="I45" s="200"/>
      <c r="J45" s="78"/>
      <c r="K45" s="954">
        <f>ROUND('App B1 Tuition Fees'!M20+'App B1 Tuition Fees'!M30,0)</f>
        <v>0</v>
      </c>
      <c r="L45" s="1058">
        <f t="shared" si="1"/>
        <v>1.25</v>
      </c>
      <c r="M45" s="856" t="str">
        <f>IF(K45="","&lt;&lt;6.  Enter Fees","")</f>
        <v/>
      </c>
      <c r="N45" s="79"/>
      <c r="O45" s="79"/>
      <c r="P45" s="79"/>
      <c r="Q45" s="79"/>
      <c r="R45" s="79"/>
      <c r="S45" s="79"/>
      <c r="T45" s="79"/>
    </row>
    <row r="46" spans="1:20" ht="9" customHeight="1">
      <c r="A46" s="1060"/>
      <c r="B46" s="78"/>
      <c r="C46" s="27"/>
      <c r="D46" s="27"/>
      <c r="E46" s="78"/>
      <c r="F46" s="78"/>
      <c r="G46" s="78"/>
      <c r="H46" s="78"/>
      <c r="I46" s="200"/>
      <c r="J46" s="78"/>
      <c r="K46" s="956"/>
      <c r="L46" s="1047"/>
      <c r="M46" s="856"/>
      <c r="N46" s="79"/>
      <c r="O46" s="79"/>
      <c r="P46" s="79"/>
      <c r="Q46" s="79"/>
      <c r="R46" s="79"/>
      <c r="S46" s="79"/>
      <c r="T46" s="79"/>
    </row>
    <row r="47" spans="1:20" ht="15.75">
      <c r="A47" s="1059">
        <v>1.26</v>
      </c>
      <c r="B47" s="78"/>
      <c r="C47" s="27" t="s">
        <v>221</v>
      </c>
      <c r="D47" s="27"/>
      <c r="E47" s="78"/>
      <c r="F47" s="78"/>
      <c r="G47" s="78"/>
      <c r="H47" s="78"/>
      <c r="I47" s="200"/>
      <c r="J47" s="78"/>
      <c r="K47" s="956"/>
      <c r="L47" s="1058">
        <f t="shared" si="1"/>
        <v>1.26</v>
      </c>
      <c r="M47" s="856"/>
      <c r="N47" s="79"/>
      <c r="O47" s="79"/>
      <c r="P47" s="79"/>
      <c r="Q47" s="79"/>
      <c r="R47" s="79"/>
      <c r="S47" s="79"/>
      <c r="T47" s="79"/>
    </row>
    <row r="48" spans="1:20" ht="7.5" customHeight="1">
      <c r="A48" s="1059"/>
      <c r="B48" s="78"/>
      <c r="C48" s="27"/>
      <c r="D48" s="27"/>
      <c r="E48" s="78"/>
      <c r="F48" s="78"/>
      <c r="G48" s="78"/>
      <c r="H48" s="78"/>
      <c r="I48" s="200"/>
      <c r="J48" s="78"/>
      <c r="K48" s="956"/>
      <c r="L48" s="1047"/>
      <c r="M48" s="856"/>
      <c r="N48" s="79"/>
      <c r="O48" s="79"/>
      <c r="P48" s="79"/>
      <c r="Q48" s="79"/>
      <c r="R48" s="79"/>
      <c r="S48" s="79"/>
      <c r="T48" s="79"/>
    </row>
    <row r="49" spans="1:20" ht="31.5">
      <c r="A49" s="1059" t="s">
        <v>20</v>
      </c>
      <c r="B49" s="78"/>
      <c r="C49" s="1041" t="s">
        <v>15</v>
      </c>
      <c r="D49" s="314">
        <v>618</v>
      </c>
      <c r="E49" s="1066"/>
      <c r="F49" s="78"/>
      <c r="G49" s="78"/>
      <c r="H49" s="78"/>
      <c r="I49" s="200"/>
      <c r="J49" s="78"/>
      <c r="K49" s="1067"/>
      <c r="L49" s="1058" t="str">
        <f t="shared" si="1"/>
        <v>1.26.1</v>
      </c>
      <c r="M49" s="856"/>
      <c r="N49" s="79"/>
      <c r="O49" s="79"/>
      <c r="P49" s="79"/>
      <c r="Q49" s="79"/>
      <c r="R49" s="79"/>
      <c r="S49" s="79"/>
      <c r="T49" s="79"/>
    </row>
    <row r="50" spans="1:20" ht="10.5" customHeight="1">
      <c r="A50" s="1068"/>
      <c r="B50" s="78"/>
      <c r="C50" s="1069"/>
      <c r="D50" s="339"/>
      <c r="E50" s="1070"/>
      <c r="F50" s="200"/>
      <c r="G50" s="200"/>
      <c r="H50" s="200"/>
      <c r="I50" s="200"/>
      <c r="J50" s="200"/>
      <c r="K50" s="1067"/>
      <c r="L50" s="1047"/>
      <c r="M50" s="856"/>
      <c r="N50" s="79"/>
      <c r="O50" s="79"/>
      <c r="P50" s="79"/>
      <c r="Q50" s="79"/>
      <c r="R50" s="79"/>
      <c r="S50" s="79"/>
      <c r="T50" s="79"/>
    </row>
    <row r="51" spans="1:20" ht="45.75" customHeight="1">
      <c r="A51" s="1059" t="s">
        <v>21</v>
      </c>
      <c r="B51" s="78"/>
      <c r="C51" s="1041" t="s">
        <v>1431</v>
      </c>
      <c r="D51" s="314">
        <f>+D49+1</f>
        <v>619</v>
      </c>
      <c r="E51" s="1066"/>
      <c r="F51" s="78"/>
      <c r="G51" s="78"/>
      <c r="H51" s="78"/>
      <c r="I51" s="200"/>
      <c r="J51" s="78"/>
      <c r="K51" s="1067"/>
      <c r="L51" s="1058" t="str">
        <f t="shared" si="1"/>
        <v>1.26.2</v>
      </c>
      <c r="M51" s="856"/>
      <c r="N51" s="79"/>
      <c r="O51" s="79"/>
      <c r="P51" s="79"/>
      <c r="Q51" s="79"/>
      <c r="R51" s="79"/>
      <c r="S51" s="79"/>
      <c r="T51" s="79"/>
    </row>
    <row r="52" spans="1:20" ht="15.75">
      <c r="A52" s="1068"/>
      <c r="B52" s="78"/>
      <c r="C52" s="1069"/>
      <c r="D52" s="339"/>
      <c r="E52" s="1070"/>
      <c r="F52" s="200"/>
      <c r="G52" s="200"/>
      <c r="H52" s="200"/>
      <c r="I52" s="200"/>
      <c r="J52" s="200"/>
      <c r="K52" s="347"/>
      <c r="L52" s="1047"/>
      <c r="M52" s="1071"/>
      <c r="N52" s="79"/>
      <c r="O52" s="79"/>
      <c r="P52" s="79"/>
      <c r="Q52" s="79"/>
      <c r="R52" s="79"/>
      <c r="S52" s="79"/>
      <c r="T52" s="79"/>
    </row>
    <row r="53" spans="1:20" ht="47.25">
      <c r="A53" s="1059" t="s">
        <v>22</v>
      </c>
      <c r="B53" s="78"/>
      <c r="C53" s="1041" t="s">
        <v>1324</v>
      </c>
      <c r="D53" s="27"/>
      <c r="E53" s="78"/>
      <c r="F53" s="78"/>
      <c r="G53" s="78"/>
      <c r="H53" s="78"/>
      <c r="I53" s="200"/>
      <c r="J53" s="1051">
        <f>+D51+1</f>
        <v>620</v>
      </c>
      <c r="K53" s="954">
        <f>E49-E51</f>
        <v>0</v>
      </c>
      <c r="L53" s="1058" t="str">
        <f t="shared" si="1"/>
        <v>1.26.3</v>
      </c>
      <c r="M53" s="856"/>
      <c r="N53" s="79"/>
      <c r="O53" s="79"/>
      <c r="P53" s="79"/>
      <c r="Q53" s="79"/>
      <c r="R53" s="79"/>
      <c r="S53" s="79"/>
      <c r="T53" s="79"/>
    </row>
    <row r="54" spans="1:20" ht="6.95" customHeight="1">
      <c r="A54" s="1059"/>
      <c r="B54" s="78"/>
      <c r="C54" s="1061"/>
      <c r="D54" s="27"/>
      <c r="E54" s="901"/>
      <c r="F54" s="78"/>
      <c r="G54" s="901"/>
      <c r="H54" s="78"/>
      <c r="I54" s="886"/>
      <c r="J54" s="339"/>
      <c r="K54" s="956"/>
      <c r="L54" s="1047"/>
      <c r="M54" s="856"/>
      <c r="N54" s="79"/>
      <c r="O54" s="78"/>
      <c r="P54" s="78"/>
      <c r="Q54" s="78"/>
      <c r="R54" s="78"/>
      <c r="S54" s="78"/>
      <c r="T54" s="78"/>
    </row>
    <row r="55" spans="1:20" ht="6.95" customHeight="1">
      <c r="A55" s="1059"/>
      <c r="B55" s="78"/>
      <c r="C55" s="399"/>
      <c r="D55" s="27"/>
      <c r="E55" s="959"/>
      <c r="F55" s="78"/>
      <c r="G55" s="959"/>
      <c r="H55" s="200"/>
      <c r="I55" s="959"/>
      <c r="J55" s="339"/>
      <c r="K55" s="956"/>
      <c r="L55" s="1047"/>
      <c r="M55" s="856"/>
      <c r="N55" s="79"/>
      <c r="O55" s="78"/>
      <c r="P55" s="78"/>
      <c r="Q55" s="78"/>
      <c r="R55" s="78"/>
      <c r="S55" s="78"/>
      <c r="T55" s="78"/>
    </row>
    <row r="56" spans="1:20" ht="6.95" customHeight="1">
      <c r="A56" s="1059"/>
      <c r="B56" s="78"/>
      <c r="C56" s="1072"/>
      <c r="D56" s="27"/>
      <c r="E56" s="959"/>
      <c r="F56" s="78"/>
      <c r="G56" s="959"/>
      <c r="H56" s="78"/>
      <c r="I56" s="959"/>
      <c r="J56" s="339"/>
      <c r="K56" s="956"/>
      <c r="L56" s="1047"/>
      <c r="M56" s="856"/>
      <c r="N56" s="79"/>
      <c r="O56" s="78"/>
      <c r="P56" s="78"/>
      <c r="Q56" s="78"/>
      <c r="R56" s="78"/>
      <c r="S56" s="78"/>
      <c r="T56" s="78"/>
    </row>
    <row r="57" spans="1:20" ht="6.95" customHeight="1">
      <c r="A57" s="1059"/>
      <c r="B57" s="78"/>
      <c r="C57" s="1061"/>
      <c r="D57" s="27"/>
      <c r="E57" s="78"/>
      <c r="F57" s="78"/>
      <c r="G57" s="78"/>
      <c r="H57" s="78"/>
      <c r="I57" s="200"/>
      <c r="J57" s="339"/>
      <c r="K57" s="956"/>
      <c r="L57" s="1047"/>
      <c r="M57" s="856"/>
      <c r="N57" s="79"/>
      <c r="O57" s="78"/>
      <c r="P57" s="78"/>
      <c r="Q57" s="78"/>
      <c r="R57" s="78"/>
      <c r="S57" s="78"/>
      <c r="T57" s="78"/>
    </row>
    <row r="58" spans="1:20" ht="15.75">
      <c r="A58" s="1059">
        <v>1.27</v>
      </c>
      <c r="B58" s="78"/>
      <c r="C58" s="1073" t="s">
        <v>1580</v>
      </c>
      <c r="D58" s="27"/>
      <c r="E58" s="78"/>
      <c r="F58" s="78"/>
      <c r="G58" s="78"/>
      <c r="H58" s="78"/>
      <c r="I58" s="200"/>
      <c r="J58" s="1051">
        <f>+J53+1</f>
        <v>621</v>
      </c>
      <c r="K58" s="954">
        <f>+K40-K44-K45-K53</f>
        <v>47042</v>
      </c>
      <c r="L58" s="1058">
        <f>+A58</f>
        <v>1.27</v>
      </c>
      <c r="M58" s="815"/>
      <c r="N58" s="79"/>
      <c r="O58" s="79"/>
      <c r="P58" s="79"/>
      <c r="Q58" s="79"/>
      <c r="R58" s="79"/>
      <c r="S58" s="79"/>
      <c r="T58" s="79"/>
    </row>
    <row r="59" spans="1:20" ht="15.75">
      <c r="A59" s="78"/>
      <c r="B59" s="1060"/>
      <c r="C59" s="989" t="s">
        <v>2106</v>
      </c>
      <c r="D59" s="78"/>
      <c r="E59" s="78"/>
      <c r="F59" s="78"/>
      <c r="G59" s="78"/>
      <c r="H59" s="78"/>
      <c r="I59" s="1074"/>
      <c r="J59" s="957"/>
      <c r="K59" s="957"/>
      <c r="L59" s="1047"/>
      <c r="M59" s="815"/>
      <c r="N59" s="79"/>
      <c r="O59" s="79"/>
      <c r="P59" s="79"/>
      <c r="Q59" s="79"/>
      <c r="R59" s="79"/>
      <c r="S59" s="79"/>
      <c r="T59" s="79"/>
    </row>
    <row r="60" spans="1:20" ht="15.75">
      <c r="A60" s="78"/>
      <c r="B60" s="1060"/>
      <c r="C60" s="989"/>
      <c r="D60" s="78"/>
      <c r="E60" s="78"/>
      <c r="F60" s="78"/>
      <c r="G60" s="78"/>
      <c r="H60" s="78"/>
      <c r="I60" s="1074"/>
      <c r="J60" s="957"/>
      <c r="K60" s="957"/>
      <c r="L60" s="1047"/>
      <c r="M60" s="815"/>
      <c r="N60" s="79"/>
      <c r="O60" s="79"/>
      <c r="P60" s="79"/>
      <c r="Q60" s="79"/>
      <c r="R60" s="79"/>
      <c r="S60" s="79"/>
      <c r="T60" s="79"/>
    </row>
    <row r="61" spans="1:20" ht="15.75">
      <c r="A61" s="78"/>
      <c r="B61" s="1060"/>
      <c r="C61" s="989"/>
      <c r="D61" s="78"/>
      <c r="E61" s="78"/>
      <c r="F61" s="78"/>
      <c r="G61" s="78"/>
      <c r="H61" s="78"/>
      <c r="I61" s="1074"/>
      <c r="J61" s="957"/>
      <c r="K61" s="957"/>
      <c r="L61" s="1047"/>
      <c r="M61" s="815"/>
      <c r="N61" s="79"/>
      <c r="O61" s="79"/>
      <c r="P61" s="79"/>
      <c r="Q61" s="79"/>
      <c r="R61" s="79"/>
      <c r="S61" s="79"/>
      <c r="T61" s="79"/>
    </row>
    <row r="62" spans="1:20" ht="15.75">
      <c r="A62" s="1059">
        <v>1.28</v>
      </c>
      <c r="B62" s="78"/>
      <c r="C62" s="78" t="s">
        <v>78</v>
      </c>
      <c r="D62" s="78"/>
      <c r="E62" s="78"/>
      <c r="F62" s="78"/>
      <c r="G62" s="78"/>
      <c r="H62" s="78"/>
      <c r="I62" s="1074"/>
      <c r="J62" s="957"/>
      <c r="K62" s="957"/>
      <c r="L62" s="1047"/>
      <c r="M62" s="815"/>
      <c r="N62" s="79"/>
      <c r="O62" s="79"/>
      <c r="P62" s="79"/>
      <c r="Q62" s="79"/>
      <c r="R62" s="79"/>
      <c r="S62" s="79"/>
      <c r="T62" s="79"/>
    </row>
    <row r="63" spans="1:20" ht="15.75">
      <c r="A63" s="27" t="s">
        <v>1087</v>
      </c>
      <c r="B63" s="1060"/>
      <c r="C63" s="989" t="s">
        <v>1980</v>
      </c>
      <c r="D63" s="78"/>
      <c r="E63" s="78"/>
      <c r="F63" s="78"/>
      <c r="G63" s="78"/>
      <c r="H63" s="78"/>
      <c r="I63" s="1074"/>
      <c r="J63" s="957"/>
      <c r="K63" s="954">
        <f>-$K$38</f>
        <v>0</v>
      </c>
      <c r="L63" s="1047"/>
      <c r="M63" s="815"/>
      <c r="N63" s="79"/>
      <c r="O63" s="79"/>
      <c r="P63" s="79"/>
      <c r="Q63" s="79"/>
      <c r="R63" s="79"/>
      <c r="S63" s="79"/>
      <c r="T63" s="79"/>
    </row>
    <row r="64" spans="1:20" ht="15.75">
      <c r="A64" s="27" t="s">
        <v>1088</v>
      </c>
      <c r="B64" s="1060"/>
      <c r="C64" s="1075"/>
      <c r="D64" s="78"/>
      <c r="E64" s="78"/>
      <c r="F64" s="78"/>
      <c r="G64" s="78"/>
      <c r="H64" s="78"/>
      <c r="I64" s="1074"/>
      <c r="J64" s="957"/>
      <c r="K64" s="1076"/>
      <c r="L64" s="1047"/>
      <c r="M64" s="815"/>
      <c r="N64" s="79"/>
      <c r="O64" s="79"/>
      <c r="P64" s="79"/>
      <c r="Q64" s="79"/>
      <c r="R64" s="79"/>
      <c r="S64" s="79"/>
      <c r="T64" s="79"/>
    </row>
    <row r="65" spans="1:20" ht="12.75" customHeight="1">
      <c r="A65" s="1059" t="s">
        <v>1089</v>
      </c>
      <c r="B65" s="78"/>
      <c r="C65" s="78" t="s">
        <v>1092</v>
      </c>
      <c r="D65" s="78"/>
      <c r="E65" s="78"/>
      <c r="F65" s="78"/>
      <c r="G65" s="78"/>
      <c r="H65" s="78"/>
      <c r="I65" s="200"/>
      <c r="J65" s="78"/>
      <c r="K65" s="954">
        <f>+$K$63+$K$64</f>
        <v>0</v>
      </c>
      <c r="L65" s="1058" t="str">
        <f>+A65</f>
        <v>1.28.3</v>
      </c>
      <c r="M65" s="78"/>
      <c r="N65" s="79"/>
      <c r="O65" s="78"/>
      <c r="P65" s="78"/>
      <c r="Q65" s="78"/>
      <c r="R65" s="78"/>
      <c r="S65" s="78"/>
      <c r="T65" s="78"/>
    </row>
    <row r="66" spans="1:20" ht="15.75">
      <c r="A66" s="104"/>
      <c r="B66" s="78"/>
      <c r="C66" s="78"/>
      <c r="D66" s="78"/>
      <c r="E66" s="78"/>
      <c r="F66" s="78"/>
      <c r="G66" s="78"/>
      <c r="H66" s="78"/>
      <c r="I66" s="200"/>
      <c r="J66" s="78"/>
      <c r="K66" s="78"/>
      <c r="L66" s="1047"/>
      <c r="M66" s="78"/>
      <c r="N66" s="79"/>
      <c r="O66" s="78"/>
      <c r="P66" s="78"/>
      <c r="Q66" s="78"/>
      <c r="R66" s="78"/>
      <c r="S66" s="78"/>
      <c r="T66" s="78"/>
    </row>
    <row r="67" spans="1:20" ht="15.75">
      <c r="A67" s="1059">
        <v>1.29</v>
      </c>
      <c r="B67" s="78"/>
      <c r="C67" s="27" t="s">
        <v>79</v>
      </c>
      <c r="D67" s="78"/>
      <c r="E67" s="78"/>
      <c r="F67" s="78"/>
      <c r="G67" s="78"/>
      <c r="H67" s="78"/>
      <c r="I67" s="78"/>
      <c r="J67" s="78"/>
      <c r="K67" s="966">
        <f>$K$58+$K$65</f>
        <v>47042</v>
      </c>
      <c r="L67" s="1058">
        <f>+A67</f>
        <v>1.29</v>
      </c>
      <c r="M67" s="78"/>
      <c r="N67" s="78"/>
      <c r="O67" s="78"/>
      <c r="P67" s="78"/>
      <c r="Q67" s="78"/>
      <c r="R67" s="78"/>
      <c r="S67" s="78"/>
      <c r="T67" s="78"/>
    </row>
    <row r="68" spans="1:20">
      <c r="A68" s="78"/>
      <c r="B68" s="78"/>
      <c r="C68" s="400" t="s">
        <v>2032</v>
      </c>
      <c r="D68" s="78"/>
      <c r="E68" s="78"/>
      <c r="F68" s="78"/>
      <c r="G68" s="78"/>
      <c r="H68" s="78"/>
      <c r="I68" s="78"/>
      <c r="J68" s="78"/>
      <c r="K68" s="78"/>
      <c r="L68" s="78"/>
      <c r="M68" s="78"/>
      <c r="N68" s="78"/>
      <c r="O68" s="78"/>
      <c r="P68" s="78"/>
      <c r="Q68" s="78"/>
      <c r="R68" s="78"/>
      <c r="S68" s="78"/>
      <c r="T68" s="78"/>
    </row>
    <row r="69" spans="1:20" hidden="1">
      <c r="A69" s="78"/>
      <c r="B69" s="78"/>
      <c r="C69" s="78"/>
      <c r="D69" s="78"/>
      <c r="E69" s="78"/>
      <c r="F69" s="78"/>
      <c r="G69" s="78"/>
      <c r="H69" s="78"/>
      <c r="I69" s="78"/>
      <c r="J69" s="78"/>
      <c r="K69" s="78"/>
      <c r="L69" s="78"/>
      <c r="M69" s="78"/>
      <c r="N69" s="78"/>
      <c r="O69" s="78"/>
      <c r="P69" s="78"/>
      <c r="Q69" s="78"/>
      <c r="R69" s="78"/>
      <c r="S69" s="78"/>
      <c r="T69" s="78"/>
    </row>
    <row r="70" spans="1:20" hidden="1">
      <c r="A70" s="78"/>
      <c r="B70" s="78"/>
      <c r="C70" s="78"/>
      <c r="D70" s="78"/>
      <c r="E70" s="78"/>
      <c r="F70" s="78"/>
      <c r="G70" s="78"/>
      <c r="H70" s="78"/>
      <c r="I70" s="78"/>
      <c r="J70" s="78"/>
      <c r="K70" s="78"/>
      <c r="L70" s="78"/>
      <c r="M70" s="78"/>
      <c r="N70" s="78"/>
      <c r="O70" s="78"/>
      <c r="P70" s="78"/>
      <c r="Q70" s="78"/>
      <c r="R70" s="78"/>
      <c r="S70" s="78"/>
      <c r="T70" s="78"/>
    </row>
    <row r="71" spans="1:20" hidden="1">
      <c r="A71" s="78"/>
      <c r="B71" s="78"/>
      <c r="C71" s="78"/>
      <c r="D71" s="78"/>
      <c r="E71" s="78"/>
      <c r="F71" s="78"/>
      <c r="G71" s="78"/>
      <c r="H71" s="78"/>
      <c r="I71" s="78"/>
      <c r="J71" s="78"/>
      <c r="K71" s="78"/>
      <c r="L71" s="78"/>
      <c r="M71" s="78"/>
      <c r="N71" s="78"/>
      <c r="O71" s="78"/>
      <c r="P71" s="78"/>
      <c r="Q71" s="78"/>
      <c r="R71" s="78"/>
      <c r="S71" s="78"/>
      <c r="T71" s="78"/>
    </row>
    <row r="72" spans="1:20" hidden="1">
      <c r="A72" s="78"/>
      <c r="B72" s="78"/>
      <c r="C72" s="78"/>
      <c r="D72" s="78"/>
      <c r="E72" s="78"/>
      <c r="F72" s="78"/>
      <c r="G72" s="78"/>
      <c r="H72" s="78"/>
      <c r="I72" s="78"/>
      <c r="J72" s="78"/>
      <c r="K72" s="78"/>
      <c r="L72" s="78"/>
      <c r="M72" s="78"/>
      <c r="N72" s="78"/>
      <c r="O72" s="78"/>
      <c r="P72" s="78"/>
      <c r="Q72" s="78"/>
      <c r="R72" s="78"/>
      <c r="S72" s="78"/>
      <c r="T72" s="78"/>
    </row>
    <row r="73" spans="1:20" hidden="1">
      <c r="A73" s="78"/>
      <c r="B73" s="78"/>
      <c r="C73" s="78"/>
      <c r="D73" s="78"/>
      <c r="E73" s="78"/>
      <c r="F73" s="78"/>
      <c r="G73" s="78"/>
      <c r="H73" s="78"/>
      <c r="I73" s="78"/>
      <c r="J73" s="78"/>
      <c r="K73" s="78"/>
      <c r="L73" s="78"/>
      <c r="M73" s="78"/>
      <c r="N73" s="78"/>
      <c r="O73" s="78"/>
      <c r="P73" s="78"/>
      <c r="Q73" s="78"/>
      <c r="R73" s="78"/>
      <c r="S73" s="78"/>
      <c r="T73" s="78"/>
    </row>
    <row r="74" spans="1:20" hidden="1">
      <c r="A74" s="78"/>
      <c r="B74" s="78"/>
      <c r="C74" s="78"/>
      <c r="D74" s="78"/>
      <c r="E74" s="78"/>
      <c r="F74" s="78"/>
      <c r="G74" s="78"/>
      <c r="H74" s="78"/>
      <c r="I74" s="78"/>
      <c r="J74" s="78"/>
      <c r="K74" s="78"/>
      <c r="L74" s="78"/>
      <c r="M74" s="78"/>
      <c r="N74" s="78"/>
      <c r="O74" s="78"/>
      <c r="P74" s="78"/>
      <c r="Q74" s="78"/>
      <c r="R74" s="78"/>
      <c r="S74" s="78"/>
      <c r="T74" s="78"/>
    </row>
    <row r="75" spans="1:20" hidden="1">
      <c r="A75" s="78"/>
      <c r="B75" s="78"/>
      <c r="C75" s="78"/>
      <c r="D75" s="78"/>
      <c r="E75" s="78"/>
      <c r="F75" s="78"/>
      <c r="G75" s="78"/>
      <c r="H75" s="78"/>
      <c r="I75" s="78"/>
      <c r="J75" s="78"/>
      <c r="K75" s="78"/>
      <c r="L75" s="78"/>
      <c r="M75" s="78"/>
      <c r="N75" s="78"/>
      <c r="O75" s="78"/>
      <c r="P75" s="78"/>
      <c r="Q75" s="78"/>
      <c r="R75" s="78"/>
      <c r="S75" s="78"/>
      <c r="T75" s="78"/>
    </row>
    <row r="76" spans="1:20" hidden="1">
      <c r="A76" s="78"/>
      <c r="B76" s="78"/>
      <c r="C76" s="78"/>
      <c r="D76" s="78"/>
      <c r="E76" s="78"/>
      <c r="F76" s="78"/>
      <c r="G76" s="78"/>
      <c r="H76" s="78"/>
      <c r="I76" s="78"/>
      <c r="J76" s="78"/>
      <c r="K76" s="78"/>
      <c r="L76" s="78"/>
      <c r="M76" s="78"/>
      <c r="N76" s="78"/>
      <c r="O76" s="78"/>
      <c r="P76" s="78"/>
      <c r="Q76" s="78"/>
      <c r="R76" s="78"/>
      <c r="S76" s="78"/>
      <c r="T76" s="78"/>
    </row>
    <row r="77" spans="1:20" hidden="1">
      <c r="A77" s="78"/>
      <c r="B77" s="78"/>
      <c r="C77" s="78"/>
      <c r="D77" s="78"/>
      <c r="E77" s="78"/>
      <c r="F77" s="78"/>
      <c r="G77" s="78"/>
      <c r="H77" s="78"/>
      <c r="I77" s="78"/>
      <c r="J77" s="78"/>
      <c r="K77" s="78"/>
      <c r="L77" s="78"/>
      <c r="M77" s="78"/>
      <c r="N77" s="78"/>
      <c r="O77" s="78"/>
      <c r="P77" s="78"/>
      <c r="Q77" s="78"/>
      <c r="R77" s="78"/>
      <c r="S77" s="78"/>
      <c r="T77" s="78"/>
    </row>
    <row r="78" spans="1:20" hidden="1">
      <c r="A78" s="78"/>
      <c r="B78" s="78"/>
      <c r="C78" s="78"/>
      <c r="D78" s="78"/>
      <c r="E78" s="78"/>
      <c r="F78" s="78"/>
      <c r="G78" s="78"/>
      <c r="H78" s="78"/>
      <c r="I78" s="78"/>
      <c r="J78" s="78"/>
      <c r="K78" s="78"/>
      <c r="L78" s="78"/>
      <c r="M78" s="78"/>
      <c r="N78" s="78"/>
      <c r="O78" s="78"/>
      <c r="P78" s="78"/>
      <c r="Q78" s="78"/>
      <c r="R78" s="78"/>
      <c r="S78" s="78"/>
      <c r="T78" s="78"/>
    </row>
    <row r="79" spans="1:20" hidden="1">
      <c r="A79" s="78"/>
      <c r="B79" s="78"/>
      <c r="C79" s="78"/>
      <c r="D79" s="78"/>
      <c r="E79" s="78"/>
      <c r="F79" s="78"/>
      <c r="G79" s="78"/>
      <c r="H79" s="78"/>
      <c r="I79" s="78"/>
      <c r="J79" s="78"/>
      <c r="K79" s="78"/>
      <c r="L79" s="78"/>
      <c r="M79" s="78"/>
      <c r="N79" s="78"/>
      <c r="O79" s="78"/>
      <c r="P79" s="78"/>
      <c r="Q79" s="78"/>
      <c r="R79" s="78"/>
      <c r="S79" s="78"/>
      <c r="T79" s="78"/>
    </row>
    <row r="80" spans="1:20" hidden="1">
      <c r="A80" s="78"/>
      <c r="B80" s="78"/>
      <c r="C80" s="78"/>
      <c r="D80" s="78"/>
      <c r="E80" s="78"/>
      <c r="F80" s="78"/>
      <c r="G80" s="78"/>
      <c r="H80" s="78"/>
      <c r="I80" s="78"/>
      <c r="J80" s="78"/>
      <c r="K80" s="78"/>
      <c r="L80" s="78"/>
      <c r="M80" s="78"/>
      <c r="N80" s="78"/>
      <c r="O80" s="78"/>
      <c r="P80" s="78"/>
      <c r="Q80" s="78"/>
      <c r="R80" s="78"/>
      <c r="S80" s="78"/>
      <c r="T80" s="78"/>
    </row>
    <row r="81" spans="1:20">
      <c r="A81" s="78"/>
      <c r="B81" s="78"/>
      <c r="C81" s="78"/>
      <c r="D81" s="78"/>
      <c r="E81" s="78"/>
      <c r="F81" s="78"/>
      <c r="G81" s="78"/>
      <c r="H81" s="78"/>
      <c r="I81" s="78"/>
      <c r="J81" s="78"/>
      <c r="K81" s="78"/>
      <c r="L81" s="78"/>
      <c r="M81" s="78"/>
      <c r="N81" s="78"/>
      <c r="O81" s="78"/>
      <c r="P81" s="78"/>
      <c r="Q81" s="78"/>
      <c r="R81" s="78"/>
      <c r="S81" s="78"/>
      <c r="T81" s="78"/>
    </row>
    <row r="82" spans="1:20" hidden="1">
      <c r="A82" s="78"/>
      <c r="B82" s="78"/>
      <c r="C82" s="78"/>
      <c r="D82" s="78"/>
      <c r="E82" s="78"/>
      <c r="F82" s="78"/>
      <c r="G82" s="78"/>
      <c r="H82" s="78"/>
      <c r="I82" s="78"/>
      <c r="J82" s="78"/>
      <c r="K82" s="78"/>
      <c r="L82" s="78"/>
      <c r="M82" s="78"/>
      <c r="N82" s="78"/>
      <c r="O82" s="78"/>
      <c r="P82" s="78"/>
      <c r="Q82" s="78"/>
      <c r="R82" s="78"/>
      <c r="S82" s="78"/>
      <c r="T82" s="78"/>
    </row>
    <row r="83" spans="1:20" hidden="1">
      <c r="A83" s="78"/>
      <c r="B83" s="78"/>
      <c r="C83" s="78"/>
      <c r="D83" s="78"/>
      <c r="E83" s="78"/>
      <c r="F83" s="78"/>
      <c r="G83" s="78"/>
      <c r="H83" s="78"/>
      <c r="I83" s="78"/>
      <c r="J83" s="78"/>
      <c r="K83" s="78"/>
      <c r="L83" s="78"/>
      <c r="M83" s="78"/>
      <c r="N83" s="78"/>
      <c r="O83" s="78"/>
      <c r="P83" s="78"/>
      <c r="Q83" s="78"/>
      <c r="R83" s="78"/>
      <c r="S83" s="78"/>
      <c r="T83" s="78"/>
    </row>
    <row r="84" spans="1:20" hidden="1">
      <c r="A84" s="78"/>
      <c r="B84" s="78"/>
      <c r="C84" s="78"/>
      <c r="D84" s="78"/>
      <c r="E84" s="78"/>
      <c r="F84" s="78"/>
      <c r="G84" s="78"/>
      <c r="H84" s="78"/>
      <c r="I84" s="78"/>
      <c r="J84" s="78"/>
      <c r="K84" s="78"/>
      <c r="L84" s="78"/>
      <c r="M84" s="78"/>
      <c r="N84" s="78"/>
      <c r="O84" s="78"/>
      <c r="P84" s="78"/>
      <c r="Q84" s="78"/>
      <c r="R84" s="78"/>
      <c r="S84" s="78"/>
      <c r="T84" s="78"/>
    </row>
    <row r="85" spans="1:20" hidden="1">
      <c r="A85" s="78"/>
      <c r="B85" s="78"/>
      <c r="C85" s="78"/>
      <c r="D85" s="78"/>
      <c r="E85" s="78"/>
      <c r="F85" s="78"/>
      <c r="G85" s="78"/>
      <c r="H85" s="78"/>
      <c r="I85" s="78"/>
      <c r="J85" s="78"/>
      <c r="K85" s="78"/>
      <c r="L85" s="78"/>
      <c r="M85" s="78"/>
      <c r="N85" s="78"/>
      <c r="O85" s="78"/>
      <c r="P85" s="78"/>
      <c r="Q85" s="78"/>
      <c r="R85" s="78"/>
      <c r="S85" s="78"/>
      <c r="T85" s="78"/>
    </row>
    <row r="86" spans="1:20" hidden="1">
      <c r="A86" s="78"/>
      <c r="B86" s="78"/>
      <c r="C86" s="78"/>
      <c r="D86" s="78"/>
      <c r="E86" s="78"/>
      <c r="F86" s="78"/>
      <c r="G86" s="78"/>
      <c r="H86" s="78"/>
      <c r="I86" s="78"/>
      <c r="J86" s="78"/>
      <c r="K86" s="78"/>
      <c r="L86" s="78"/>
      <c r="M86" s="78"/>
      <c r="N86" s="78"/>
      <c r="O86" s="78"/>
      <c r="P86" s="78"/>
      <c r="Q86" s="78"/>
      <c r="R86" s="78"/>
      <c r="S86" s="78"/>
      <c r="T86" s="78"/>
    </row>
    <row r="87" spans="1:20" hidden="1">
      <c r="A87" s="78"/>
      <c r="B87" s="78"/>
      <c r="C87" s="78"/>
      <c r="D87" s="78"/>
      <c r="E87" s="78"/>
      <c r="F87" s="78"/>
      <c r="G87" s="78"/>
      <c r="H87" s="78"/>
      <c r="I87" s="78"/>
      <c r="J87" s="78"/>
      <c r="K87" s="78"/>
      <c r="L87" s="78"/>
      <c r="M87" s="78"/>
      <c r="N87" s="78"/>
      <c r="O87" s="78"/>
      <c r="P87" s="78"/>
      <c r="Q87" s="78"/>
      <c r="R87" s="78"/>
      <c r="S87" s="78"/>
      <c r="T87" s="78"/>
    </row>
    <row r="88" spans="1:20" hidden="1">
      <c r="A88" s="78"/>
      <c r="B88" s="78"/>
      <c r="C88" s="78"/>
      <c r="D88" s="78"/>
      <c r="E88" s="78"/>
      <c r="F88" s="78"/>
      <c r="G88" s="78"/>
      <c r="H88" s="78"/>
      <c r="I88" s="78"/>
      <c r="J88" s="78"/>
      <c r="K88" s="78"/>
      <c r="L88" s="78"/>
      <c r="M88" s="78"/>
      <c r="N88" s="78"/>
      <c r="O88" s="78"/>
      <c r="P88" s="78"/>
      <c r="Q88" s="78"/>
      <c r="R88" s="78"/>
      <c r="S88" s="78"/>
      <c r="T88" s="78"/>
    </row>
    <row r="89" spans="1:20" hidden="1">
      <c r="A89" s="78"/>
      <c r="B89" s="78"/>
      <c r="C89" s="78"/>
      <c r="D89" s="78"/>
      <c r="E89" s="78"/>
      <c r="F89" s="78"/>
      <c r="G89" s="78"/>
      <c r="H89" s="78"/>
      <c r="I89" s="78"/>
      <c r="J89" s="78"/>
      <c r="K89" s="78"/>
      <c r="L89" s="78"/>
      <c r="M89" s="78"/>
      <c r="N89" s="78"/>
      <c r="O89" s="78"/>
      <c r="P89" s="78"/>
      <c r="Q89" s="78"/>
      <c r="R89" s="78"/>
      <c r="S89" s="78"/>
      <c r="T89" s="78"/>
    </row>
    <row r="90" spans="1:20" hidden="1">
      <c r="A90" s="78"/>
      <c r="B90" s="78"/>
      <c r="C90" s="78"/>
      <c r="D90" s="78"/>
      <c r="E90" s="78"/>
      <c r="F90" s="78"/>
      <c r="G90" s="78"/>
      <c r="H90" s="78"/>
      <c r="I90" s="78"/>
      <c r="J90" s="78"/>
      <c r="K90" s="78"/>
      <c r="L90" s="78"/>
      <c r="M90" s="78"/>
      <c r="N90" s="78"/>
      <c r="O90" s="78"/>
      <c r="P90" s="78"/>
      <c r="Q90" s="78"/>
      <c r="R90" s="78"/>
      <c r="S90" s="78"/>
      <c r="T90" s="78"/>
    </row>
    <row r="91" spans="1:20" hidden="1">
      <c r="A91" s="78"/>
      <c r="B91" s="78"/>
      <c r="C91" s="78"/>
      <c r="D91" s="78"/>
      <c r="E91" s="78"/>
      <c r="F91" s="78"/>
      <c r="G91" s="78"/>
      <c r="H91" s="78"/>
      <c r="I91" s="78"/>
      <c r="J91" s="78"/>
      <c r="K91" s="78"/>
      <c r="L91" s="78"/>
      <c r="M91" s="78"/>
      <c r="N91" s="78"/>
      <c r="O91" s="78"/>
      <c r="P91" s="78"/>
      <c r="Q91" s="78"/>
      <c r="R91" s="78"/>
      <c r="S91" s="78"/>
      <c r="T91" s="78"/>
    </row>
    <row r="92" spans="1:20" hidden="1">
      <c r="A92" s="78"/>
      <c r="B92" s="78"/>
      <c r="C92" s="78"/>
      <c r="D92" s="78"/>
      <c r="E92" s="78"/>
      <c r="F92" s="78"/>
      <c r="G92" s="78"/>
      <c r="H92" s="78"/>
      <c r="I92" s="78"/>
      <c r="J92" s="78"/>
      <c r="K92" s="78"/>
      <c r="L92" s="78"/>
      <c r="M92" s="78"/>
      <c r="N92" s="78"/>
      <c r="O92" s="78"/>
      <c r="P92" s="78"/>
      <c r="Q92" s="78"/>
      <c r="R92" s="78"/>
      <c r="S92" s="78"/>
      <c r="T92" s="78"/>
    </row>
    <row r="93" spans="1:20" hidden="1">
      <c r="A93" s="78"/>
      <c r="B93" s="78"/>
      <c r="C93" s="78"/>
      <c r="D93" s="78"/>
      <c r="E93" s="78"/>
      <c r="F93" s="78"/>
      <c r="G93" s="78"/>
      <c r="H93" s="78"/>
      <c r="I93" s="78"/>
      <c r="J93" s="78"/>
      <c r="K93" s="78"/>
      <c r="L93" s="78"/>
      <c r="M93" s="78"/>
      <c r="N93" s="78"/>
      <c r="O93" s="78"/>
      <c r="P93" s="78"/>
      <c r="Q93" s="78"/>
      <c r="R93" s="78"/>
      <c r="S93" s="78"/>
      <c r="T93" s="78"/>
    </row>
    <row r="94" spans="1:20" hidden="1">
      <c r="A94" s="78"/>
      <c r="B94" s="78"/>
      <c r="C94" s="78"/>
      <c r="D94" s="78"/>
      <c r="E94" s="78"/>
      <c r="F94" s="78"/>
      <c r="G94" s="78"/>
      <c r="H94" s="78"/>
      <c r="I94" s="78"/>
      <c r="J94" s="78"/>
      <c r="K94" s="78"/>
      <c r="L94" s="78"/>
      <c r="M94" s="78"/>
      <c r="N94" s="78"/>
      <c r="O94" s="78"/>
      <c r="P94" s="78"/>
      <c r="Q94" s="78"/>
      <c r="R94" s="78"/>
      <c r="S94" s="78"/>
      <c r="T94" s="78"/>
    </row>
    <row r="95" spans="1:20" hidden="1">
      <c r="A95" s="78"/>
      <c r="B95" s="78"/>
      <c r="C95" s="78"/>
      <c r="D95" s="78"/>
      <c r="E95" s="78"/>
      <c r="F95" s="78"/>
      <c r="G95" s="78"/>
      <c r="H95" s="78"/>
      <c r="I95" s="78"/>
      <c r="J95" s="78"/>
      <c r="K95" s="78"/>
      <c r="L95" s="78"/>
      <c r="M95" s="78"/>
      <c r="N95" s="78"/>
      <c r="O95" s="78"/>
      <c r="P95" s="78"/>
      <c r="Q95" s="78"/>
      <c r="R95" s="78"/>
      <c r="S95" s="78"/>
      <c r="T95" s="78"/>
    </row>
    <row r="96" spans="1:20" hidden="1">
      <c r="A96" s="78"/>
      <c r="B96" s="78"/>
      <c r="C96" s="78"/>
      <c r="D96" s="78"/>
      <c r="E96" s="78"/>
      <c r="F96" s="78"/>
      <c r="G96" s="78"/>
      <c r="H96" s="78"/>
      <c r="I96" s="78"/>
      <c r="J96" s="78"/>
      <c r="K96" s="78"/>
      <c r="L96" s="78"/>
      <c r="M96" s="78"/>
      <c r="N96" s="78"/>
      <c r="O96" s="78"/>
      <c r="P96" s="78"/>
      <c r="Q96" s="78"/>
      <c r="R96" s="78"/>
      <c r="S96" s="78"/>
      <c r="T96" s="78"/>
    </row>
    <row r="97" spans="1:20" hidden="1">
      <c r="A97" s="78"/>
      <c r="B97" s="78"/>
      <c r="C97" s="78"/>
      <c r="D97" s="78"/>
      <c r="E97" s="78"/>
      <c r="F97" s="78"/>
      <c r="G97" s="78"/>
      <c r="H97" s="78"/>
      <c r="I97" s="78"/>
      <c r="J97" s="78"/>
      <c r="K97" s="78"/>
      <c r="L97" s="78"/>
      <c r="M97" s="78"/>
      <c r="N97" s="78"/>
      <c r="O97" s="78"/>
      <c r="P97" s="78"/>
      <c r="Q97" s="78"/>
      <c r="R97" s="78"/>
      <c r="S97" s="78"/>
      <c r="T97" s="78"/>
    </row>
    <row r="98" spans="1:20" hidden="1">
      <c r="A98" s="78"/>
      <c r="B98" s="78"/>
      <c r="C98" s="78"/>
      <c r="D98" s="78"/>
      <c r="E98" s="78"/>
      <c r="F98" s="78"/>
      <c r="G98" s="78"/>
      <c r="H98" s="78"/>
      <c r="I98" s="78"/>
      <c r="J98" s="78"/>
      <c r="K98" s="78"/>
      <c r="L98" s="78"/>
      <c r="M98" s="78"/>
      <c r="N98" s="78"/>
      <c r="O98" s="78"/>
      <c r="P98" s="78"/>
      <c r="Q98" s="78"/>
      <c r="R98" s="78"/>
      <c r="S98" s="78"/>
      <c r="T98" s="78"/>
    </row>
    <row r="99" spans="1:20" hidden="1">
      <c r="A99" s="78"/>
      <c r="B99" s="78"/>
      <c r="C99" s="78"/>
      <c r="D99" s="78"/>
      <c r="E99" s="78"/>
      <c r="F99" s="78"/>
      <c r="G99" s="78"/>
      <c r="H99" s="78"/>
      <c r="I99" s="78"/>
      <c r="J99" s="78"/>
      <c r="K99" s="78"/>
      <c r="L99" s="78"/>
      <c r="M99" s="78"/>
      <c r="N99" s="78"/>
      <c r="O99" s="78"/>
      <c r="P99" s="78"/>
      <c r="Q99" s="78"/>
      <c r="R99" s="78"/>
      <c r="S99" s="78"/>
      <c r="T99" s="78"/>
    </row>
    <row r="100" spans="1:20" hidden="1">
      <c r="A100" s="78"/>
      <c r="B100" s="78"/>
      <c r="C100" s="78"/>
      <c r="D100" s="78"/>
      <c r="E100" s="78"/>
      <c r="F100" s="78"/>
      <c r="G100" s="78"/>
      <c r="H100" s="78"/>
      <c r="I100" s="78"/>
      <c r="J100" s="78"/>
      <c r="K100" s="78"/>
      <c r="L100" s="78"/>
      <c r="M100" s="78"/>
      <c r="N100" s="78"/>
      <c r="O100" s="78"/>
      <c r="P100" s="78"/>
      <c r="Q100" s="78"/>
      <c r="R100" s="78"/>
      <c r="S100" s="78"/>
      <c r="T100" s="78"/>
    </row>
    <row r="101" spans="1:20" hidden="1">
      <c r="A101" s="78"/>
      <c r="B101" s="78"/>
      <c r="C101" s="78"/>
      <c r="D101" s="78"/>
      <c r="E101" s="78"/>
      <c r="F101" s="78"/>
      <c r="G101" s="78"/>
      <c r="H101" s="78"/>
      <c r="I101" s="78"/>
      <c r="J101" s="78"/>
      <c r="K101" s="78"/>
      <c r="L101" s="78"/>
      <c r="M101" s="78"/>
      <c r="N101" s="78"/>
      <c r="O101" s="78"/>
      <c r="P101" s="78"/>
      <c r="Q101" s="78"/>
      <c r="R101" s="78"/>
      <c r="S101" s="78"/>
      <c r="T101" s="78"/>
    </row>
    <row r="102" spans="1:20" hidden="1">
      <c r="A102" s="78"/>
      <c r="B102" s="78"/>
      <c r="C102" s="78"/>
      <c r="D102" s="78"/>
      <c r="E102" s="78"/>
      <c r="F102" s="78"/>
      <c r="G102" s="78"/>
      <c r="H102" s="78"/>
      <c r="I102" s="78"/>
      <c r="J102" s="78"/>
      <c r="K102" s="78"/>
      <c r="L102" s="78"/>
      <c r="M102" s="78"/>
      <c r="N102" s="78"/>
      <c r="O102" s="78"/>
      <c r="P102" s="78"/>
      <c r="Q102" s="78"/>
      <c r="R102" s="78"/>
      <c r="S102" s="78"/>
      <c r="T102" s="78"/>
    </row>
    <row r="103" spans="1:20" hidden="1">
      <c r="A103" s="78"/>
      <c r="B103" s="78"/>
      <c r="C103" s="78"/>
      <c r="D103" s="78"/>
      <c r="E103" s="78"/>
      <c r="F103" s="78"/>
      <c r="G103" s="78"/>
      <c r="H103" s="78"/>
      <c r="I103" s="78"/>
      <c r="J103" s="78"/>
      <c r="K103" s="78"/>
      <c r="L103" s="78"/>
      <c r="M103" s="78"/>
      <c r="N103" s="78"/>
      <c r="O103" s="78"/>
      <c r="P103" s="78"/>
      <c r="Q103" s="78"/>
      <c r="R103" s="78"/>
      <c r="S103" s="78"/>
      <c r="T103" s="78"/>
    </row>
    <row r="104" spans="1:20" hidden="1">
      <c r="A104" s="78"/>
      <c r="B104" s="78"/>
      <c r="C104" s="78"/>
      <c r="D104" s="78"/>
      <c r="E104" s="78"/>
      <c r="F104" s="78"/>
      <c r="G104" s="78"/>
      <c r="H104" s="78"/>
      <c r="I104" s="78"/>
      <c r="J104" s="78"/>
      <c r="K104" s="78"/>
      <c r="L104" s="78"/>
      <c r="M104" s="78"/>
      <c r="N104" s="78"/>
      <c r="O104" s="78"/>
      <c r="P104" s="78"/>
      <c r="Q104" s="78"/>
      <c r="R104" s="78"/>
      <c r="S104" s="78"/>
      <c r="T104" s="78"/>
    </row>
    <row r="105" spans="1:20" hidden="1">
      <c r="A105" s="78"/>
      <c r="B105" s="78"/>
      <c r="C105" s="78"/>
      <c r="D105" s="78"/>
      <c r="E105" s="78"/>
      <c r="F105" s="78"/>
      <c r="G105" s="78"/>
      <c r="H105" s="78"/>
      <c r="I105" s="78"/>
      <c r="J105" s="78"/>
      <c r="K105" s="78"/>
      <c r="L105" s="78"/>
      <c r="M105" s="78"/>
      <c r="N105" s="78"/>
      <c r="O105" s="78"/>
      <c r="P105" s="78"/>
      <c r="Q105" s="78"/>
      <c r="R105" s="78"/>
      <c r="S105" s="78"/>
      <c r="T105" s="78"/>
    </row>
    <row r="106" spans="1:20" hidden="1">
      <c r="A106" s="78"/>
      <c r="B106" s="78"/>
      <c r="C106" s="78"/>
      <c r="D106" s="78"/>
      <c r="E106" s="78"/>
      <c r="F106" s="78"/>
      <c r="G106" s="78"/>
      <c r="H106" s="78"/>
      <c r="I106" s="78"/>
      <c r="J106" s="78"/>
      <c r="K106" s="78"/>
      <c r="L106" s="78"/>
      <c r="M106" s="78"/>
      <c r="N106" s="78"/>
      <c r="O106" s="78"/>
      <c r="P106" s="78"/>
      <c r="Q106" s="78"/>
      <c r="R106" s="78"/>
      <c r="S106" s="78"/>
      <c r="T106" s="78"/>
    </row>
    <row r="107" spans="1:20" hidden="1"/>
    <row r="108" spans="1:20" hidden="1"/>
    <row r="109" spans="1:20" hidden="1"/>
    <row r="110" spans="1:20" hidden="1"/>
  </sheetData>
  <sheetProtection password="C7B7" sheet="1" objects="1" scenarios="1"/>
  <protectedRanges>
    <protectedRange sqref="G3" name="Range3"/>
    <protectedRange sqref="K64" name="Range2"/>
    <protectedRange sqref="G6:J6" name="Range1"/>
  </protectedRanges>
  <phoneticPr fontId="13" type="noConversion"/>
  <dataValidations xWindow="889" yWindow="247" count="3">
    <dataValidation type="list" allowBlank="1" showInputMessage="1" showErrorMessage="1" promptTitle="School Authority No." prompt="Please select your school authority number_x000a__x000a_" sqref="G3">
      <formula1>$O$2:$O$6</formula1>
    </dataValidation>
    <dataValidation type="list" allowBlank="1" showInputMessage="1" showErrorMessage="1" promptTitle="School Authority Type" prompt="Please select the applicable type of School Authority" sqref="G6">
      <formula1>$Q$8:$Q$10</formula1>
    </dataValidation>
    <dataValidation type="list" allowBlank="1" showInputMessage="1" showErrorMessage="1" promptTitle="Select School Authority " prompt="Please select" sqref="N1:N106">
      <formula1>"N2:N33"</formula1>
    </dataValidation>
  </dataValidations>
  <printOptions horizontalCentered="1"/>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
  <sheetViews>
    <sheetView topLeftCell="A16" zoomScaleNormal="100" workbookViewId="0">
      <selection activeCell="F10" sqref="F10"/>
    </sheetView>
  </sheetViews>
  <sheetFormatPr defaultColWidth="0" defaultRowHeight="12.75" zeroHeight="1"/>
  <cols>
    <col min="1" max="1" width="10.28515625" customWidth="1"/>
    <col min="2" max="2" width="11.5703125" customWidth="1"/>
    <col min="3" max="3" width="48.85546875" customWidth="1"/>
    <col min="4" max="4" width="4.28515625" customWidth="1"/>
    <col min="5" max="5" width="15.42578125" customWidth="1"/>
    <col min="6" max="6" width="12.28515625" customWidth="1"/>
    <col min="7" max="7" width="5.140625" customWidth="1"/>
    <col min="8" max="8" width="7.7109375" customWidth="1"/>
  </cols>
  <sheetData>
    <row r="1" spans="1:9">
      <c r="A1" s="5"/>
      <c r="B1" s="381"/>
      <c r="C1" s="1703" t="s">
        <v>163</v>
      </c>
      <c r="D1" s="2424" t="str">
        <f>'1 Summary'!G2</f>
        <v/>
      </c>
      <c r="E1" s="2425"/>
      <c r="F1" s="2425"/>
      <c r="G1" s="1704"/>
      <c r="H1" s="5"/>
    </row>
    <row r="2" spans="1:9">
      <c r="A2" s="5"/>
      <c r="B2" s="381"/>
      <c r="C2" s="13" t="s">
        <v>653</v>
      </c>
      <c r="D2" s="2426">
        <f>'1 Summary'!G3</f>
        <v>0</v>
      </c>
      <c r="E2" s="2427"/>
      <c r="F2" s="2428"/>
      <c r="G2" s="614"/>
      <c r="H2" s="5"/>
    </row>
    <row r="3" spans="1:9">
      <c r="A3" s="5"/>
      <c r="B3" s="381"/>
      <c r="C3" s="5"/>
      <c r="D3" s="5"/>
      <c r="E3" s="1705"/>
      <c r="F3" s="1705"/>
      <c r="G3" s="1705"/>
      <c r="H3" s="5"/>
    </row>
    <row r="4" spans="1:9" ht="18">
      <c r="A4" s="1706"/>
      <c r="B4" s="381"/>
      <c r="C4" s="5"/>
      <c r="D4" s="5"/>
      <c r="E4" s="1705"/>
      <c r="F4" s="1705"/>
      <c r="G4" s="1705"/>
      <c r="H4" s="5"/>
    </row>
    <row r="5" spans="1:9">
      <c r="A5" s="5"/>
      <c r="B5" s="381"/>
      <c r="C5" s="611" t="s">
        <v>2487</v>
      </c>
      <c r="D5" s="5"/>
      <c r="E5" s="1705"/>
      <c r="F5" s="1705"/>
      <c r="G5" s="1705"/>
      <c r="H5" s="5"/>
    </row>
    <row r="6" spans="1:9">
      <c r="A6" s="5"/>
      <c r="B6" s="381"/>
      <c r="C6" s="1707" t="s">
        <v>2488</v>
      </c>
      <c r="D6" s="5"/>
      <c r="E6" s="1705"/>
      <c r="F6" s="1705"/>
      <c r="G6" s="1705"/>
      <c r="H6" s="5"/>
    </row>
    <row r="7" spans="1:9">
      <c r="A7" s="5"/>
      <c r="B7" s="381"/>
      <c r="C7" s="1708" t="s">
        <v>2489</v>
      </c>
      <c r="D7" s="5"/>
      <c r="E7" s="1705"/>
      <c r="F7" s="1705"/>
      <c r="G7" s="1705"/>
      <c r="H7" s="5"/>
    </row>
    <row r="8" spans="1:9">
      <c r="A8" s="5"/>
      <c r="B8" s="381"/>
      <c r="C8" s="1708"/>
      <c r="D8" s="5"/>
      <c r="E8" s="1705"/>
      <c r="F8" s="1705"/>
      <c r="G8" s="1705"/>
      <c r="H8" s="5"/>
    </row>
    <row r="9" spans="1:9">
      <c r="A9" s="5"/>
      <c r="B9" s="381"/>
      <c r="C9" s="5"/>
      <c r="D9" s="5"/>
      <c r="E9" s="1705"/>
      <c r="F9" s="2328" t="s">
        <v>2697</v>
      </c>
      <c r="G9" s="1709"/>
      <c r="H9" s="5"/>
    </row>
    <row r="10" spans="1:9">
      <c r="A10" s="5"/>
      <c r="B10" s="381"/>
      <c r="C10" s="5"/>
      <c r="D10" s="5"/>
      <c r="E10" s="1710" t="s">
        <v>2917</v>
      </c>
      <c r="F10" s="1710" t="s">
        <v>2490</v>
      </c>
      <c r="G10" s="1710"/>
      <c r="H10" s="5"/>
    </row>
    <row r="11" spans="1:9">
      <c r="A11" s="5"/>
      <c r="B11" s="381"/>
      <c r="C11" s="5"/>
      <c r="D11" s="5"/>
      <c r="E11" s="1710" t="s">
        <v>2147</v>
      </c>
      <c r="F11" s="1710" t="s">
        <v>2148</v>
      </c>
      <c r="G11" s="1710"/>
      <c r="H11" s="5"/>
    </row>
    <row r="12" spans="1:9">
      <c r="A12" s="5"/>
      <c r="B12" s="2218">
        <v>1</v>
      </c>
      <c r="C12" s="2217" t="s">
        <v>2491</v>
      </c>
      <c r="D12" s="5"/>
      <c r="E12" s="1711"/>
      <c r="F12" s="1711"/>
      <c r="G12" s="1711"/>
      <c r="H12" s="5"/>
    </row>
    <row r="13" spans="1:9">
      <c r="A13" s="5"/>
      <c r="B13" s="2218">
        <v>1.1000000000000001</v>
      </c>
      <c r="C13" s="5" t="s">
        <v>2492</v>
      </c>
      <c r="D13" s="5"/>
      <c r="E13" s="1712">
        <f>'Sch 7 Stmt of Fin. Pos.'!D13</f>
        <v>0</v>
      </c>
      <c r="F13" s="1712">
        <f>'Sch 7 Stmt of Fin. Pos.'!E13</f>
        <v>0</v>
      </c>
      <c r="G13" s="1713"/>
      <c r="H13" s="116"/>
    </row>
    <row r="14" spans="1:9">
      <c r="A14" s="5"/>
      <c r="B14" s="2218">
        <v>1.2</v>
      </c>
      <c r="C14" s="1714" t="s">
        <v>2493</v>
      </c>
      <c r="D14" s="1715"/>
      <c r="E14" s="1712">
        <f>'Sch 7 Stmt of Fin. Pos.'!D14</f>
        <v>0</v>
      </c>
      <c r="F14" s="1712">
        <f>'Sch 7 Stmt of Fin. Pos.'!E14</f>
        <v>0</v>
      </c>
      <c r="G14" s="1713"/>
      <c r="H14" s="116"/>
      <c r="I14" s="1716"/>
    </row>
    <row r="15" spans="1:9">
      <c r="A15" s="5"/>
      <c r="B15" s="2218">
        <v>1.3</v>
      </c>
      <c r="C15" s="5" t="s">
        <v>2494</v>
      </c>
      <c r="D15" s="5"/>
      <c r="E15" s="1712">
        <f>'Sch 7 Stmt of Fin. Pos.'!D16+'Sch 7 Stmt of Fin. Pos.'!D17+'Sch 7 Stmt of Fin. Pos.'!D18+'Sch 7 Stmt of Fin. Pos.'!D19+'Sch 7 Stmt of Fin. Pos.'!D20</f>
        <v>0</v>
      </c>
      <c r="F15" s="1712">
        <f>'Sch 7 Stmt of Fin. Pos.'!E16+'Sch 7 Stmt of Fin. Pos.'!E17+'Sch 7 Stmt of Fin. Pos.'!E18+'Sch 7 Stmt of Fin. Pos.'!E19+'Sch 7 Stmt of Fin. Pos.'!E20</f>
        <v>0</v>
      </c>
      <c r="G15" s="1713"/>
      <c r="H15" s="116" t="s">
        <v>789</v>
      </c>
      <c r="I15" s="1716"/>
    </row>
    <row r="16" spans="1:9">
      <c r="A16" s="5"/>
      <c r="B16" s="2218">
        <v>1.4</v>
      </c>
      <c r="C16" s="5" t="s">
        <v>2495</v>
      </c>
      <c r="D16" s="5"/>
      <c r="E16" s="1712">
        <f>'Sch 7 Stmt of Fin. Pos.'!D21</f>
        <v>0</v>
      </c>
      <c r="F16" s="1712">
        <f>'Sch 7 Stmt of Fin. Pos.'!E21</f>
        <v>0</v>
      </c>
      <c r="G16" s="1713"/>
      <c r="H16" s="116"/>
      <c r="I16" s="1716"/>
    </row>
    <row r="17" spans="1:15">
      <c r="A17" s="5"/>
      <c r="B17" s="2218">
        <v>1.5</v>
      </c>
      <c r="C17" s="5" t="s">
        <v>642</v>
      </c>
      <c r="D17" s="5"/>
      <c r="E17" s="1712">
        <f>'Sch 7 Stmt of Fin. Pos.'!D22</f>
        <v>0</v>
      </c>
      <c r="F17" s="1712">
        <f>'Sch 7 Stmt of Fin. Pos.'!E22</f>
        <v>0</v>
      </c>
      <c r="G17" s="1713"/>
      <c r="H17" s="116"/>
      <c r="I17" s="1716"/>
    </row>
    <row r="18" spans="1:15">
      <c r="A18" s="5"/>
      <c r="B18" s="2218">
        <v>1.6</v>
      </c>
      <c r="C18" s="2216" t="s">
        <v>2496</v>
      </c>
      <c r="D18" s="2216"/>
      <c r="E18" s="1712">
        <f>SUM(E13:E17)</f>
        <v>0</v>
      </c>
      <c r="F18" s="1712">
        <f>SUM(F13:F17)</f>
        <v>0</v>
      </c>
      <c r="G18" s="1713"/>
      <c r="H18" s="116"/>
      <c r="I18" s="1716"/>
    </row>
    <row r="19" spans="1:15">
      <c r="A19" s="5"/>
      <c r="B19" s="381"/>
      <c r="C19" s="5"/>
      <c r="D19" s="5"/>
      <c r="E19" s="1717"/>
      <c r="F19" s="1717"/>
      <c r="G19" s="1717"/>
      <c r="H19" s="116"/>
      <c r="I19" s="1716"/>
    </row>
    <row r="20" spans="1:15">
      <c r="A20" s="5"/>
      <c r="B20" s="380">
        <v>2</v>
      </c>
      <c r="C20" s="2217" t="s">
        <v>2497</v>
      </c>
      <c r="D20" s="1718"/>
      <c r="E20" s="1717"/>
      <c r="F20" s="1717"/>
      <c r="G20" s="1717"/>
      <c r="H20" s="116"/>
      <c r="I20" s="1716"/>
    </row>
    <row r="21" spans="1:15">
      <c r="A21" s="5"/>
      <c r="B21" s="380">
        <v>2.1</v>
      </c>
      <c r="C21" s="5" t="s">
        <v>2498</v>
      </c>
      <c r="D21" s="5"/>
      <c r="E21" s="1712">
        <f>'Sch 7 Stmt of Fin. Pos.'!D26</f>
        <v>0</v>
      </c>
      <c r="F21" s="1712">
        <f>'Sch 7 Stmt of Fin. Pos.'!E26</f>
        <v>0</v>
      </c>
      <c r="G21" s="1713"/>
      <c r="H21" s="116"/>
      <c r="I21" s="1716"/>
    </row>
    <row r="22" spans="1:15">
      <c r="A22" s="5"/>
      <c r="B22" s="380">
        <v>2.2000000000000002</v>
      </c>
      <c r="C22" s="5" t="s">
        <v>2499</v>
      </c>
      <c r="D22" s="5"/>
      <c r="E22" s="1712">
        <f>'Sch 7 Stmt of Fin. Pos.'!D28+'Sch 7 Stmt of Fin. Pos.'!D29+'Sch 7 Stmt of Fin. Pos.'!D30+'Sch 7 Stmt of Fin. Pos.'!D31+'Sch 7 Stmt of Fin. Pos.'!D32+'Sch 7 Stmt of Fin. Pos.'!D33</f>
        <v>0</v>
      </c>
      <c r="F22" s="1712">
        <f>'Sch 7 Stmt of Fin. Pos.'!E28+'Sch 7 Stmt of Fin. Pos.'!E29+'Sch 7 Stmt of Fin. Pos.'!E30+'Sch 7 Stmt of Fin. Pos.'!E31+'Sch 7 Stmt of Fin. Pos.'!E32+'Sch 7 Stmt of Fin. Pos.'!E33</f>
        <v>0</v>
      </c>
      <c r="G22" s="1713"/>
      <c r="H22" s="116"/>
      <c r="I22" s="1716"/>
    </row>
    <row r="23" spans="1:15">
      <c r="A23" s="5"/>
      <c r="B23" s="380">
        <v>2.2999999999999998</v>
      </c>
      <c r="C23" s="5" t="s">
        <v>642</v>
      </c>
      <c r="D23" s="5"/>
      <c r="E23" s="1712">
        <f>'Sch 7 Stmt of Fin. Pos.'!D34</f>
        <v>0</v>
      </c>
      <c r="F23" s="1712">
        <f>'Sch 7 Stmt of Fin. Pos.'!E34</f>
        <v>0</v>
      </c>
      <c r="G23" s="1713"/>
      <c r="H23" s="116" t="s">
        <v>789</v>
      </c>
      <c r="I23" s="1716"/>
    </row>
    <row r="24" spans="1:15">
      <c r="A24" s="5"/>
      <c r="B24" s="380">
        <v>2.4</v>
      </c>
      <c r="C24" s="5" t="s">
        <v>2500</v>
      </c>
      <c r="D24" s="5"/>
      <c r="E24" s="1712">
        <f>'Sch 7 Stmt of Fin. Pos.'!D41</f>
        <v>0</v>
      </c>
      <c r="F24" s="1712">
        <f>'Sch 7 Stmt of Fin. Pos.'!E41</f>
        <v>0</v>
      </c>
      <c r="G24" s="1713"/>
      <c r="H24" s="116"/>
      <c r="I24" s="1716"/>
      <c r="J24" s="263"/>
    </row>
    <row r="25" spans="1:15">
      <c r="A25" s="5"/>
      <c r="B25" s="380">
        <v>2.5</v>
      </c>
      <c r="C25" s="5" t="s">
        <v>2501</v>
      </c>
      <c r="D25" s="5"/>
      <c r="E25" s="1712">
        <f>'Sch 7 Stmt of Fin. Pos.'!D42</f>
        <v>0</v>
      </c>
      <c r="F25" s="1712">
        <f>'Sch 7 Stmt of Fin. Pos.'!E42</f>
        <v>0</v>
      </c>
      <c r="G25" s="1713"/>
      <c r="H25" s="116" t="s">
        <v>2502</v>
      </c>
      <c r="I25" s="1716"/>
      <c r="M25" s="1719"/>
    </row>
    <row r="26" spans="1:15">
      <c r="A26" s="5"/>
      <c r="B26" s="380">
        <v>2.6</v>
      </c>
      <c r="C26" s="5" t="s">
        <v>2503</v>
      </c>
      <c r="D26" s="5"/>
      <c r="E26" s="1712">
        <f>'Sch 7 Stmt of Fin. Pos.'!D43</f>
        <v>0</v>
      </c>
      <c r="F26" s="1712">
        <f>'Sch 7 Stmt of Fin. Pos.'!E43</f>
        <v>0</v>
      </c>
      <c r="G26" s="1713"/>
      <c r="H26" s="116"/>
      <c r="I26" s="1716"/>
      <c r="M26" s="1719"/>
    </row>
    <row r="27" spans="1:15">
      <c r="A27" s="5"/>
      <c r="B27" s="380">
        <v>2.7</v>
      </c>
      <c r="C27" s="2216" t="s">
        <v>2504</v>
      </c>
      <c r="D27" s="2216"/>
      <c r="E27" s="1712">
        <f>SUM(E21:E26)</f>
        <v>0</v>
      </c>
      <c r="F27" s="1712">
        <f>SUM(F21:F26)</f>
        <v>0</v>
      </c>
      <c r="G27" s="1713"/>
      <c r="H27" s="116"/>
      <c r="I27" s="1716"/>
    </row>
    <row r="28" spans="1:15">
      <c r="A28" s="5"/>
      <c r="B28" s="381"/>
      <c r="C28" s="5"/>
      <c r="D28" s="5"/>
      <c r="E28" s="1720"/>
      <c r="F28" s="1720"/>
      <c r="G28" s="1720"/>
      <c r="H28" s="116"/>
      <c r="I28" s="1716"/>
    </row>
    <row r="29" spans="1:15">
      <c r="A29" s="5"/>
      <c r="B29" s="380">
        <v>3</v>
      </c>
      <c r="C29" s="1721" t="s">
        <v>2505</v>
      </c>
      <c r="D29" s="2216"/>
      <c r="E29" s="1712">
        <f>E18-E27</f>
        <v>0</v>
      </c>
      <c r="F29" s="1712">
        <f>F18-F27</f>
        <v>0</v>
      </c>
      <c r="G29" s="1713"/>
      <c r="H29" s="116"/>
      <c r="I29" s="1716"/>
    </row>
    <row r="30" spans="1:15">
      <c r="A30" s="5"/>
      <c r="B30" s="381"/>
      <c r="C30" s="381"/>
      <c r="D30" s="2216"/>
      <c r="E30" s="1713"/>
      <c r="F30" s="1713"/>
      <c r="G30" s="1713"/>
      <c r="H30" s="116"/>
      <c r="I30" s="1716"/>
    </row>
    <row r="31" spans="1:15">
      <c r="A31" s="5"/>
      <c r="B31" s="380">
        <v>4</v>
      </c>
      <c r="C31" s="2216" t="s">
        <v>2506</v>
      </c>
      <c r="D31" s="2216"/>
      <c r="E31" s="1720"/>
      <c r="F31" s="1720"/>
      <c r="G31" s="1720"/>
      <c r="H31" s="116"/>
      <c r="I31" s="1716"/>
    </row>
    <row r="32" spans="1:15">
      <c r="A32" s="5"/>
      <c r="B32" s="380">
        <v>4.0999999999999996</v>
      </c>
      <c r="C32" s="5" t="s">
        <v>2507</v>
      </c>
      <c r="D32" s="5"/>
      <c r="E32" s="1712">
        <f>'Sch 7 Stmt of Fin. Pos.'!D49</f>
        <v>0</v>
      </c>
      <c r="F32" s="1712">
        <f>'Sch 7 Stmt of Fin. Pos.'!E49</f>
        <v>0</v>
      </c>
      <c r="G32" s="1713"/>
      <c r="H32" s="116"/>
      <c r="I32" s="1716"/>
      <c r="O32" s="1722"/>
    </row>
    <row r="33" spans="1:9">
      <c r="A33" s="5"/>
      <c r="B33" s="380">
        <v>4.2</v>
      </c>
      <c r="C33" s="5" t="s">
        <v>2508</v>
      </c>
      <c r="D33" s="5"/>
      <c r="E33" s="1712">
        <f>'Sch 7 Stmt of Fin. Pos.'!D50</f>
        <v>0</v>
      </c>
      <c r="F33" s="1712">
        <f>'Sch 7 Stmt of Fin. Pos.'!E50</f>
        <v>0</v>
      </c>
      <c r="G33" s="1713"/>
      <c r="H33" s="116"/>
      <c r="I33" s="1716"/>
    </row>
    <row r="34" spans="1:9">
      <c r="A34" s="5"/>
      <c r="B34" s="2218">
        <v>4.3</v>
      </c>
      <c r="C34" s="1714" t="s">
        <v>2509</v>
      </c>
      <c r="D34" s="1715"/>
      <c r="E34" s="1712">
        <f>'Sch 7 Stmt of Fin. Pos.'!D51</f>
        <v>0</v>
      </c>
      <c r="F34" s="1712">
        <f>'Sch 7 Stmt of Fin. Pos.'!E51</f>
        <v>0</v>
      </c>
      <c r="G34" s="1713"/>
      <c r="H34" s="116"/>
      <c r="I34" s="1716"/>
    </row>
    <row r="35" spans="1:9">
      <c r="A35" s="5"/>
      <c r="B35" s="380">
        <v>4.4000000000000004</v>
      </c>
      <c r="C35" s="2216" t="s">
        <v>2510</v>
      </c>
      <c r="D35" s="2216"/>
      <c r="E35" s="1712">
        <f>SUM(E32:E34)</f>
        <v>0</v>
      </c>
      <c r="F35" s="1712">
        <f>SUM(F32:F34)</f>
        <v>0</v>
      </c>
      <c r="G35" s="1713"/>
      <c r="H35" s="5"/>
    </row>
    <row r="36" spans="1:9">
      <c r="A36" s="5"/>
      <c r="B36" s="1723"/>
      <c r="C36" s="1724"/>
      <c r="D36" s="1724"/>
      <c r="E36" s="1725"/>
      <c r="F36" s="1725"/>
      <c r="G36" s="1725"/>
      <c r="H36" s="5"/>
    </row>
    <row r="37" spans="1:9">
      <c r="A37" s="5"/>
      <c r="B37" s="2218">
        <v>5</v>
      </c>
      <c r="C37" s="1721" t="s">
        <v>2511</v>
      </c>
      <c r="D37" s="1721"/>
      <c r="E37" s="1712">
        <f>E29+E35</f>
        <v>0</v>
      </c>
      <c r="F37" s="1712">
        <f>F29+F35</f>
        <v>0</v>
      </c>
      <c r="G37" s="1713"/>
      <c r="H37" s="5"/>
    </row>
    <row r="38" spans="1:9" ht="12.75" customHeight="1">
      <c r="A38" s="5"/>
      <c r="B38" s="381"/>
      <c r="C38" s="5"/>
      <c r="D38" s="5"/>
      <c r="E38" s="1705"/>
      <c r="F38" s="1705"/>
      <c r="G38" s="1705"/>
      <c r="H38" s="5"/>
    </row>
    <row r="39" spans="1:9">
      <c r="A39" s="5"/>
      <c r="B39" s="380" t="s">
        <v>2512</v>
      </c>
      <c r="C39" s="5"/>
      <c r="D39" s="5"/>
      <c r="E39" s="1705"/>
      <c r="F39" s="1705"/>
      <c r="G39" s="1705"/>
      <c r="H39" s="5"/>
    </row>
    <row r="40" spans="1:9">
      <c r="A40" s="5"/>
      <c r="B40" s="381"/>
      <c r="C40" s="5"/>
      <c r="D40" s="5"/>
      <c r="E40" s="1705"/>
      <c r="F40" s="1705"/>
      <c r="G40" s="1705"/>
      <c r="H40" s="5"/>
    </row>
    <row r="41" spans="1:9">
      <c r="A41" s="5"/>
      <c r="B41" s="381" t="s">
        <v>2513</v>
      </c>
      <c r="C41" s="5"/>
      <c r="D41" s="5"/>
      <c r="E41" s="1726" t="s">
        <v>2514</v>
      </c>
      <c r="F41" s="1705"/>
      <c r="G41" s="1705"/>
      <c r="H41" s="5"/>
    </row>
    <row r="42" spans="1:9">
      <c r="A42" s="5"/>
      <c r="B42" s="381"/>
      <c r="C42" s="5"/>
      <c r="D42" s="5"/>
      <c r="E42" s="1705"/>
      <c r="F42" s="1705"/>
      <c r="G42" s="1705"/>
      <c r="H42" s="5"/>
    </row>
    <row r="43" spans="1:9">
      <c r="A43" s="5"/>
      <c r="B43" s="381"/>
      <c r="C43" s="5"/>
      <c r="D43" s="5"/>
      <c r="E43" s="1705"/>
      <c r="F43" s="1705"/>
      <c r="G43" s="1705"/>
      <c r="H43" s="5"/>
    </row>
    <row r="44" spans="1:9">
      <c r="A44" s="116" t="s">
        <v>1198</v>
      </c>
      <c r="B44" s="116"/>
      <c r="C44" s="116"/>
      <c r="D44" s="5"/>
      <c r="E44" s="1705"/>
      <c r="F44" s="1705"/>
      <c r="G44" s="1705"/>
      <c r="H44" s="5"/>
    </row>
    <row r="45" spans="1:9">
      <c r="A45" s="116"/>
      <c r="B45" s="116"/>
      <c r="C45" s="116"/>
      <c r="D45" s="5"/>
      <c r="E45" s="1705"/>
      <c r="F45" s="1705"/>
      <c r="G45" s="1705"/>
      <c r="H45" s="5"/>
    </row>
    <row r="46" spans="1:9">
      <c r="A46" s="116"/>
      <c r="B46" s="116"/>
      <c r="C46" s="116"/>
      <c r="D46" s="5"/>
      <c r="E46" s="1705"/>
      <c r="F46" s="1705"/>
      <c r="G46" s="1705"/>
      <c r="H46" s="5"/>
    </row>
    <row r="47" spans="1:9">
      <c r="A47" s="116" t="s">
        <v>2515</v>
      </c>
      <c r="B47" s="116" t="s">
        <v>2516</v>
      </c>
      <c r="C47" s="116"/>
      <c r="D47" s="5"/>
      <c r="E47" s="1705"/>
      <c r="F47" s="1705"/>
      <c r="G47" s="1705"/>
      <c r="H47" s="5"/>
    </row>
    <row r="48" spans="1:9" hidden="1"/>
  </sheetData>
  <mergeCells count="2">
    <mergeCell ref="D1:F1"/>
    <mergeCell ref="D2:F2"/>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I160"/>
  <sheetViews>
    <sheetView topLeftCell="A7" zoomScaleNormal="100" workbookViewId="0">
      <selection activeCell="D27" sqref="D27"/>
    </sheetView>
  </sheetViews>
  <sheetFormatPr defaultColWidth="0" defaultRowHeight="0" customHeight="1" zeroHeight="1"/>
  <cols>
    <col min="1" max="1" width="7.42578125" style="792" customWidth="1"/>
    <col min="2" max="2" width="78.140625" style="792" hidden="1" customWidth="1"/>
    <col min="3" max="3" width="60" style="792" customWidth="1"/>
    <col min="4" max="7" width="12.7109375" style="792" customWidth="1"/>
    <col min="8" max="8" width="15" style="792" customWidth="1"/>
    <col min="9" max="9" width="9.140625" style="792" customWidth="1"/>
    <col min="10" max="16384" width="0" style="688" hidden="1"/>
  </cols>
  <sheetData>
    <row r="1" spans="1:9" ht="12.75" customHeight="1" thickBot="1">
      <c r="A1" s="2153" t="s">
        <v>2809</v>
      </c>
      <c r="B1" s="42"/>
      <c r="C1" s="42"/>
      <c r="D1" s="42"/>
      <c r="E1" s="42"/>
      <c r="F1" s="42"/>
      <c r="G1" s="42"/>
      <c r="H1" s="42"/>
      <c r="I1" s="42"/>
    </row>
    <row r="2" spans="1:9" s="976" customFormat="1" ht="15.75" thickBot="1">
      <c r="A2" s="78"/>
      <c r="B2" s="78"/>
      <c r="C2" s="78"/>
      <c r="D2" s="78"/>
      <c r="E2" s="1214" t="s">
        <v>163</v>
      </c>
      <c r="F2" s="958"/>
      <c r="G2" s="936" t="str">
        <f>'1 Summary'!G2</f>
        <v/>
      </c>
      <c r="H2" s="1215"/>
      <c r="I2" s="1216"/>
    </row>
    <row r="3" spans="1:9" s="976" customFormat="1" ht="16.5" thickBot="1">
      <c r="A3" s="27" t="s">
        <v>621</v>
      </c>
      <c r="B3" s="104"/>
      <c r="C3" s="78"/>
      <c r="D3" s="78"/>
      <c r="E3" s="1214" t="s">
        <v>162</v>
      </c>
      <c r="F3" s="958"/>
      <c r="G3" s="851">
        <f>'1 Summary'!G3</f>
        <v>0</v>
      </c>
      <c r="H3" s="1217"/>
      <c r="I3" s="1218"/>
    </row>
    <row r="4" spans="1:9" s="976" customFormat="1" ht="15.75">
      <c r="A4" s="104"/>
      <c r="B4" s="104"/>
      <c r="C4" s="78"/>
      <c r="D4" s="958"/>
      <c r="E4" s="958"/>
      <c r="F4" s="958"/>
      <c r="G4" s="958"/>
      <c r="H4" s="958"/>
      <c r="I4" s="958"/>
    </row>
    <row r="5" spans="1:9" s="976" customFormat="1" ht="15.75">
      <c r="A5" s="27" t="s">
        <v>1769</v>
      </c>
      <c r="B5" s="27"/>
      <c r="C5" s="27"/>
      <c r="D5" s="219"/>
      <c r="E5" s="219"/>
      <c r="F5" s="219"/>
      <c r="G5" s="219"/>
      <c r="H5" s="958"/>
      <c r="I5" s="958"/>
    </row>
    <row r="6" spans="1:9" s="976" customFormat="1" ht="15.75">
      <c r="A6" s="27"/>
      <c r="B6" s="27" t="s">
        <v>1446</v>
      </c>
      <c r="C6" s="27"/>
      <c r="D6" s="219"/>
      <c r="E6" s="219"/>
      <c r="F6" s="219"/>
      <c r="G6" s="219"/>
      <c r="H6" s="219"/>
      <c r="I6" s="219"/>
    </row>
    <row r="7" spans="1:9" s="976" customFormat="1" ht="15.75">
      <c r="A7" s="27"/>
      <c r="B7" s="27"/>
      <c r="C7" s="27"/>
      <c r="D7" s="219"/>
      <c r="E7" s="219"/>
      <c r="F7" s="219"/>
      <c r="G7" s="219"/>
      <c r="H7" s="219"/>
      <c r="I7" s="219"/>
    </row>
    <row r="8" spans="1:9" s="976" customFormat="1" ht="15.75" customHeight="1">
      <c r="A8" s="27"/>
      <c r="B8" s="27"/>
      <c r="C8" s="27"/>
      <c r="D8" s="2085" t="s">
        <v>558</v>
      </c>
      <c r="E8" s="1219"/>
      <c r="F8" s="2085" t="s">
        <v>1109</v>
      </c>
      <c r="G8" s="219"/>
      <c r="H8" s="2085" t="s">
        <v>1001</v>
      </c>
      <c r="I8" s="219"/>
    </row>
    <row r="9" spans="1:9" s="976" customFormat="1" ht="15.75">
      <c r="A9" s="27"/>
      <c r="B9" s="27"/>
      <c r="C9" s="27"/>
      <c r="D9" s="2085"/>
      <c r="E9" s="1219"/>
      <c r="F9" s="2085" t="s">
        <v>2065</v>
      </c>
      <c r="G9" s="219"/>
      <c r="H9" s="2085"/>
      <c r="I9" s="219"/>
    </row>
    <row r="10" spans="1:9" s="976" customFormat="1" ht="15.75">
      <c r="A10" s="104" t="s">
        <v>789</v>
      </c>
      <c r="B10" s="27" t="s">
        <v>2463</v>
      </c>
      <c r="C10" s="27" t="s">
        <v>485</v>
      </c>
      <c r="D10" s="219"/>
      <c r="E10" s="219"/>
      <c r="F10" s="219"/>
      <c r="G10" s="219"/>
      <c r="H10" s="1053"/>
      <c r="I10" s="1053"/>
    </row>
    <row r="11" spans="1:9" s="976" customFormat="1" ht="15.75">
      <c r="A11" s="104"/>
      <c r="B11" s="27" t="s">
        <v>2463</v>
      </c>
      <c r="C11" s="27"/>
      <c r="D11" s="958"/>
      <c r="E11" s="958"/>
      <c r="F11" s="958"/>
      <c r="G11" s="958"/>
      <c r="H11" s="1220"/>
      <c r="I11" s="223"/>
    </row>
    <row r="12" spans="1:9" s="976" customFormat="1" ht="15.75">
      <c r="A12" s="104" t="s">
        <v>1551</v>
      </c>
      <c r="B12" s="27"/>
      <c r="C12" s="400" t="s">
        <v>2265</v>
      </c>
      <c r="D12" s="1221">
        <f>ROUND('Sch 13 Enrolment'!H21+'Sch 13 Enrolment'!H22+'Sch 13 Enrolment'!M21+'Sch 13 Enrolment'!M22+'Sch 13 Enrolment'!P21+'Sch 13 Enrolment'!P22+'Sch 13 Enrolment'!U21+'Sch 13 Enrolment'!U22+'Sch 13 Enrolment'!H32+'Sch 13 Enrolment'!H33+'Sch 13 Enrolment'!M32+'Sch 13 Enrolment'!M33+'Sch 13 Enrolment'!P32+'Sch 13 Enrolment'!P33+'Sch 13 Enrolment'!U32+'Sch 13 Enrolment'!U33,2)*0.5</f>
        <v>0</v>
      </c>
      <c r="E12" s="1222" t="s">
        <v>2061</v>
      </c>
      <c r="F12" s="1223">
        <f>+'GSN Benchmarks'!B11</f>
        <v>6248.46</v>
      </c>
      <c r="G12" s="109" t="s">
        <v>2062</v>
      </c>
      <c r="H12" s="1224">
        <f>ROUND(D12*F12,0)</f>
        <v>0</v>
      </c>
      <c r="I12" s="1020" t="str">
        <f>+A12</f>
        <v>1.1.1</v>
      </c>
    </row>
    <row r="13" spans="1:9" s="976" customFormat="1" ht="15.75">
      <c r="A13" s="104"/>
      <c r="B13" s="27"/>
      <c r="C13" s="400"/>
      <c r="D13" s="1222"/>
      <c r="E13" s="1222"/>
      <c r="F13" s="1115"/>
      <c r="G13" s="219"/>
      <c r="H13" s="1225"/>
      <c r="I13" s="1020"/>
    </row>
    <row r="14" spans="1:9" s="976" customFormat="1" ht="15.75">
      <c r="A14" s="104" t="s">
        <v>1552</v>
      </c>
      <c r="B14" s="27"/>
      <c r="C14" s="400" t="s">
        <v>2266</v>
      </c>
      <c r="D14" s="1221">
        <f>ROUND('Sch 13 Enrolment'!H23+'Sch 13 Enrolment'!M23+'Sch 13 Enrolment'!P23+'Sch 13 Enrolment'!U23+'Sch 13 Enrolment'!H34+'Sch 13 Enrolment'!M34+'Sch 13 Enrolment'!P34+'Sch 13 Enrolment'!U34,2)*0.5</f>
        <v>0</v>
      </c>
      <c r="E14" s="1222" t="s">
        <v>2061</v>
      </c>
      <c r="F14" s="1223">
        <f>+'GSN Benchmarks'!B12</f>
        <v>5662.47</v>
      </c>
      <c r="G14" s="109" t="s">
        <v>2062</v>
      </c>
      <c r="H14" s="1224">
        <f>ROUND(D14*F14,0)</f>
        <v>0</v>
      </c>
      <c r="I14" s="1020" t="str">
        <f>+A14</f>
        <v>1.1.2</v>
      </c>
    </row>
    <row r="15" spans="1:9" s="976" customFormat="1" ht="15.75">
      <c r="A15" s="104"/>
      <c r="B15" s="27"/>
      <c r="C15" s="400"/>
      <c r="D15" s="1226"/>
      <c r="E15" s="1226"/>
      <c r="F15" s="219"/>
      <c r="G15" s="78"/>
      <c r="H15" s="1225"/>
      <c r="I15" s="223"/>
    </row>
    <row r="16" spans="1:9" s="976" customFormat="1" ht="15.75">
      <c r="A16" s="104" t="s">
        <v>789</v>
      </c>
      <c r="B16" s="27"/>
      <c r="C16" s="27" t="s">
        <v>486</v>
      </c>
      <c r="D16" s="1226"/>
      <c r="E16" s="1226"/>
      <c r="F16" s="219"/>
      <c r="G16" s="78"/>
      <c r="H16" s="1225"/>
      <c r="I16" s="1020" t="s">
        <v>789</v>
      </c>
    </row>
    <row r="17" spans="1:9" s="976" customFormat="1" ht="15.75">
      <c r="A17" s="104"/>
      <c r="B17" s="27"/>
      <c r="C17" s="400"/>
      <c r="D17" s="1227"/>
      <c r="E17" s="1226"/>
      <c r="F17" s="219"/>
      <c r="G17" s="78"/>
      <c r="H17" s="1225"/>
      <c r="I17" s="223"/>
    </row>
    <row r="18" spans="1:9" s="976" customFormat="1" ht="15.75">
      <c r="A18" s="104" t="s">
        <v>820</v>
      </c>
      <c r="B18" s="27"/>
      <c r="C18" s="400" t="s">
        <v>487</v>
      </c>
      <c r="D18" s="1221">
        <f>'Sch 13 Enrolment'!T49+'Sch 13 Enrolment'!T52</f>
        <v>0</v>
      </c>
      <c r="E18" s="1226"/>
      <c r="F18" s="1223">
        <f>'GSN Benchmarks'!B14</f>
        <v>4769.68</v>
      </c>
      <c r="G18" s="78"/>
      <c r="H18" s="1224">
        <f>ROUND(D18*F18,0)</f>
        <v>0</v>
      </c>
      <c r="I18" s="1020" t="s">
        <v>820</v>
      </c>
    </row>
    <row r="19" spans="1:9" s="976" customFormat="1" ht="15.75">
      <c r="A19" s="104"/>
      <c r="B19" s="27"/>
      <c r="C19" s="1228"/>
      <c r="D19" s="1226"/>
      <c r="E19" s="1226"/>
      <c r="F19" s="219"/>
      <c r="G19" s="78"/>
      <c r="H19" s="1225"/>
      <c r="I19" s="223"/>
    </row>
    <row r="20" spans="1:9" s="976" customFormat="1" ht="15.75">
      <c r="A20" s="104"/>
      <c r="B20" s="27"/>
      <c r="C20" s="1228"/>
      <c r="D20" s="1226"/>
      <c r="E20" s="1226"/>
      <c r="F20" s="219"/>
      <c r="G20" s="78"/>
      <c r="H20" s="1225"/>
      <c r="I20" s="223"/>
    </row>
    <row r="21" spans="1:9" s="976" customFormat="1" ht="15.75">
      <c r="A21" s="104" t="s">
        <v>1816</v>
      </c>
      <c r="B21" s="27"/>
      <c r="C21" s="400" t="s">
        <v>488</v>
      </c>
      <c r="D21" s="1226"/>
      <c r="E21" s="1226"/>
      <c r="F21" s="219"/>
      <c r="G21" s="219"/>
      <c r="H21" s="1224">
        <f>+H12+H14+H18</f>
        <v>0</v>
      </c>
      <c r="I21" s="1020" t="s">
        <v>1816</v>
      </c>
    </row>
    <row r="22" spans="1:9" s="976" customFormat="1" ht="15.75">
      <c r="A22" s="104"/>
      <c r="B22" s="27"/>
      <c r="C22" s="27"/>
      <c r="D22" s="27"/>
      <c r="E22" s="219"/>
      <c r="F22" s="219"/>
      <c r="G22" s="219"/>
      <c r="H22" s="1225"/>
      <c r="I22" s="223"/>
    </row>
    <row r="23" spans="1:9" s="976" customFormat="1" ht="15.75">
      <c r="A23" s="104" t="s">
        <v>789</v>
      </c>
      <c r="B23" s="86"/>
      <c r="C23" s="27" t="s">
        <v>1611</v>
      </c>
      <c r="D23" s="78"/>
      <c r="E23" s="958"/>
      <c r="F23" s="958"/>
      <c r="G23" s="219"/>
      <c r="H23" s="1225"/>
      <c r="I23" s="223"/>
    </row>
    <row r="24" spans="1:9" s="976" customFormat="1" ht="15.75">
      <c r="A24" s="104"/>
      <c r="B24" s="86"/>
      <c r="C24" s="27"/>
      <c r="D24" s="78"/>
      <c r="E24" s="958"/>
      <c r="F24" s="958"/>
      <c r="G24" s="219"/>
      <c r="H24" s="1225"/>
      <c r="I24" s="223"/>
    </row>
    <row r="25" spans="1:9" s="976" customFormat="1" ht="15.75">
      <c r="A25" s="104" t="s">
        <v>1817</v>
      </c>
      <c r="B25" s="1229"/>
      <c r="C25" s="400" t="s">
        <v>613</v>
      </c>
      <c r="D25" s="1221">
        <f>+'Sch 13 Enrolment'!V64</f>
        <v>0</v>
      </c>
      <c r="E25" s="1222" t="s">
        <v>2061</v>
      </c>
      <c r="F25" s="1223">
        <f>'GSN Benchmarks'!B16</f>
        <v>5879.73</v>
      </c>
      <c r="G25" s="109" t="s">
        <v>2062</v>
      </c>
      <c r="H25" s="1224">
        <f>ROUND(D25*F25,0)</f>
        <v>0</v>
      </c>
      <c r="I25" s="1020" t="str">
        <f>+A25</f>
        <v>1.1.5</v>
      </c>
    </row>
    <row r="26" spans="1:9" s="976" customFormat="1" ht="15.75">
      <c r="A26" s="104"/>
      <c r="B26" s="1229"/>
      <c r="C26" s="400"/>
      <c r="D26" s="1222"/>
      <c r="E26" s="1222"/>
      <c r="F26" s="1115"/>
      <c r="G26" s="219"/>
      <c r="H26" s="1225"/>
      <c r="I26" s="1020"/>
    </row>
    <row r="27" spans="1:9" s="976" customFormat="1" ht="15.75">
      <c r="A27" s="104" t="s">
        <v>489</v>
      </c>
      <c r="B27" s="1229"/>
      <c r="C27" s="400" t="s">
        <v>234</v>
      </c>
      <c r="D27" s="958"/>
      <c r="E27" s="958"/>
      <c r="F27" s="219"/>
      <c r="G27" s="339"/>
      <c r="H27" s="1224">
        <f>+H25</f>
        <v>0</v>
      </c>
      <c r="I27" s="1020" t="str">
        <f>+A27</f>
        <v>1.1.6</v>
      </c>
    </row>
    <row r="28" spans="1:9" s="976" customFormat="1" ht="15.75">
      <c r="A28" s="104"/>
      <c r="B28" s="1229"/>
      <c r="C28" s="400"/>
      <c r="D28" s="958"/>
      <c r="E28" s="958"/>
      <c r="F28" s="219"/>
      <c r="G28" s="219"/>
      <c r="H28" s="1230"/>
      <c r="I28" s="219"/>
    </row>
    <row r="29" spans="1:9" s="976" customFormat="1" ht="15.75">
      <c r="A29" s="104" t="s">
        <v>1968</v>
      </c>
      <c r="B29" s="1229"/>
      <c r="C29" s="27" t="s">
        <v>1246</v>
      </c>
      <c r="D29" s="958"/>
      <c r="E29" s="958"/>
      <c r="F29" s="219"/>
      <c r="G29" s="219"/>
      <c r="H29" s="1232">
        <f>H21+H27</f>
        <v>0</v>
      </c>
      <c r="I29" s="1020" t="str">
        <f>+A29</f>
        <v>1.1.7</v>
      </c>
    </row>
    <row r="30" spans="1:9" s="976" customFormat="1" ht="15.75">
      <c r="A30" s="1231"/>
      <c r="B30" s="1229"/>
      <c r="C30" s="400" t="s">
        <v>2267</v>
      </c>
      <c r="D30" s="958"/>
      <c r="E30" s="958"/>
      <c r="F30" s="219"/>
      <c r="G30" s="219"/>
      <c r="H30" s="1230"/>
      <c r="I30" s="219"/>
    </row>
    <row r="31" spans="1:9" s="976" customFormat="1" ht="15.75">
      <c r="A31" s="1231"/>
      <c r="B31" s="1229"/>
      <c r="C31" s="400"/>
      <c r="D31" s="958"/>
      <c r="E31" s="958"/>
      <c r="F31" s="219"/>
      <c r="G31" s="219"/>
      <c r="H31" s="1230"/>
      <c r="I31" s="219"/>
    </row>
    <row r="32" spans="1:9" ht="15">
      <c r="A32" s="653"/>
      <c r="B32" s="654"/>
      <c r="C32" s="84"/>
      <c r="D32" s="651"/>
      <c r="E32" s="651"/>
      <c r="F32" s="137"/>
      <c r="G32" s="137"/>
      <c r="H32" s="797"/>
      <c r="I32" s="137"/>
    </row>
    <row r="33" spans="1:9" ht="15">
      <c r="A33" s="653"/>
      <c r="B33" s="654"/>
      <c r="C33" s="84"/>
      <c r="D33" s="651"/>
      <c r="E33" s="651"/>
      <c r="F33" s="137"/>
      <c r="G33" s="137"/>
      <c r="H33" s="797"/>
      <c r="I33" s="137"/>
    </row>
    <row r="34" spans="1:9" ht="15">
      <c r="A34" s="653"/>
      <c r="B34" s="654"/>
      <c r="C34" s="84"/>
      <c r="D34" s="651"/>
      <c r="E34" s="651"/>
      <c r="F34" s="137"/>
      <c r="G34" s="137"/>
      <c r="H34" s="797"/>
      <c r="I34" s="137"/>
    </row>
    <row r="35" spans="1:9" ht="15">
      <c r="A35" s="653"/>
      <c r="B35" s="654"/>
      <c r="C35" s="137"/>
      <c r="D35" s="798"/>
      <c r="E35" s="798"/>
      <c r="F35" s="798"/>
      <c r="G35" s="137"/>
      <c r="H35" s="799"/>
      <c r="I35" s="800"/>
    </row>
    <row r="36" spans="1:9" ht="14.25" hidden="1">
      <c r="A36" s="688"/>
      <c r="B36" s="688"/>
      <c r="C36" s="688"/>
      <c r="D36" s="688"/>
      <c r="E36" s="688"/>
      <c r="F36" s="688"/>
      <c r="G36" s="688"/>
      <c r="H36" s="688"/>
      <c r="I36" s="688"/>
    </row>
    <row r="37" spans="1:9" ht="14.25" hidden="1">
      <c r="A37" s="688"/>
      <c r="B37" s="688"/>
      <c r="C37" s="688"/>
      <c r="D37" s="688"/>
      <c r="E37" s="688"/>
      <c r="F37" s="688"/>
      <c r="G37" s="688"/>
      <c r="H37" s="688"/>
      <c r="I37" s="688"/>
    </row>
    <row r="38" spans="1:9" ht="14.25" hidden="1">
      <c r="A38" s="688"/>
      <c r="B38" s="688"/>
      <c r="C38" s="688"/>
      <c r="D38" s="688"/>
      <c r="E38" s="688"/>
      <c r="F38" s="688"/>
      <c r="G38" s="688"/>
      <c r="H38" s="688"/>
      <c r="I38" s="688"/>
    </row>
    <row r="39" spans="1:9" ht="14.25" hidden="1">
      <c r="A39" s="688"/>
      <c r="B39" s="688"/>
      <c r="C39" s="688"/>
      <c r="D39" s="688"/>
      <c r="E39" s="688"/>
      <c r="F39" s="688"/>
      <c r="G39" s="688"/>
      <c r="H39" s="688"/>
      <c r="I39" s="688"/>
    </row>
    <row r="40" spans="1:9" ht="14.25" hidden="1">
      <c r="A40" s="688"/>
      <c r="B40" s="688"/>
      <c r="C40" s="688"/>
      <c r="D40" s="688"/>
      <c r="E40" s="688"/>
      <c r="F40" s="688"/>
      <c r="G40" s="688"/>
      <c r="H40" s="688"/>
      <c r="I40" s="688"/>
    </row>
    <row r="41" spans="1:9" ht="14.25" hidden="1">
      <c r="A41" s="688"/>
      <c r="B41" s="688"/>
      <c r="C41" s="688"/>
      <c r="D41" s="688"/>
      <c r="E41" s="688"/>
      <c r="F41" s="688"/>
      <c r="G41" s="688"/>
      <c r="H41" s="688"/>
      <c r="I41" s="688"/>
    </row>
    <row r="42" spans="1:9" ht="14.25" hidden="1">
      <c r="A42" s="688"/>
      <c r="B42" s="688"/>
      <c r="C42" s="688"/>
      <c r="D42" s="688"/>
      <c r="E42" s="688"/>
      <c r="F42" s="688"/>
      <c r="G42" s="688"/>
      <c r="H42" s="688"/>
      <c r="I42" s="688"/>
    </row>
    <row r="43" spans="1:9" ht="14.25" hidden="1">
      <c r="A43" s="688"/>
      <c r="B43" s="688"/>
      <c r="C43" s="688"/>
      <c r="D43" s="688"/>
      <c r="E43" s="688"/>
      <c r="F43" s="688"/>
      <c r="G43" s="688"/>
      <c r="H43" s="688"/>
      <c r="I43" s="688"/>
    </row>
    <row r="44" spans="1:9" ht="14.25" hidden="1">
      <c r="A44" s="688"/>
      <c r="B44" s="688"/>
      <c r="C44" s="688"/>
      <c r="D44" s="688"/>
      <c r="E44" s="688"/>
      <c r="F44" s="688"/>
      <c r="G44" s="688"/>
      <c r="H44" s="688"/>
      <c r="I44" s="688"/>
    </row>
    <row r="45" spans="1:9" ht="14.25" hidden="1">
      <c r="A45" s="688"/>
      <c r="B45" s="688"/>
      <c r="C45" s="688"/>
      <c r="D45" s="688"/>
      <c r="E45" s="688"/>
      <c r="F45" s="688"/>
      <c r="G45" s="688"/>
      <c r="H45" s="688"/>
      <c r="I45" s="688"/>
    </row>
    <row r="46" spans="1:9" ht="14.25" hidden="1">
      <c r="A46" s="688"/>
      <c r="B46" s="688"/>
      <c r="C46" s="688"/>
      <c r="D46" s="688"/>
      <c r="E46" s="688"/>
      <c r="F46" s="688"/>
      <c r="G46" s="688"/>
      <c r="H46" s="688"/>
      <c r="I46" s="688"/>
    </row>
    <row r="47" spans="1:9" ht="14.25" hidden="1">
      <c r="A47" s="688"/>
      <c r="B47" s="688"/>
      <c r="C47" s="688"/>
      <c r="D47" s="688"/>
      <c r="E47" s="688"/>
      <c r="F47" s="688"/>
      <c r="G47" s="688"/>
      <c r="H47" s="688"/>
      <c r="I47" s="688"/>
    </row>
    <row r="48" spans="1:9" ht="14.25" hidden="1">
      <c r="A48" s="688"/>
      <c r="B48" s="688"/>
      <c r="C48" s="688"/>
      <c r="D48" s="688"/>
      <c r="E48" s="688"/>
      <c r="F48" s="688"/>
      <c r="G48" s="688"/>
      <c r="H48" s="688"/>
      <c r="I48" s="688"/>
    </row>
    <row r="49" spans="1:9" ht="14.25" hidden="1">
      <c r="A49" s="688"/>
      <c r="B49" s="688"/>
      <c r="C49" s="688"/>
      <c r="D49" s="688"/>
      <c r="E49" s="688"/>
      <c r="F49" s="688"/>
      <c r="G49" s="688"/>
      <c r="H49" s="688"/>
      <c r="I49" s="688"/>
    </row>
    <row r="50" spans="1:9" ht="14.25" hidden="1">
      <c r="A50" s="688"/>
      <c r="B50" s="688"/>
      <c r="C50" s="688"/>
      <c r="D50" s="688"/>
      <c r="E50" s="688"/>
      <c r="F50" s="688"/>
      <c r="G50" s="688"/>
      <c r="H50" s="688"/>
      <c r="I50" s="688"/>
    </row>
    <row r="51" spans="1:9" ht="14.25" hidden="1">
      <c r="A51" s="688"/>
      <c r="B51" s="688"/>
      <c r="C51" s="688"/>
      <c r="D51" s="688"/>
      <c r="E51" s="688"/>
      <c r="F51" s="688"/>
      <c r="G51" s="688"/>
      <c r="H51" s="688"/>
      <c r="I51" s="688"/>
    </row>
    <row r="52" spans="1:9" ht="14.25" hidden="1">
      <c r="A52" s="688"/>
      <c r="B52" s="688"/>
      <c r="C52" s="688"/>
      <c r="D52" s="688"/>
      <c r="E52" s="688"/>
      <c r="F52" s="688"/>
      <c r="G52" s="688"/>
      <c r="H52" s="688"/>
      <c r="I52" s="688"/>
    </row>
    <row r="53" spans="1:9" ht="14.25" hidden="1">
      <c r="A53" s="688"/>
      <c r="B53" s="688"/>
      <c r="C53" s="688"/>
      <c r="D53" s="688"/>
      <c r="E53" s="688"/>
      <c r="F53" s="688"/>
      <c r="G53" s="688"/>
      <c r="H53" s="688"/>
      <c r="I53" s="688"/>
    </row>
    <row r="54" spans="1:9" ht="14.25" hidden="1">
      <c r="A54" s="688"/>
      <c r="B54" s="688"/>
      <c r="C54" s="688"/>
      <c r="D54" s="688"/>
      <c r="E54" s="688"/>
      <c r="F54" s="688"/>
      <c r="G54" s="688"/>
      <c r="H54" s="688"/>
      <c r="I54" s="688"/>
    </row>
    <row r="55" spans="1:9" ht="14.25" hidden="1">
      <c r="A55" s="688"/>
      <c r="B55" s="688"/>
      <c r="C55" s="688"/>
      <c r="D55" s="688"/>
      <c r="E55" s="688"/>
      <c r="F55" s="688"/>
      <c r="G55" s="688"/>
      <c r="H55" s="688"/>
      <c r="I55" s="688"/>
    </row>
    <row r="56" spans="1:9" ht="14.25" hidden="1">
      <c r="A56" s="688"/>
      <c r="B56" s="688"/>
      <c r="C56" s="688"/>
      <c r="D56" s="688"/>
      <c r="E56" s="688"/>
      <c r="F56" s="688"/>
      <c r="G56" s="688"/>
      <c r="H56" s="688"/>
      <c r="I56" s="688"/>
    </row>
    <row r="57" spans="1:9" ht="14.25" hidden="1">
      <c r="A57" s="688"/>
      <c r="B57" s="688"/>
      <c r="C57" s="688"/>
      <c r="D57" s="688"/>
      <c r="E57" s="688"/>
      <c r="F57" s="688"/>
      <c r="G57" s="688"/>
      <c r="H57" s="688"/>
      <c r="I57" s="688"/>
    </row>
    <row r="58" spans="1:9" ht="14.25" hidden="1">
      <c r="A58" s="688"/>
      <c r="B58" s="688"/>
      <c r="C58" s="688"/>
      <c r="D58" s="688"/>
      <c r="E58" s="688"/>
      <c r="F58" s="688"/>
      <c r="G58" s="688"/>
      <c r="H58" s="688"/>
      <c r="I58" s="688"/>
    </row>
    <row r="59" spans="1:9" ht="14.25" hidden="1">
      <c r="A59" s="688"/>
      <c r="B59" s="688"/>
      <c r="C59" s="688"/>
      <c r="D59" s="688"/>
      <c r="E59" s="688"/>
      <c r="F59" s="688"/>
      <c r="G59" s="688"/>
      <c r="H59" s="688"/>
      <c r="I59" s="688"/>
    </row>
    <row r="60" spans="1:9" ht="14.25" hidden="1">
      <c r="A60" s="688"/>
      <c r="B60" s="688"/>
      <c r="C60" s="688"/>
      <c r="D60" s="688"/>
      <c r="E60" s="688"/>
      <c r="F60" s="688"/>
      <c r="G60" s="688"/>
      <c r="H60" s="688"/>
      <c r="I60" s="688"/>
    </row>
    <row r="61" spans="1:9" ht="14.25" hidden="1">
      <c r="A61" s="688"/>
      <c r="B61" s="688"/>
      <c r="C61" s="688"/>
      <c r="D61" s="688"/>
      <c r="E61" s="688"/>
      <c r="F61" s="688"/>
      <c r="G61" s="688"/>
      <c r="H61" s="688"/>
      <c r="I61" s="688"/>
    </row>
    <row r="62" spans="1:9" ht="14.25" hidden="1">
      <c r="A62" s="688"/>
      <c r="B62" s="688"/>
      <c r="C62" s="688"/>
      <c r="D62" s="688"/>
      <c r="E62" s="688"/>
      <c r="F62" s="688"/>
      <c r="G62" s="688"/>
      <c r="H62" s="688"/>
      <c r="I62" s="688"/>
    </row>
    <row r="63" spans="1:9" ht="14.25" hidden="1">
      <c r="A63" s="688"/>
      <c r="B63" s="688"/>
      <c r="C63" s="688"/>
      <c r="D63" s="688"/>
      <c r="E63" s="688"/>
      <c r="F63" s="688"/>
      <c r="G63" s="688"/>
      <c r="H63" s="688"/>
      <c r="I63" s="688"/>
    </row>
    <row r="64" spans="1:9" ht="14.25" hidden="1">
      <c r="A64" s="688"/>
      <c r="B64" s="688"/>
      <c r="C64" s="688"/>
      <c r="D64" s="688"/>
      <c r="E64" s="688"/>
      <c r="F64" s="688"/>
      <c r="G64" s="688"/>
      <c r="H64" s="688"/>
      <c r="I64" s="688"/>
    </row>
    <row r="65" spans="1:9" ht="14.25" hidden="1">
      <c r="A65" s="688"/>
      <c r="B65" s="688"/>
      <c r="C65" s="688"/>
      <c r="D65" s="688"/>
      <c r="E65" s="688"/>
      <c r="F65" s="688"/>
      <c r="G65" s="688"/>
      <c r="H65" s="688"/>
      <c r="I65" s="688"/>
    </row>
    <row r="66" spans="1:9" ht="14.25" hidden="1">
      <c r="A66" s="688"/>
      <c r="B66" s="688"/>
      <c r="C66" s="688"/>
      <c r="D66" s="688"/>
      <c r="E66" s="688"/>
      <c r="F66" s="688"/>
      <c r="G66" s="688"/>
      <c r="H66" s="688"/>
      <c r="I66" s="688"/>
    </row>
    <row r="67" spans="1:9" ht="14.25" hidden="1">
      <c r="A67" s="688"/>
      <c r="B67" s="688"/>
      <c r="C67" s="688"/>
      <c r="D67" s="688"/>
      <c r="E67" s="688"/>
      <c r="F67" s="688"/>
      <c r="G67" s="688"/>
      <c r="H67" s="688"/>
      <c r="I67" s="688"/>
    </row>
    <row r="68" spans="1:9" ht="14.25" hidden="1">
      <c r="A68" s="688"/>
      <c r="B68" s="688"/>
      <c r="C68" s="688"/>
      <c r="D68" s="688"/>
      <c r="E68" s="688"/>
      <c r="F68" s="688"/>
      <c r="G68" s="688"/>
      <c r="H68" s="688"/>
      <c r="I68" s="688"/>
    </row>
    <row r="69" spans="1:9" ht="14.25" hidden="1">
      <c r="A69" s="688"/>
      <c r="B69" s="688"/>
      <c r="C69" s="688"/>
      <c r="D69" s="688"/>
      <c r="E69" s="688"/>
      <c r="F69" s="688"/>
      <c r="G69" s="688"/>
      <c r="H69" s="688"/>
      <c r="I69" s="688"/>
    </row>
    <row r="70" spans="1:9" ht="14.25" hidden="1">
      <c r="A70" s="688"/>
      <c r="B70" s="688"/>
      <c r="C70" s="688"/>
      <c r="D70" s="688"/>
      <c r="E70" s="688"/>
      <c r="F70" s="688"/>
      <c r="G70" s="688"/>
      <c r="H70" s="688"/>
      <c r="I70" s="688"/>
    </row>
    <row r="71" spans="1:9" ht="14.25" hidden="1">
      <c r="A71" s="688"/>
      <c r="B71" s="688"/>
      <c r="C71" s="688"/>
      <c r="D71" s="688"/>
      <c r="E71" s="688"/>
      <c r="F71" s="688"/>
      <c r="G71" s="688"/>
      <c r="H71" s="688"/>
      <c r="I71" s="688"/>
    </row>
    <row r="72" spans="1:9" ht="14.25" hidden="1">
      <c r="A72" s="688"/>
      <c r="B72" s="688"/>
      <c r="C72" s="688"/>
      <c r="D72" s="688"/>
      <c r="E72" s="688"/>
      <c r="F72" s="688"/>
      <c r="G72" s="688"/>
      <c r="H72" s="688"/>
      <c r="I72" s="688"/>
    </row>
    <row r="73" spans="1:9" ht="14.25" hidden="1">
      <c r="A73" s="688"/>
      <c r="B73" s="688"/>
      <c r="C73" s="688"/>
      <c r="D73" s="688"/>
      <c r="E73" s="688"/>
      <c r="F73" s="688"/>
      <c r="G73" s="688"/>
      <c r="H73" s="688"/>
      <c r="I73" s="688"/>
    </row>
    <row r="74" spans="1:9" ht="14.25" hidden="1">
      <c r="A74" s="688"/>
      <c r="B74" s="688"/>
      <c r="C74" s="688"/>
      <c r="D74" s="688"/>
      <c r="E74" s="688"/>
      <c r="F74" s="688"/>
      <c r="G74" s="688"/>
      <c r="H74" s="688"/>
      <c r="I74" s="688"/>
    </row>
    <row r="75" spans="1:9" ht="14.25" hidden="1">
      <c r="A75" s="688"/>
      <c r="B75" s="688"/>
      <c r="C75" s="688"/>
      <c r="D75" s="688"/>
      <c r="E75" s="688"/>
      <c r="F75" s="688"/>
      <c r="G75" s="688"/>
      <c r="H75" s="688"/>
      <c r="I75" s="688"/>
    </row>
    <row r="76" spans="1:9" ht="14.25" hidden="1">
      <c r="A76" s="688"/>
      <c r="B76" s="688"/>
      <c r="C76" s="688"/>
      <c r="D76" s="688"/>
      <c r="E76" s="688"/>
      <c r="F76" s="688"/>
      <c r="G76" s="688"/>
      <c r="H76" s="688"/>
      <c r="I76" s="688"/>
    </row>
    <row r="77" spans="1:9" ht="14.25" hidden="1">
      <c r="A77" s="688"/>
      <c r="B77" s="688"/>
      <c r="C77" s="688"/>
      <c r="D77" s="688"/>
      <c r="E77" s="688"/>
      <c r="F77" s="688"/>
      <c r="G77" s="688"/>
      <c r="H77" s="688"/>
      <c r="I77" s="688"/>
    </row>
    <row r="78" spans="1:9" ht="14.25" hidden="1">
      <c r="A78" s="688"/>
      <c r="B78" s="688"/>
      <c r="C78" s="688"/>
      <c r="D78" s="688"/>
      <c r="E78" s="688"/>
      <c r="F78" s="688"/>
      <c r="G78" s="688"/>
      <c r="H78" s="688"/>
      <c r="I78" s="688"/>
    </row>
    <row r="79" spans="1:9" ht="14.25" hidden="1">
      <c r="A79" s="688"/>
      <c r="B79" s="688"/>
      <c r="C79" s="688"/>
      <c r="D79" s="688"/>
      <c r="E79" s="688"/>
      <c r="F79" s="688"/>
      <c r="G79" s="688"/>
      <c r="H79" s="688"/>
      <c r="I79" s="688"/>
    </row>
    <row r="80" spans="1:9" ht="14.25" hidden="1">
      <c r="A80" s="688"/>
      <c r="B80" s="688"/>
      <c r="C80" s="688"/>
      <c r="D80" s="688"/>
      <c r="E80" s="688"/>
      <c r="F80" s="688"/>
      <c r="G80" s="688"/>
      <c r="H80" s="688"/>
      <c r="I80" s="688"/>
    </row>
    <row r="81" spans="1:9" ht="14.25" hidden="1">
      <c r="A81" s="688"/>
      <c r="B81" s="688"/>
      <c r="C81" s="688"/>
      <c r="D81" s="688"/>
      <c r="E81" s="688"/>
      <c r="F81" s="688"/>
      <c r="G81" s="688"/>
      <c r="H81" s="688"/>
      <c r="I81" s="688"/>
    </row>
    <row r="82" spans="1:9" ht="14.25" hidden="1">
      <c r="A82" s="688"/>
      <c r="B82" s="688"/>
      <c r="C82" s="688"/>
      <c r="D82" s="688"/>
      <c r="E82" s="688"/>
      <c r="F82" s="688"/>
      <c r="G82" s="688"/>
      <c r="H82" s="688"/>
      <c r="I82" s="688"/>
    </row>
    <row r="83" spans="1:9" ht="14.25" hidden="1">
      <c r="A83" s="688"/>
      <c r="B83" s="688"/>
      <c r="C83" s="688"/>
      <c r="D83" s="688"/>
      <c r="E83" s="688"/>
      <c r="F83" s="688"/>
      <c r="G83" s="688"/>
      <c r="H83" s="688"/>
      <c r="I83" s="688"/>
    </row>
    <row r="84" spans="1:9" ht="14.25" hidden="1">
      <c r="A84" s="688"/>
      <c r="B84" s="688"/>
      <c r="C84" s="688"/>
      <c r="D84" s="688"/>
      <c r="E84" s="688"/>
      <c r="F84" s="688"/>
      <c r="G84" s="688"/>
      <c r="H84" s="688"/>
      <c r="I84" s="688"/>
    </row>
    <row r="85" spans="1:9" ht="14.25" hidden="1">
      <c r="A85" s="688"/>
      <c r="B85" s="688"/>
      <c r="C85" s="688"/>
      <c r="D85" s="688"/>
      <c r="E85" s="688"/>
      <c r="F85" s="688"/>
      <c r="G85" s="688"/>
      <c r="H85" s="688"/>
      <c r="I85" s="688"/>
    </row>
    <row r="86" spans="1:9" ht="14.25" hidden="1">
      <c r="A86" s="688"/>
      <c r="B86" s="688"/>
      <c r="C86" s="688"/>
      <c r="D86" s="688"/>
      <c r="E86" s="688"/>
      <c r="F86" s="688"/>
      <c r="G86" s="688"/>
      <c r="H86" s="688"/>
      <c r="I86" s="688"/>
    </row>
    <row r="87" spans="1:9" ht="14.25" hidden="1">
      <c r="A87" s="688"/>
      <c r="B87" s="688"/>
      <c r="C87" s="688"/>
      <c r="D87" s="688"/>
      <c r="E87" s="688"/>
      <c r="F87" s="688"/>
      <c r="G87" s="688"/>
      <c r="H87" s="688"/>
      <c r="I87" s="688"/>
    </row>
    <row r="88" spans="1:9" ht="14.25" hidden="1">
      <c r="A88" s="688"/>
      <c r="B88" s="688"/>
      <c r="C88" s="688"/>
      <c r="D88" s="688"/>
      <c r="E88" s="688"/>
      <c r="F88" s="688"/>
      <c r="G88" s="688"/>
      <c r="H88" s="688"/>
      <c r="I88" s="688"/>
    </row>
    <row r="89" spans="1:9" ht="14.25" hidden="1">
      <c r="A89" s="688"/>
      <c r="B89" s="688"/>
      <c r="C89" s="688"/>
      <c r="D89" s="688"/>
      <c r="E89" s="688"/>
      <c r="F89" s="688"/>
      <c r="G89" s="688"/>
      <c r="H89" s="688"/>
      <c r="I89" s="688"/>
    </row>
    <row r="90" spans="1:9" ht="14.25" hidden="1">
      <c r="A90" s="688"/>
      <c r="B90" s="688"/>
      <c r="C90" s="688"/>
      <c r="D90" s="688"/>
      <c r="E90" s="688"/>
      <c r="F90" s="688"/>
      <c r="G90" s="688"/>
      <c r="H90" s="688"/>
      <c r="I90" s="688"/>
    </row>
    <row r="91" spans="1:9" ht="14.25" hidden="1">
      <c r="A91" s="688"/>
      <c r="B91" s="688"/>
      <c r="C91" s="688"/>
      <c r="D91" s="688"/>
      <c r="E91" s="688"/>
      <c r="F91" s="688"/>
      <c r="G91" s="688"/>
      <c r="H91" s="688"/>
      <c r="I91" s="688"/>
    </row>
    <row r="92" spans="1:9" ht="14.25" hidden="1">
      <c r="A92" s="688"/>
      <c r="B92" s="688"/>
      <c r="C92" s="688"/>
      <c r="D92" s="688"/>
      <c r="E92" s="688"/>
      <c r="F92" s="688"/>
      <c r="G92" s="688"/>
      <c r="H92" s="688"/>
      <c r="I92" s="688"/>
    </row>
    <row r="93" spans="1:9" ht="14.25" hidden="1">
      <c r="A93" s="688"/>
      <c r="B93" s="688"/>
      <c r="C93" s="688"/>
      <c r="D93" s="688"/>
      <c r="E93" s="688"/>
      <c r="F93" s="688"/>
      <c r="G93" s="688"/>
      <c r="H93" s="688"/>
      <c r="I93" s="688"/>
    </row>
    <row r="94" spans="1:9" ht="14.25" hidden="1">
      <c r="A94" s="688"/>
      <c r="B94" s="688"/>
      <c r="C94" s="688"/>
      <c r="D94" s="688"/>
      <c r="E94" s="688"/>
      <c r="F94" s="688"/>
      <c r="G94" s="688"/>
      <c r="H94" s="688"/>
      <c r="I94" s="688"/>
    </row>
    <row r="95" spans="1:9" ht="14.25" hidden="1">
      <c r="A95" s="688"/>
      <c r="B95" s="688"/>
      <c r="C95" s="688"/>
      <c r="D95" s="688"/>
      <c r="E95" s="688"/>
      <c r="F95" s="688"/>
      <c r="G95" s="688"/>
      <c r="H95" s="688"/>
      <c r="I95" s="688"/>
    </row>
    <row r="96" spans="1:9" ht="14.25" hidden="1">
      <c r="A96" s="688"/>
      <c r="B96" s="688"/>
      <c r="C96" s="688"/>
      <c r="D96" s="688"/>
      <c r="E96" s="688"/>
      <c r="F96" s="688"/>
      <c r="G96" s="688"/>
      <c r="H96" s="688"/>
      <c r="I96" s="688"/>
    </row>
    <row r="97" spans="1:9" ht="14.25" hidden="1">
      <c r="A97" s="688"/>
      <c r="B97" s="688"/>
      <c r="C97" s="688"/>
      <c r="D97" s="688"/>
      <c r="E97" s="688"/>
      <c r="F97" s="688"/>
      <c r="G97" s="688"/>
      <c r="H97" s="688"/>
      <c r="I97" s="688"/>
    </row>
    <row r="98" spans="1:9" ht="14.25" hidden="1">
      <c r="A98" s="688"/>
      <c r="B98" s="688"/>
      <c r="C98" s="688"/>
      <c r="D98" s="688"/>
      <c r="E98" s="688"/>
      <c r="F98" s="688"/>
      <c r="G98" s="688"/>
      <c r="H98" s="688"/>
      <c r="I98" s="688"/>
    </row>
    <row r="99" spans="1:9" ht="14.25" hidden="1">
      <c r="A99" s="688"/>
      <c r="B99" s="688"/>
      <c r="C99" s="688"/>
      <c r="D99" s="688"/>
      <c r="E99" s="688"/>
      <c r="F99" s="688"/>
      <c r="G99" s="688"/>
      <c r="H99" s="688"/>
      <c r="I99" s="688"/>
    </row>
    <row r="100" spans="1:9" ht="14.25" hidden="1">
      <c r="A100" s="688"/>
      <c r="B100" s="688"/>
      <c r="C100" s="688"/>
      <c r="D100" s="688"/>
      <c r="E100" s="688"/>
      <c r="F100" s="688"/>
      <c r="G100" s="688"/>
      <c r="H100" s="688"/>
      <c r="I100" s="688"/>
    </row>
    <row r="101" spans="1:9" ht="14.25" hidden="1">
      <c r="A101" s="688"/>
      <c r="B101" s="688"/>
      <c r="C101" s="688"/>
      <c r="D101" s="688"/>
      <c r="E101" s="688"/>
      <c r="F101" s="688"/>
      <c r="G101" s="688"/>
      <c r="H101" s="688"/>
      <c r="I101" s="688"/>
    </row>
    <row r="102" spans="1:9" ht="14.25" hidden="1">
      <c r="A102" s="688"/>
      <c r="B102" s="688"/>
      <c r="C102" s="688"/>
      <c r="D102" s="688"/>
      <c r="E102" s="688"/>
      <c r="F102" s="688"/>
      <c r="G102" s="688"/>
      <c r="H102" s="688"/>
      <c r="I102" s="688"/>
    </row>
    <row r="103" spans="1:9" ht="14.25" hidden="1">
      <c r="A103" s="688"/>
      <c r="B103" s="688"/>
      <c r="C103" s="688"/>
      <c r="D103" s="688"/>
      <c r="E103" s="688"/>
      <c r="F103" s="688"/>
      <c r="G103" s="688"/>
      <c r="H103" s="688"/>
      <c r="I103" s="688"/>
    </row>
    <row r="104" spans="1:9" ht="14.25" hidden="1">
      <c r="A104" s="688"/>
      <c r="B104" s="688"/>
      <c r="C104" s="688"/>
      <c r="D104" s="688"/>
      <c r="E104" s="688"/>
      <c r="F104" s="688"/>
      <c r="G104" s="688"/>
      <c r="H104" s="688"/>
      <c r="I104" s="688"/>
    </row>
    <row r="105" spans="1:9" ht="14.25" hidden="1">
      <c r="A105" s="688"/>
      <c r="B105" s="688"/>
      <c r="C105" s="688"/>
      <c r="D105" s="688"/>
      <c r="E105" s="688"/>
      <c r="F105" s="688"/>
      <c r="G105" s="688"/>
      <c r="H105" s="688"/>
      <c r="I105" s="688"/>
    </row>
    <row r="106" spans="1:9" ht="14.25" hidden="1">
      <c r="A106" s="688"/>
      <c r="B106" s="688"/>
      <c r="C106" s="688"/>
      <c r="D106" s="688"/>
      <c r="E106" s="688"/>
      <c r="F106" s="688"/>
      <c r="G106" s="688"/>
      <c r="H106" s="688"/>
      <c r="I106" s="688"/>
    </row>
    <row r="107" spans="1:9" ht="14.25" hidden="1">
      <c r="A107" s="688"/>
      <c r="B107" s="688"/>
      <c r="C107" s="688"/>
      <c r="D107" s="688"/>
      <c r="E107" s="688"/>
      <c r="F107" s="688"/>
      <c r="G107" s="688"/>
      <c r="H107" s="688"/>
      <c r="I107" s="688"/>
    </row>
    <row r="108" spans="1:9" ht="14.25" hidden="1">
      <c r="A108" s="688"/>
      <c r="B108" s="688"/>
      <c r="C108" s="688"/>
      <c r="D108" s="688"/>
      <c r="E108" s="688"/>
      <c r="F108" s="688"/>
      <c r="G108" s="688"/>
      <c r="H108" s="688"/>
      <c r="I108" s="688"/>
    </row>
    <row r="109" spans="1:9" ht="14.25" hidden="1">
      <c r="A109" s="688"/>
      <c r="B109" s="688"/>
      <c r="C109" s="688"/>
      <c r="D109" s="688"/>
      <c r="E109" s="688"/>
      <c r="F109" s="688"/>
      <c r="G109" s="688"/>
      <c r="H109" s="688"/>
      <c r="I109" s="688"/>
    </row>
    <row r="110" spans="1:9" ht="14.25" hidden="1">
      <c r="A110" s="688"/>
      <c r="B110" s="688"/>
      <c r="C110" s="688"/>
      <c r="D110" s="688"/>
      <c r="E110" s="688"/>
      <c r="F110" s="688"/>
      <c r="G110" s="688"/>
      <c r="H110" s="688"/>
      <c r="I110" s="688"/>
    </row>
    <row r="111" spans="1:9" ht="14.25" hidden="1">
      <c r="A111" s="688"/>
      <c r="B111" s="688"/>
      <c r="C111" s="688"/>
      <c r="D111" s="688"/>
      <c r="E111" s="688"/>
      <c r="F111" s="688"/>
      <c r="G111" s="688"/>
      <c r="H111" s="688"/>
      <c r="I111" s="688"/>
    </row>
    <row r="112" spans="1:9" ht="14.25" hidden="1">
      <c r="A112" s="688"/>
      <c r="B112" s="688"/>
      <c r="C112" s="688"/>
      <c r="D112" s="688"/>
      <c r="E112" s="688"/>
      <c r="F112" s="688"/>
      <c r="G112" s="688"/>
      <c r="H112" s="688"/>
      <c r="I112" s="688"/>
    </row>
    <row r="113" spans="1:9" ht="14.25" hidden="1">
      <c r="A113" s="688"/>
      <c r="B113" s="688"/>
      <c r="C113" s="688"/>
      <c r="D113" s="688"/>
      <c r="E113" s="688"/>
      <c r="F113" s="688"/>
      <c r="G113" s="688"/>
      <c r="H113" s="688"/>
      <c r="I113" s="688"/>
    </row>
    <row r="114" spans="1:9" ht="14.25" hidden="1">
      <c r="A114" s="688"/>
      <c r="B114" s="688"/>
      <c r="C114" s="688"/>
      <c r="D114" s="688"/>
      <c r="E114" s="688"/>
      <c r="F114" s="688"/>
      <c r="G114" s="688"/>
      <c r="H114" s="688"/>
      <c r="I114" s="688"/>
    </row>
    <row r="115" spans="1:9" ht="14.25" hidden="1">
      <c r="A115" s="688"/>
      <c r="B115" s="688"/>
      <c r="C115" s="688"/>
      <c r="D115" s="688"/>
      <c r="E115" s="688"/>
      <c r="F115" s="688"/>
      <c r="G115" s="688"/>
      <c r="H115" s="688"/>
      <c r="I115" s="688"/>
    </row>
    <row r="116" spans="1:9" ht="14.25" hidden="1">
      <c r="A116" s="688"/>
      <c r="B116" s="688"/>
      <c r="C116" s="688"/>
      <c r="D116" s="688"/>
      <c r="E116" s="688"/>
      <c r="F116" s="688"/>
      <c r="G116" s="688"/>
      <c r="H116" s="688"/>
      <c r="I116" s="688"/>
    </row>
    <row r="117" spans="1:9" ht="14.25" hidden="1">
      <c r="A117" s="688"/>
      <c r="B117" s="688"/>
      <c r="C117" s="688"/>
      <c r="D117" s="688"/>
      <c r="E117" s="688"/>
      <c r="F117" s="688"/>
      <c r="G117" s="688"/>
      <c r="H117" s="688"/>
      <c r="I117" s="688"/>
    </row>
    <row r="118" spans="1:9" ht="14.25" hidden="1">
      <c r="A118" s="688"/>
      <c r="B118" s="688"/>
      <c r="C118" s="688"/>
      <c r="D118" s="688"/>
      <c r="E118" s="688"/>
      <c r="F118" s="688"/>
      <c r="G118" s="688"/>
      <c r="H118" s="688"/>
      <c r="I118" s="688"/>
    </row>
    <row r="119" spans="1:9" ht="14.25" hidden="1">
      <c r="A119" s="688"/>
      <c r="B119" s="688"/>
      <c r="C119" s="688"/>
      <c r="D119" s="688"/>
      <c r="E119" s="688"/>
      <c r="F119" s="688"/>
      <c r="G119" s="688"/>
      <c r="H119" s="688"/>
      <c r="I119" s="688"/>
    </row>
    <row r="120" spans="1:9" ht="14.25" hidden="1">
      <c r="A120" s="688"/>
      <c r="B120" s="688"/>
      <c r="C120" s="688"/>
      <c r="D120" s="688"/>
      <c r="E120" s="688"/>
      <c r="F120" s="688"/>
      <c r="G120" s="688"/>
      <c r="H120" s="688"/>
      <c r="I120" s="688"/>
    </row>
    <row r="121" spans="1:9" ht="14.25" hidden="1">
      <c r="A121" s="688"/>
      <c r="B121" s="688"/>
      <c r="C121" s="688"/>
      <c r="D121" s="688"/>
      <c r="E121" s="688"/>
      <c r="F121" s="688"/>
      <c r="G121" s="688"/>
      <c r="H121" s="688"/>
      <c r="I121" s="688"/>
    </row>
    <row r="122" spans="1:9" ht="14.25" hidden="1">
      <c r="A122" s="688"/>
      <c r="B122" s="688"/>
      <c r="C122" s="688"/>
      <c r="D122" s="688"/>
      <c r="E122" s="688"/>
      <c r="F122" s="688"/>
      <c r="G122" s="688"/>
      <c r="H122" s="688"/>
      <c r="I122" s="688"/>
    </row>
    <row r="123" spans="1:9" ht="14.25" hidden="1">
      <c r="A123" s="688"/>
      <c r="B123" s="688"/>
      <c r="C123" s="688"/>
      <c r="D123" s="688"/>
      <c r="E123" s="688"/>
      <c r="F123" s="688"/>
      <c r="G123" s="688"/>
      <c r="H123" s="688"/>
      <c r="I123" s="688"/>
    </row>
    <row r="124" spans="1:9" ht="14.25" hidden="1">
      <c r="A124" s="688"/>
      <c r="B124" s="688"/>
      <c r="C124" s="688"/>
      <c r="D124" s="688"/>
      <c r="E124" s="688"/>
      <c r="F124" s="688"/>
      <c r="G124" s="688"/>
      <c r="H124" s="688"/>
      <c r="I124" s="688"/>
    </row>
    <row r="125" spans="1:9" ht="14.25" hidden="1">
      <c r="A125" s="688"/>
      <c r="B125" s="688"/>
      <c r="C125" s="688"/>
      <c r="D125" s="688"/>
      <c r="E125" s="688"/>
      <c r="F125" s="688"/>
      <c r="G125" s="688"/>
      <c r="H125" s="688"/>
      <c r="I125" s="688"/>
    </row>
    <row r="126" spans="1:9" ht="14.25" hidden="1">
      <c r="A126" s="688"/>
      <c r="B126" s="688"/>
      <c r="C126" s="688"/>
      <c r="D126" s="688"/>
      <c r="E126" s="688"/>
      <c r="F126" s="688"/>
      <c r="G126" s="688"/>
      <c r="H126" s="688"/>
      <c r="I126" s="688"/>
    </row>
    <row r="127" spans="1:9" ht="14.25" hidden="1">
      <c r="A127" s="688"/>
      <c r="B127" s="688"/>
      <c r="C127" s="688"/>
      <c r="D127" s="688"/>
      <c r="E127" s="688"/>
      <c r="F127" s="688"/>
      <c r="G127" s="688"/>
      <c r="H127" s="688"/>
      <c r="I127" s="688"/>
    </row>
    <row r="128" spans="1:9" ht="14.25" hidden="1">
      <c r="A128" s="688"/>
      <c r="B128" s="688"/>
      <c r="C128" s="688"/>
      <c r="D128" s="688"/>
      <c r="E128" s="688"/>
      <c r="F128" s="688"/>
      <c r="G128" s="688"/>
      <c r="H128" s="688"/>
      <c r="I128" s="688"/>
    </row>
    <row r="129" spans="1:9" ht="14.25" hidden="1">
      <c r="A129" s="688"/>
      <c r="B129" s="688"/>
      <c r="C129" s="688"/>
      <c r="D129" s="688"/>
      <c r="E129" s="688"/>
      <c r="F129" s="688"/>
      <c r="G129" s="688"/>
      <c r="H129" s="688"/>
      <c r="I129" s="688"/>
    </row>
    <row r="130" spans="1:9" ht="14.25" hidden="1">
      <c r="A130" s="688"/>
      <c r="B130" s="688"/>
      <c r="C130" s="688"/>
      <c r="D130" s="688"/>
      <c r="E130" s="688"/>
      <c r="F130" s="688"/>
      <c r="G130" s="688"/>
      <c r="H130" s="688"/>
      <c r="I130" s="688"/>
    </row>
    <row r="131" spans="1:9" ht="14.25" hidden="1">
      <c r="A131" s="688"/>
      <c r="B131" s="688"/>
      <c r="C131" s="688"/>
      <c r="D131" s="688"/>
      <c r="E131" s="688"/>
      <c r="F131" s="688"/>
      <c r="G131" s="688"/>
      <c r="H131" s="688"/>
      <c r="I131" s="688"/>
    </row>
    <row r="132" spans="1:9" ht="14.25" hidden="1">
      <c r="A132" s="688"/>
      <c r="B132" s="688"/>
      <c r="C132" s="688"/>
      <c r="D132" s="688"/>
      <c r="E132" s="688"/>
      <c r="F132" s="688"/>
      <c r="G132" s="688"/>
      <c r="H132" s="688"/>
      <c r="I132" s="688"/>
    </row>
    <row r="133" spans="1:9" ht="14.25" hidden="1">
      <c r="A133" s="688"/>
      <c r="B133" s="688"/>
      <c r="C133" s="688"/>
      <c r="D133" s="688"/>
      <c r="E133" s="688"/>
      <c r="F133" s="688"/>
      <c r="G133" s="688"/>
      <c r="H133" s="688"/>
      <c r="I133" s="688"/>
    </row>
    <row r="134" spans="1:9" ht="14.25" hidden="1">
      <c r="A134" s="688"/>
      <c r="B134" s="688"/>
      <c r="C134" s="688"/>
      <c r="D134" s="688"/>
      <c r="E134" s="688"/>
      <c r="F134" s="688"/>
      <c r="G134" s="688"/>
      <c r="H134" s="688"/>
      <c r="I134" s="688"/>
    </row>
    <row r="135" spans="1:9" ht="14.25" hidden="1">
      <c r="A135" s="688"/>
      <c r="B135" s="688"/>
      <c r="C135" s="688"/>
      <c r="D135" s="688"/>
      <c r="E135" s="688"/>
      <c r="F135" s="688"/>
      <c r="G135" s="688"/>
      <c r="H135" s="688"/>
      <c r="I135" s="688"/>
    </row>
    <row r="136" spans="1:9" ht="14.25" hidden="1">
      <c r="A136" s="688"/>
      <c r="B136" s="688"/>
      <c r="C136" s="688"/>
      <c r="D136" s="688"/>
      <c r="E136" s="688"/>
      <c r="F136" s="688"/>
      <c r="G136" s="688"/>
      <c r="H136" s="688"/>
      <c r="I136" s="688"/>
    </row>
    <row r="137" spans="1:9" ht="14.25" hidden="1">
      <c r="A137" s="688"/>
      <c r="B137" s="688"/>
      <c r="C137" s="688"/>
      <c r="D137" s="688"/>
      <c r="E137" s="688"/>
      <c r="F137" s="688"/>
      <c r="G137" s="688"/>
      <c r="H137" s="688"/>
      <c r="I137" s="688"/>
    </row>
    <row r="138" spans="1:9" ht="14.25" hidden="1">
      <c r="A138" s="688"/>
      <c r="B138" s="688"/>
      <c r="C138" s="688"/>
      <c r="D138" s="688"/>
      <c r="E138" s="688"/>
      <c r="F138" s="688"/>
      <c r="G138" s="688"/>
      <c r="H138" s="688"/>
      <c r="I138" s="688"/>
    </row>
    <row r="139" spans="1:9" ht="14.25" hidden="1">
      <c r="A139" s="688"/>
      <c r="B139" s="688"/>
      <c r="C139" s="688"/>
      <c r="D139" s="688"/>
      <c r="E139" s="688"/>
      <c r="F139" s="688"/>
      <c r="G139" s="688"/>
      <c r="H139" s="688"/>
      <c r="I139" s="688"/>
    </row>
    <row r="140" spans="1:9" ht="14.25" hidden="1">
      <c r="A140" s="688"/>
      <c r="B140" s="688"/>
      <c r="C140" s="688"/>
      <c r="D140" s="688"/>
      <c r="E140" s="688"/>
      <c r="F140" s="688"/>
      <c r="G140" s="688"/>
      <c r="H140" s="688"/>
      <c r="I140" s="688"/>
    </row>
    <row r="141" spans="1:9" ht="14.25" hidden="1">
      <c r="A141" s="688"/>
      <c r="B141" s="688"/>
      <c r="C141" s="688"/>
      <c r="D141" s="688"/>
      <c r="E141" s="688"/>
      <c r="F141" s="688"/>
      <c r="G141" s="688"/>
      <c r="H141" s="688"/>
      <c r="I141" s="688"/>
    </row>
    <row r="142" spans="1:9" ht="14.25" hidden="1">
      <c r="A142" s="688"/>
      <c r="B142" s="688"/>
      <c r="C142" s="688"/>
      <c r="D142" s="688"/>
      <c r="E142" s="688"/>
      <c r="F142" s="688"/>
      <c r="G142" s="688"/>
      <c r="H142" s="688"/>
      <c r="I142" s="688"/>
    </row>
    <row r="143" spans="1:9" ht="14.25" hidden="1">
      <c r="A143" s="688"/>
      <c r="B143" s="688"/>
      <c r="C143" s="688"/>
      <c r="D143" s="688"/>
      <c r="E143" s="688"/>
      <c r="F143" s="688"/>
      <c r="G143" s="688"/>
      <c r="H143" s="688"/>
      <c r="I143" s="688"/>
    </row>
    <row r="144" spans="1:9" ht="14.25" hidden="1">
      <c r="A144" s="688"/>
      <c r="B144" s="688"/>
      <c r="C144" s="688"/>
      <c r="D144" s="688"/>
      <c r="E144" s="688"/>
      <c r="F144" s="688"/>
      <c r="G144" s="688"/>
      <c r="H144" s="688"/>
      <c r="I144" s="688"/>
    </row>
    <row r="145" spans="1:9" ht="14.25" hidden="1">
      <c r="A145" s="688"/>
      <c r="B145" s="688"/>
      <c r="C145" s="688"/>
      <c r="D145" s="688"/>
      <c r="E145" s="688"/>
      <c r="F145" s="688"/>
      <c r="G145" s="688"/>
      <c r="H145" s="688"/>
      <c r="I145" s="688"/>
    </row>
    <row r="146" spans="1:9" ht="14.25" hidden="1">
      <c r="A146" s="688"/>
      <c r="B146" s="688"/>
      <c r="C146" s="688"/>
      <c r="D146" s="688"/>
      <c r="E146" s="688"/>
      <c r="F146" s="688"/>
      <c r="G146" s="688"/>
      <c r="H146" s="688"/>
      <c r="I146" s="688"/>
    </row>
    <row r="147" spans="1:9" ht="14.25" hidden="1">
      <c r="A147" s="688"/>
      <c r="B147" s="688"/>
      <c r="C147" s="688"/>
      <c r="D147" s="688"/>
      <c r="E147" s="688"/>
      <c r="F147" s="688"/>
      <c r="G147" s="688"/>
      <c r="H147" s="688"/>
      <c r="I147" s="688"/>
    </row>
    <row r="148" spans="1:9" ht="14.25" hidden="1">
      <c r="A148" s="688"/>
      <c r="B148" s="688"/>
      <c r="C148" s="688"/>
      <c r="D148" s="688"/>
      <c r="E148" s="688"/>
      <c r="F148" s="688"/>
      <c r="G148" s="688"/>
      <c r="H148" s="688"/>
      <c r="I148" s="688"/>
    </row>
    <row r="149" spans="1:9" ht="14.25" hidden="1">
      <c r="A149" s="688"/>
      <c r="B149" s="688"/>
      <c r="C149" s="688"/>
      <c r="D149" s="688"/>
      <c r="E149" s="688"/>
      <c r="F149" s="688"/>
      <c r="G149" s="688"/>
      <c r="H149" s="688"/>
      <c r="I149" s="688"/>
    </row>
    <row r="150" spans="1:9" ht="14.25" hidden="1">
      <c r="A150" s="688"/>
      <c r="B150" s="688"/>
      <c r="C150" s="688"/>
      <c r="D150" s="688"/>
      <c r="E150" s="688"/>
      <c r="F150" s="688"/>
      <c r="G150" s="688"/>
      <c r="H150" s="688"/>
      <c r="I150" s="688"/>
    </row>
    <row r="151" spans="1:9" ht="14.25" hidden="1">
      <c r="A151" s="688"/>
      <c r="B151" s="688"/>
      <c r="C151" s="688"/>
      <c r="D151" s="688"/>
      <c r="E151" s="688"/>
      <c r="F151" s="688"/>
      <c r="G151" s="688"/>
      <c r="H151" s="688"/>
      <c r="I151" s="688"/>
    </row>
    <row r="152" spans="1:9" ht="14.25" hidden="1">
      <c r="A152" s="688"/>
      <c r="B152" s="688"/>
      <c r="C152" s="688"/>
      <c r="D152" s="688"/>
      <c r="E152" s="688"/>
      <c r="F152" s="688"/>
      <c r="G152" s="688"/>
      <c r="H152" s="688"/>
      <c r="I152" s="688"/>
    </row>
    <row r="153" spans="1:9" ht="14.25" hidden="1">
      <c r="A153" s="688"/>
      <c r="B153" s="688"/>
      <c r="C153" s="688"/>
      <c r="D153" s="688"/>
      <c r="E153" s="688"/>
      <c r="F153" s="688"/>
      <c r="G153" s="688"/>
      <c r="H153" s="688"/>
      <c r="I153" s="688"/>
    </row>
    <row r="154" spans="1:9" ht="14.25" hidden="1">
      <c r="A154" s="688"/>
      <c r="B154" s="688"/>
      <c r="C154" s="688"/>
      <c r="D154" s="688"/>
      <c r="E154" s="688"/>
      <c r="F154" s="688"/>
      <c r="G154" s="688"/>
      <c r="H154" s="688"/>
      <c r="I154" s="688"/>
    </row>
    <row r="155" spans="1:9" ht="14.25" hidden="1">
      <c r="A155" s="688"/>
      <c r="B155" s="688"/>
      <c r="C155" s="688"/>
      <c r="D155" s="688"/>
      <c r="E155" s="688"/>
      <c r="F155" s="688"/>
      <c r="G155" s="688"/>
      <c r="H155" s="688"/>
      <c r="I155" s="688"/>
    </row>
    <row r="156" spans="1:9" ht="14.25" hidden="1">
      <c r="A156" s="688"/>
      <c r="B156" s="688"/>
      <c r="C156" s="688"/>
      <c r="D156" s="688"/>
      <c r="E156" s="688"/>
      <c r="F156" s="688"/>
      <c r="G156" s="688"/>
      <c r="H156" s="688"/>
      <c r="I156" s="688"/>
    </row>
    <row r="157" spans="1:9" ht="14.25" hidden="1">
      <c r="A157" s="688"/>
      <c r="B157" s="688"/>
      <c r="C157" s="688"/>
      <c r="D157" s="688"/>
      <c r="E157" s="688"/>
      <c r="F157" s="688"/>
      <c r="G157" s="688"/>
      <c r="H157" s="688"/>
      <c r="I157" s="688"/>
    </row>
    <row r="158" spans="1:9" ht="14.25" hidden="1">
      <c r="A158" s="688"/>
      <c r="B158" s="688"/>
      <c r="C158" s="688"/>
      <c r="D158" s="688"/>
      <c r="E158" s="688"/>
      <c r="F158" s="688"/>
      <c r="G158" s="688"/>
      <c r="H158" s="688"/>
      <c r="I158" s="688"/>
    </row>
    <row r="159" spans="1:9" ht="14.25" hidden="1">
      <c r="A159" s="688"/>
      <c r="B159" s="688"/>
      <c r="C159" s="688"/>
      <c r="D159" s="688"/>
      <c r="E159" s="688"/>
      <c r="F159" s="688"/>
      <c r="G159" s="688"/>
      <c r="H159" s="688"/>
      <c r="I159" s="688"/>
    </row>
    <row r="160" spans="1:9" ht="14.25" hidden="1">
      <c r="A160" s="688"/>
      <c r="B160" s="688"/>
      <c r="C160" s="688"/>
      <c r="D160" s="688"/>
      <c r="E160" s="688"/>
      <c r="F160" s="688"/>
      <c r="G160" s="688"/>
      <c r="H160" s="688"/>
      <c r="I160" s="688"/>
    </row>
  </sheetData>
  <sheetProtection password="C7A7" sheet="1" objects="1" scenarios="1"/>
  <phoneticPr fontId="13"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J69"/>
  <sheetViews>
    <sheetView zoomScaleNormal="100" workbookViewId="0">
      <selection activeCell="C17" sqref="C17"/>
    </sheetView>
  </sheetViews>
  <sheetFormatPr defaultColWidth="0" defaultRowHeight="15" zeroHeight="1"/>
  <cols>
    <col min="1" max="1" width="10" style="976" customWidth="1"/>
    <col min="2" max="2" width="78.140625" style="976" hidden="1" customWidth="1"/>
    <col min="3" max="3" width="60" style="976" customWidth="1"/>
    <col min="4" max="6" width="12.7109375" style="976" customWidth="1"/>
    <col min="7" max="7" width="14.42578125" style="976" bestFit="1" customWidth="1"/>
    <col min="8" max="9" width="12.7109375" style="976" customWidth="1"/>
    <col min="10" max="10" width="11.140625" style="976" customWidth="1"/>
    <col min="11" max="16384" width="0" style="976" hidden="1"/>
  </cols>
  <sheetData>
    <row r="1" spans="1:10" ht="12.75" customHeight="1" thickBot="1">
      <c r="A1" s="2153" t="s">
        <v>2810</v>
      </c>
      <c r="B1" s="78"/>
      <c r="C1" s="78"/>
      <c r="D1" s="78"/>
      <c r="E1" s="78"/>
      <c r="F1" s="78"/>
      <c r="G1" s="78"/>
      <c r="H1" s="78"/>
      <c r="I1" s="78"/>
      <c r="J1" s="78"/>
    </row>
    <row r="2" spans="1:10" ht="15.75" thickBot="1">
      <c r="A2" s="78"/>
      <c r="B2" s="78"/>
      <c r="C2" s="78"/>
      <c r="D2" s="78"/>
      <c r="E2" s="1214"/>
      <c r="F2" s="1214" t="s">
        <v>163</v>
      </c>
      <c r="G2" s="958"/>
      <c r="H2" s="936" t="str">
        <f>'1 Summary'!G2</f>
        <v/>
      </c>
      <c r="I2" s="1215"/>
      <c r="J2" s="1216"/>
    </row>
    <row r="3" spans="1:10" ht="18.75" thickBot="1">
      <c r="A3" s="6" t="s">
        <v>621</v>
      </c>
      <c r="B3" s="104"/>
      <c r="C3" s="78"/>
      <c r="D3" s="78"/>
      <c r="E3" s="1214"/>
      <c r="F3" s="1214" t="s">
        <v>162</v>
      </c>
      <c r="G3" s="958"/>
      <c r="H3" s="851">
        <f>'1 Summary'!G3</f>
        <v>0</v>
      </c>
      <c r="I3" s="1217"/>
      <c r="J3" s="1218"/>
    </row>
    <row r="4" spans="1:10" ht="15.75">
      <c r="A4" s="104"/>
      <c r="B4" s="104"/>
      <c r="C4" s="78"/>
      <c r="D4" s="958"/>
      <c r="E4" s="958"/>
      <c r="F4" s="958"/>
      <c r="G4" s="958"/>
      <c r="H4" s="958"/>
      <c r="I4" s="958"/>
      <c r="J4" s="958"/>
    </row>
    <row r="5" spans="1:10" ht="15.75">
      <c r="A5" s="27" t="s">
        <v>1248</v>
      </c>
      <c r="B5" s="27"/>
      <c r="C5" s="27"/>
      <c r="D5" s="219"/>
      <c r="E5" s="219"/>
      <c r="F5" s="219"/>
      <c r="G5" s="219"/>
      <c r="H5" s="219"/>
      <c r="I5" s="958"/>
      <c r="J5" s="958"/>
    </row>
    <row r="6" spans="1:10" ht="15.75">
      <c r="A6" s="27"/>
      <c r="B6" s="27" t="s">
        <v>1446</v>
      </c>
      <c r="C6" s="27"/>
      <c r="D6" s="219"/>
      <c r="E6" s="219"/>
      <c r="F6" s="219"/>
      <c r="G6" s="219"/>
      <c r="H6" s="219"/>
      <c r="I6" s="219"/>
      <c r="J6" s="219"/>
    </row>
    <row r="7" spans="1:10" ht="15.75">
      <c r="A7" s="27"/>
      <c r="B7" s="27"/>
      <c r="C7" s="27"/>
      <c r="D7" s="219"/>
      <c r="E7" s="219"/>
      <c r="F7" s="219"/>
      <c r="G7" s="219"/>
      <c r="H7" s="219"/>
      <c r="I7" s="219"/>
      <c r="J7" s="219"/>
    </row>
    <row r="8" spans="1:10" ht="15.75">
      <c r="A8" s="223"/>
      <c r="B8" s="223"/>
      <c r="C8" s="223" t="s">
        <v>1249</v>
      </c>
      <c r="D8" s="2086"/>
      <c r="E8" s="1233"/>
      <c r="F8" s="1233"/>
      <c r="G8" s="2086"/>
      <c r="H8" s="1053"/>
      <c r="I8" s="2086"/>
      <c r="J8" s="219"/>
    </row>
    <row r="9" spans="1:10" ht="15.75">
      <c r="A9" s="223"/>
      <c r="B9" s="223"/>
      <c r="C9" s="223"/>
      <c r="D9" s="2086"/>
      <c r="E9" s="1233"/>
      <c r="F9" s="1233"/>
      <c r="G9" s="2086"/>
      <c r="H9" s="1053"/>
      <c r="I9" s="2087"/>
      <c r="J9" s="219"/>
    </row>
    <row r="10" spans="1:10" ht="15.75">
      <c r="A10" s="223" t="s">
        <v>185</v>
      </c>
      <c r="B10" s="223"/>
      <c r="C10" s="200" t="s">
        <v>2031</v>
      </c>
      <c r="D10" s="1053"/>
      <c r="E10" s="1053"/>
      <c r="F10" s="1053"/>
      <c r="G10" s="1053"/>
      <c r="H10" s="1053"/>
      <c r="I10" s="1234">
        <f>IF(H3=0,0,IF(H3=15148,0,1))</f>
        <v>0</v>
      </c>
      <c r="J10" s="1020" t="str">
        <f>+A10</f>
        <v>1.3.1</v>
      </c>
    </row>
    <row r="11" spans="1:10" ht="15.75">
      <c r="A11" s="223" t="s">
        <v>1185</v>
      </c>
      <c r="B11" s="223"/>
      <c r="C11" s="200" t="s">
        <v>526</v>
      </c>
      <c r="D11" s="1053"/>
      <c r="E11" s="1053"/>
      <c r="F11" s="1053"/>
      <c r="G11" s="1053"/>
      <c r="H11" s="1053"/>
      <c r="I11" s="951">
        <f>IF(H3=15148,0,'Sch 13 Enrolment'!T77+'Sch 13 Enrolment'!T78)</f>
        <v>0</v>
      </c>
      <c r="J11" s="1020" t="str">
        <f>+A11</f>
        <v>1.3.1.1</v>
      </c>
    </row>
    <row r="12" spans="1:10" ht="15.75">
      <c r="A12" s="961"/>
      <c r="B12" s="223"/>
      <c r="C12" s="223"/>
      <c r="D12" s="1064"/>
      <c r="E12" s="1064"/>
      <c r="F12" s="1064"/>
      <c r="G12" s="1064"/>
      <c r="H12" s="1064"/>
      <c r="I12" s="1220"/>
      <c r="J12" s="1020"/>
    </row>
    <row r="13" spans="1:10" ht="15.75">
      <c r="A13" s="223" t="s">
        <v>2414</v>
      </c>
      <c r="B13" s="223"/>
      <c r="C13" s="200" t="s">
        <v>2417</v>
      </c>
      <c r="D13" s="1235"/>
      <c r="E13" s="1235"/>
      <c r="F13" s="1235"/>
      <c r="G13" s="1115"/>
      <c r="H13" s="1053"/>
      <c r="I13" s="1236">
        <f>ROUND(IF(I11=0,0,IF(I11&lt;=50,0.5,1)),2)</f>
        <v>0</v>
      </c>
      <c r="J13" s="1020" t="str">
        <f>+A13</f>
        <v>1.3.2</v>
      </c>
    </row>
    <row r="14" spans="1:10" ht="15.75">
      <c r="A14" s="223" t="s">
        <v>2415</v>
      </c>
      <c r="B14" s="223"/>
      <c r="C14" s="200" t="s">
        <v>2418</v>
      </c>
      <c r="D14" s="1235"/>
      <c r="E14" s="1235"/>
      <c r="F14" s="1235"/>
      <c r="G14" s="1115"/>
      <c r="H14" s="1053"/>
      <c r="I14" s="1236">
        <f>ROUND(MAX(IF(I11&lt;500,(I11-250)*0.003,0),0),2)</f>
        <v>0</v>
      </c>
      <c r="J14" s="1020" t="str">
        <f>+A14</f>
        <v>1.3.3</v>
      </c>
    </row>
    <row r="15" spans="1:10" ht="15.75">
      <c r="A15" s="223" t="s">
        <v>2416</v>
      </c>
      <c r="B15" s="223"/>
      <c r="C15" s="200" t="s">
        <v>2419</v>
      </c>
      <c r="D15" s="1227"/>
      <c r="E15" s="1227"/>
      <c r="F15" s="1227"/>
      <c r="G15" s="1053"/>
      <c r="H15" s="339"/>
      <c r="I15" s="1236">
        <f>ROUND(IF(I11&gt;=300,1.2875+((I11-300)*0.003125),IF(I11&gt;=250,1.1875+((I11-250)*0.002),IF(+I11&gt;=100,1+(((I11-100))*0.00125),0))),2)</f>
        <v>0</v>
      </c>
      <c r="J15" s="1020" t="str">
        <f>+A15</f>
        <v>1.3.4</v>
      </c>
    </row>
    <row r="16" spans="1:10" ht="15.75">
      <c r="A16" s="961"/>
      <c r="B16" s="223"/>
      <c r="C16" s="1198"/>
      <c r="D16" s="1226"/>
      <c r="E16" s="1226"/>
      <c r="F16" s="1226"/>
      <c r="G16" s="1053"/>
      <c r="H16" s="200"/>
      <c r="I16" s="1225"/>
      <c r="J16" s="1020"/>
    </row>
    <row r="17" spans="1:10" ht="15.75">
      <c r="A17" s="961"/>
      <c r="B17" s="223"/>
      <c r="C17" s="1198"/>
      <c r="D17" s="1226"/>
      <c r="E17" s="1226"/>
      <c r="F17" s="1226"/>
      <c r="G17" s="1237" t="s">
        <v>1187</v>
      </c>
      <c r="H17" s="1053"/>
      <c r="I17" s="1225"/>
      <c r="J17" s="1020"/>
    </row>
    <row r="18" spans="1:10" ht="15.75">
      <c r="A18" s="961"/>
      <c r="B18" s="223"/>
      <c r="C18" s="223"/>
      <c r="D18" s="1053"/>
      <c r="E18" s="1053"/>
      <c r="F18" s="1053"/>
      <c r="G18" s="1053"/>
      <c r="H18" s="1053"/>
      <c r="I18" s="1225"/>
      <c r="J18" s="1020"/>
    </row>
    <row r="19" spans="1:10" ht="15.75">
      <c r="A19" s="961" t="s">
        <v>1188</v>
      </c>
      <c r="B19" s="1238"/>
      <c r="C19" s="200" t="s">
        <v>2411</v>
      </c>
      <c r="D19" s="1064"/>
      <c r="E19" s="1064"/>
      <c r="F19" s="1064"/>
      <c r="G19" s="1239">
        <f>'GSN Benchmarks'!B18</f>
        <v>126748.91</v>
      </c>
      <c r="H19" s="1053"/>
      <c r="I19" s="1224">
        <f>ROUND(G19*I13,0)</f>
        <v>0</v>
      </c>
      <c r="J19" s="1020" t="str">
        <f>+A19</f>
        <v>1.3.5</v>
      </c>
    </row>
    <row r="20" spans="1:10" ht="15.75">
      <c r="A20" s="961" t="s">
        <v>1189</v>
      </c>
      <c r="B20" s="1240"/>
      <c r="C20" s="200" t="s">
        <v>2412</v>
      </c>
      <c r="D20" s="1235"/>
      <c r="E20" s="1235"/>
      <c r="F20" s="1235"/>
      <c r="G20" s="1239">
        <f>'GSN Benchmarks'!B20</f>
        <v>120054.97</v>
      </c>
      <c r="H20" s="1053"/>
      <c r="I20" s="1224">
        <f>ROUND(G20*I14,0)</f>
        <v>0</v>
      </c>
      <c r="J20" s="1020" t="str">
        <f>+A20</f>
        <v>1.3.6</v>
      </c>
    </row>
    <row r="21" spans="1:10" ht="15.75">
      <c r="A21" s="961" t="s">
        <v>1190</v>
      </c>
      <c r="B21" s="1240"/>
      <c r="C21" s="200" t="s">
        <v>2413</v>
      </c>
      <c r="D21" s="1235"/>
      <c r="E21" s="1235"/>
      <c r="F21" s="1235"/>
      <c r="G21" s="1239">
        <f>'GSN Benchmarks'!B22</f>
        <v>54359.19</v>
      </c>
      <c r="H21" s="1053"/>
      <c r="I21" s="1224">
        <f>ROUND(G21*I15,0)</f>
        <v>0</v>
      </c>
      <c r="J21" s="1020" t="str">
        <f>+A21</f>
        <v>1.3.7</v>
      </c>
    </row>
    <row r="22" spans="1:10" ht="15.75">
      <c r="A22" s="961" t="s">
        <v>858</v>
      </c>
      <c r="B22" s="1240"/>
      <c r="C22" s="200" t="str">
        <f>"School Supplies Amount  (Line 1.3.1 x $"&amp;'GSN Benchmarks'!B24&amp;" + Col. A x line 1.3.1.1)"</f>
        <v>School Supplies Amount  (Line 1.3.1 x $2070.5 + Col. A x line 1.3.1.1)</v>
      </c>
      <c r="D22" s="1064"/>
      <c r="E22" s="1064"/>
      <c r="F22" s="1064"/>
      <c r="G22" s="1239">
        <f>'GSN Benchmarks'!B26</f>
        <v>6.06</v>
      </c>
      <c r="H22" s="339"/>
      <c r="I22" s="1224">
        <f>ROUND(('GSN Benchmarks'!B24*I10)+G22*I11,0)</f>
        <v>0</v>
      </c>
      <c r="J22" s="1020" t="str">
        <f>+A22</f>
        <v>1.3.8</v>
      </c>
    </row>
    <row r="23" spans="1:10" ht="15.75">
      <c r="A23" s="961" t="s">
        <v>1689</v>
      </c>
      <c r="B23" s="1240"/>
      <c r="C23" s="961" t="s">
        <v>1690</v>
      </c>
      <c r="D23" s="1053"/>
      <c r="E23" s="1053"/>
      <c r="F23" s="1053"/>
      <c r="G23" s="1053"/>
      <c r="H23" s="1053"/>
      <c r="I23" s="1232">
        <f>SUM(I19:I22)</f>
        <v>0</v>
      </c>
      <c r="J23" s="1020" t="str">
        <f>+A23</f>
        <v>1.3.9</v>
      </c>
    </row>
    <row r="24" spans="1:10" ht="15.75">
      <c r="A24" s="961"/>
      <c r="B24" s="1240"/>
      <c r="C24" s="223"/>
      <c r="D24" s="1064"/>
      <c r="E24" s="1064"/>
      <c r="F24" s="1064"/>
      <c r="G24" s="1053"/>
      <c r="H24" s="1053"/>
      <c r="I24" s="1225"/>
      <c r="J24" s="1241"/>
    </row>
    <row r="25" spans="1:10" ht="15.75">
      <c r="A25" s="223"/>
      <c r="B25" s="223"/>
      <c r="C25" s="223" t="s">
        <v>310</v>
      </c>
      <c r="D25" s="2086"/>
      <c r="E25" s="1233"/>
      <c r="F25" s="1233"/>
      <c r="G25" s="2086"/>
      <c r="H25" s="1053"/>
      <c r="I25" s="2086"/>
      <c r="J25" s="1241"/>
    </row>
    <row r="26" spans="1:10" ht="15.75">
      <c r="A26" s="223"/>
      <c r="B26" s="223"/>
      <c r="C26" s="223"/>
      <c r="D26" s="2086"/>
      <c r="E26" s="1233"/>
      <c r="F26" s="1233"/>
      <c r="G26" s="2086"/>
      <c r="H26" s="1053"/>
      <c r="I26" s="2087"/>
      <c r="J26" s="1241"/>
    </row>
    <row r="27" spans="1:10" ht="15.75">
      <c r="A27" s="223" t="s">
        <v>10</v>
      </c>
      <c r="B27" s="223"/>
      <c r="C27" s="200" t="s">
        <v>12</v>
      </c>
      <c r="D27" s="1053"/>
      <c r="E27" s="1053"/>
      <c r="F27" s="1053"/>
      <c r="G27" s="1053"/>
      <c r="H27" s="1053"/>
      <c r="I27" s="1234">
        <f>IF(H3=15148,1,0)</f>
        <v>0</v>
      </c>
      <c r="J27" s="1020" t="str">
        <f>+A27</f>
        <v>1.3.10</v>
      </c>
    </row>
    <row r="28" spans="1:10" ht="15.75">
      <c r="A28" s="223" t="s">
        <v>1186</v>
      </c>
      <c r="B28" s="223"/>
      <c r="C28" s="200" t="s">
        <v>526</v>
      </c>
      <c r="D28" s="1053"/>
      <c r="E28" s="1053"/>
      <c r="F28" s="1053"/>
      <c r="G28" s="1053"/>
      <c r="H28" s="1053"/>
      <c r="I28" s="951">
        <f>IF(I27=0,0,IF(H3=15148,'Sch 13 Enrolment'!T82+'Sch 13 Enrolment'!T83,0))</f>
        <v>0</v>
      </c>
      <c r="J28" s="1020" t="str">
        <f>+A28</f>
        <v>1.3.10.1</v>
      </c>
    </row>
    <row r="29" spans="1:10" ht="15.75">
      <c r="A29" s="961"/>
      <c r="B29" s="223"/>
      <c r="C29" s="223"/>
      <c r="D29" s="1064"/>
      <c r="E29" s="1064"/>
      <c r="F29" s="1064"/>
      <c r="G29" s="1064"/>
      <c r="H29" s="1064"/>
      <c r="I29" s="1220"/>
      <c r="J29" s="1020"/>
    </row>
    <row r="30" spans="1:10" ht="15.75">
      <c r="A30" s="223" t="s">
        <v>2673</v>
      </c>
      <c r="B30" s="223"/>
      <c r="C30" s="1881" t="s">
        <v>2670</v>
      </c>
      <c r="D30" s="1235"/>
      <c r="E30" s="1115"/>
      <c r="F30" s="1235"/>
      <c r="G30" s="1115"/>
      <c r="H30" s="1053"/>
      <c r="I30" s="1236">
        <f>ROUND(IF(I28=0,0,IF(I28&lt;=50,0.5,1)),2)</f>
        <v>0</v>
      </c>
      <c r="J30" s="1020" t="str">
        <f>+A30</f>
        <v>1.3.11</v>
      </c>
    </row>
    <row r="31" spans="1:10" ht="15.75">
      <c r="A31" s="223" t="s">
        <v>2674</v>
      </c>
      <c r="B31" s="223"/>
      <c r="C31" s="1881" t="s">
        <v>2671</v>
      </c>
      <c r="D31" s="1235"/>
      <c r="E31" s="1115"/>
      <c r="F31" s="1235"/>
      <c r="G31" s="1115"/>
      <c r="H31" s="1053"/>
      <c r="I31" s="1236">
        <f>ROUND(MAX(IF(I28&lt;500,(I28-100)*0.0025,0),0),2)</f>
        <v>0</v>
      </c>
      <c r="J31" s="1020" t="str">
        <f>+A31</f>
        <v>1.3.12</v>
      </c>
    </row>
    <row r="32" spans="1:10" ht="15.75">
      <c r="A32" s="223" t="s">
        <v>2675</v>
      </c>
      <c r="B32" s="223"/>
      <c r="C32" s="1881" t="s">
        <v>2672</v>
      </c>
      <c r="D32" s="1227"/>
      <c r="E32" s="1227"/>
      <c r="F32" s="1227"/>
      <c r="G32" s="1053"/>
      <c r="H32" s="339"/>
      <c r="I32" s="1236">
        <f>ROUND(IF(I27=0,0,IF(I28&lt;500,1+((I28-100)*0.003125))),2)</f>
        <v>0</v>
      </c>
      <c r="J32" s="1020" t="str">
        <f>+A32</f>
        <v>1.3.13</v>
      </c>
    </row>
    <row r="33" spans="1:10" ht="15.75">
      <c r="A33" s="223"/>
      <c r="B33" s="223"/>
      <c r="C33" s="200"/>
      <c r="D33" s="1227"/>
      <c r="E33" s="1227"/>
      <c r="F33" s="1227"/>
      <c r="G33" s="1053"/>
      <c r="H33" s="339"/>
      <c r="I33" s="1220"/>
      <c r="J33" s="1020"/>
    </row>
    <row r="34" spans="1:10" ht="15.75">
      <c r="A34" s="223"/>
      <c r="B34" s="223"/>
      <c r="C34" s="200"/>
      <c r="D34" s="1227"/>
      <c r="E34" s="1227"/>
      <c r="F34" s="1227"/>
      <c r="G34" s="1237" t="s">
        <v>1187</v>
      </c>
      <c r="H34" s="339"/>
      <c r="I34" s="1220"/>
      <c r="J34" s="1020"/>
    </row>
    <row r="35" spans="1:10" ht="15.75">
      <c r="A35" s="223"/>
      <c r="B35" s="223"/>
      <c r="C35" s="200"/>
      <c r="D35" s="1227"/>
      <c r="E35" s="1227"/>
      <c r="F35" s="1227"/>
      <c r="G35" s="1053"/>
      <c r="H35" s="339"/>
      <c r="I35" s="1220"/>
      <c r="J35" s="1020"/>
    </row>
    <row r="36" spans="1:10" ht="15.75">
      <c r="A36" s="961" t="s">
        <v>11</v>
      </c>
      <c r="B36" s="1238"/>
      <c r="C36" s="200" t="s">
        <v>1612</v>
      </c>
      <c r="D36" s="1064"/>
      <c r="E36" s="1064"/>
      <c r="F36" s="1064"/>
      <c r="G36" s="1239">
        <f>'GSN Benchmarks'!B19</f>
        <v>138229.6</v>
      </c>
      <c r="H36" s="1053"/>
      <c r="I36" s="1224">
        <f>ROUND(G36*I30,0)</f>
        <v>0</v>
      </c>
      <c r="J36" s="1020" t="str">
        <f t="shared" ref="J36:J44" si="0">+A36</f>
        <v>1.3.14</v>
      </c>
    </row>
    <row r="37" spans="1:10" ht="15.75">
      <c r="A37" s="961" t="s">
        <v>2055</v>
      </c>
      <c r="B37" s="1240"/>
      <c r="C37" s="200" t="s">
        <v>1698</v>
      </c>
      <c r="D37" s="1235"/>
      <c r="E37" s="1235"/>
      <c r="F37" s="1235"/>
      <c r="G37" s="1239">
        <f>'GSN Benchmarks'!B21</f>
        <v>126656.2</v>
      </c>
      <c r="H37" s="1053"/>
      <c r="I37" s="1224">
        <f>ROUND(G37*I31,0)</f>
        <v>0</v>
      </c>
      <c r="J37" s="1020" t="str">
        <f t="shared" si="0"/>
        <v>1.3.15</v>
      </c>
    </row>
    <row r="38" spans="1:10" ht="15.75">
      <c r="A38" s="961" t="s">
        <v>2056</v>
      </c>
      <c r="B38" s="1240"/>
      <c r="C38" s="200" t="s">
        <v>1699</v>
      </c>
      <c r="D38" s="1235"/>
      <c r="E38" s="1235"/>
      <c r="F38" s="1235"/>
      <c r="G38" s="1239">
        <f>'GSN Benchmarks'!B23</f>
        <v>57263.27</v>
      </c>
      <c r="H38" s="1053"/>
      <c r="I38" s="1224">
        <f>ROUND(G38*I32,0)</f>
        <v>0</v>
      </c>
      <c r="J38" s="1020" t="str">
        <f t="shared" si="0"/>
        <v>1.3.16</v>
      </c>
    </row>
    <row r="39" spans="1:10" ht="15.75">
      <c r="A39" s="961" t="s">
        <v>2057</v>
      </c>
      <c r="B39" s="1240"/>
      <c r="C39" s="200" t="str">
        <f>"School Supplies Amount  (Line 1.3.10 x $"&amp;'GSN Benchmarks'!B25&amp;" + Col. A x line 1.3.10.1)"</f>
        <v>School Supplies Amount  (Line 1.3.10 x $3080.5 + Col. A x line 1.3.10.1)</v>
      </c>
      <c r="D39" s="1064"/>
      <c r="E39" s="1064"/>
      <c r="F39" s="1064"/>
      <c r="G39" s="1239">
        <f>'GSN Benchmarks'!B27</f>
        <v>7.07</v>
      </c>
      <c r="H39" s="339"/>
      <c r="I39" s="1224">
        <f>ROUND('GSN Benchmarks'!B25*I27+G39*I28,0)</f>
        <v>0</v>
      </c>
      <c r="J39" s="1020" t="str">
        <f t="shared" si="0"/>
        <v>1.3.17</v>
      </c>
    </row>
    <row r="40" spans="1:10" ht="15.75">
      <c r="A40" s="961" t="s">
        <v>2058</v>
      </c>
      <c r="B40" s="1240"/>
      <c r="C40" s="961" t="s">
        <v>1891</v>
      </c>
      <c r="D40" s="1053"/>
      <c r="E40" s="1053"/>
      <c r="F40" s="1053"/>
      <c r="G40" s="1053"/>
      <c r="H40" s="1053"/>
      <c r="I40" s="1232">
        <f>SUM(I36:I39)</f>
        <v>0</v>
      </c>
      <c r="J40" s="1020" t="str">
        <f t="shared" si="0"/>
        <v>1.3.18</v>
      </c>
    </row>
    <row r="41" spans="1:10" ht="15.75">
      <c r="A41" s="961"/>
      <c r="B41" s="1240"/>
      <c r="C41" s="961"/>
      <c r="D41" s="1053"/>
      <c r="E41" s="1053"/>
      <c r="F41" s="1053"/>
      <c r="G41" s="1053"/>
      <c r="H41" s="1053"/>
      <c r="I41" s="2375"/>
      <c r="J41" s="1020"/>
    </row>
    <row r="42" spans="1:10" ht="15.75">
      <c r="A42" s="961" t="s">
        <v>3174</v>
      </c>
      <c r="B42" s="1240"/>
      <c r="C42" s="961" t="s">
        <v>3176</v>
      </c>
      <c r="D42" s="1053"/>
      <c r="E42" s="1053"/>
      <c r="F42" s="1053"/>
      <c r="G42" s="1053"/>
      <c r="H42" s="1053"/>
      <c r="I42" s="2376">
        <f>IF($H$3=0,0,VLOOKUP($H$3,Tables!$A$5:$BM$8,65,FALSE))</f>
        <v>0</v>
      </c>
      <c r="J42" s="1020" t="str">
        <f t="shared" si="0"/>
        <v>1.3.18.1</v>
      </c>
    </row>
    <row r="43" spans="1:10" ht="15.75">
      <c r="A43" s="961"/>
      <c r="B43" s="1240"/>
      <c r="C43" s="1198"/>
      <c r="D43" s="1064"/>
      <c r="E43" s="1064"/>
      <c r="F43" s="1064"/>
      <c r="G43" s="1053"/>
      <c r="H43" s="1053"/>
      <c r="I43" s="1225"/>
      <c r="J43" s="1020"/>
    </row>
    <row r="44" spans="1:10" ht="15.75">
      <c r="A44" s="961" t="s">
        <v>2059</v>
      </c>
      <c r="B44" s="1240"/>
      <c r="C44" s="961" t="s">
        <v>2060</v>
      </c>
      <c r="D44" s="1064"/>
      <c r="E44" s="1064"/>
      <c r="F44" s="1064"/>
      <c r="G44" s="1053"/>
      <c r="H44" s="1053"/>
      <c r="I44" s="1232">
        <f>+I23+I40+I42</f>
        <v>0</v>
      </c>
      <c r="J44" s="1020" t="str">
        <f t="shared" si="0"/>
        <v>1.3.19</v>
      </c>
    </row>
    <row r="45" spans="1:10" ht="15.75">
      <c r="A45" s="961"/>
      <c r="B45" s="1240"/>
      <c r="C45" s="1198" t="s">
        <v>3175</v>
      </c>
      <c r="D45" s="1064"/>
      <c r="E45" s="1064"/>
      <c r="F45" s="1064"/>
      <c r="G45" s="1053"/>
      <c r="H45" s="1053"/>
      <c r="I45" s="1225"/>
      <c r="J45" s="1020"/>
    </row>
    <row r="46" spans="1:10" ht="15.75">
      <c r="A46" s="104"/>
      <c r="B46" s="1229"/>
      <c r="C46" s="27"/>
      <c r="D46" s="958"/>
      <c r="E46" s="958"/>
      <c r="F46" s="958"/>
      <c r="G46" s="219"/>
      <c r="H46" s="219"/>
      <c r="I46" s="1225"/>
      <c r="J46" s="219"/>
    </row>
    <row r="47" spans="1:10" ht="15.75">
      <c r="A47" s="104"/>
      <c r="B47" s="1229"/>
      <c r="C47" s="27"/>
      <c r="D47" s="958"/>
      <c r="E47" s="958"/>
      <c r="F47" s="958"/>
      <c r="G47" s="219"/>
      <c r="H47" s="219"/>
      <c r="I47" s="1225"/>
      <c r="J47" s="219"/>
    </row>
    <row r="48" spans="1:10" ht="15.75">
      <c r="A48" s="223" t="s">
        <v>789</v>
      </c>
      <c r="B48" s="1229"/>
      <c r="C48" s="400"/>
      <c r="D48" s="958"/>
      <c r="E48" s="958"/>
      <c r="F48" s="958"/>
      <c r="G48" s="219"/>
      <c r="H48" s="219"/>
      <c r="I48" s="1230"/>
      <c r="J48" s="219"/>
    </row>
    <row r="49" spans="1:10" ht="15.75">
      <c r="A49" s="1231"/>
      <c r="B49" s="1229"/>
      <c r="C49" s="400"/>
      <c r="D49" s="958"/>
      <c r="E49" s="958"/>
      <c r="F49" s="958"/>
      <c r="G49" s="219"/>
      <c r="H49" s="219"/>
      <c r="I49" s="1230"/>
      <c r="J49" s="219"/>
    </row>
    <row r="50" spans="1:10" ht="15.75">
      <c r="A50" s="1231"/>
      <c r="B50" s="1229"/>
      <c r="C50" s="400"/>
      <c r="D50" s="958"/>
      <c r="E50" s="958"/>
      <c r="F50" s="958"/>
      <c r="G50" s="219"/>
      <c r="H50" s="219"/>
      <c r="I50" s="1230"/>
      <c r="J50" s="219"/>
    </row>
    <row r="51" spans="1:10" ht="15.75">
      <c r="A51" s="1231"/>
      <c r="B51" s="1229"/>
      <c r="C51" s="219"/>
      <c r="D51" s="1242"/>
      <c r="E51" s="1242"/>
      <c r="F51" s="1242"/>
      <c r="G51" s="1242"/>
      <c r="H51" s="219"/>
      <c r="I51" s="1243"/>
      <c r="J51" s="1241"/>
    </row>
    <row r="52" spans="1:10" hidden="1"/>
    <row r="53" spans="1:10" hidden="1"/>
    <row r="54" spans="1:10" hidden="1"/>
    <row r="55" spans="1:10" hidden="1"/>
    <row r="56" spans="1:10" hidden="1"/>
    <row r="57" spans="1:10" hidden="1"/>
    <row r="58" spans="1:10" hidden="1"/>
    <row r="59" spans="1:10" hidden="1"/>
    <row r="60" spans="1:10" hidden="1"/>
    <row r="61" spans="1:10" hidden="1"/>
    <row r="62" spans="1:10" hidden="1"/>
    <row r="63" spans="1:10" hidden="1"/>
    <row r="64" spans="1:10" hidden="1"/>
    <row r="65" hidden="1"/>
    <row r="66" hidden="1"/>
    <row r="67" hidden="1"/>
    <row r="68" hidden="1"/>
    <row r="69" hidden="1"/>
  </sheetData>
  <sheetProtection password="C7B7" sheet="1" objects="1" scenarios="1"/>
  <phoneticPr fontId="13"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79"/>
  <sheetViews>
    <sheetView topLeftCell="A13" zoomScaleNormal="100" workbookViewId="0">
      <selection activeCell="H22" sqref="H22"/>
    </sheetView>
  </sheetViews>
  <sheetFormatPr defaultColWidth="0" defaultRowHeight="12.75" customHeight="1" zeroHeight="1"/>
  <cols>
    <col min="1" max="1" width="6.28515625" customWidth="1"/>
    <col min="2" max="3" width="3.140625" customWidth="1"/>
    <col min="4" max="4" width="11.140625" customWidth="1"/>
    <col min="5" max="5" width="6" customWidth="1"/>
    <col min="6" max="6" width="15.7109375" customWidth="1"/>
    <col min="7" max="7" width="5.7109375" customWidth="1"/>
    <col min="8" max="8" width="15.7109375" customWidth="1"/>
    <col min="9" max="9" width="5.7109375" customWidth="1"/>
    <col min="10" max="10" width="15.7109375" customWidth="1"/>
    <col min="11" max="11" width="5.7109375" customWidth="1"/>
    <col min="12" max="12" width="15.7109375" customWidth="1"/>
    <col min="13" max="13" width="3.85546875" customWidth="1"/>
    <col min="14" max="14" width="15.5703125" customWidth="1"/>
    <col min="15" max="15" width="13.42578125" customWidth="1"/>
    <col min="16" max="16" width="14.7109375" customWidth="1"/>
    <col min="17" max="17" width="6.7109375" customWidth="1"/>
    <col min="18" max="18" width="15.7109375" customWidth="1"/>
    <col min="19" max="19" width="8" bestFit="1" customWidth="1"/>
    <col min="20" max="20" width="14.7109375" customWidth="1"/>
    <col min="21" max="21" width="8.28515625" customWidth="1"/>
  </cols>
  <sheetData>
    <row r="1" spans="1:21" ht="6" customHeight="1" thickBot="1">
      <c r="A1" s="2153" t="s">
        <v>2811</v>
      </c>
      <c r="B1" s="3"/>
      <c r="C1" s="3"/>
      <c r="D1" s="3"/>
      <c r="E1" s="3"/>
      <c r="F1" s="3"/>
      <c r="G1" s="3"/>
      <c r="H1" s="3"/>
      <c r="I1" s="3"/>
      <c r="J1" s="3"/>
      <c r="K1" s="3"/>
      <c r="L1" s="3"/>
      <c r="M1" s="3"/>
      <c r="N1" s="3"/>
      <c r="O1" s="3"/>
      <c r="P1" s="3"/>
      <c r="Q1" s="3"/>
      <c r="R1" s="3"/>
      <c r="S1" s="3"/>
      <c r="T1" s="3"/>
      <c r="U1" s="3"/>
    </row>
    <row r="2" spans="1:21" ht="21" thickBot="1">
      <c r="A2" s="1085" t="s">
        <v>621</v>
      </c>
      <c r="B2" s="3"/>
      <c r="C2" s="3"/>
      <c r="D2" s="3"/>
      <c r="E2" s="3"/>
      <c r="F2" s="3"/>
      <c r="G2" s="3"/>
      <c r="H2" s="3"/>
      <c r="I2" s="3"/>
      <c r="J2" s="3"/>
      <c r="K2" s="3"/>
      <c r="L2" s="3"/>
      <c r="M2" s="3"/>
      <c r="N2" s="941" t="s">
        <v>163</v>
      </c>
      <c r="O2" s="78"/>
      <c r="P2" s="936" t="str">
        <f>+'1 Summary'!G2</f>
        <v/>
      </c>
      <c r="Q2" s="1141"/>
      <c r="R2" s="1142"/>
      <c r="S2" s="65"/>
      <c r="T2" s="10"/>
      <c r="U2" s="19"/>
    </row>
    <row r="3" spans="1:21" ht="21" thickBot="1">
      <c r="A3" s="1085" t="s">
        <v>1284</v>
      </c>
      <c r="B3" s="3"/>
      <c r="C3" s="3"/>
      <c r="D3" s="3"/>
      <c r="E3" s="3"/>
      <c r="F3" s="3"/>
      <c r="G3" s="7"/>
      <c r="H3" s="7"/>
      <c r="I3" s="3"/>
      <c r="J3" s="3"/>
      <c r="K3" s="3"/>
      <c r="L3" s="3"/>
      <c r="M3" s="3"/>
      <c r="N3" s="941" t="s">
        <v>162</v>
      </c>
      <c r="O3" s="78"/>
      <c r="P3" s="851">
        <f>+'1 Summary'!G3</f>
        <v>0</v>
      </c>
      <c r="Q3" s="1042"/>
      <c r="R3" s="1044"/>
      <c r="S3" s="12"/>
      <c r="T3" s="4"/>
      <c r="U3" s="20"/>
    </row>
    <row r="4" spans="1:21" s="976" customFormat="1" ht="15.75">
      <c r="A4" s="104"/>
      <c r="B4" s="78"/>
      <c r="C4" s="78"/>
      <c r="D4" s="78"/>
      <c r="E4" s="78"/>
      <c r="F4" s="78"/>
      <c r="G4" s="78"/>
      <c r="H4" s="78"/>
      <c r="I4" s="78"/>
      <c r="J4" s="78"/>
      <c r="K4" s="78"/>
      <c r="L4" s="78"/>
      <c r="M4" s="78"/>
      <c r="N4" s="78"/>
      <c r="O4" s="78"/>
      <c r="P4" s="78"/>
      <c r="Q4" s="1042"/>
      <c r="R4" s="1044"/>
      <c r="S4" s="1044"/>
      <c r="T4" s="941"/>
      <c r="U4" s="1089"/>
    </row>
    <row r="5" spans="1:21" s="976" customFormat="1" ht="15.75">
      <c r="A5" s="104"/>
      <c r="B5" s="78"/>
      <c r="C5" s="78"/>
      <c r="D5" s="78"/>
      <c r="E5" s="78"/>
      <c r="F5" s="78"/>
      <c r="G5" s="78"/>
      <c r="H5" s="78"/>
      <c r="I5" s="78"/>
      <c r="J5" s="78"/>
      <c r="K5" s="78"/>
      <c r="L5" s="78"/>
      <c r="M5" s="78"/>
      <c r="N5" s="78"/>
      <c r="O5" s="78"/>
      <c r="P5" s="78"/>
      <c r="Q5" s="1042"/>
      <c r="R5" s="1044"/>
      <c r="S5" s="1044"/>
      <c r="T5" s="941"/>
      <c r="U5" s="1089"/>
    </row>
    <row r="6" spans="1:21" s="976" customFormat="1" ht="15.75">
      <c r="A6" s="104"/>
      <c r="B6" s="78"/>
      <c r="C6" s="27"/>
      <c r="D6" s="27"/>
      <c r="E6" s="27"/>
      <c r="F6" s="27"/>
      <c r="G6" s="27"/>
      <c r="H6" s="27"/>
      <c r="I6" s="27"/>
      <c r="J6" s="27"/>
      <c r="K6" s="27"/>
      <c r="L6" s="27"/>
      <c r="M6" s="27"/>
      <c r="N6" s="27"/>
      <c r="O6" s="27"/>
      <c r="P6" s="27"/>
      <c r="Q6" s="1090"/>
      <c r="R6" s="1040"/>
      <c r="S6" s="1040"/>
      <c r="T6" s="1091"/>
      <c r="U6" s="1089"/>
    </row>
    <row r="7" spans="1:21" s="976" customFormat="1" ht="15.75">
      <c r="A7" s="104">
        <v>2.1</v>
      </c>
      <c r="B7" s="27" t="s">
        <v>1285</v>
      </c>
      <c r="C7" s="27"/>
      <c r="D7" s="27"/>
      <c r="E7" s="27"/>
      <c r="F7" s="27"/>
      <c r="G7" s="27"/>
      <c r="H7" s="27"/>
      <c r="I7" s="27"/>
      <c r="J7" s="27"/>
      <c r="K7" s="27"/>
      <c r="L7" s="27"/>
      <c r="M7" s="27"/>
      <c r="N7" s="27"/>
      <c r="O7" s="27"/>
      <c r="P7" s="1092" t="s">
        <v>1286</v>
      </c>
      <c r="Q7" s="1093"/>
      <c r="R7" s="1094" t="s">
        <v>1287</v>
      </c>
      <c r="S7" s="1095"/>
      <c r="T7" s="1096" t="s">
        <v>1288</v>
      </c>
      <c r="U7" s="1097">
        <f>A7</f>
        <v>2.1</v>
      </c>
    </row>
    <row r="8" spans="1:21" s="976" customFormat="1" ht="15.75">
      <c r="A8" s="104"/>
      <c r="B8" s="27"/>
      <c r="C8" s="27"/>
      <c r="D8" s="27"/>
      <c r="E8" s="27"/>
      <c r="F8" s="27"/>
      <c r="G8" s="27"/>
      <c r="H8" s="27"/>
      <c r="I8" s="27"/>
      <c r="J8" s="27"/>
      <c r="K8" s="27"/>
      <c r="L8" s="1098" t="s">
        <v>917</v>
      </c>
      <c r="M8" s="27"/>
      <c r="N8" s="1098" t="s">
        <v>1841</v>
      </c>
      <c r="O8" s="27"/>
      <c r="P8" s="886" t="s">
        <v>1289</v>
      </c>
      <c r="Q8" s="1099"/>
      <c r="R8" s="1100" t="s">
        <v>1000</v>
      </c>
      <c r="S8" s="1101"/>
      <c r="T8" s="1032" t="s">
        <v>1001</v>
      </c>
      <c r="U8" s="1089"/>
    </row>
    <row r="9" spans="1:21" s="976" customFormat="1" ht="15.75">
      <c r="A9" s="104"/>
      <c r="B9" s="27"/>
      <c r="C9" s="27"/>
      <c r="D9" s="27"/>
      <c r="E9" s="27"/>
      <c r="F9" s="27"/>
      <c r="G9" s="27"/>
      <c r="H9" s="27"/>
      <c r="I9" s="27"/>
      <c r="J9" s="27"/>
      <c r="K9" s="27"/>
      <c r="L9" s="901" t="s">
        <v>1002</v>
      </c>
      <c r="M9" s="109"/>
      <c r="N9" s="901" t="s">
        <v>1002</v>
      </c>
      <c r="O9" s="27"/>
      <c r="P9" s="401" t="s">
        <v>1002</v>
      </c>
      <c r="Q9" s="1090"/>
      <c r="R9" s="401" t="s">
        <v>1002</v>
      </c>
      <c r="S9" s="1101"/>
      <c r="T9" s="1035" t="s">
        <v>1003</v>
      </c>
      <c r="U9" s="1089"/>
    </row>
    <row r="10" spans="1:21" s="976" customFormat="1" ht="15.75">
      <c r="A10" s="104"/>
      <c r="B10" s="78"/>
      <c r="C10" s="78"/>
      <c r="D10" s="27"/>
      <c r="E10" s="27"/>
      <c r="F10" s="27"/>
      <c r="G10" s="27"/>
      <c r="H10" s="27"/>
      <c r="I10" s="27"/>
      <c r="J10" s="27"/>
      <c r="K10" s="27"/>
      <c r="L10" s="27"/>
      <c r="M10" s="27"/>
      <c r="N10" s="27"/>
      <c r="O10" s="27"/>
      <c r="P10" s="78"/>
      <c r="Q10" s="78"/>
      <c r="R10" s="78"/>
      <c r="S10" s="78"/>
      <c r="T10" s="78"/>
      <c r="U10" s="1089"/>
    </row>
    <row r="11" spans="1:21" s="976" customFormat="1" ht="15.75">
      <c r="A11" s="104" t="s">
        <v>1004</v>
      </c>
      <c r="B11" s="78" t="s">
        <v>526</v>
      </c>
      <c r="C11" s="78"/>
      <c r="D11" s="27"/>
      <c r="E11" s="78"/>
      <c r="F11" s="78"/>
      <c r="G11" s="78"/>
      <c r="H11" s="78"/>
      <c r="I11" s="78"/>
      <c r="J11" s="78"/>
      <c r="K11" s="78"/>
      <c r="L11" s="1102">
        <f>'Sch 13 Enrolment'!T47+'Sch 13 Enrolment'!T48+'Sch 13 Enrolment'!T50+'Sch 13 Enrolment'!T51</f>
        <v>0</v>
      </c>
      <c r="M11" s="78"/>
      <c r="N11" s="1102">
        <f>+'Sch 13 Enrolment'!T49+'Sch 13 Enrolment'!T52</f>
        <v>0</v>
      </c>
      <c r="O11" s="78"/>
      <c r="P11" s="1103">
        <f>+L11+N11</f>
        <v>0</v>
      </c>
      <c r="Q11" s="901"/>
      <c r="R11" s="1103">
        <f>+'Sch 13 Enrolment'!V68</f>
        <v>0</v>
      </c>
      <c r="S11" s="1104"/>
      <c r="T11" s="1105"/>
      <c r="U11" s="1097" t="str">
        <f>A11</f>
        <v>2.1.1</v>
      </c>
    </row>
    <row r="12" spans="1:21" s="976" customFormat="1" ht="15.75">
      <c r="A12" s="104"/>
      <c r="B12" s="78"/>
      <c r="C12" s="78"/>
      <c r="D12" s="78"/>
      <c r="E12" s="78"/>
      <c r="F12" s="78"/>
      <c r="G12" s="78"/>
      <c r="H12" s="78"/>
      <c r="I12" s="78"/>
      <c r="J12" s="78"/>
      <c r="K12" s="78"/>
      <c r="L12" s="78"/>
      <c r="M12" s="78"/>
      <c r="N12" s="78"/>
      <c r="O12" s="78"/>
      <c r="P12" s="1106"/>
      <c r="Q12" s="901"/>
      <c r="R12" s="1106"/>
      <c r="S12" s="339"/>
      <c r="T12" s="1105"/>
      <c r="U12" s="1097"/>
    </row>
    <row r="13" spans="1:21" s="976" customFormat="1" ht="15.75">
      <c r="A13" s="104" t="s">
        <v>527</v>
      </c>
      <c r="B13" s="78" t="s">
        <v>1534</v>
      </c>
      <c r="C13" s="78"/>
      <c r="D13" s="78"/>
      <c r="E13" s="78"/>
      <c r="F13" s="78"/>
      <c r="G13" s="78"/>
      <c r="H13" s="78"/>
      <c r="I13" s="78"/>
      <c r="J13" s="78"/>
      <c r="K13" s="78"/>
      <c r="L13" s="1107">
        <f>'GSN Benchmarks'!B39</f>
        <v>975.77</v>
      </c>
      <c r="M13" s="78"/>
      <c r="N13" s="1107">
        <f>'GSN Benchmarks'!B40</f>
        <v>749.52</v>
      </c>
      <c r="O13" s="78"/>
      <c r="P13" s="1108"/>
      <c r="Q13" s="901"/>
      <c r="R13" s="1107">
        <f>'GSN Benchmarks'!B41</f>
        <v>494.9</v>
      </c>
      <c r="S13" s="1109"/>
      <c r="T13" s="1105"/>
      <c r="U13" s="1097"/>
    </row>
    <row r="14" spans="1:21" s="976" customFormat="1" ht="15.75">
      <c r="A14" s="104"/>
      <c r="B14" s="27"/>
      <c r="C14" s="78"/>
      <c r="D14" s="78"/>
      <c r="E14" s="27"/>
      <c r="F14" s="27"/>
      <c r="G14" s="27"/>
      <c r="H14" s="27"/>
      <c r="I14" s="27"/>
      <c r="J14" s="27"/>
      <c r="K14" s="27"/>
      <c r="L14" s="27"/>
      <c r="M14" s="27"/>
      <c r="N14" s="78"/>
      <c r="O14" s="78"/>
      <c r="P14" s="78"/>
      <c r="Q14" s="901"/>
      <c r="R14" s="1110"/>
      <c r="S14" s="1110"/>
      <c r="T14" s="78"/>
      <c r="U14" s="1097"/>
    </row>
    <row r="15" spans="1:21" s="976" customFormat="1" ht="15.75">
      <c r="A15" s="104" t="s">
        <v>1535</v>
      </c>
      <c r="B15" s="27" t="s">
        <v>1677</v>
      </c>
      <c r="C15" s="78"/>
      <c r="D15" s="78"/>
      <c r="E15" s="78"/>
      <c r="F15" s="78"/>
      <c r="G15" s="78"/>
      <c r="H15" s="78"/>
      <c r="I15" s="78"/>
      <c r="J15" s="78"/>
      <c r="K15" s="78"/>
      <c r="L15" s="909">
        <f>ROUND(L11*L13,0)</f>
        <v>0</v>
      </c>
      <c r="M15" s="78"/>
      <c r="N15" s="909">
        <f>ROUND(N11*N13,0)</f>
        <v>0</v>
      </c>
      <c r="O15" s="314">
        <v>622</v>
      </c>
      <c r="P15" s="964">
        <f>L15+N15</f>
        <v>0</v>
      </c>
      <c r="Q15" s="314">
        <v>623</v>
      </c>
      <c r="R15" s="1111">
        <f>ROUND(R11*R13,0)</f>
        <v>0</v>
      </c>
      <c r="S15" s="1112"/>
      <c r="T15" s="1212">
        <f>SUM(P15+R15)</f>
        <v>0</v>
      </c>
      <c r="U15" s="1097" t="str">
        <f>A15</f>
        <v>2.1.3</v>
      </c>
    </row>
    <row r="16" spans="1:21" s="976" customFormat="1" ht="15.75">
      <c r="A16" s="104"/>
      <c r="B16" s="27"/>
      <c r="C16" s="78"/>
      <c r="D16" s="78"/>
      <c r="E16" s="78"/>
      <c r="F16" s="78"/>
      <c r="G16" s="78"/>
      <c r="H16" s="78"/>
      <c r="I16" s="78"/>
      <c r="J16" s="78"/>
      <c r="K16" s="78"/>
      <c r="L16" s="959"/>
      <c r="M16" s="78"/>
      <c r="N16" s="959"/>
      <c r="O16" s="339"/>
      <c r="P16" s="1105"/>
      <c r="Q16" s="339"/>
      <c r="R16" s="1105"/>
      <c r="S16" s="1105"/>
      <c r="T16" s="1105"/>
      <c r="U16" s="1097"/>
    </row>
    <row r="17" spans="1:21" s="976" customFormat="1" ht="15.75">
      <c r="A17" s="104"/>
      <c r="B17" s="78"/>
      <c r="C17" s="27"/>
      <c r="D17" s="78"/>
      <c r="E17" s="78"/>
      <c r="F17" s="78"/>
      <c r="G17" s="78"/>
      <c r="H17" s="78"/>
      <c r="I17" s="78"/>
      <c r="J17" s="78"/>
      <c r="K17" s="78"/>
      <c r="L17" s="78"/>
      <c r="M17" s="78"/>
      <c r="N17" s="78"/>
      <c r="O17" s="339"/>
      <c r="P17" s="1105"/>
      <c r="Q17" s="339"/>
      <c r="R17" s="1105"/>
      <c r="S17" s="1105"/>
      <c r="T17" s="1105"/>
      <c r="U17" s="1097"/>
    </row>
    <row r="18" spans="1:21" s="976" customFormat="1" ht="15.75">
      <c r="A18" s="104">
        <v>2.2000000000000002</v>
      </c>
      <c r="B18" s="1048" t="s">
        <v>1540</v>
      </c>
      <c r="C18" s="27"/>
      <c r="D18" s="78"/>
      <c r="E18" s="78"/>
      <c r="F18" s="78"/>
      <c r="G18" s="78"/>
      <c r="H18" s="78"/>
      <c r="I18" s="78"/>
      <c r="J18" s="78"/>
      <c r="K18" s="78"/>
      <c r="L18" s="78"/>
      <c r="M18" s="78"/>
      <c r="N18" s="78"/>
      <c r="O18" s="339"/>
      <c r="P18" s="1105"/>
      <c r="Q18" s="339"/>
      <c r="R18" s="1105"/>
      <c r="S18" s="1105"/>
      <c r="T18" s="1105"/>
      <c r="U18" s="1097"/>
    </row>
    <row r="19" spans="1:21" s="976" customFormat="1" ht="15.75">
      <c r="A19" s="104"/>
      <c r="B19" s="1048"/>
      <c r="C19" s="27"/>
      <c r="D19" s="78"/>
      <c r="E19" s="78"/>
      <c r="F19" s="78"/>
      <c r="G19" s="78"/>
      <c r="H19" s="78"/>
      <c r="I19" s="78"/>
      <c r="J19" s="78"/>
      <c r="K19" s="78"/>
      <c r="L19" s="78"/>
      <c r="M19" s="78"/>
      <c r="N19" s="78"/>
      <c r="O19" s="339"/>
      <c r="P19" s="1105"/>
      <c r="Q19" s="339"/>
      <c r="R19" s="1105"/>
      <c r="S19" s="1105"/>
      <c r="T19" s="1105"/>
      <c r="U19" s="1097"/>
    </row>
    <row r="20" spans="1:21" s="976" customFormat="1" ht="15.75">
      <c r="A20" s="104" t="s">
        <v>1229</v>
      </c>
      <c r="B20" s="78" t="s">
        <v>346</v>
      </c>
      <c r="C20" s="78"/>
      <c r="D20" s="78"/>
      <c r="E20" s="78"/>
      <c r="F20" s="78"/>
      <c r="G20" s="78"/>
      <c r="H20" s="78"/>
      <c r="I20" s="78"/>
      <c r="J20" s="78"/>
      <c r="K20" s="78"/>
      <c r="L20" s="78"/>
      <c r="M20" s="78"/>
      <c r="N20" s="78"/>
      <c r="O20" s="346">
        <v>625</v>
      </c>
      <c r="P20" s="1113"/>
      <c r="Q20" s="346">
        <v>626</v>
      </c>
      <c r="R20" s="1113"/>
      <c r="S20" s="1105"/>
      <c r="T20" s="1212">
        <f>ROUND(SUM(P20+R20),0)</f>
        <v>0</v>
      </c>
      <c r="U20" s="1097" t="str">
        <f>A20</f>
        <v>2.2.1</v>
      </c>
    </row>
    <row r="21" spans="1:21" s="976" customFormat="1" ht="15.75">
      <c r="A21" s="104"/>
      <c r="B21" s="78"/>
      <c r="C21" s="78"/>
      <c r="D21" s="78"/>
      <c r="E21" s="78"/>
      <c r="F21" s="78"/>
      <c r="G21" s="78"/>
      <c r="H21" s="78"/>
      <c r="I21" s="78"/>
      <c r="J21" s="78"/>
      <c r="K21" s="78"/>
      <c r="L21" s="78"/>
      <c r="M21" s="78"/>
      <c r="N21" s="200"/>
      <c r="O21" s="339"/>
      <c r="P21" s="1114"/>
      <c r="Q21" s="339"/>
      <c r="R21" s="1114"/>
      <c r="S21" s="1105"/>
      <c r="T21" s="1105"/>
      <c r="U21" s="1097"/>
    </row>
    <row r="22" spans="1:21" s="976" customFormat="1" ht="15.75">
      <c r="A22" s="104"/>
      <c r="B22" s="78"/>
      <c r="C22" s="78"/>
      <c r="D22" s="78"/>
      <c r="E22" s="78"/>
      <c r="F22" s="78"/>
      <c r="G22" s="78"/>
      <c r="H22" s="78"/>
      <c r="I22" s="78"/>
      <c r="J22" s="78"/>
      <c r="K22" s="78"/>
      <c r="L22" s="78"/>
      <c r="M22" s="78"/>
      <c r="N22" s="200"/>
      <c r="O22" s="339"/>
      <c r="P22" s="1114"/>
      <c r="Q22" s="339"/>
      <c r="R22" s="1114"/>
      <c r="S22" s="1105"/>
      <c r="T22" s="1105"/>
      <c r="U22" s="1097"/>
    </row>
    <row r="23" spans="1:21" s="976" customFormat="1" ht="15.75">
      <c r="A23" s="104">
        <v>2.2999999999999998</v>
      </c>
      <c r="B23" s="27" t="s">
        <v>2861</v>
      </c>
      <c r="C23" s="78"/>
      <c r="D23" s="78"/>
      <c r="E23" s="78"/>
      <c r="F23" s="78"/>
      <c r="G23" s="78"/>
      <c r="H23" s="78"/>
      <c r="I23" s="78"/>
      <c r="J23" s="78"/>
      <c r="K23" s="78"/>
      <c r="L23" s="78"/>
      <c r="M23" s="78"/>
      <c r="N23" s="200"/>
      <c r="O23" s="339"/>
      <c r="P23" s="1114"/>
      <c r="Q23" s="339"/>
      <c r="R23" s="1114"/>
      <c r="S23" s="1105"/>
      <c r="T23" s="1105"/>
      <c r="U23" s="1097"/>
    </row>
    <row r="24" spans="1:21" s="976" customFormat="1" ht="15.75">
      <c r="A24" s="104"/>
      <c r="B24" s="78"/>
      <c r="C24" s="78"/>
      <c r="D24" s="78"/>
      <c r="E24" s="78"/>
      <c r="F24" s="78"/>
      <c r="G24" s="78"/>
      <c r="H24" s="78"/>
      <c r="I24" s="78"/>
      <c r="J24" s="78"/>
      <c r="K24" s="78"/>
      <c r="L24" s="1005" t="s">
        <v>1187</v>
      </c>
      <c r="M24" s="78"/>
      <c r="N24" s="200"/>
      <c r="O24" s="339"/>
      <c r="P24" s="1105"/>
      <c r="Q24" s="339"/>
      <c r="R24" s="1114"/>
      <c r="S24" s="1105"/>
      <c r="T24" s="1105"/>
      <c r="U24" s="1097"/>
    </row>
    <row r="25" spans="1:21" s="976" customFormat="1" ht="15.75">
      <c r="A25" s="104"/>
      <c r="B25" s="27"/>
      <c r="C25" s="78"/>
      <c r="D25" s="78"/>
      <c r="E25" s="78"/>
      <c r="F25" s="78"/>
      <c r="G25" s="78"/>
      <c r="H25" s="78"/>
      <c r="I25" s="78"/>
      <c r="J25" s="78"/>
      <c r="K25" s="78"/>
      <c r="L25" s="78"/>
      <c r="M25" s="78"/>
      <c r="N25" s="78"/>
      <c r="O25" s="78"/>
      <c r="P25" s="78"/>
      <c r="Q25" s="78"/>
      <c r="R25" s="78"/>
      <c r="S25" s="1105"/>
      <c r="T25" s="1105"/>
      <c r="U25" s="1097"/>
    </row>
    <row r="26" spans="1:21" s="976" customFormat="1" ht="15.75" customHeight="1">
      <c r="A26" s="530">
        <v>2.2999999999999998</v>
      </c>
      <c r="B26" s="969" t="s">
        <v>2862</v>
      </c>
      <c r="C26" s="78"/>
      <c r="D26" s="78"/>
      <c r="E26" s="78"/>
      <c r="F26" s="78"/>
      <c r="G26" s="78"/>
      <c r="H26" s="78"/>
      <c r="I26" s="78"/>
      <c r="J26" s="78"/>
      <c r="K26" s="78"/>
      <c r="L26" s="1115">
        <f>IF($P$3=0,0,VLOOKUP($P$3,Tables!$A$5:$Z$8,3,FALSE))</f>
        <v>0</v>
      </c>
      <c r="M26" s="1116"/>
      <c r="N26" s="1116"/>
      <c r="O26" s="1116"/>
      <c r="P26" s="78"/>
      <c r="Q26" s="78"/>
      <c r="R26" s="78"/>
      <c r="S26" s="1105"/>
      <c r="T26" s="1105"/>
      <c r="U26" s="1097">
        <f>A26</f>
        <v>2.2999999999999998</v>
      </c>
    </row>
    <row r="27" spans="1:21" s="976" customFormat="1" ht="15.75" customHeight="1">
      <c r="A27" s="530"/>
      <c r="B27" s="2172" t="s">
        <v>2957</v>
      </c>
      <c r="C27" s="78"/>
      <c r="D27" s="78"/>
      <c r="E27" s="78"/>
      <c r="F27" s="78"/>
      <c r="G27" s="78"/>
      <c r="H27" s="78"/>
      <c r="I27" s="78"/>
      <c r="J27" s="78"/>
      <c r="K27" s="78"/>
      <c r="L27" s="1115"/>
      <c r="M27" s="1116"/>
      <c r="N27" s="1116"/>
      <c r="O27" s="1116"/>
      <c r="P27" s="78"/>
      <c r="Q27" s="78"/>
      <c r="R27" s="78"/>
      <c r="S27" s="1105"/>
      <c r="T27" s="1105"/>
      <c r="U27" s="1097"/>
    </row>
    <row r="28" spans="1:21" s="976" customFormat="1" ht="15.75" customHeight="1">
      <c r="A28" s="104"/>
      <c r="B28" s="1048"/>
      <c r="C28" s="78"/>
      <c r="D28" s="78"/>
      <c r="E28" s="78"/>
      <c r="F28" s="78"/>
      <c r="G28" s="78"/>
      <c r="H28" s="78"/>
      <c r="I28" s="78"/>
      <c r="J28" s="78"/>
      <c r="K28" s="78"/>
      <c r="L28" s="78"/>
      <c r="M28" s="78"/>
      <c r="N28" s="78"/>
      <c r="O28" s="78"/>
      <c r="P28" s="78"/>
      <c r="Q28" s="78"/>
      <c r="R28" s="78"/>
      <c r="S28" s="1105"/>
      <c r="T28" s="1105"/>
      <c r="U28" s="1097"/>
    </row>
    <row r="29" spans="1:21" s="976" customFormat="1" ht="15.75">
      <c r="A29" s="104" t="s">
        <v>814</v>
      </c>
      <c r="B29" s="632" t="s">
        <v>2956</v>
      </c>
      <c r="C29" s="78"/>
      <c r="D29" s="78"/>
      <c r="E29" s="78"/>
      <c r="F29" s="78"/>
      <c r="G29" s="78"/>
      <c r="H29" s="78"/>
      <c r="I29" s="78"/>
      <c r="J29" s="78"/>
      <c r="K29" s="78"/>
      <c r="L29" s="78"/>
      <c r="M29" s="78"/>
      <c r="N29" s="78"/>
      <c r="O29" s="346">
        <v>627</v>
      </c>
      <c r="P29" s="1117">
        <f>IF($P$3=15148,0,T29)</f>
        <v>0</v>
      </c>
      <c r="Q29" s="346">
        <v>628</v>
      </c>
      <c r="R29" s="1117">
        <f>IF($P$3=15148,T29,0)</f>
        <v>0</v>
      </c>
      <c r="S29" s="1105"/>
      <c r="T29" s="1117">
        <f>ROUND($L$26*'Sch 13 Enrolment'!$R$70,0)</f>
        <v>0</v>
      </c>
      <c r="U29" s="1097" t="str">
        <f>A29</f>
        <v>2.3.1</v>
      </c>
    </row>
    <row r="30" spans="1:21" s="976" customFormat="1" ht="15.75">
      <c r="A30" s="104"/>
      <c r="B30" s="632" t="s">
        <v>2240</v>
      </c>
      <c r="C30" s="78"/>
      <c r="D30" s="78"/>
      <c r="E30" s="78"/>
      <c r="F30" s="78"/>
      <c r="G30" s="78"/>
      <c r="H30" s="78"/>
      <c r="I30" s="78"/>
      <c r="J30" s="78"/>
      <c r="K30" s="78"/>
      <c r="L30" s="78"/>
      <c r="M30" s="78"/>
      <c r="N30" s="78"/>
      <c r="O30" s="339"/>
      <c r="P30" s="1114"/>
      <c r="Q30" s="339"/>
      <c r="R30" s="1114"/>
      <c r="S30" s="1105"/>
      <c r="T30" s="1105"/>
      <c r="U30" s="1097"/>
    </row>
    <row r="31" spans="1:21" s="976" customFormat="1" ht="15.75">
      <c r="A31" s="104"/>
      <c r="B31" s="1118"/>
      <c r="C31" s="78"/>
      <c r="D31" s="78"/>
      <c r="E31" s="78"/>
      <c r="F31" s="78"/>
      <c r="G31" s="78"/>
      <c r="H31" s="78"/>
      <c r="I31" s="78"/>
      <c r="J31" s="78"/>
      <c r="K31" s="78"/>
      <c r="L31" s="78"/>
      <c r="M31" s="78"/>
      <c r="N31" s="78"/>
      <c r="O31" s="78"/>
      <c r="P31" s="78"/>
      <c r="Q31" s="78"/>
      <c r="R31" s="78"/>
      <c r="S31" s="1105"/>
      <c r="T31" s="1105"/>
      <c r="U31" s="1097"/>
    </row>
    <row r="32" spans="1:21" s="976" customFormat="1" ht="15.75">
      <c r="A32" s="104" t="s">
        <v>1610</v>
      </c>
      <c r="B32" s="632" t="s">
        <v>2863</v>
      </c>
      <c r="C32" s="78"/>
      <c r="D32" s="78"/>
      <c r="E32" s="78"/>
      <c r="F32" s="78"/>
      <c r="G32" s="78"/>
      <c r="H32" s="78"/>
      <c r="I32" s="78"/>
      <c r="J32" s="78"/>
      <c r="K32" s="78"/>
      <c r="L32" s="78"/>
      <c r="M32" s="78"/>
      <c r="N32" s="78"/>
      <c r="O32" s="78"/>
      <c r="P32" s="1117">
        <f>IF($P$3=15148,0,T32)</f>
        <v>0</v>
      </c>
      <c r="Q32" s="78"/>
      <c r="R32" s="1117">
        <f>IF($P$3=15148,T32,0)</f>
        <v>0</v>
      </c>
      <c r="S32" s="1105"/>
      <c r="T32" s="1117">
        <f>IF($P$3=0,0,VLOOKUP($P$3,Tables!$A$5:$BB$8,54,FALSE))</f>
        <v>0</v>
      </c>
      <c r="U32" s="1097" t="str">
        <f>A32</f>
        <v>2.3.2</v>
      </c>
    </row>
    <row r="33" spans="1:21" s="976" customFormat="1" ht="15.75">
      <c r="A33" s="104"/>
      <c r="B33" s="632" t="s">
        <v>789</v>
      </c>
      <c r="C33" s="78"/>
      <c r="D33" s="78"/>
      <c r="E33" s="78"/>
      <c r="F33" s="78"/>
      <c r="G33" s="78"/>
      <c r="H33" s="78"/>
      <c r="I33" s="78"/>
      <c r="J33" s="78"/>
      <c r="K33" s="78"/>
      <c r="L33" s="78"/>
      <c r="M33" s="78"/>
      <c r="N33" s="78"/>
      <c r="O33" s="339"/>
      <c r="P33" s="1114"/>
      <c r="Q33" s="78"/>
      <c r="R33" s="1119"/>
      <c r="S33" s="1105"/>
      <c r="T33" s="1105"/>
      <c r="U33" s="1097"/>
    </row>
    <row r="34" spans="1:21" s="976" customFormat="1" ht="15.75">
      <c r="A34" s="104"/>
      <c r="B34" s="632"/>
      <c r="C34" s="78"/>
      <c r="D34" s="78"/>
      <c r="E34" s="78"/>
      <c r="F34" s="78"/>
      <c r="G34" s="78"/>
      <c r="H34" s="78"/>
      <c r="I34" s="78"/>
      <c r="J34" s="78"/>
      <c r="K34" s="78"/>
      <c r="L34" s="78"/>
      <c r="M34" s="78"/>
      <c r="N34" s="78"/>
      <c r="O34" s="339"/>
      <c r="P34" s="1114"/>
      <c r="Q34" s="339"/>
      <c r="R34" s="1119"/>
      <c r="S34" s="1105"/>
      <c r="T34" s="1105"/>
      <c r="U34" s="1097"/>
    </row>
    <row r="35" spans="1:21" s="976" customFormat="1" ht="15.75">
      <c r="A35" s="104">
        <v>2.4</v>
      </c>
      <c r="B35" s="104" t="s">
        <v>3159</v>
      </c>
      <c r="C35" s="78"/>
      <c r="D35" s="78"/>
      <c r="E35" s="78"/>
      <c r="F35" s="78"/>
      <c r="G35" s="78"/>
      <c r="H35" s="78"/>
      <c r="I35" s="78"/>
      <c r="J35" s="78"/>
      <c r="K35" s="78"/>
      <c r="L35" s="78"/>
      <c r="M35" s="78"/>
      <c r="N35" s="78"/>
      <c r="O35" s="1121">
        <v>633</v>
      </c>
      <c r="P35" s="1122">
        <f>+P29+P32</f>
        <v>0</v>
      </c>
      <c r="Q35" s="1121">
        <v>634</v>
      </c>
      <c r="R35" s="1122">
        <f>+R29+R32</f>
        <v>0</v>
      </c>
      <c r="S35" s="1123">
        <v>20021</v>
      </c>
      <c r="T35" s="1910">
        <f>+T29+T32</f>
        <v>0</v>
      </c>
      <c r="U35" s="1097">
        <f>A35</f>
        <v>2.4</v>
      </c>
    </row>
    <row r="36" spans="1:21" s="976" customFormat="1" ht="15.75">
      <c r="A36" s="104"/>
      <c r="B36" s="1124" t="s">
        <v>3158</v>
      </c>
      <c r="C36" s="78"/>
      <c r="D36" s="78"/>
      <c r="E36" s="78"/>
      <c r="F36" s="78"/>
      <c r="G36" s="78"/>
      <c r="H36" s="78"/>
      <c r="I36" s="78"/>
      <c r="J36" s="78"/>
      <c r="K36" s="78"/>
      <c r="L36" s="78"/>
      <c r="M36" s="78"/>
      <c r="N36" s="78"/>
      <c r="O36" s="78"/>
      <c r="P36" s="78"/>
      <c r="Q36" s="78"/>
      <c r="R36" s="78"/>
      <c r="S36" s="1105"/>
      <c r="T36" s="1105"/>
      <c r="U36" s="1097"/>
    </row>
    <row r="37" spans="1:21" s="976" customFormat="1" ht="15.75">
      <c r="A37" s="104"/>
      <c r="B37" s="1124"/>
      <c r="C37" s="78"/>
      <c r="D37" s="78"/>
      <c r="E37" s="78"/>
      <c r="F37" s="78"/>
      <c r="G37" s="78"/>
      <c r="H37" s="78"/>
      <c r="I37" s="78"/>
      <c r="J37" s="78"/>
      <c r="K37" s="78"/>
      <c r="L37" s="78"/>
      <c r="M37" s="78"/>
      <c r="N37" s="78"/>
      <c r="O37" s="78"/>
      <c r="P37" s="78"/>
      <c r="Q37" s="78"/>
      <c r="R37" s="78"/>
      <c r="S37" s="1105"/>
      <c r="T37" s="1105"/>
      <c r="U37" s="2208"/>
    </row>
    <row r="38" spans="1:21" s="976" customFormat="1" ht="15.75">
      <c r="A38" s="104">
        <v>2.5</v>
      </c>
      <c r="B38" s="632" t="s">
        <v>1539</v>
      </c>
      <c r="C38" s="78"/>
      <c r="D38" s="78"/>
      <c r="E38" s="78"/>
      <c r="F38" s="78"/>
      <c r="G38" s="78"/>
      <c r="H38" s="78"/>
      <c r="I38" s="78"/>
      <c r="J38" s="78"/>
      <c r="K38" s="78"/>
      <c r="L38" s="78"/>
      <c r="M38" s="78"/>
      <c r="N38" s="78"/>
      <c r="O38" s="314">
        <v>631</v>
      </c>
      <c r="P38" s="1113"/>
      <c r="Q38" s="314">
        <v>632</v>
      </c>
      <c r="R38" s="1113"/>
      <c r="S38" s="1105"/>
      <c r="T38" s="1212">
        <f>ROUND(SUM(P38+R38),0)</f>
        <v>0</v>
      </c>
      <c r="U38" s="1097">
        <f>A38</f>
        <v>2.5</v>
      </c>
    </row>
    <row r="39" spans="1:21" s="976" customFormat="1" ht="15.75">
      <c r="A39" s="104"/>
      <c r="B39" s="632"/>
      <c r="C39" s="78"/>
      <c r="D39" s="78"/>
      <c r="E39" s="78"/>
      <c r="F39" s="78"/>
      <c r="G39" s="78"/>
      <c r="H39" s="78"/>
      <c r="I39" s="78"/>
      <c r="J39" s="78"/>
      <c r="K39" s="78"/>
      <c r="L39" s="78"/>
      <c r="M39" s="78"/>
      <c r="N39" s="78"/>
      <c r="O39" s="78"/>
      <c r="P39" s="78"/>
      <c r="Q39" s="78"/>
      <c r="R39" s="1114"/>
      <c r="S39" s="1105"/>
      <c r="T39" s="1105"/>
      <c r="U39" s="1097"/>
    </row>
    <row r="40" spans="1:21" s="976" customFormat="1" ht="15.75">
      <c r="A40" s="104"/>
      <c r="B40" s="632"/>
      <c r="C40" s="78"/>
      <c r="D40" s="78"/>
      <c r="E40" s="78"/>
      <c r="F40" s="78"/>
      <c r="G40" s="78"/>
      <c r="H40" s="78"/>
      <c r="I40" s="78"/>
      <c r="J40" s="78"/>
      <c r="K40" s="78"/>
      <c r="L40" s="78"/>
      <c r="M40" s="78"/>
      <c r="N40" s="78"/>
      <c r="O40" s="1120"/>
      <c r="P40" s="78"/>
      <c r="Q40" s="1120"/>
      <c r="R40" s="78"/>
      <c r="S40" s="1105"/>
      <c r="T40" s="1097"/>
      <c r="U40" s="1097"/>
    </row>
    <row r="41" spans="1:21" s="976" customFormat="1" ht="45.75">
      <c r="A41" s="963">
        <v>2.6</v>
      </c>
      <c r="B41" s="27" t="s">
        <v>347</v>
      </c>
      <c r="C41" s="78"/>
      <c r="D41" s="78"/>
      <c r="E41" s="78"/>
      <c r="F41" s="78"/>
      <c r="G41" s="78"/>
      <c r="H41" s="78"/>
      <c r="I41" s="78"/>
      <c r="J41" s="78"/>
      <c r="K41" s="78"/>
      <c r="L41" s="78"/>
      <c r="M41" s="78"/>
      <c r="N41" s="78"/>
      <c r="O41" s="78"/>
      <c r="P41" s="1125" t="s">
        <v>790</v>
      </c>
      <c r="Q41" s="1043"/>
      <c r="R41" s="1126" t="s">
        <v>220</v>
      </c>
      <c r="S41" s="1044"/>
      <c r="T41" s="1127" t="s">
        <v>2330</v>
      </c>
      <c r="U41" s="1097"/>
    </row>
    <row r="42" spans="1:21" s="976" customFormat="1" ht="16.5" customHeight="1">
      <c r="A42" s="535"/>
      <c r="B42" s="27"/>
      <c r="C42" s="78"/>
      <c r="D42" s="78"/>
      <c r="E42" s="78"/>
      <c r="F42" s="78"/>
      <c r="G42" s="78"/>
      <c r="H42" s="78"/>
      <c r="I42" s="78"/>
      <c r="J42" s="78"/>
      <c r="K42" s="78"/>
      <c r="L42" s="78"/>
      <c r="M42" s="78"/>
      <c r="N42" s="78"/>
      <c r="O42" s="78"/>
      <c r="P42" s="1125"/>
      <c r="Q42" s="1043"/>
      <c r="R42" s="1126"/>
      <c r="S42" s="1044"/>
      <c r="T42" s="1127"/>
      <c r="U42" s="1128"/>
    </row>
    <row r="43" spans="1:21" s="976" customFormat="1" ht="15.75">
      <c r="A43" s="963" t="s">
        <v>2229</v>
      </c>
      <c r="B43" s="632" t="s">
        <v>665</v>
      </c>
      <c r="C43" s="78"/>
      <c r="D43" s="632"/>
      <c r="E43" s="632"/>
      <c r="F43" s="632"/>
      <c r="G43" s="632"/>
      <c r="H43" s="632"/>
      <c r="I43" s="632"/>
      <c r="J43" s="632"/>
      <c r="K43" s="632"/>
      <c r="L43" s="632"/>
      <c r="M43" s="632"/>
      <c r="N43" s="78"/>
      <c r="O43" s="78"/>
      <c r="P43" s="1129"/>
      <c r="Q43" s="815"/>
      <c r="R43" s="1129"/>
      <c r="S43" s="1044"/>
      <c r="T43" s="1111">
        <f>ROUND(SUM(P43+R43),0)</f>
        <v>0</v>
      </c>
      <c r="U43" s="1130" t="str">
        <f>A43</f>
        <v>2.6.1</v>
      </c>
    </row>
    <row r="44" spans="1:21" s="976" customFormat="1" ht="15.75">
      <c r="A44" s="963"/>
      <c r="B44" s="78"/>
      <c r="C44" s="78"/>
      <c r="D44" s="78"/>
      <c r="E44" s="78"/>
      <c r="F44" s="78"/>
      <c r="G44" s="78"/>
      <c r="H44" s="78"/>
      <c r="I44" s="78"/>
      <c r="J44" s="78"/>
      <c r="K44" s="78"/>
      <c r="L44" s="78"/>
      <c r="M44" s="78"/>
      <c r="N44" s="78"/>
      <c r="O44" s="78"/>
      <c r="P44" s="815"/>
      <c r="Q44" s="815"/>
      <c r="R44" s="815"/>
      <c r="S44" s="78"/>
      <c r="T44" s="815"/>
      <c r="U44" s="1131"/>
    </row>
    <row r="45" spans="1:21" s="976" customFormat="1" ht="15.75">
      <c r="A45" s="963" t="s">
        <v>2230</v>
      </c>
      <c r="B45" s="632" t="s">
        <v>1387</v>
      </c>
      <c r="C45" s="78"/>
      <c r="D45" s="632"/>
      <c r="E45" s="632"/>
      <c r="F45" s="632"/>
      <c r="G45" s="632"/>
      <c r="H45" s="632"/>
      <c r="I45" s="632"/>
      <c r="J45" s="632"/>
      <c r="K45" s="632"/>
      <c r="L45" s="632"/>
      <c r="M45" s="632"/>
      <c r="N45" s="78"/>
      <c r="O45" s="78"/>
      <c r="P45" s="1129"/>
      <c r="Q45" s="815"/>
      <c r="R45" s="1129"/>
      <c r="S45" s="1044"/>
      <c r="T45" s="1111">
        <f>ROUND(SUM(P45+R45),0)</f>
        <v>0</v>
      </c>
      <c r="U45" s="1130" t="str">
        <f>+A45</f>
        <v>2.6.2</v>
      </c>
    </row>
    <row r="46" spans="1:21" s="976" customFormat="1" ht="15.75">
      <c r="A46" s="963"/>
      <c r="B46" s="78"/>
      <c r="C46" s="78"/>
      <c r="D46" s="78"/>
      <c r="E46" s="78"/>
      <c r="F46" s="78"/>
      <c r="G46" s="78"/>
      <c r="H46" s="78"/>
      <c r="I46" s="78"/>
      <c r="J46" s="78"/>
      <c r="K46" s="78"/>
      <c r="L46" s="78"/>
      <c r="M46" s="78"/>
      <c r="N46" s="78"/>
      <c r="O46" s="78"/>
      <c r="P46" s="863"/>
      <c r="Q46" s="1042"/>
      <c r="R46" s="957"/>
      <c r="S46" s="1044"/>
      <c r="T46" s="815"/>
      <c r="U46" s="1131"/>
    </row>
    <row r="47" spans="1:21" s="976" customFormat="1" ht="15.75">
      <c r="A47" s="963" t="s">
        <v>2231</v>
      </c>
      <c r="B47" s="27" t="s">
        <v>1893</v>
      </c>
      <c r="C47" s="78"/>
      <c r="D47" s="78"/>
      <c r="E47" s="78"/>
      <c r="F47" s="78"/>
      <c r="G47" s="78"/>
      <c r="H47" s="78"/>
      <c r="I47" s="78"/>
      <c r="J47" s="78"/>
      <c r="K47" s="78"/>
      <c r="L47" s="78"/>
      <c r="M47" s="78"/>
      <c r="N47" s="632"/>
      <c r="O47" s="314">
        <v>638</v>
      </c>
      <c r="P47" s="966">
        <f>SUM(P43:P46)</f>
        <v>0</v>
      </c>
      <c r="Q47" s="314">
        <v>639</v>
      </c>
      <c r="R47" s="966">
        <f>SUM(R43:R46)</f>
        <v>0</v>
      </c>
      <c r="S47" s="78"/>
      <c r="T47" s="1213">
        <f>SUM(T43:T46)</f>
        <v>0</v>
      </c>
      <c r="U47" s="1130" t="str">
        <f>+A47</f>
        <v>2.6.3</v>
      </c>
    </row>
    <row r="48" spans="1:21" s="976" customFormat="1" ht="15.75">
      <c r="A48" s="963"/>
      <c r="B48" s="78" t="s">
        <v>2331</v>
      </c>
      <c r="C48" s="78"/>
      <c r="D48" s="78"/>
      <c r="E48" s="78"/>
      <c r="F48" s="78"/>
      <c r="G48" s="78"/>
      <c r="H48" s="78"/>
      <c r="I48" s="78"/>
      <c r="J48" s="78"/>
      <c r="K48" s="78"/>
      <c r="L48" s="78"/>
      <c r="M48" s="78"/>
      <c r="N48" s="632"/>
      <c r="O48" s="632"/>
      <c r="P48" s="632"/>
      <c r="Q48" s="632"/>
      <c r="R48" s="632"/>
      <c r="S48" s="632"/>
      <c r="T48" s="632"/>
      <c r="U48" s="1132"/>
    </row>
    <row r="49" spans="1:21" s="976" customFormat="1" ht="15.75">
      <c r="A49" s="963"/>
      <c r="B49" s="78"/>
      <c r="C49" s="78"/>
      <c r="D49" s="78"/>
      <c r="E49" s="78"/>
      <c r="F49" s="78"/>
      <c r="G49" s="78"/>
      <c r="H49" s="78"/>
      <c r="I49" s="78"/>
      <c r="J49" s="78"/>
      <c r="K49" s="78"/>
      <c r="L49" s="78"/>
      <c r="M49" s="78"/>
      <c r="N49" s="632"/>
      <c r="O49" s="632"/>
      <c r="P49" s="632"/>
      <c r="Q49" s="632"/>
      <c r="R49" s="632"/>
      <c r="S49" s="632"/>
      <c r="T49" s="632"/>
      <c r="U49" s="1132"/>
    </row>
    <row r="50" spans="1:21" s="976" customFormat="1" ht="15.75">
      <c r="A50" s="535">
        <v>2.1</v>
      </c>
      <c r="B50" s="27" t="s">
        <v>1888</v>
      </c>
      <c r="C50" s="78"/>
      <c r="D50" s="78"/>
      <c r="E50" s="78"/>
      <c r="F50" s="78"/>
      <c r="G50" s="78"/>
      <c r="H50" s="78"/>
      <c r="I50" s="78"/>
      <c r="J50" s="78"/>
      <c r="K50" s="78"/>
      <c r="L50" s="78"/>
      <c r="M50" s="78"/>
      <c r="N50" s="632"/>
      <c r="O50" s="632"/>
      <c r="P50" s="632"/>
      <c r="Q50" s="632"/>
      <c r="R50" s="632"/>
      <c r="S50" s="632"/>
      <c r="T50" s="632"/>
      <c r="U50" s="1132">
        <f>A50</f>
        <v>2.1</v>
      </c>
    </row>
    <row r="51" spans="1:21" s="976" customFormat="1" ht="15.75">
      <c r="A51" s="963"/>
      <c r="B51" s="78"/>
      <c r="C51" s="78"/>
      <c r="D51" s="78"/>
      <c r="E51" s="78"/>
      <c r="F51" s="78"/>
      <c r="G51" s="78"/>
      <c r="H51" s="78"/>
      <c r="I51" s="78"/>
      <c r="J51" s="78"/>
      <c r="K51" s="78"/>
      <c r="L51" s="78"/>
      <c r="M51" s="78"/>
      <c r="N51" s="632"/>
      <c r="O51" s="632"/>
      <c r="P51" s="632"/>
      <c r="Q51" s="632"/>
      <c r="R51" s="632"/>
      <c r="S51" s="632"/>
      <c r="T51" s="632"/>
      <c r="U51" s="1132"/>
    </row>
    <row r="52" spans="1:21" s="976" customFormat="1" ht="15.75">
      <c r="A52" s="963" t="s">
        <v>2232</v>
      </c>
      <c r="B52" s="78"/>
      <c r="C52" s="78"/>
      <c r="D52" s="78" t="s">
        <v>2955</v>
      </c>
      <c r="E52" s="78"/>
      <c r="F52" s="78"/>
      <c r="G52" s="78"/>
      <c r="H52" s="78"/>
      <c r="I52" s="78"/>
      <c r="J52" s="78"/>
      <c r="K52" s="78"/>
      <c r="L52" s="78"/>
      <c r="M52" s="78"/>
      <c r="N52" s="632"/>
      <c r="O52" s="632"/>
      <c r="P52" s="632"/>
      <c r="Q52" s="632"/>
      <c r="R52" s="1133">
        <f>IF($P$3=0,0,VLOOKUP($P$3,Tables!$A$5:$AN$8,37,FALSE))</f>
        <v>0</v>
      </c>
      <c r="S52" s="632"/>
      <c r="T52" s="632"/>
      <c r="U52" s="1130" t="str">
        <f>+A52</f>
        <v>2.10.1</v>
      </c>
    </row>
    <row r="53" spans="1:21" s="976" customFormat="1" ht="15.75">
      <c r="A53" s="963"/>
      <c r="B53" s="78"/>
      <c r="C53" s="78"/>
      <c r="D53" s="78"/>
      <c r="E53" s="78"/>
      <c r="F53" s="78"/>
      <c r="G53" s="78"/>
      <c r="H53" s="78"/>
      <c r="I53" s="78"/>
      <c r="J53" s="78"/>
      <c r="K53" s="78"/>
      <c r="L53" s="78"/>
      <c r="M53" s="78"/>
      <c r="N53" s="632"/>
      <c r="O53" s="632"/>
      <c r="P53" s="632"/>
      <c r="Q53" s="632"/>
      <c r="R53" s="632"/>
      <c r="S53" s="632"/>
      <c r="T53" s="632"/>
      <c r="U53" s="1132"/>
    </row>
    <row r="54" spans="1:21" s="976" customFormat="1" ht="15.75">
      <c r="A54" s="963" t="s">
        <v>2233</v>
      </c>
      <c r="B54" s="78"/>
      <c r="C54" s="78"/>
      <c r="D54" s="78" t="s">
        <v>2954</v>
      </c>
      <c r="E54" s="78"/>
      <c r="F54" s="78"/>
      <c r="G54" s="78"/>
      <c r="H54" s="78"/>
      <c r="I54" s="78"/>
      <c r="J54" s="78"/>
      <c r="K54" s="78"/>
      <c r="L54" s="78"/>
      <c r="M54" s="78"/>
      <c r="N54" s="632"/>
      <c r="O54" s="632"/>
      <c r="P54" s="632"/>
      <c r="Q54" s="632"/>
      <c r="R54" s="1133">
        <f>IF($P$3=0,0,VLOOKUP($P$3,Tables!$A$5:$AN$8,38,FALSE))</f>
        <v>0</v>
      </c>
      <c r="S54" s="632"/>
      <c r="T54" s="632"/>
      <c r="U54" s="1130" t="str">
        <f>+A54</f>
        <v>2.10.2</v>
      </c>
    </row>
    <row r="55" spans="1:21" s="976" customFormat="1" ht="15.75">
      <c r="A55" s="963"/>
      <c r="B55" s="78"/>
      <c r="C55" s="78"/>
      <c r="D55" s="78"/>
      <c r="E55" s="78"/>
      <c r="F55" s="78"/>
      <c r="G55" s="78"/>
      <c r="H55" s="78"/>
      <c r="I55" s="78"/>
      <c r="J55" s="78"/>
      <c r="K55" s="78"/>
      <c r="L55" s="78"/>
      <c r="M55" s="78"/>
      <c r="N55" s="632"/>
      <c r="O55" s="632"/>
      <c r="P55" s="632"/>
      <c r="Q55" s="632"/>
      <c r="R55" s="632"/>
      <c r="S55" s="632"/>
      <c r="T55" s="632"/>
      <c r="U55" s="1132"/>
    </row>
    <row r="56" spans="1:21" s="976" customFormat="1" ht="15.75">
      <c r="A56" s="963" t="s">
        <v>2234</v>
      </c>
      <c r="B56" s="78"/>
      <c r="C56" s="78"/>
      <c r="D56" s="78" t="s">
        <v>2953</v>
      </c>
      <c r="E56" s="78"/>
      <c r="F56" s="78"/>
      <c r="G56" s="78"/>
      <c r="H56" s="78"/>
      <c r="I56" s="78"/>
      <c r="J56" s="78"/>
      <c r="K56" s="78"/>
      <c r="L56" s="78"/>
      <c r="M56" s="78"/>
      <c r="N56" s="632"/>
      <c r="O56" s="632"/>
      <c r="P56" s="632"/>
      <c r="Q56" s="632"/>
      <c r="R56" s="1133">
        <f>IF($P$3=0,0,VLOOKUP($P$3,Tables!$A$5:$AO8,39,FALSE))</f>
        <v>0</v>
      </c>
      <c r="S56" s="632"/>
      <c r="T56" s="632"/>
      <c r="U56" s="1130" t="str">
        <f>+A56</f>
        <v>2.10.3</v>
      </c>
    </row>
    <row r="57" spans="1:21" s="976" customFormat="1" ht="15.75">
      <c r="A57" s="963"/>
      <c r="B57" s="78"/>
      <c r="C57" s="78"/>
      <c r="D57" s="78"/>
      <c r="E57" s="78"/>
      <c r="F57" s="78"/>
      <c r="G57" s="78"/>
      <c r="H57" s="78"/>
      <c r="I57" s="78"/>
      <c r="J57" s="78"/>
      <c r="K57" s="78"/>
      <c r="L57" s="78"/>
      <c r="M57" s="78"/>
      <c r="N57" s="632"/>
      <c r="O57" s="632"/>
      <c r="P57" s="632"/>
      <c r="Q57" s="632"/>
      <c r="R57" s="1134"/>
      <c r="S57" s="632"/>
      <c r="T57" s="632"/>
      <c r="U57" s="1132"/>
    </row>
    <row r="58" spans="1:21" s="976" customFormat="1" ht="15.75">
      <c r="A58" s="104" t="s">
        <v>2235</v>
      </c>
      <c r="B58" s="1135"/>
      <c r="C58" s="1136" t="s">
        <v>289</v>
      </c>
      <c r="D58" s="78"/>
      <c r="E58" s="78"/>
      <c r="F58" s="200"/>
      <c r="G58" s="78"/>
      <c r="H58" s="78"/>
      <c r="I58" s="78"/>
      <c r="J58" s="78"/>
      <c r="K58" s="78"/>
      <c r="L58" s="78"/>
      <c r="M58" s="78"/>
      <c r="N58" s="632"/>
      <c r="O58" s="632"/>
      <c r="P58" s="632"/>
      <c r="Q58" s="632"/>
      <c r="R58" s="2356"/>
      <c r="S58" s="1137"/>
      <c r="T58" s="104"/>
      <c r="U58" s="1130" t="str">
        <f>+A58</f>
        <v>2.10.4</v>
      </c>
    </row>
    <row r="59" spans="1:21" s="976" customFormat="1" ht="15.75">
      <c r="A59" s="104"/>
      <c r="B59" s="78"/>
      <c r="C59" s="1136"/>
      <c r="D59" s="78"/>
      <c r="E59" s="78"/>
      <c r="F59" s="78"/>
      <c r="G59" s="78"/>
      <c r="H59" s="78"/>
      <c r="I59" s="78"/>
      <c r="J59" s="78"/>
      <c r="K59" s="78"/>
      <c r="L59" s="78"/>
      <c r="M59" s="78"/>
      <c r="N59" s="632"/>
      <c r="O59" s="632"/>
      <c r="P59" s="632"/>
      <c r="Q59" s="632"/>
      <c r="R59" s="1138"/>
      <c r="S59" s="1137"/>
      <c r="T59" s="104"/>
      <c r="U59" s="1132"/>
    </row>
    <row r="60" spans="1:21" s="976" customFormat="1" ht="15.75">
      <c r="A60" s="104" t="s">
        <v>2236</v>
      </c>
      <c r="B60" s="1135"/>
      <c r="C60" s="1136" t="s">
        <v>618</v>
      </c>
      <c r="D60" s="78"/>
      <c r="E60" s="78"/>
      <c r="F60" s="200"/>
      <c r="G60" s="78"/>
      <c r="H60" s="78"/>
      <c r="I60" s="78"/>
      <c r="J60" s="78"/>
      <c r="K60" s="78"/>
      <c r="L60" s="78"/>
      <c r="M60" s="78"/>
      <c r="N60" s="632"/>
      <c r="O60" s="632"/>
      <c r="P60" s="632"/>
      <c r="Q60" s="632"/>
      <c r="R60" s="1139">
        <f>IF(R58=0,0,MIN(R56,R58))</f>
        <v>0</v>
      </c>
      <c r="S60" s="1137"/>
      <c r="T60" s="104"/>
      <c r="U60" s="1130" t="str">
        <f>+A60</f>
        <v>2.10.5</v>
      </c>
    </row>
    <row r="61" spans="1:21" s="976" customFormat="1" ht="15.75">
      <c r="A61" s="963"/>
      <c r="B61" s="78"/>
      <c r="C61" s="78"/>
      <c r="D61" s="78"/>
      <c r="E61" s="78"/>
      <c r="F61" s="78"/>
      <c r="G61" s="78"/>
      <c r="H61" s="78"/>
      <c r="I61" s="78"/>
      <c r="J61" s="78"/>
      <c r="K61" s="78"/>
      <c r="L61" s="78"/>
      <c r="M61" s="78"/>
      <c r="N61" s="632"/>
      <c r="O61" s="632"/>
      <c r="P61" s="632"/>
      <c r="Q61" s="632"/>
      <c r="R61" s="1134"/>
      <c r="S61" s="632"/>
      <c r="T61" s="632"/>
      <c r="U61" s="1132"/>
    </row>
    <row r="62" spans="1:21" s="976" customFormat="1" ht="15.75">
      <c r="A62" s="535">
        <v>2.11</v>
      </c>
      <c r="B62" s="78" t="s">
        <v>2332</v>
      </c>
      <c r="C62" s="78"/>
      <c r="D62" s="78"/>
      <c r="E62" s="78"/>
      <c r="F62" s="78"/>
      <c r="G62" s="78"/>
      <c r="H62" s="78"/>
      <c r="I62" s="78"/>
      <c r="J62" s="78"/>
      <c r="K62" s="78"/>
      <c r="L62" s="78"/>
      <c r="M62" s="78"/>
      <c r="N62" s="632"/>
      <c r="O62" s="632"/>
      <c r="P62" s="632"/>
      <c r="Q62" s="632"/>
      <c r="R62" s="1140">
        <f>SUM(R52:R60)</f>
        <v>0</v>
      </c>
      <c r="S62" s="632"/>
      <c r="T62" s="1275">
        <f>SUM(R52:R60)</f>
        <v>0</v>
      </c>
      <c r="U62" s="1132">
        <f>A62</f>
        <v>2.11</v>
      </c>
    </row>
    <row r="63" spans="1:21" s="976" customFormat="1" ht="15">
      <c r="A63" s="78"/>
      <c r="B63" s="78"/>
      <c r="C63" s="1118"/>
      <c r="D63" s="78"/>
      <c r="E63" s="78"/>
      <c r="F63" s="78"/>
      <c r="G63" s="78"/>
      <c r="H63" s="78"/>
      <c r="I63" s="78"/>
      <c r="J63" s="78"/>
      <c r="K63" s="78"/>
      <c r="L63" s="78"/>
      <c r="M63" s="78"/>
      <c r="N63" s="78"/>
      <c r="O63" s="78"/>
      <c r="P63" s="78"/>
      <c r="Q63" s="78"/>
      <c r="R63" s="78"/>
      <c r="S63" s="78"/>
      <c r="T63" s="78"/>
      <c r="U63" s="78"/>
    </row>
    <row r="64" spans="1:21" s="976" customFormat="1" ht="15.75">
      <c r="A64" s="535">
        <v>2.13</v>
      </c>
      <c r="B64" s="27" t="s">
        <v>1527</v>
      </c>
      <c r="C64" s="78"/>
      <c r="D64" s="78"/>
      <c r="E64" s="78"/>
      <c r="F64" s="78"/>
      <c r="G64" s="78"/>
      <c r="H64" s="78"/>
      <c r="I64" s="78"/>
      <c r="J64" s="78"/>
      <c r="K64" s="78"/>
      <c r="L64" s="78"/>
      <c r="M64" s="78"/>
      <c r="N64" s="78"/>
      <c r="O64" s="314">
        <v>644</v>
      </c>
      <c r="P64" s="1213">
        <f>+P15+P20+P35+P38+P47+P62</f>
        <v>0</v>
      </c>
      <c r="Q64" s="314">
        <v>645</v>
      </c>
      <c r="R64" s="1213">
        <f>+R15+R20+R35+R38+R47+R62</f>
        <v>0</v>
      </c>
      <c r="S64" s="314">
        <v>646</v>
      </c>
      <c r="T64" s="1213">
        <f>+T15+T20+T35+T38+T47+T62</f>
        <v>0</v>
      </c>
      <c r="U64" s="1132">
        <f>+A64</f>
        <v>2.13</v>
      </c>
    </row>
    <row r="65" spans="1:21" s="976" customFormat="1" ht="15.75">
      <c r="A65" s="535"/>
      <c r="B65" s="78" t="s">
        <v>3160</v>
      </c>
      <c r="C65" s="78"/>
      <c r="D65" s="78"/>
      <c r="E65" s="78"/>
      <c r="F65" s="78"/>
      <c r="G65" s="78"/>
      <c r="H65" s="78"/>
      <c r="I65" s="78"/>
      <c r="J65" s="78"/>
      <c r="K65" s="78"/>
      <c r="L65" s="78"/>
      <c r="M65" s="78"/>
      <c r="N65" s="78"/>
      <c r="O65" s="78"/>
      <c r="P65" s="78"/>
      <c r="Q65" s="1042"/>
      <c r="R65" s="957"/>
      <c r="S65" s="1044"/>
      <c r="T65" s="941"/>
      <c r="U65" s="1089"/>
    </row>
    <row r="66" spans="1:21" s="976" customFormat="1" ht="15.75">
      <c r="A66" s="535"/>
      <c r="B66" s="535"/>
      <c r="C66" s="535"/>
      <c r="D66" s="535"/>
      <c r="E66" s="535"/>
      <c r="F66" s="535"/>
      <c r="G66" s="535"/>
      <c r="H66" s="535"/>
      <c r="I66" s="535"/>
      <c r="J66" s="535"/>
      <c r="K66" s="535"/>
      <c r="L66" s="535"/>
      <c r="M66" s="535"/>
      <c r="N66" s="535"/>
      <c r="O66" s="535"/>
      <c r="P66" s="535"/>
      <c r="Q66" s="535"/>
      <c r="R66" s="535"/>
      <c r="S66" s="535"/>
      <c r="T66" s="535"/>
      <c r="U66" s="535"/>
    </row>
    <row r="67" spans="1:21" s="976" customFormat="1" ht="15.75">
      <c r="A67" s="535" t="s">
        <v>2457</v>
      </c>
      <c r="B67" s="78"/>
      <c r="C67" s="78"/>
      <c r="D67" s="78"/>
      <c r="E67" s="78"/>
      <c r="F67" s="78"/>
      <c r="G67" s="78"/>
      <c r="H67" s="78"/>
      <c r="I67" s="78"/>
      <c r="J67" s="78"/>
      <c r="K67" s="78"/>
      <c r="L67" s="78"/>
      <c r="M67" s="78"/>
      <c r="N67" s="78"/>
      <c r="O67" s="78"/>
      <c r="P67" s="78"/>
      <c r="Q67" s="78"/>
      <c r="R67" s="78"/>
      <c r="S67" s="78"/>
      <c r="T67" s="78"/>
      <c r="U67" s="78"/>
    </row>
    <row r="68" spans="1:21" s="976" customFormat="1" ht="15.75">
      <c r="A68" s="535" t="s">
        <v>2458</v>
      </c>
      <c r="B68" s="78"/>
      <c r="C68" s="814"/>
      <c r="D68" s="78"/>
      <c r="E68" s="78"/>
      <c r="F68" s="78"/>
      <c r="G68" s="78"/>
      <c r="H68" s="78"/>
      <c r="I68" s="78"/>
      <c r="J68" s="78"/>
      <c r="K68" s="78"/>
      <c r="L68" s="78"/>
      <c r="M68" s="78"/>
      <c r="N68" s="78"/>
      <c r="O68" s="78"/>
      <c r="P68" s="78"/>
      <c r="Q68" s="78"/>
      <c r="R68" s="78"/>
      <c r="S68" s="78"/>
      <c r="T68" s="78"/>
      <c r="U68" s="78"/>
    </row>
    <row r="69" spans="1:21" s="976" customFormat="1" ht="15.75">
      <c r="A69" s="535"/>
      <c r="B69" s="78"/>
      <c r="C69" s="814" t="s">
        <v>2459</v>
      </c>
      <c r="D69" s="78"/>
      <c r="E69" s="78"/>
      <c r="F69" s="78"/>
      <c r="G69" s="78"/>
      <c r="H69" s="78"/>
      <c r="I69" s="78"/>
      <c r="J69" s="78"/>
      <c r="K69" s="78"/>
      <c r="L69" s="78"/>
      <c r="M69" s="78"/>
      <c r="N69" s="78"/>
      <c r="O69" s="78"/>
      <c r="P69" s="78"/>
      <c r="Q69" s="78"/>
      <c r="R69" s="78"/>
      <c r="S69" s="78"/>
      <c r="T69" s="78"/>
      <c r="U69" s="78"/>
    </row>
    <row r="70" spans="1:21" ht="12.75" hidden="1" customHeight="1"/>
    <row r="71" spans="1:21" ht="12.75" hidden="1" customHeight="1"/>
    <row r="72" spans="1:21" ht="12.75" hidden="1" customHeight="1"/>
    <row r="73" spans="1:21" ht="12.75" hidden="1" customHeight="1"/>
    <row r="74" spans="1:21" ht="12.75" hidden="1" customHeight="1"/>
    <row r="75" spans="1:21" ht="12.75" hidden="1" customHeight="1"/>
    <row r="76" spans="1:21" ht="12.75" hidden="1" customHeight="1"/>
    <row r="77" spans="1:21" ht="12.75" hidden="1" customHeight="1"/>
    <row r="78" spans="1:21" ht="12.75" hidden="1" customHeight="1"/>
    <row r="79" spans="1:21" ht="12.75" hidden="1" customHeight="1"/>
  </sheetData>
  <sheetProtection password="C7B7" sheet="1" objects="1" scenarios="1"/>
  <protectedRanges>
    <protectedRange sqref="R45" name="Range9"/>
    <protectedRange sqref="P45" name="Range8"/>
    <protectedRange sqref="R43" name="Range7"/>
    <protectedRange sqref="P43" name="Range6"/>
    <protectedRange sqref="T32" name="Range4"/>
    <protectedRange sqref="R20 R38" name="Range2"/>
    <protectedRange sqref="R58" name="Range1"/>
    <protectedRange sqref="R29 R32" name="Range3_1"/>
  </protectedRanges>
  <phoneticPr fontId="13"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O93"/>
  <sheetViews>
    <sheetView topLeftCell="A42" zoomScaleNormal="100" workbookViewId="0">
      <selection activeCell="A41" sqref="A41"/>
    </sheetView>
  </sheetViews>
  <sheetFormatPr defaultColWidth="0" defaultRowHeight="12.75" zeroHeight="1"/>
  <cols>
    <col min="1" max="1" width="9.28515625" bestFit="1" customWidth="1"/>
    <col min="2" max="2" width="39.28515625" customWidth="1"/>
    <col min="3" max="3" width="8.7109375" customWidth="1"/>
    <col min="4" max="4" width="15.5703125" customWidth="1"/>
    <col min="5" max="5" width="22.5703125" customWidth="1"/>
    <col min="6" max="6" width="15.140625" customWidth="1"/>
    <col min="7" max="7" width="15" customWidth="1"/>
    <col min="8" max="8" width="14" customWidth="1"/>
    <col min="9" max="9" width="12.28515625" customWidth="1"/>
    <col min="10" max="10" width="17.140625" customWidth="1"/>
    <col min="11" max="11" width="6.42578125" bestFit="1" customWidth="1"/>
    <col min="12" max="12" width="19" bestFit="1" customWidth="1"/>
    <col min="13" max="13" width="1.5703125" customWidth="1"/>
    <col min="14" max="14" width="0.28515625" customWidth="1"/>
    <col min="15" max="15" width="6.140625" customWidth="1"/>
  </cols>
  <sheetData>
    <row r="1" spans="1:15" ht="6" customHeight="1" thickBot="1">
      <c r="A1" s="2138" t="s">
        <v>2812</v>
      </c>
      <c r="B1" s="3"/>
      <c r="C1" s="3"/>
      <c r="D1" s="3"/>
      <c r="E1" s="3"/>
      <c r="F1" s="3"/>
      <c r="G1" s="3"/>
      <c r="H1" s="3"/>
      <c r="I1" s="3"/>
      <c r="J1" s="3"/>
      <c r="K1" s="3"/>
      <c r="L1" s="3"/>
      <c r="M1" s="3"/>
      <c r="N1" s="3"/>
      <c r="O1" s="13"/>
    </row>
    <row r="2" spans="1:15" ht="21" thickBot="1">
      <c r="A2" s="1085" t="s">
        <v>621</v>
      </c>
      <c r="B2" s="3"/>
      <c r="C2" s="3"/>
      <c r="D2" s="3"/>
      <c r="E2" s="3"/>
      <c r="F2" s="3"/>
      <c r="G2" s="3"/>
      <c r="H2" s="941" t="s">
        <v>163</v>
      </c>
      <c r="I2" s="78"/>
      <c r="J2" s="936" t="str">
        <f>'1 Summary'!G2</f>
        <v/>
      </c>
      <c r="K2" s="25"/>
      <c r="L2" s="217"/>
      <c r="M2" s="3"/>
      <c r="N2" s="3"/>
      <c r="O2" s="13"/>
    </row>
    <row r="3" spans="1:15" ht="21" thickBot="1">
      <c r="A3" s="1085" t="s">
        <v>82</v>
      </c>
      <c r="B3" s="3"/>
      <c r="C3" s="3"/>
      <c r="D3" s="3"/>
      <c r="E3" s="3"/>
      <c r="F3" s="3"/>
      <c r="G3" s="3"/>
      <c r="H3" s="941" t="s">
        <v>162</v>
      </c>
      <c r="I3" s="78"/>
      <c r="J3" s="1143">
        <f>'1 Summary'!G3</f>
        <v>0</v>
      </c>
      <c r="K3" s="3"/>
      <c r="L3" s="4"/>
      <c r="M3" s="3"/>
      <c r="N3" s="3"/>
      <c r="O3" s="13"/>
    </row>
    <row r="4" spans="1:15" ht="15.75">
      <c r="A4" s="3"/>
      <c r="B4" s="3"/>
      <c r="C4" s="27"/>
      <c r="D4" s="3"/>
      <c r="E4" s="3"/>
      <c r="F4" s="9"/>
      <c r="G4" s="3"/>
      <c r="H4" s="106"/>
      <c r="I4" s="106"/>
      <c r="J4" s="107"/>
      <c r="K4" s="107"/>
      <c r="L4" s="4"/>
      <c r="M4" s="3"/>
      <c r="N4" s="3"/>
      <c r="O4" s="13"/>
    </row>
    <row r="5" spans="1:15" ht="15.75">
      <c r="A5" s="3"/>
      <c r="B5" s="3"/>
      <c r="C5" s="27"/>
      <c r="D5" s="3"/>
      <c r="E5" s="3"/>
      <c r="F5" s="9"/>
      <c r="G5" s="3"/>
      <c r="H5" s="106"/>
      <c r="I5" s="106"/>
      <c r="J5" s="107"/>
      <c r="K5" s="107"/>
      <c r="L5" s="4"/>
      <c r="M5" s="3"/>
      <c r="N5" s="3"/>
      <c r="O5" s="13"/>
    </row>
    <row r="6" spans="1:15" ht="15.75">
      <c r="A6" s="3"/>
      <c r="B6" s="3"/>
      <c r="C6" s="27"/>
      <c r="D6" s="3"/>
      <c r="E6" s="3"/>
      <c r="F6" s="9"/>
      <c r="G6" s="3"/>
      <c r="H6" s="106"/>
      <c r="I6" s="106"/>
      <c r="J6" s="107"/>
      <c r="K6" s="107"/>
      <c r="L6" s="4"/>
      <c r="M6" s="3"/>
      <c r="N6" s="3"/>
      <c r="O6" s="13"/>
    </row>
    <row r="7" spans="1:15" s="976" customFormat="1" ht="15.75">
      <c r="A7" s="977">
        <v>3.1</v>
      </c>
      <c r="B7" s="1144" t="s">
        <v>198</v>
      </c>
      <c r="C7" s="27"/>
      <c r="D7" s="78"/>
      <c r="E7" s="78"/>
      <c r="F7" s="78"/>
      <c r="G7" s="401"/>
      <c r="H7" s="941"/>
      <c r="I7" s="941"/>
      <c r="J7" s="941"/>
      <c r="K7" s="941"/>
      <c r="L7" s="941"/>
      <c r="M7" s="104"/>
      <c r="N7" s="78"/>
      <c r="O7" s="1145">
        <f>+A7</f>
        <v>3.1</v>
      </c>
    </row>
    <row r="8" spans="1:15" s="976" customFormat="1" ht="15.75">
      <c r="A8" s="981"/>
      <c r="B8" s="78"/>
      <c r="C8" s="78"/>
      <c r="D8" s="78"/>
      <c r="E8" s="78"/>
      <c r="F8" s="78"/>
      <c r="G8" s="401"/>
      <c r="H8" s="941"/>
      <c r="I8" s="941"/>
      <c r="J8" s="941"/>
      <c r="K8" s="941"/>
      <c r="L8" s="941"/>
      <c r="M8" s="104"/>
      <c r="N8" s="78"/>
      <c r="O8" s="1146"/>
    </row>
    <row r="9" spans="1:15" s="976" customFormat="1" ht="15.75">
      <c r="A9" s="977" t="s">
        <v>67</v>
      </c>
      <c r="B9" s="27" t="s">
        <v>1289</v>
      </c>
      <c r="C9" s="200"/>
      <c r="D9" s="200"/>
      <c r="E9" s="200"/>
      <c r="F9" s="78"/>
      <c r="G9" s="1092" t="s">
        <v>1286</v>
      </c>
      <c r="H9" s="1147" t="s">
        <v>1287</v>
      </c>
      <c r="I9" s="1147"/>
      <c r="J9" s="1092" t="s">
        <v>1288</v>
      </c>
      <c r="K9" s="949"/>
      <c r="L9" s="949"/>
      <c r="M9" s="104"/>
      <c r="N9" s="78"/>
      <c r="O9" s="1145" t="str">
        <f>+A9</f>
        <v>3.1.1</v>
      </c>
    </row>
    <row r="10" spans="1:15" s="976" customFormat="1" ht="60.75">
      <c r="A10" s="981"/>
      <c r="B10" s="2026" t="s">
        <v>821</v>
      </c>
      <c r="C10" s="2026"/>
      <c r="D10" s="2026"/>
      <c r="E10" s="2026"/>
      <c r="F10" s="1148"/>
      <c r="G10" s="1098" t="s">
        <v>822</v>
      </c>
      <c r="H10" s="1149" t="s">
        <v>2065</v>
      </c>
      <c r="I10" s="1035"/>
      <c r="J10" s="1150" t="s">
        <v>1006</v>
      </c>
      <c r="K10" s="1127"/>
      <c r="L10" s="1127"/>
      <c r="M10" s="104"/>
      <c r="N10" s="78"/>
      <c r="O10" s="1146"/>
    </row>
    <row r="11" spans="1:15" s="976" customFormat="1" ht="15.75">
      <c r="A11" s="981"/>
      <c r="B11" s="78" t="s">
        <v>918</v>
      </c>
      <c r="C11" s="901"/>
      <c r="D11" s="901"/>
      <c r="E11" s="901"/>
      <c r="F11" s="314">
        <f>1+'2 Special Ed'!S64</f>
        <v>647</v>
      </c>
      <c r="G11" s="1151"/>
      <c r="H11" s="1152">
        <f>'GSN Benchmarks'!B45</f>
        <v>297.37</v>
      </c>
      <c r="I11" s="1153"/>
      <c r="J11" s="1154">
        <f>ROUND(H11*G11,0)</f>
        <v>0</v>
      </c>
      <c r="K11" s="1155"/>
      <c r="L11" s="1033"/>
      <c r="M11" s="104"/>
      <c r="N11" s="78"/>
      <c r="O11" s="1145"/>
    </row>
    <row r="12" spans="1:15" s="976" customFormat="1" ht="15.75">
      <c r="A12" s="981"/>
      <c r="B12" s="78" t="s">
        <v>919</v>
      </c>
      <c r="C12" s="901"/>
      <c r="D12" s="901"/>
      <c r="E12" s="901"/>
      <c r="F12" s="314"/>
      <c r="G12" s="1151"/>
      <c r="H12" s="1152">
        <f>'GSN Benchmarks'!B46</f>
        <v>338.8</v>
      </c>
      <c r="I12" s="1153"/>
      <c r="J12" s="1154">
        <f>ROUND(H12*G12,0)</f>
        <v>0</v>
      </c>
      <c r="K12" s="1155"/>
      <c r="L12" s="1033"/>
      <c r="M12" s="104"/>
      <c r="N12" s="78"/>
      <c r="O12" s="1145"/>
    </row>
    <row r="13" spans="1:15" s="976" customFormat="1" ht="15.75">
      <c r="A13" s="981"/>
      <c r="B13" s="78" t="s">
        <v>2294</v>
      </c>
      <c r="C13" s="901"/>
      <c r="D13" s="901"/>
      <c r="E13" s="901"/>
      <c r="F13" s="314"/>
      <c r="G13" s="1151"/>
      <c r="H13" s="1152">
        <f>'GSN Benchmarks'!B47</f>
        <v>379.01</v>
      </c>
      <c r="I13" s="1153"/>
      <c r="J13" s="1154">
        <f>ROUND(H13*G13,0)</f>
        <v>0</v>
      </c>
      <c r="K13" s="1155"/>
      <c r="L13" s="1033"/>
      <c r="M13" s="104"/>
      <c r="N13" s="78"/>
      <c r="O13" s="1145"/>
    </row>
    <row r="14" spans="1:15" s="976" customFormat="1" ht="15.75">
      <c r="A14" s="981"/>
      <c r="B14" s="400"/>
      <c r="C14" s="901"/>
      <c r="D14" s="901"/>
      <c r="E14" s="901"/>
      <c r="F14" s="78"/>
      <c r="G14" s="401"/>
      <c r="H14" s="1152"/>
      <c r="I14" s="1153"/>
      <c r="J14" s="1155"/>
      <c r="K14" s="1155"/>
      <c r="L14" s="1033"/>
      <c r="M14" s="104"/>
      <c r="N14" s="78"/>
      <c r="O14" s="1145"/>
    </row>
    <row r="15" spans="1:15" s="976" customFormat="1" ht="15.75">
      <c r="A15" s="981"/>
      <c r="B15" s="400" t="s">
        <v>69</v>
      </c>
      <c r="C15" s="901"/>
      <c r="D15" s="901"/>
      <c r="E15" s="901"/>
      <c r="F15" s="78"/>
      <c r="G15" s="401"/>
      <c r="H15" s="1152"/>
      <c r="I15" s="314"/>
      <c r="J15" s="1111">
        <f>SUM(J11:J13)</f>
        <v>0</v>
      </c>
      <c r="K15" s="1155"/>
      <c r="L15" s="1033"/>
      <c r="M15" s="104"/>
      <c r="N15" s="78"/>
      <c r="O15" s="1145"/>
    </row>
    <row r="16" spans="1:15" s="976" customFormat="1" ht="15.75">
      <c r="A16" s="981"/>
      <c r="B16" s="78"/>
      <c r="C16" s="78"/>
      <c r="D16" s="78"/>
      <c r="E16" s="78"/>
      <c r="F16" s="78"/>
      <c r="G16" s="401"/>
      <c r="H16" s="1035"/>
      <c r="I16" s="941"/>
      <c r="J16" s="941"/>
      <c r="K16" s="941"/>
      <c r="L16" s="941"/>
      <c r="M16" s="104"/>
      <c r="N16" s="78"/>
      <c r="O16" s="1146"/>
    </row>
    <row r="17" spans="1:15" s="976" customFormat="1" ht="15.75">
      <c r="A17" s="977" t="s">
        <v>68</v>
      </c>
      <c r="B17" s="27" t="s">
        <v>1646</v>
      </c>
      <c r="C17" s="200"/>
      <c r="D17" s="200"/>
      <c r="E17" s="200"/>
      <c r="F17" s="78"/>
      <c r="G17" s="1092" t="s">
        <v>1286</v>
      </c>
      <c r="H17" s="1147" t="s">
        <v>1287</v>
      </c>
      <c r="I17" s="1147"/>
      <c r="J17" s="1096" t="s">
        <v>1288</v>
      </c>
      <c r="K17" s="1156"/>
      <c r="L17" s="949"/>
      <c r="M17" s="104"/>
      <c r="N17" s="78"/>
      <c r="O17" s="1145" t="str">
        <f>+A17</f>
        <v>3.1.2</v>
      </c>
    </row>
    <row r="18" spans="1:15" s="976" customFormat="1" ht="60.75">
      <c r="A18" s="981"/>
      <c r="B18" s="1157" t="s">
        <v>1865</v>
      </c>
      <c r="C18" s="1158"/>
      <c r="D18" s="1157"/>
      <c r="E18" s="1159"/>
      <c r="F18" s="1148"/>
      <c r="G18" s="1098" t="s">
        <v>954</v>
      </c>
      <c r="H18" s="1149" t="s">
        <v>2065</v>
      </c>
      <c r="I18" s="1035"/>
      <c r="J18" s="1150" t="s">
        <v>1006</v>
      </c>
      <c r="K18" s="1127"/>
      <c r="L18" s="1127"/>
      <c r="M18" s="104"/>
      <c r="N18" s="27"/>
      <c r="O18" s="1146"/>
    </row>
    <row r="19" spans="1:15" s="976" customFormat="1" ht="15.75">
      <c r="A19" s="981"/>
      <c r="B19" s="78" t="s">
        <v>999</v>
      </c>
      <c r="C19" s="901"/>
      <c r="D19" s="901"/>
      <c r="E19" s="901"/>
      <c r="F19" s="314">
        <v>652</v>
      </c>
      <c r="G19" s="1160"/>
      <c r="H19" s="1161">
        <f>'GSN Benchmarks'!B50</f>
        <v>76.44</v>
      </c>
      <c r="I19" s="1162"/>
      <c r="J19" s="1154">
        <f>ROUND(H19*G19,0)</f>
        <v>0</v>
      </c>
      <c r="K19" s="1155"/>
      <c r="L19" s="1033"/>
      <c r="M19" s="104"/>
      <c r="N19" s="27"/>
      <c r="O19" s="1146"/>
    </row>
    <row r="20" spans="1:15" s="976" customFormat="1" ht="15.75">
      <c r="A20" s="981"/>
      <c r="B20" s="78" t="s">
        <v>1007</v>
      </c>
      <c r="C20" s="901"/>
      <c r="D20" s="901"/>
      <c r="E20" s="901"/>
      <c r="F20" s="314">
        <v>653</v>
      </c>
      <c r="G20" s="1160"/>
      <c r="H20" s="1161">
        <f>'GSN Benchmarks'!B51</f>
        <v>101.09</v>
      </c>
      <c r="I20" s="1162"/>
      <c r="J20" s="1154">
        <f>ROUND(H20*G20,0)</f>
        <v>0</v>
      </c>
      <c r="K20" s="1155"/>
      <c r="L20" s="1033"/>
      <c r="M20" s="104"/>
      <c r="N20" s="78"/>
      <c r="O20" s="1146"/>
    </row>
    <row r="21" spans="1:15" s="976" customFormat="1" ht="15.75">
      <c r="A21" s="981"/>
      <c r="B21" s="78" t="s">
        <v>181</v>
      </c>
      <c r="C21" s="901"/>
      <c r="D21" s="901"/>
      <c r="E21" s="901"/>
      <c r="F21" s="314">
        <v>654</v>
      </c>
      <c r="G21" s="1160"/>
      <c r="H21" s="1161">
        <f>'GSN Benchmarks'!B52</f>
        <v>125.74</v>
      </c>
      <c r="I21" s="1162"/>
      <c r="J21" s="1154">
        <f>ROUND(H21*G21,0)</f>
        <v>0</v>
      </c>
      <c r="K21" s="1155"/>
      <c r="L21" s="1033"/>
      <c r="M21" s="104"/>
      <c r="N21" s="78"/>
      <c r="O21" s="1146"/>
    </row>
    <row r="22" spans="1:15" s="976" customFormat="1" ht="15.75">
      <c r="A22" s="981"/>
      <c r="B22" s="78" t="s">
        <v>32</v>
      </c>
      <c r="C22" s="901"/>
      <c r="D22" s="901"/>
      <c r="E22" s="901"/>
      <c r="F22" s="314">
        <v>655</v>
      </c>
      <c r="G22" s="1160"/>
      <c r="H22" s="1161">
        <f>'GSN Benchmarks'!B53</f>
        <v>196.04</v>
      </c>
      <c r="I22" s="1162"/>
      <c r="J22" s="1154">
        <f>ROUND(H22*G22,0)</f>
        <v>0</v>
      </c>
      <c r="K22" s="1155"/>
      <c r="L22" s="1033"/>
      <c r="M22" s="104"/>
      <c r="N22" s="78"/>
      <c r="O22" s="1146"/>
    </row>
    <row r="23" spans="1:15" s="976" customFormat="1" ht="15.75">
      <c r="A23" s="981"/>
      <c r="B23" s="632"/>
      <c r="C23" s="901"/>
      <c r="D23" s="901"/>
      <c r="E23" s="901"/>
      <c r="F23" s="901"/>
      <c r="G23" s="901"/>
      <c r="H23" s="1163"/>
      <c r="I23" s="1162"/>
      <c r="J23" s="1163"/>
      <c r="K23" s="1155"/>
      <c r="L23" s="1033"/>
      <c r="M23" s="104"/>
      <c r="N23" s="78"/>
      <c r="O23" s="1146"/>
    </row>
    <row r="24" spans="1:15" s="976" customFormat="1" ht="15.75">
      <c r="A24" s="977"/>
      <c r="B24" s="78" t="s">
        <v>33</v>
      </c>
      <c r="C24" s="27"/>
      <c r="D24" s="78"/>
      <c r="E24" s="78"/>
      <c r="F24" s="78"/>
      <c r="G24" s="401"/>
      <c r="H24" s="78"/>
      <c r="I24" s="314">
        <f>F22+1</f>
        <v>656</v>
      </c>
      <c r="J24" s="1111">
        <f>SUM(J19:J22)</f>
        <v>0</v>
      </c>
      <c r="K24" s="1155"/>
      <c r="L24" s="1155"/>
      <c r="M24" s="78"/>
      <c r="N24" s="78"/>
      <c r="O24" s="1145"/>
    </row>
    <row r="25" spans="1:15" s="976" customFormat="1" ht="15.75">
      <c r="A25" s="981"/>
      <c r="B25" s="78"/>
      <c r="C25" s="27"/>
      <c r="D25" s="78"/>
      <c r="E25" s="78"/>
      <c r="F25" s="78"/>
      <c r="G25" s="401"/>
      <c r="H25" s="78"/>
      <c r="I25" s="78"/>
      <c r="J25" s="1155"/>
      <c r="K25" s="1155"/>
      <c r="L25" s="1155"/>
      <c r="M25" s="104"/>
      <c r="N25" s="78"/>
      <c r="O25" s="1146"/>
    </row>
    <row r="26" spans="1:15" s="976" customFormat="1" ht="15.75">
      <c r="A26" s="977" t="s">
        <v>1371</v>
      </c>
      <c r="B26" s="27" t="s">
        <v>2460</v>
      </c>
      <c r="C26" s="78"/>
      <c r="D26" s="78"/>
      <c r="E26" s="78"/>
      <c r="F26" s="78"/>
      <c r="G26" s="401"/>
      <c r="H26" s="78"/>
      <c r="I26" s="314">
        <f>I24+1</f>
        <v>657</v>
      </c>
      <c r="J26" s="1154">
        <f>+J15+J24</f>
        <v>0</v>
      </c>
      <c r="K26" s="1155"/>
      <c r="L26" s="956"/>
      <c r="M26" s="78"/>
      <c r="N26" s="78"/>
      <c r="O26" s="1145" t="str">
        <f>+A26</f>
        <v>3.1.3</v>
      </c>
    </row>
    <row r="27" spans="1:15" s="976" customFormat="1" ht="15.75">
      <c r="A27" s="977"/>
      <c r="B27" s="27"/>
      <c r="C27" s="78"/>
      <c r="D27" s="78"/>
      <c r="E27" s="78"/>
      <c r="F27" s="78"/>
      <c r="G27" s="401"/>
      <c r="H27" s="78"/>
      <c r="I27" s="941"/>
      <c r="J27" s="1033"/>
      <c r="K27" s="1033"/>
      <c r="L27" s="956"/>
      <c r="M27" s="78"/>
      <c r="N27" s="78"/>
      <c r="O27" s="1145"/>
    </row>
    <row r="28" spans="1:15" s="976" customFormat="1" ht="15.75">
      <c r="A28" s="977"/>
      <c r="B28" s="27"/>
      <c r="C28" s="78"/>
      <c r="D28" s="78"/>
      <c r="E28" s="78"/>
      <c r="F28" s="78"/>
      <c r="G28" s="401"/>
      <c r="H28" s="941"/>
      <c r="I28" s="941"/>
      <c r="J28" s="1033"/>
      <c r="K28" s="1033"/>
      <c r="L28" s="956"/>
      <c r="M28" s="78"/>
      <c r="N28" s="78"/>
      <c r="O28" s="1145"/>
    </row>
    <row r="29" spans="1:15" s="976" customFormat="1" ht="15.75">
      <c r="A29" s="1164">
        <v>3.2</v>
      </c>
      <c r="B29" s="1144" t="s">
        <v>1055</v>
      </c>
      <c r="C29" s="78"/>
      <c r="D29" s="78"/>
      <c r="E29" s="78"/>
      <c r="F29" s="78"/>
      <c r="G29" s="1042"/>
      <c r="H29" s="1044"/>
      <c r="I29" s="1044"/>
      <c r="J29" s="1044"/>
      <c r="K29" s="1044"/>
      <c r="L29" s="1105"/>
      <c r="M29" s="1044"/>
      <c r="N29" s="1042"/>
      <c r="O29" s="1145">
        <f>+A29</f>
        <v>3.2</v>
      </c>
    </row>
    <row r="30" spans="1:15" s="976" customFormat="1" ht="15.75">
      <c r="A30" s="1164"/>
      <c r="B30" s="1144"/>
      <c r="C30" s="78"/>
      <c r="D30" s="78"/>
      <c r="E30" s="78"/>
      <c r="F30" s="78"/>
      <c r="G30" s="1042"/>
      <c r="H30" s="1044"/>
      <c r="I30" s="1044"/>
      <c r="J30" s="1044"/>
      <c r="K30" s="1044"/>
      <c r="L30" s="1105"/>
      <c r="M30" s="1044"/>
      <c r="N30" s="1042"/>
      <c r="O30" s="1145"/>
    </row>
    <row r="31" spans="1:15" s="976" customFormat="1" ht="15.75">
      <c r="A31" s="536"/>
      <c r="B31" s="78"/>
      <c r="C31" s="78"/>
      <c r="D31" s="78"/>
      <c r="E31" s="78"/>
      <c r="F31" s="78"/>
      <c r="G31" s="1165" t="s">
        <v>1286</v>
      </c>
      <c r="H31" s="1094" t="s">
        <v>1287</v>
      </c>
      <c r="I31" s="1095"/>
      <c r="J31" s="1094" t="s">
        <v>1288</v>
      </c>
      <c r="K31" s="1101"/>
      <c r="L31" s="1105"/>
      <c r="M31" s="1044"/>
      <c r="N31" s="1042"/>
      <c r="O31" s="1166"/>
    </row>
    <row r="32" spans="1:15" s="976" customFormat="1" ht="30.75">
      <c r="A32" s="1167"/>
      <c r="B32" s="78"/>
      <c r="C32" s="1168"/>
      <c r="D32" s="1168"/>
      <c r="E32" s="1168"/>
      <c r="F32" s="1168"/>
      <c r="G32" s="2088" t="s">
        <v>2741</v>
      </c>
      <c r="H32" s="1169" t="s">
        <v>317</v>
      </c>
      <c r="I32" s="1126"/>
      <c r="J32" s="2088" t="s">
        <v>2739</v>
      </c>
      <c r="K32" s="1126"/>
      <c r="L32" s="1105"/>
      <c r="M32" s="1044"/>
      <c r="N32" s="1042"/>
      <c r="O32" s="1170"/>
    </row>
    <row r="33" spans="1:15" s="976" customFormat="1" ht="30">
      <c r="A33" s="1167"/>
      <c r="B33" s="78"/>
      <c r="C33" s="78"/>
      <c r="D33" s="78"/>
      <c r="E33" s="78"/>
      <c r="F33" s="78"/>
      <c r="G33" s="2089" t="s">
        <v>2742</v>
      </c>
      <c r="H33" s="1171"/>
      <c r="I33" s="1171"/>
      <c r="J33" s="2089" t="s">
        <v>2740</v>
      </c>
      <c r="K33" s="1126"/>
      <c r="L33" s="1105"/>
      <c r="M33" s="1044"/>
      <c r="N33" s="1042"/>
      <c r="O33" s="1170"/>
    </row>
    <row r="34" spans="1:15" s="976" customFormat="1" ht="15.75">
      <c r="A34" s="977" t="s">
        <v>1372</v>
      </c>
      <c r="B34" s="78" t="s">
        <v>1397</v>
      </c>
      <c r="C34" s="78"/>
      <c r="D34" s="78"/>
      <c r="E34" s="78"/>
      <c r="F34" s="346">
        <v>673</v>
      </c>
      <c r="G34" s="1172"/>
      <c r="H34" s="1107">
        <f>'GSN Benchmarks'!B58</f>
        <v>0</v>
      </c>
      <c r="I34" s="346">
        <v>675</v>
      </c>
      <c r="J34" s="1111">
        <f>ROUND(H34*G34,0)</f>
        <v>0</v>
      </c>
      <c r="K34" s="1105"/>
      <c r="L34" s="1105"/>
      <c r="M34" s="27"/>
      <c r="N34" s="1042"/>
      <c r="O34" s="1145" t="str">
        <f>+A34</f>
        <v>3.2.1</v>
      </c>
    </row>
    <row r="35" spans="1:15" s="976" customFormat="1" ht="15.75">
      <c r="A35" s="977"/>
      <c r="B35" s="78"/>
      <c r="C35" s="78"/>
      <c r="D35" s="78"/>
      <c r="E35" s="78"/>
      <c r="F35" s="200"/>
      <c r="G35" s="1173"/>
      <c r="H35" s="1174"/>
      <c r="I35" s="1175"/>
      <c r="J35" s="1105"/>
      <c r="K35" s="1105"/>
      <c r="L35" s="1105"/>
      <c r="M35" s="27"/>
      <c r="N35" s="1042"/>
      <c r="O35" s="1145"/>
    </row>
    <row r="36" spans="1:15" s="976" customFormat="1" ht="15.75">
      <c r="A36" s="977" t="s">
        <v>1399</v>
      </c>
      <c r="B36" s="78" t="s">
        <v>1398</v>
      </c>
      <c r="C36" s="78"/>
      <c r="D36" s="78"/>
      <c r="E36" s="78"/>
      <c r="F36" s="346"/>
      <c r="G36" s="1176">
        <f>+'Sch 13 Enrolment'!T83</f>
        <v>0</v>
      </c>
      <c r="H36" s="1107">
        <f>'GSN Benchmarks'!B59</f>
        <v>0</v>
      </c>
      <c r="I36" s="346"/>
      <c r="J36" s="1111">
        <f>ROUND(H36*G36,0)</f>
        <v>0</v>
      </c>
      <c r="K36" s="1105"/>
      <c r="L36" s="1105"/>
      <c r="M36" s="27"/>
      <c r="N36" s="1042"/>
      <c r="O36" s="1145" t="str">
        <f>+A36</f>
        <v>3.2.2</v>
      </c>
    </row>
    <row r="37" spans="1:15" s="976" customFormat="1" ht="15.75">
      <c r="A37" s="977"/>
      <c r="B37" s="78"/>
      <c r="C37" s="78"/>
      <c r="D37" s="78"/>
      <c r="E37" s="78"/>
      <c r="F37" s="200"/>
      <c r="G37" s="1173"/>
      <c r="H37" s="1174"/>
      <c r="I37" s="1175"/>
      <c r="J37" s="1105"/>
      <c r="K37" s="1105"/>
      <c r="L37" s="1105"/>
      <c r="M37" s="27"/>
      <c r="N37" s="1042"/>
      <c r="O37" s="1145"/>
    </row>
    <row r="38" spans="1:15" s="976" customFormat="1" ht="15.75">
      <c r="A38" s="977" t="s">
        <v>1400</v>
      </c>
      <c r="B38" s="1144" t="s">
        <v>2461</v>
      </c>
      <c r="C38" s="200"/>
      <c r="D38" s="200"/>
      <c r="E38" s="200"/>
      <c r="F38" s="200"/>
      <c r="G38" s="1177"/>
      <c r="H38" s="1175"/>
      <c r="I38" s="346">
        <v>675</v>
      </c>
      <c r="J38" s="1111">
        <f>+J34+J36</f>
        <v>0</v>
      </c>
      <c r="K38" s="1105"/>
      <c r="L38" s="1105"/>
      <c r="M38" s="223"/>
      <c r="N38" s="1099"/>
      <c r="O38" s="1145" t="str">
        <f>+A38</f>
        <v>3.2.3</v>
      </c>
    </row>
    <row r="39" spans="1:15" s="976" customFormat="1" ht="15.75">
      <c r="A39" s="977"/>
      <c r="B39" s="78"/>
      <c r="C39" s="200"/>
      <c r="D39" s="200"/>
      <c r="E39" s="200"/>
      <c r="F39" s="200"/>
      <c r="G39" s="1177"/>
      <c r="H39" s="1175"/>
      <c r="I39" s="1175"/>
      <c r="J39" s="1105"/>
      <c r="K39" s="1105"/>
      <c r="L39" s="1105"/>
      <c r="M39" s="223"/>
      <c r="N39" s="1099"/>
      <c r="O39" s="1145"/>
    </row>
    <row r="40" spans="1:15" s="976" customFormat="1" ht="15">
      <c r="A40" s="78"/>
      <c r="B40" s="78"/>
      <c r="C40" s="78"/>
      <c r="D40" s="78"/>
      <c r="E40" s="78"/>
      <c r="F40" s="78"/>
      <c r="G40" s="1042"/>
      <c r="H40" s="1044"/>
      <c r="I40" s="1044"/>
      <c r="J40" s="1044"/>
      <c r="K40" s="1044"/>
      <c r="L40" s="1105"/>
      <c r="M40" s="1044"/>
      <c r="N40" s="1042"/>
      <c r="O40" s="401"/>
    </row>
    <row r="41" spans="1:15" s="976" customFormat="1" ht="15.75">
      <c r="A41" s="1178" t="s">
        <v>991</v>
      </c>
      <c r="B41" s="1144" t="s">
        <v>1616</v>
      </c>
      <c r="C41" s="78"/>
      <c r="D41" s="78"/>
      <c r="E41" s="78"/>
      <c r="F41" s="78"/>
      <c r="G41" s="78"/>
      <c r="H41" s="78"/>
      <c r="I41" s="78"/>
      <c r="J41" s="78"/>
      <c r="K41" s="78"/>
      <c r="L41" s="78"/>
      <c r="M41" s="1044"/>
      <c r="N41" s="1042"/>
      <c r="O41" s="1145" t="str">
        <f>+A41</f>
        <v>3.3</v>
      </c>
    </row>
    <row r="42" spans="1:15" s="976" customFormat="1" ht="15.75">
      <c r="A42" s="535"/>
      <c r="B42" s="200"/>
      <c r="C42" s="1179"/>
      <c r="D42" s="1092" t="s">
        <v>1286</v>
      </c>
      <c r="E42" s="1147"/>
      <c r="F42" s="1092" t="s">
        <v>1287</v>
      </c>
      <c r="G42" s="1092" t="s">
        <v>1288</v>
      </c>
      <c r="H42" s="1092" t="s">
        <v>842</v>
      </c>
      <c r="I42" s="1147"/>
      <c r="J42" s="1096" t="s">
        <v>843</v>
      </c>
      <c r="K42" s="1180"/>
      <c r="L42" s="1096" t="s">
        <v>844</v>
      </c>
      <c r="M42" s="1044"/>
      <c r="N42" s="1042"/>
      <c r="O42" s="1166"/>
    </row>
    <row r="43" spans="1:15" s="976" customFormat="1" ht="126" customHeight="1">
      <c r="A43" s="1181" t="s">
        <v>992</v>
      </c>
      <c r="B43" s="2025" t="s">
        <v>2958</v>
      </c>
      <c r="C43" s="200"/>
      <c r="D43" s="1183" t="s">
        <v>1028</v>
      </c>
      <c r="E43" s="1184"/>
      <c r="F43" s="1183" t="s">
        <v>2961</v>
      </c>
      <c r="G43" s="949" t="s">
        <v>1864</v>
      </c>
      <c r="H43" s="1183" t="s">
        <v>2037</v>
      </c>
      <c r="I43" s="1184"/>
      <c r="J43" s="1183" t="s">
        <v>1628</v>
      </c>
      <c r="K43" s="1184"/>
      <c r="L43" s="1183" t="s">
        <v>1258</v>
      </c>
      <c r="M43" s="1044"/>
      <c r="N43" s="1042"/>
      <c r="O43" s="1185" t="str">
        <f>+A43</f>
        <v>3.3.1</v>
      </c>
    </row>
    <row r="44" spans="1:15" s="976" customFormat="1" ht="15.75">
      <c r="A44" s="535"/>
      <c r="B44" s="27"/>
      <c r="C44" s="78"/>
      <c r="D44" s="78"/>
      <c r="E44" s="78"/>
      <c r="F44" s="78"/>
      <c r="G44" s="962"/>
      <c r="H44" s="1186"/>
      <c r="I44" s="339"/>
      <c r="J44" s="1105"/>
      <c r="K44" s="1044"/>
      <c r="L44" s="1105"/>
      <c r="M44" s="1044"/>
      <c r="N44" s="1042"/>
      <c r="O44" s="1166"/>
    </row>
    <row r="45" spans="1:15" s="976" customFormat="1" ht="15.75">
      <c r="A45" s="535"/>
      <c r="B45" s="78" t="s">
        <v>2959</v>
      </c>
      <c r="C45" s="314">
        <v>661</v>
      </c>
      <c r="D45" s="1187"/>
      <c r="E45" s="314">
        <v>662</v>
      </c>
      <c r="F45" s="1188"/>
      <c r="G45" s="1189">
        <v>1</v>
      </c>
      <c r="H45" s="1190">
        <f>ROUND(G45*D45,2)</f>
        <v>0</v>
      </c>
      <c r="I45" s="200"/>
      <c r="J45" s="1190">
        <f>ROUND(F45*G45,2)</f>
        <v>0</v>
      </c>
      <c r="K45" s="1191"/>
      <c r="L45" s="1190">
        <f>+J45+H45</f>
        <v>0</v>
      </c>
      <c r="M45" s="1044"/>
      <c r="N45" s="1042"/>
      <c r="O45" s="1166"/>
    </row>
    <row r="46" spans="1:15" s="976" customFormat="1" ht="15.75">
      <c r="A46" s="535"/>
      <c r="B46" s="78" t="s">
        <v>2728</v>
      </c>
      <c r="C46" s="314">
        <v>663</v>
      </c>
      <c r="D46" s="1187"/>
      <c r="E46" s="314">
        <v>664</v>
      </c>
      <c r="F46" s="1188"/>
      <c r="G46" s="1189">
        <v>0.85</v>
      </c>
      <c r="H46" s="1190">
        <f>ROUND(G46*D46,2)</f>
        <v>0</v>
      </c>
      <c r="I46" s="200"/>
      <c r="J46" s="1190">
        <f>ROUND(F46*G46,2)</f>
        <v>0</v>
      </c>
      <c r="K46" s="1191"/>
      <c r="L46" s="1190">
        <f>+J46+H46</f>
        <v>0</v>
      </c>
      <c r="M46" s="1044"/>
      <c r="N46" s="1042"/>
      <c r="O46" s="1166"/>
    </row>
    <row r="47" spans="1:15" s="976" customFormat="1" ht="15.75">
      <c r="A47" s="535"/>
      <c r="B47" s="78" t="s">
        <v>2960</v>
      </c>
      <c r="C47" s="314">
        <v>665</v>
      </c>
      <c r="D47" s="1187"/>
      <c r="E47" s="314">
        <v>666</v>
      </c>
      <c r="F47" s="1188"/>
      <c r="G47" s="1189">
        <v>0.5</v>
      </c>
      <c r="H47" s="1190">
        <f>ROUND(G47*D47,2)</f>
        <v>0</v>
      </c>
      <c r="I47" s="1191"/>
      <c r="J47" s="1190">
        <f>ROUND(F47*G47,2)</f>
        <v>0</v>
      </c>
      <c r="K47" s="1191"/>
      <c r="L47" s="1190">
        <f>+J47+H47</f>
        <v>0</v>
      </c>
      <c r="M47" s="1044"/>
      <c r="N47" s="1042"/>
      <c r="O47" s="1166"/>
    </row>
    <row r="48" spans="1:15" s="976" customFormat="1" ht="15.75">
      <c r="A48" s="535"/>
      <c r="B48" s="78" t="s">
        <v>2402</v>
      </c>
      <c r="C48" s="346"/>
      <c r="D48" s="1187"/>
      <c r="E48" s="346"/>
      <c r="F48" s="1188"/>
      <c r="G48" s="1189">
        <v>0.25</v>
      </c>
      <c r="H48" s="1190">
        <f>ROUND(G48*D48,2)</f>
        <v>0</v>
      </c>
      <c r="I48" s="1191"/>
      <c r="J48" s="1190">
        <f>ROUND(F48*G48,2)</f>
        <v>0</v>
      </c>
      <c r="K48" s="1191"/>
      <c r="L48" s="1190">
        <f>+J48+H48</f>
        <v>0</v>
      </c>
      <c r="M48" s="1044"/>
      <c r="N48" s="1042"/>
      <c r="O48" s="1166"/>
    </row>
    <row r="49" spans="1:15" s="976" customFormat="1" ht="15.75">
      <c r="A49" s="535"/>
      <c r="B49" s="78" t="s">
        <v>1273</v>
      </c>
      <c r="C49" s="632"/>
      <c r="D49" s="1192"/>
      <c r="E49" s="1192"/>
      <c r="F49" s="1192"/>
      <c r="G49" s="314">
        <v>667</v>
      </c>
      <c r="H49" s="1190">
        <f>SUM(H45:H48)</f>
        <v>0</v>
      </c>
      <c r="I49" s="314">
        <v>668</v>
      </c>
      <c r="J49" s="1190">
        <f>SUM(J45:J48)</f>
        <v>0</v>
      </c>
      <c r="K49" s="314">
        <v>669</v>
      </c>
      <c r="L49" s="1190">
        <f>SUM(L45:L48)</f>
        <v>0</v>
      </c>
      <c r="M49" s="1044"/>
      <c r="N49" s="1042"/>
      <c r="O49" s="1166"/>
    </row>
    <row r="50" spans="1:15" s="976" customFormat="1" ht="15.75">
      <c r="A50" s="535"/>
      <c r="B50" s="78"/>
      <c r="C50" s="632"/>
      <c r="D50" s="1192"/>
      <c r="E50" s="1192"/>
      <c r="F50" s="1192"/>
      <c r="G50" s="1189"/>
      <c r="H50" s="200"/>
      <c r="I50" s="200"/>
      <c r="J50" s="200"/>
      <c r="K50" s="200"/>
      <c r="L50" s="1191"/>
      <c r="M50" s="1044"/>
      <c r="N50" s="1042"/>
      <c r="O50" s="1166"/>
    </row>
    <row r="51" spans="1:15" s="976" customFormat="1" ht="15.75">
      <c r="A51" s="535"/>
      <c r="B51" s="27"/>
      <c r="C51" s="632"/>
      <c r="D51" s="1192"/>
      <c r="E51" s="78"/>
      <c r="F51" s="1192"/>
      <c r="G51" s="1189"/>
      <c r="H51" s="200"/>
      <c r="I51" s="200"/>
      <c r="J51" s="200"/>
      <c r="K51" s="200"/>
      <c r="L51" s="200"/>
      <c r="M51" s="1044"/>
      <c r="N51" s="1042"/>
      <c r="O51" s="1166"/>
    </row>
    <row r="52" spans="1:15" s="976" customFormat="1" ht="15.75">
      <c r="A52" s="535" t="s">
        <v>993</v>
      </c>
      <c r="B52" s="78" t="s">
        <v>3083</v>
      </c>
      <c r="C52" s="632"/>
      <c r="D52" s="78"/>
      <c r="E52" s="78"/>
      <c r="F52" s="1192" t="s">
        <v>1109</v>
      </c>
      <c r="G52" s="339"/>
      <c r="H52" s="956"/>
      <c r="I52" s="339"/>
      <c r="J52" s="956"/>
      <c r="K52" s="1051">
        <v>410</v>
      </c>
      <c r="L52" s="1193">
        <f>IF($J$3=0,0,VLOOKUP($J$3,Tables!$A$5:$Z$8,5,FALSE))</f>
        <v>0</v>
      </c>
      <c r="M52" s="1044"/>
      <c r="N52" s="1042"/>
      <c r="O52" s="1145" t="str">
        <f>+A52</f>
        <v>3.3.2</v>
      </c>
    </row>
    <row r="53" spans="1:15" s="976" customFormat="1" ht="17.25">
      <c r="A53" s="535"/>
      <c r="B53" s="27"/>
      <c r="C53" s="78"/>
      <c r="D53" s="1194"/>
      <c r="E53" s="1194"/>
      <c r="F53" s="1195" t="s">
        <v>2065</v>
      </c>
      <c r="G53" s="1194"/>
      <c r="H53" s="1186"/>
      <c r="I53" s="1186"/>
      <c r="J53" s="1186"/>
      <c r="K53" s="1186"/>
      <c r="L53" s="1186" t="s">
        <v>868</v>
      </c>
      <c r="M53" s="1044"/>
      <c r="N53" s="1042"/>
      <c r="O53" s="1166"/>
    </row>
    <row r="54" spans="1:15" s="976" customFormat="1" ht="15.75">
      <c r="A54" s="535" t="s">
        <v>994</v>
      </c>
      <c r="B54" s="27" t="str">
        <f>"ESL/ESD Allocation (Line 3.3.1 X $"&amp;F54&amp;") (whole dollars)"</f>
        <v>ESL/ESD Allocation (Line 3.3.1 X $3982) (whole dollars)</v>
      </c>
      <c r="C54" s="78"/>
      <c r="D54" s="1194"/>
      <c r="E54" s="1194"/>
      <c r="F54" s="1196">
        <f>IF($J$3=15148,'GSN Benchmarks'!B56,'GSN Benchmarks'!B55)</f>
        <v>3982</v>
      </c>
      <c r="G54" s="314">
        <v>670</v>
      </c>
      <c r="H54" s="1111">
        <f>ROUND(H49*F54,0)</f>
        <v>0</v>
      </c>
      <c r="I54" s="314">
        <v>671</v>
      </c>
      <c r="J54" s="1111">
        <f>ROUND(J49*F54,0)</f>
        <v>0</v>
      </c>
      <c r="K54" s="314">
        <v>672</v>
      </c>
      <c r="L54" s="1154">
        <f>+H54+J54</f>
        <v>0</v>
      </c>
      <c r="M54" s="1044"/>
      <c r="N54" s="1042"/>
      <c r="O54" s="1145" t="str">
        <f>+A54</f>
        <v>3.3.3</v>
      </c>
    </row>
    <row r="55" spans="1:15" s="976" customFormat="1" ht="15.75">
      <c r="A55" s="535"/>
      <c r="B55" s="27"/>
      <c r="C55" s="78"/>
      <c r="D55" s="1194"/>
      <c r="E55" s="1194"/>
      <c r="F55" s="1196"/>
      <c r="G55" s="1194"/>
      <c r="H55" s="1186"/>
      <c r="I55" s="1186"/>
      <c r="J55" s="1186"/>
      <c r="K55" s="1186"/>
      <c r="L55" s="1155"/>
      <c r="M55" s="1044"/>
      <c r="N55" s="1042"/>
      <c r="O55" s="1166"/>
    </row>
    <row r="56" spans="1:15" s="976" customFormat="1" ht="15.75">
      <c r="A56" s="535"/>
      <c r="B56" s="27"/>
      <c r="C56" s="78"/>
      <c r="D56" s="1194"/>
      <c r="E56" s="1194"/>
      <c r="F56" s="1194"/>
      <c r="G56" s="1194"/>
      <c r="H56" s="1186"/>
      <c r="I56" s="1186"/>
      <c r="J56" s="1186"/>
      <c r="K56" s="1186"/>
      <c r="L56" s="1186"/>
      <c r="M56" s="1044"/>
      <c r="N56" s="1042"/>
      <c r="O56" s="1166"/>
    </row>
    <row r="57" spans="1:15" s="976" customFormat="1" ht="15.75" hidden="1">
      <c r="A57" s="1056" t="s">
        <v>995</v>
      </c>
      <c r="B57" s="1144" t="s">
        <v>1069</v>
      </c>
      <c r="C57" s="78"/>
      <c r="D57" s="78"/>
      <c r="E57" s="78"/>
      <c r="F57" s="78"/>
      <c r="G57" s="78"/>
      <c r="H57" s="78"/>
      <c r="I57" s="78"/>
      <c r="J57" s="78"/>
      <c r="K57" s="78"/>
      <c r="L57" s="78"/>
      <c r="M57" s="1044"/>
      <c r="N57" s="1042"/>
      <c r="O57" s="1145" t="str">
        <f>+A57</f>
        <v>3.4</v>
      </c>
    </row>
    <row r="58" spans="1:15" s="976" customFormat="1" ht="15.75" hidden="1">
      <c r="A58" s="1056"/>
      <c r="B58" s="1144"/>
      <c r="C58" s="78"/>
      <c r="D58" s="78"/>
      <c r="E58" s="78"/>
      <c r="F58" s="78"/>
      <c r="G58" s="78"/>
      <c r="H58" s="78"/>
      <c r="I58" s="78"/>
      <c r="J58" s="78"/>
      <c r="K58" s="78"/>
      <c r="L58" s="78"/>
      <c r="M58" s="1044"/>
      <c r="N58" s="1042"/>
      <c r="O58" s="1197"/>
    </row>
    <row r="59" spans="1:15" s="976" customFormat="1" ht="15.75" hidden="1">
      <c r="A59" s="535"/>
      <c r="B59" s="1198"/>
      <c r="C59" s="78"/>
      <c r="D59" s="1092" t="s">
        <v>1286</v>
      </c>
      <c r="E59" s="1147"/>
      <c r="F59" s="1092" t="s">
        <v>1287</v>
      </c>
      <c r="G59" s="1092" t="s">
        <v>1288</v>
      </c>
      <c r="H59" s="1092" t="s">
        <v>842</v>
      </c>
      <c r="I59" s="1147"/>
      <c r="J59" s="1096" t="s">
        <v>843</v>
      </c>
      <c r="K59" s="1180"/>
      <c r="L59" s="1096" t="s">
        <v>844</v>
      </c>
      <c r="M59" s="1044"/>
      <c r="N59" s="1042"/>
      <c r="O59" s="1166"/>
    </row>
    <row r="60" spans="1:15" s="976" customFormat="1" ht="105" hidden="1" customHeight="1">
      <c r="A60" s="1199" t="s">
        <v>1645</v>
      </c>
      <c r="B60" s="971" t="s">
        <v>170</v>
      </c>
      <c r="C60" s="78"/>
      <c r="D60" s="1183" t="s">
        <v>1028</v>
      </c>
      <c r="E60" s="1184"/>
      <c r="F60" s="1183" t="s">
        <v>1282</v>
      </c>
      <c r="G60" s="1183" t="s">
        <v>1864</v>
      </c>
      <c r="H60" s="1183" t="s">
        <v>5</v>
      </c>
      <c r="I60" s="1183"/>
      <c r="J60" s="1183" t="s">
        <v>6</v>
      </c>
      <c r="K60" s="1183"/>
      <c r="L60" s="1183" t="s">
        <v>1898</v>
      </c>
      <c r="M60" s="1044"/>
      <c r="N60" s="1042"/>
      <c r="O60" s="1185" t="str">
        <f>+A60</f>
        <v>3.4.1</v>
      </c>
    </row>
    <row r="61" spans="1:15" s="976" customFormat="1" ht="15.75" hidden="1">
      <c r="A61" s="535"/>
      <c r="B61" s="27"/>
      <c r="C61" s="78"/>
      <c r="D61" s="78"/>
      <c r="E61" s="78"/>
      <c r="F61" s="78"/>
      <c r="G61" s="962"/>
      <c r="H61" s="1186"/>
      <c r="I61" s="339"/>
      <c r="J61" s="1105"/>
      <c r="K61" s="1044"/>
      <c r="L61" s="1105"/>
      <c r="M61" s="1044"/>
      <c r="N61" s="1042"/>
      <c r="O61" s="1166"/>
    </row>
    <row r="62" spans="1:15" s="976" customFormat="1" ht="15.75" hidden="1">
      <c r="A62" s="535"/>
      <c r="B62" s="78" t="s">
        <v>172</v>
      </c>
      <c r="C62" s="314">
        <v>681</v>
      </c>
      <c r="D62" s="1200"/>
      <c r="E62" s="314">
        <v>682</v>
      </c>
      <c r="F62" s="1200"/>
      <c r="G62" s="1189">
        <v>1</v>
      </c>
      <c r="H62" s="1201">
        <f>ROUND(G62*D62,2)</f>
        <v>0</v>
      </c>
      <c r="I62" s="1202"/>
      <c r="J62" s="1201">
        <f>ROUND(F62*G62,2)</f>
        <v>0</v>
      </c>
      <c r="K62" s="1202"/>
      <c r="L62" s="1201">
        <f>+J62+H62</f>
        <v>0</v>
      </c>
      <c r="M62" s="1044"/>
      <c r="N62" s="1042"/>
      <c r="O62" s="1166"/>
    </row>
    <row r="63" spans="1:15" s="976" customFormat="1" ht="15.75" hidden="1">
      <c r="A63" s="535"/>
      <c r="B63" s="78" t="s">
        <v>171</v>
      </c>
      <c r="C63" s="314">
        <v>683</v>
      </c>
      <c r="D63" s="1200"/>
      <c r="E63" s="314">
        <v>684</v>
      </c>
      <c r="F63" s="1200"/>
      <c r="G63" s="1189">
        <v>0.85</v>
      </c>
      <c r="H63" s="1201">
        <f>ROUND(G63*D63,2)</f>
        <v>0</v>
      </c>
      <c r="I63" s="1202"/>
      <c r="J63" s="1201">
        <f>ROUND(F63*G63,2)</f>
        <v>0</v>
      </c>
      <c r="K63" s="1202"/>
      <c r="L63" s="1201">
        <f>+J63+H63</f>
        <v>0</v>
      </c>
      <c r="M63" s="1044"/>
      <c r="N63" s="1042"/>
      <c r="O63" s="1166"/>
    </row>
    <row r="64" spans="1:15" s="976" customFormat="1" ht="15.75" hidden="1">
      <c r="A64" s="535"/>
      <c r="B64" s="78" t="s">
        <v>49</v>
      </c>
      <c r="C64" s="314">
        <v>685</v>
      </c>
      <c r="D64" s="1200"/>
      <c r="E64" s="314">
        <v>686</v>
      </c>
      <c r="F64" s="1200"/>
      <c r="G64" s="1189">
        <v>0.5</v>
      </c>
      <c r="H64" s="1201">
        <f>ROUND(G64*D64,2)</f>
        <v>0</v>
      </c>
      <c r="I64" s="1202"/>
      <c r="J64" s="1201">
        <f>ROUND(F64*G64,2)</f>
        <v>0</v>
      </c>
      <c r="K64" s="1202"/>
      <c r="L64" s="1201">
        <f>+J64+H64</f>
        <v>0</v>
      </c>
      <c r="M64" s="1044"/>
      <c r="N64" s="1042"/>
      <c r="O64" s="1166"/>
    </row>
    <row r="65" spans="1:15" s="976" customFormat="1" ht="15.75" hidden="1">
      <c r="A65" s="535"/>
      <c r="B65" s="78" t="s">
        <v>1346</v>
      </c>
      <c r="C65" s="346"/>
      <c r="D65" s="1200"/>
      <c r="E65" s="346"/>
      <c r="F65" s="1200"/>
      <c r="G65" s="1189">
        <v>0.25</v>
      </c>
      <c r="H65" s="1201">
        <f>ROUND(G65*D65,2)</f>
        <v>0</v>
      </c>
      <c r="I65" s="1202"/>
      <c r="J65" s="1201">
        <f>ROUND(F65*G65,2)</f>
        <v>0</v>
      </c>
      <c r="K65" s="1202"/>
      <c r="L65" s="1201">
        <f>+J65+H65</f>
        <v>0</v>
      </c>
      <c r="M65" s="1044"/>
      <c r="N65" s="1042"/>
      <c r="O65" s="1166"/>
    </row>
    <row r="66" spans="1:15" s="976" customFormat="1" ht="15.75" hidden="1">
      <c r="A66" s="535"/>
      <c r="B66" s="78" t="s">
        <v>1273</v>
      </c>
      <c r="C66" s="632"/>
      <c r="D66" s="78"/>
      <c r="E66" s="78"/>
      <c r="F66" s="1192"/>
      <c r="G66" s="314">
        <v>687</v>
      </c>
      <c r="H66" s="1201">
        <f>SUM(H62:H64)</f>
        <v>0</v>
      </c>
      <c r="I66" s="346">
        <v>688</v>
      </c>
      <c r="J66" s="1201">
        <f>SUM(J62:J64)</f>
        <v>0</v>
      </c>
      <c r="K66" s="346">
        <v>689</v>
      </c>
      <c r="L66" s="1201">
        <f>+J66+H66</f>
        <v>0</v>
      </c>
      <c r="M66" s="1044"/>
      <c r="N66" s="1042"/>
      <c r="O66" s="1166"/>
    </row>
    <row r="67" spans="1:15" s="976" customFormat="1" ht="15.75" hidden="1">
      <c r="A67" s="535"/>
      <c r="B67" s="78"/>
      <c r="C67" s="632"/>
      <c r="D67" s="78"/>
      <c r="E67" s="78"/>
      <c r="F67" s="1192" t="s">
        <v>1109</v>
      </c>
      <c r="G67" s="1189"/>
      <c r="H67" s="200"/>
      <c r="I67" s="200"/>
      <c r="J67" s="200"/>
      <c r="K67" s="200"/>
      <c r="L67" s="200"/>
      <c r="M67" s="1044"/>
      <c r="N67" s="1042"/>
      <c r="O67" s="1166"/>
    </row>
    <row r="68" spans="1:15" s="976" customFormat="1" ht="17.25" hidden="1">
      <c r="A68" s="535"/>
      <c r="B68" s="78"/>
      <c r="C68" s="78"/>
      <c r="D68" s="632"/>
      <c r="E68" s="632"/>
      <c r="F68" s="1195" t="s">
        <v>2065</v>
      </c>
      <c r="G68" s="1189"/>
      <c r="H68" s="200"/>
      <c r="I68" s="200"/>
      <c r="J68" s="200"/>
      <c r="K68" s="200"/>
      <c r="L68" s="200"/>
      <c r="M68" s="1044"/>
      <c r="N68" s="1042"/>
      <c r="O68" s="1166"/>
    </row>
    <row r="69" spans="1:15" s="976" customFormat="1" ht="15.75" hidden="1">
      <c r="A69" s="535" t="s">
        <v>292</v>
      </c>
      <c r="B69" s="1203" t="str">
        <f>"PANA Allocation (Line 3.4.1 X $"&amp;F69&amp;") (whole number)"</f>
        <v>PANA Allocation (Line 3.4.1 X $0) (whole number)</v>
      </c>
      <c r="C69" s="27"/>
      <c r="D69" s="1042"/>
      <c r="E69" s="1042"/>
      <c r="F69" s="1196">
        <f>'GSN Benchmarks'!B73</f>
        <v>0</v>
      </c>
      <c r="G69" s="314">
        <v>690</v>
      </c>
      <c r="H69" s="1111">
        <f>ROUND(H66*F69,0)</f>
        <v>0</v>
      </c>
      <c r="I69" s="314">
        <v>691</v>
      </c>
      <c r="J69" s="1111">
        <f>ROUND(J66*F69,0)</f>
        <v>0</v>
      </c>
      <c r="K69" s="314">
        <v>692</v>
      </c>
      <c r="L69" s="1111">
        <f>+J69+H69</f>
        <v>0</v>
      </c>
      <c r="M69" s="1044"/>
      <c r="N69" s="1042"/>
      <c r="O69" s="1145" t="str">
        <f>+A69</f>
        <v>3.4.2</v>
      </c>
    </row>
    <row r="70" spans="1:15" s="976" customFormat="1" ht="15.75" hidden="1">
      <c r="A70" s="535"/>
      <c r="B70" s="27"/>
      <c r="C70" s="78"/>
      <c r="D70" s="78"/>
      <c r="E70" s="78"/>
      <c r="F70" s="78"/>
      <c r="G70" s="962"/>
      <c r="H70" s="1186"/>
      <c r="I70" s="339"/>
      <c r="J70" s="1105"/>
      <c r="K70" s="1044"/>
      <c r="L70" s="1105"/>
      <c r="M70" s="1044"/>
      <c r="N70" s="1042"/>
      <c r="O70" s="1166"/>
    </row>
    <row r="71" spans="1:15" s="976" customFormat="1" ht="15.75" hidden="1">
      <c r="A71" s="535"/>
      <c r="B71" s="27"/>
      <c r="C71" s="78"/>
      <c r="D71" s="78"/>
      <c r="E71" s="78"/>
      <c r="F71" s="78"/>
      <c r="G71" s="962"/>
      <c r="H71" s="1186"/>
      <c r="I71" s="339"/>
      <c r="J71" s="1105"/>
      <c r="K71" s="1044"/>
      <c r="L71" s="1105"/>
      <c r="M71" s="1044"/>
      <c r="N71" s="1042"/>
      <c r="O71" s="1166"/>
    </row>
    <row r="72" spans="1:15" s="976" customFormat="1" ht="15.75" hidden="1">
      <c r="A72" s="1164">
        <v>3.5</v>
      </c>
      <c r="B72" s="1144" t="s">
        <v>1617</v>
      </c>
      <c r="C72" s="78"/>
      <c r="D72" s="78"/>
      <c r="E72" s="78"/>
      <c r="F72" s="78"/>
      <c r="G72" s="1042"/>
      <c r="H72" s="1044"/>
      <c r="I72" s="1044"/>
      <c r="J72" s="1044"/>
      <c r="K72" s="1044"/>
      <c r="L72" s="1105"/>
      <c r="M72" s="1044"/>
      <c r="N72" s="1042"/>
      <c r="O72" s="1145">
        <f>+A72</f>
        <v>3.5</v>
      </c>
    </row>
    <row r="73" spans="1:15" s="976" customFormat="1" ht="15.75" hidden="1">
      <c r="A73" s="1178"/>
      <c r="B73" s="1144"/>
      <c r="C73" s="78"/>
      <c r="D73" s="78"/>
      <c r="E73" s="78"/>
      <c r="F73" s="78"/>
      <c r="G73" s="1042"/>
      <c r="H73" s="1204" t="s">
        <v>353</v>
      </c>
      <c r="I73" s="1044"/>
      <c r="J73" s="1044"/>
      <c r="K73" s="1044"/>
      <c r="L73" s="1105"/>
      <c r="M73" s="1044"/>
      <c r="N73" s="1042"/>
      <c r="O73" s="1205"/>
    </row>
    <row r="74" spans="1:15" s="976" customFormat="1" ht="15.75" hidden="1">
      <c r="A74" s="78"/>
      <c r="B74" s="1144"/>
      <c r="C74" s="78"/>
      <c r="D74" s="78"/>
      <c r="E74" s="78"/>
      <c r="F74" s="78"/>
      <c r="G74" s="1042"/>
      <c r="H74" s="1100" t="s">
        <v>2065</v>
      </c>
      <c r="I74" s="1044"/>
      <c r="J74" s="1044"/>
      <c r="K74" s="1044"/>
      <c r="L74" s="1105"/>
      <c r="M74" s="1044"/>
      <c r="N74" s="1042"/>
      <c r="O74" s="401"/>
    </row>
    <row r="75" spans="1:15" s="976" customFormat="1" ht="17.25" hidden="1">
      <c r="A75" s="78"/>
      <c r="B75" s="1144"/>
      <c r="C75" s="78"/>
      <c r="D75" s="78"/>
      <c r="E75" s="78"/>
      <c r="F75" s="78"/>
      <c r="G75" s="1042"/>
      <c r="H75" s="1206"/>
      <c r="I75" s="1044"/>
      <c r="J75" s="1044"/>
      <c r="K75" s="1044"/>
      <c r="L75" s="1105"/>
      <c r="M75" s="1044"/>
      <c r="N75" s="1042"/>
      <c r="O75" s="401"/>
    </row>
    <row r="76" spans="1:15" s="976" customFormat="1" ht="15.75" hidden="1">
      <c r="A76" s="27" t="s">
        <v>293</v>
      </c>
      <c r="B76" s="1207" t="s">
        <v>159</v>
      </c>
      <c r="C76" s="78"/>
      <c r="D76" s="78"/>
      <c r="E76" s="78"/>
      <c r="F76" s="78"/>
      <c r="G76" s="1042"/>
      <c r="H76" s="1108">
        <f>'GSN Benchmarks'!B64</f>
        <v>47645.21</v>
      </c>
      <c r="I76" s="346"/>
      <c r="J76" s="1111">
        <f>IF(G34=0,0,H76)</f>
        <v>0</v>
      </c>
      <c r="K76" s="1044"/>
      <c r="L76" s="1105"/>
      <c r="M76" s="1044"/>
      <c r="N76" s="1042"/>
      <c r="O76" s="1145" t="str">
        <f>+A76</f>
        <v>3.5.1</v>
      </c>
    </row>
    <row r="77" spans="1:15" s="976" customFormat="1" ht="15.75" hidden="1">
      <c r="A77" s="78"/>
      <c r="B77" s="1144"/>
      <c r="C77" s="78"/>
      <c r="D77" s="78"/>
      <c r="E77" s="78"/>
      <c r="F77" s="78"/>
      <c r="G77" s="1042"/>
      <c r="H77" s="1044"/>
      <c r="I77" s="1044"/>
      <c r="J77" s="1044"/>
      <c r="K77" s="1044"/>
      <c r="L77" s="1105"/>
      <c r="M77" s="1044"/>
      <c r="N77" s="1042"/>
      <c r="O77" s="401"/>
    </row>
    <row r="78" spans="1:15" s="976" customFormat="1" ht="15.75" hidden="1" customHeight="1">
      <c r="A78" s="27" t="s">
        <v>924</v>
      </c>
      <c r="B78" s="1207" t="s">
        <v>886</v>
      </c>
      <c r="C78" s="78"/>
      <c r="D78" s="78"/>
      <c r="E78" s="78"/>
      <c r="F78" s="78"/>
      <c r="G78" s="1042"/>
      <c r="H78" s="2090" t="s">
        <v>451</v>
      </c>
      <c r="I78" s="1044"/>
      <c r="J78" s="1044"/>
      <c r="K78" s="1044"/>
      <c r="L78" s="1105"/>
      <c r="M78" s="1044"/>
      <c r="N78" s="1042"/>
      <c r="O78" s="1145" t="str">
        <f>+A78</f>
        <v>3.5.2</v>
      </c>
    </row>
    <row r="79" spans="1:15" s="976" customFormat="1" ht="15.75" hidden="1">
      <c r="A79" s="78"/>
      <c r="B79" s="1209"/>
      <c r="C79" s="78"/>
      <c r="D79" s="78"/>
      <c r="E79" s="78"/>
      <c r="F79" s="78"/>
      <c r="G79" s="1042"/>
      <c r="H79" s="1134" t="s">
        <v>2743</v>
      </c>
      <c r="I79" s="1044"/>
      <c r="J79" s="1044"/>
      <c r="K79" s="1044"/>
      <c r="L79" s="1105"/>
      <c r="M79" s="1044"/>
      <c r="N79" s="1042"/>
      <c r="O79" s="401"/>
    </row>
    <row r="80" spans="1:15" s="976" customFormat="1" ht="15.75" hidden="1">
      <c r="A80" s="78"/>
      <c r="B80" s="1209"/>
      <c r="C80" s="78"/>
      <c r="D80" s="78"/>
      <c r="E80" s="78"/>
      <c r="F80" s="78"/>
      <c r="G80" s="1042"/>
      <c r="H80" s="78"/>
      <c r="I80" s="1044"/>
      <c r="J80" s="1044"/>
      <c r="K80" s="1044"/>
      <c r="L80" s="1105"/>
      <c r="M80" s="1044"/>
      <c r="N80" s="1042"/>
      <c r="O80" s="401"/>
    </row>
    <row r="81" spans="1:15" s="976" customFormat="1" ht="15.75" hidden="1">
      <c r="A81" s="535" t="s">
        <v>1238</v>
      </c>
      <c r="B81" s="632" t="s">
        <v>884</v>
      </c>
      <c r="C81" s="78"/>
      <c r="D81" s="78"/>
      <c r="E81" s="78"/>
      <c r="F81" s="78"/>
      <c r="G81" s="1176">
        <f>IF(J3=15245,0,'Sch 13 Enrolment'!T78)</f>
        <v>0</v>
      </c>
      <c r="H81" s="1107">
        <f>'GSN Benchmarks'!B62</f>
        <v>907.71</v>
      </c>
      <c r="I81" s="338">
        <v>30002</v>
      </c>
      <c r="J81" s="1210">
        <f>ROUND(G81*H81,0)</f>
        <v>0</v>
      </c>
      <c r="K81" s="1044"/>
      <c r="L81" s="1105"/>
      <c r="M81" s="1044"/>
      <c r="N81" s="1042"/>
      <c r="O81" s="1145" t="str">
        <f>+A81</f>
        <v>3.5.2.1</v>
      </c>
    </row>
    <row r="82" spans="1:15" s="976" customFormat="1" ht="15.75" hidden="1">
      <c r="A82" s="535"/>
      <c r="B82" s="632"/>
      <c r="C82" s="78"/>
      <c r="D82" s="78"/>
      <c r="E82" s="78"/>
      <c r="F82" s="78"/>
      <c r="G82" s="1211"/>
      <c r="H82" s="1107"/>
      <c r="I82" s="1107"/>
      <c r="J82" s="1099"/>
      <c r="K82" s="1044"/>
      <c r="L82" s="1105"/>
      <c r="M82" s="1044"/>
      <c r="N82" s="1042"/>
      <c r="O82" s="1145"/>
    </row>
    <row r="83" spans="1:15" s="976" customFormat="1" ht="15.75" hidden="1">
      <c r="A83" s="535"/>
      <c r="B83" s="632"/>
      <c r="C83" s="78"/>
      <c r="D83" s="78"/>
      <c r="E83" s="78"/>
      <c r="F83" s="78"/>
      <c r="G83" s="1211"/>
      <c r="H83" s="1107"/>
      <c r="I83" s="1107"/>
      <c r="J83" s="1099"/>
      <c r="K83" s="1044"/>
      <c r="L83" s="1105"/>
      <c r="M83" s="1044"/>
      <c r="N83" s="1042"/>
      <c r="O83" s="1145"/>
    </row>
    <row r="84" spans="1:15" s="976" customFormat="1" ht="15.75" hidden="1">
      <c r="A84" s="535" t="s">
        <v>1239</v>
      </c>
      <c r="B84" s="632" t="s">
        <v>885</v>
      </c>
      <c r="C84" s="78"/>
      <c r="D84" s="78"/>
      <c r="E84" s="78"/>
      <c r="F84" s="78"/>
      <c r="G84" s="1176">
        <f>IF(J3=15245,0,'Sch 13 Enrolment'!T83)</f>
        <v>0</v>
      </c>
      <c r="H84" s="1107">
        <f>'GSN Benchmarks'!B63</f>
        <v>397.12</v>
      </c>
      <c r="I84" s="1044"/>
      <c r="J84" s="1210">
        <f>ROUND(G84*H84,0)</f>
        <v>0</v>
      </c>
      <c r="K84" s="1044"/>
      <c r="L84" s="1105"/>
      <c r="M84" s="1044"/>
      <c r="N84" s="1042"/>
      <c r="O84" s="1166"/>
    </row>
    <row r="85" spans="1:15" s="976" customFormat="1" ht="15.75" hidden="1">
      <c r="A85" s="535"/>
      <c r="B85" s="1144"/>
      <c r="C85" s="78"/>
      <c r="D85" s="78"/>
      <c r="E85" s="78"/>
      <c r="F85" s="78"/>
      <c r="G85" s="962"/>
      <c r="H85" s="1186"/>
      <c r="I85" s="1044"/>
      <c r="J85" s="78"/>
      <c r="K85" s="1044"/>
      <c r="L85" s="1105"/>
      <c r="M85" s="1044"/>
      <c r="N85" s="1042"/>
      <c r="O85" s="1166"/>
    </row>
    <row r="86" spans="1:15" s="976" customFormat="1" ht="15.75" hidden="1">
      <c r="A86" s="535" t="s">
        <v>1240</v>
      </c>
      <c r="B86" s="27" t="s">
        <v>2462</v>
      </c>
      <c r="C86" s="78"/>
      <c r="D86" s="78"/>
      <c r="E86" s="78"/>
      <c r="F86" s="78"/>
      <c r="G86" s="962"/>
      <c r="H86" s="1186"/>
      <c r="I86" s="346">
        <v>680</v>
      </c>
      <c r="J86" s="1111">
        <f>+J76+J81+J84</f>
        <v>0</v>
      </c>
      <c r="K86" s="1044"/>
      <c r="L86" s="1105"/>
      <c r="M86" s="1044"/>
      <c r="N86" s="1042"/>
      <c r="O86" s="1145" t="str">
        <f>+A86</f>
        <v>3.5.3</v>
      </c>
    </row>
    <row r="87" spans="1:15" s="976" customFormat="1" ht="15.75">
      <c r="A87" s="535"/>
      <c r="B87" s="27"/>
      <c r="C87" s="78"/>
      <c r="D87" s="78"/>
      <c r="E87" s="78"/>
      <c r="F87" s="78"/>
      <c r="G87" s="962"/>
      <c r="H87" s="1186"/>
      <c r="I87" s="339"/>
      <c r="J87" s="1105"/>
      <c r="K87" s="1044"/>
      <c r="L87" s="1105"/>
      <c r="M87" s="1044"/>
      <c r="N87" s="1042"/>
      <c r="O87" s="1166"/>
    </row>
    <row r="88" spans="1:15" s="976" customFormat="1" ht="15.75">
      <c r="A88" s="535"/>
      <c r="B88" s="27"/>
      <c r="C88" s="78"/>
      <c r="D88" s="78"/>
      <c r="E88" s="78"/>
      <c r="F88" s="78"/>
      <c r="G88" s="962"/>
      <c r="H88" s="1186"/>
      <c r="I88" s="339"/>
      <c r="J88" s="1105"/>
      <c r="K88" s="1044"/>
      <c r="L88" s="1105"/>
      <c r="M88" s="1044"/>
      <c r="N88" s="1042"/>
      <c r="O88" s="1166"/>
    </row>
    <row r="89" spans="1:15" s="976" customFormat="1" ht="15.75">
      <c r="A89" s="535"/>
      <c r="B89" s="27"/>
      <c r="C89" s="78"/>
      <c r="D89" s="78"/>
      <c r="E89" s="78"/>
      <c r="F89" s="78"/>
      <c r="G89" s="962"/>
      <c r="H89" s="1186"/>
      <c r="I89" s="339"/>
      <c r="J89" s="1105"/>
      <c r="K89" s="1044"/>
      <c r="L89" s="1105"/>
      <c r="M89" s="1044"/>
      <c r="N89" s="1042"/>
      <c r="O89" s="1166"/>
    </row>
    <row r="90" spans="1:15" s="976" customFormat="1" ht="15.75">
      <c r="A90" s="1056" t="s">
        <v>995</v>
      </c>
      <c r="B90" s="27" t="s">
        <v>354</v>
      </c>
      <c r="C90" s="27"/>
      <c r="D90" s="78"/>
      <c r="E90" s="78"/>
      <c r="F90" s="78"/>
      <c r="G90" s="1042"/>
      <c r="H90" s="1044"/>
      <c r="I90" s="1044"/>
      <c r="J90" s="1105"/>
      <c r="K90" s="1105"/>
      <c r="L90" s="1212">
        <f>+J26+J38+L54+L52</f>
        <v>0</v>
      </c>
      <c r="M90" s="1105"/>
      <c r="N90" s="78"/>
      <c r="O90" s="1145" t="str">
        <f>+A90</f>
        <v>3.4</v>
      </c>
    </row>
    <row r="91" spans="1:15" s="976" customFormat="1" ht="15.75">
      <c r="A91" s="1056"/>
      <c r="B91" s="78" t="s">
        <v>2241</v>
      </c>
      <c r="C91" s="27"/>
      <c r="D91" s="78"/>
      <c r="E91" s="78"/>
      <c r="F91" s="78"/>
      <c r="G91" s="1042"/>
      <c r="H91" s="1044"/>
      <c r="I91" s="1044"/>
      <c r="J91" s="1105"/>
      <c r="K91" s="1105"/>
      <c r="L91" s="1105"/>
      <c r="M91" s="1105"/>
      <c r="N91" s="78"/>
      <c r="O91" s="1197"/>
    </row>
    <row r="92" spans="1:15" s="976" customFormat="1" ht="15.75">
      <c r="A92" s="1056"/>
      <c r="B92" s="27"/>
      <c r="C92" s="27"/>
      <c r="D92" s="78"/>
      <c r="E92" s="78"/>
      <c r="F92" s="78"/>
      <c r="G92" s="1042"/>
      <c r="H92" s="1044"/>
      <c r="I92" s="1044"/>
      <c r="J92" s="1105"/>
      <c r="K92" s="1105"/>
      <c r="L92" s="1105"/>
      <c r="M92" s="1105"/>
      <c r="N92" s="78"/>
      <c r="O92" s="1197"/>
    </row>
    <row r="93" spans="1:15" hidden="1"/>
  </sheetData>
  <sheetProtection password="C7B7" sheet="1" objects="1" scenarios="1"/>
  <protectedRanges>
    <protectedRange sqref="F45:F48" name="Range5"/>
    <protectedRange sqref="D45:D48" name="Range4"/>
    <protectedRange sqref="G34" name="Range3"/>
    <protectedRange sqref="G19:G22" name="Range2"/>
    <protectedRange sqref="G11:G13" name="Range1"/>
  </protectedRanges>
  <phoneticPr fontId="13"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1"/>
  <sheetViews>
    <sheetView zoomScaleNormal="100" workbookViewId="0">
      <selection activeCell="B8" sqref="B8"/>
    </sheetView>
  </sheetViews>
  <sheetFormatPr defaultColWidth="0" defaultRowHeight="15" customHeight="1" zeroHeight="1"/>
  <cols>
    <col min="1" max="1" width="8.7109375" customWidth="1"/>
    <col min="2" max="2" width="92" customWidth="1"/>
    <col min="3" max="3" width="8" customWidth="1"/>
    <col min="4" max="4" width="12.7109375" customWidth="1"/>
    <col min="5" max="5" width="14.42578125" hidden="1" customWidth="1"/>
    <col min="6" max="7" width="12.7109375" customWidth="1"/>
    <col min="8" max="8" width="13.7109375" customWidth="1"/>
    <col min="9" max="9" width="8.7109375" customWidth="1"/>
    <col min="10" max="10" width="7.140625" customWidth="1"/>
  </cols>
  <sheetData>
    <row r="1" spans="1:10" ht="6.75" customHeight="1" thickBot="1">
      <c r="A1" s="2138" t="s">
        <v>2821</v>
      </c>
      <c r="B1" s="3"/>
      <c r="C1" s="3"/>
      <c r="D1" s="3"/>
      <c r="E1" s="3"/>
      <c r="F1" s="3"/>
      <c r="G1" s="3"/>
      <c r="H1" s="3"/>
      <c r="I1" s="13"/>
      <c r="J1" s="3"/>
    </row>
    <row r="2" spans="1:10" ht="13.5" thickBot="1">
      <c r="A2" s="1" t="s">
        <v>622</v>
      </c>
      <c r="B2" s="3"/>
      <c r="C2" s="663" t="s">
        <v>163</v>
      </c>
      <c r="D2" s="663"/>
      <c r="E2" s="3"/>
      <c r="F2" s="18" t="str">
        <f>+'1 Summary'!G2</f>
        <v/>
      </c>
      <c r="G2" s="25"/>
      <c r="H2" s="125"/>
      <c r="I2" s="13"/>
      <c r="J2" s="3"/>
    </row>
    <row r="3" spans="1:10" ht="13.5" thickBot="1">
      <c r="A3" s="3"/>
      <c r="B3" s="3"/>
      <c r="C3" s="663" t="s">
        <v>162</v>
      </c>
      <c r="D3" s="663"/>
      <c r="E3" s="3"/>
      <c r="F3" s="147">
        <f>+'1 Summary'!G3</f>
        <v>0</v>
      </c>
      <c r="G3" s="3"/>
      <c r="H3" s="126"/>
      <c r="I3" s="13"/>
      <c r="J3" s="3"/>
    </row>
    <row r="4" spans="1:10" ht="12.75">
      <c r="A4" s="3"/>
      <c r="B4" s="3"/>
      <c r="C4" s="663"/>
      <c r="D4" s="663"/>
      <c r="E4" s="3"/>
      <c r="F4" s="188"/>
      <c r="G4" s="3"/>
      <c r="H4" s="126"/>
      <c r="I4" s="13"/>
      <c r="J4" s="3"/>
    </row>
    <row r="5" spans="1:10" ht="18">
      <c r="A5" s="6" t="s">
        <v>2310</v>
      </c>
      <c r="B5" s="3"/>
      <c r="C5" s="3"/>
      <c r="D5" s="3"/>
      <c r="E5" s="126"/>
      <c r="F5" s="128"/>
      <c r="G5" s="3"/>
      <c r="H5" s="3"/>
      <c r="I5" s="13"/>
      <c r="J5" s="3"/>
    </row>
    <row r="6" spans="1:10" ht="12.75">
      <c r="A6" s="15"/>
      <c r="B6" s="67"/>
      <c r="C6" s="67"/>
      <c r="D6" s="67"/>
      <c r="E6" s="67"/>
      <c r="F6" s="67"/>
      <c r="G6" s="67"/>
      <c r="H6" s="178"/>
      <c r="I6" s="28"/>
      <c r="J6" s="3"/>
    </row>
    <row r="7" spans="1:10" ht="12.75">
      <c r="A7" s="15"/>
      <c r="B7" s="67"/>
      <c r="C7" s="67"/>
      <c r="D7" s="67"/>
      <c r="E7" s="67"/>
      <c r="F7" s="157" t="s">
        <v>789</v>
      </c>
      <c r="G7" s="67"/>
      <c r="H7" s="178"/>
      <c r="I7" s="28"/>
      <c r="J7" s="3"/>
    </row>
    <row r="8" spans="1:10" ht="12.75">
      <c r="A8" s="15"/>
      <c r="B8" s="67"/>
      <c r="C8" s="67"/>
      <c r="D8" s="67"/>
      <c r="E8" s="67"/>
      <c r="F8" s="67"/>
      <c r="G8" s="67"/>
      <c r="H8" s="178"/>
      <c r="I8" s="28"/>
      <c r="J8" s="3"/>
    </row>
    <row r="9" spans="1:10">
      <c r="A9" s="129">
        <v>4.0999999999999996</v>
      </c>
      <c r="B9" s="224" t="s">
        <v>2304</v>
      </c>
      <c r="C9" s="67"/>
      <c r="D9" s="67"/>
      <c r="E9" s="67"/>
      <c r="F9" s="67"/>
      <c r="G9" s="143"/>
      <c r="H9" s="667">
        <f>IF(F3=15148,0,'1.1 Pupil Foundation'!D12+'1.1 Pupil Foundation'!D14+'1.1 Pupil Foundation'!D18)</f>
        <v>0</v>
      </c>
      <c r="I9" s="664">
        <f>+A9</f>
        <v>4.0999999999999996</v>
      </c>
      <c r="J9" s="3"/>
    </row>
    <row r="10" spans="1:10" ht="12.75">
      <c r="A10" s="15"/>
      <c r="B10" s="67"/>
      <c r="C10" s="67"/>
      <c r="D10" s="67"/>
      <c r="E10" s="67"/>
      <c r="F10" s="67"/>
      <c r="G10" s="67"/>
      <c r="H10" s="178"/>
      <c r="I10" s="28"/>
      <c r="J10" s="3"/>
    </row>
    <row r="11" spans="1:10">
      <c r="A11" s="129">
        <v>4.2</v>
      </c>
      <c r="B11" s="224" t="s">
        <v>2312</v>
      </c>
      <c r="C11" s="67"/>
      <c r="D11" s="67"/>
      <c r="E11" s="67"/>
      <c r="F11" s="67"/>
      <c r="G11" s="143"/>
      <c r="H11" s="673">
        <f>ROUND(IF(H9=0,0,MAX('GSN Benchmarks'!B338,MIN('GSN Benchmarks'!B342,'GSN Benchmarks'!B340+('GSN Benchmarks'!B361*'4 Outlying Schools'!H9))-('1.1 Pupil Foundation'!D12*'GSN Benchmarks'!B382+'1.1 Pupil Foundation'!D14*'GSN Benchmarks'!B383+'1.1 Pupil Foundation'!D18*'GSN Benchmarks'!B384))),0)</f>
        <v>0</v>
      </c>
      <c r="I11" s="664">
        <f>+A11</f>
        <v>4.2</v>
      </c>
      <c r="J11" s="3"/>
    </row>
    <row r="12" spans="1:10" ht="12.75">
      <c r="A12" s="66" t="s">
        <v>789</v>
      </c>
      <c r="B12" s="30" t="s">
        <v>789</v>
      </c>
      <c r="C12" s="67"/>
      <c r="D12" s="67"/>
      <c r="E12" s="67"/>
      <c r="F12" s="67"/>
      <c r="G12" s="67"/>
      <c r="H12" s="67"/>
      <c r="I12" s="67"/>
      <c r="J12" s="3"/>
    </row>
    <row r="13" spans="1:10">
      <c r="A13" s="129">
        <v>4.3</v>
      </c>
      <c r="B13" s="224" t="s">
        <v>2313</v>
      </c>
      <c r="C13" s="67"/>
      <c r="D13" s="686" t="s">
        <v>789</v>
      </c>
      <c r="E13" s="67"/>
      <c r="F13" s="67"/>
      <c r="G13" s="143"/>
      <c r="H13" s="674">
        <f>ROUND(MAX(0,IF('1.1 Pupil Foundation'!D12&lt;'GSN Benchmarks'!B356,0,IF(AND('1.1 Pupil Foundation'!D12&gt;='GSN Benchmarks'!B356,'1.1 Pupil Foundation'!D12&lt;'GSN Benchmarks'!B357),'GSN Benchmarks'!B359-('1.1 Pupil Foundation'!D12*'GSN Benchmarks'!B354),'GSN Benchmarks'!B360-('1.1 Pupil Foundation'!D12*'GSN Benchmarks'!B354)))),0)</f>
        <v>0</v>
      </c>
      <c r="I13" s="664">
        <f>+A13</f>
        <v>4.3</v>
      </c>
      <c r="J13" s="3"/>
    </row>
    <row r="14" spans="1:10" ht="12.75">
      <c r="A14" s="66"/>
      <c r="B14" s="30"/>
      <c r="C14" s="67"/>
      <c r="D14" s="686" t="s">
        <v>789</v>
      </c>
      <c r="E14" s="211"/>
      <c r="F14" s="211"/>
      <c r="G14" s="67"/>
      <c r="H14" s="685" t="s">
        <v>789</v>
      </c>
      <c r="I14" s="28"/>
      <c r="J14" s="3"/>
    </row>
    <row r="15" spans="1:10">
      <c r="A15" s="129">
        <v>4.4000000000000004</v>
      </c>
      <c r="B15" s="224" t="s">
        <v>2302</v>
      </c>
      <c r="C15" s="67"/>
      <c r="D15" s="225"/>
      <c r="E15" s="225"/>
      <c r="F15" s="225"/>
      <c r="G15" s="143"/>
      <c r="H15" s="216">
        <f>+H11+H13</f>
        <v>0</v>
      </c>
      <c r="I15" s="664">
        <f>+A15</f>
        <v>4.4000000000000004</v>
      </c>
      <c r="J15" s="3"/>
    </row>
    <row r="16" spans="1:10" ht="12.75">
      <c r="A16" s="15"/>
      <c r="B16" s="665" t="s">
        <v>2306</v>
      </c>
      <c r="C16" s="67"/>
      <c r="D16" s="225"/>
      <c r="E16" s="225"/>
      <c r="F16" s="225"/>
      <c r="G16" s="67"/>
      <c r="H16" s="178"/>
      <c r="I16" s="28"/>
      <c r="J16" s="3"/>
    </row>
    <row r="17" spans="1:10" ht="12.75">
      <c r="A17" s="15"/>
      <c r="B17" s="665"/>
      <c r="C17" s="67"/>
      <c r="D17" s="225"/>
      <c r="E17" s="225"/>
      <c r="F17" s="225"/>
      <c r="G17" s="67"/>
      <c r="H17" s="178"/>
      <c r="I17" s="28"/>
      <c r="J17" s="3"/>
    </row>
    <row r="18" spans="1:10">
      <c r="A18" s="129">
        <v>4.5</v>
      </c>
      <c r="B18" s="224" t="s">
        <v>2305</v>
      </c>
      <c r="C18" s="67"/>
      <c r="D18" s="225"/>
      <c r="E18" s="225"/>
      <c r="F18" s="225"/>
      <c r="G18" s="143"/>
      <c r="H18" s="667">
        <f>IF(F3=15148,'1.1 Pupil Foundation'!D25,0)</f>
        <v>0</v>
      </c>
      <c r="I18" s="664">
        <f>+A18</f>
        <v>4.5</v>
      </c>
      <c r="J18" s="3"/>
    </row>
    <row r="19" spans="1:10" ht="12.75">
      <c r="A19" s="15"/>
      <c r="B19" s="665"/>
      <c r="C19" s="67"/>
      <c r="D19" s="225"/>
      <c r="E19" s="225"/>
      <c r="F19" s="225"/>
      <c r="G19" s="67"/>
      <c r="H19" s="178"/>
      <c r="I19" s="28"/>
      <c r="J19" s="3"/>
    </row>
    <row r="20" spans="1:10">
      <c r="A20" s="129">
        <v>4.5999999999999996</v>
      </c>
      <c r="B20" s="224" t="s">
        <v>2314</v>
      </c>
      <c r="C20" s="67"/>
      <c r="D20" s="67"/>
      <c r="E20" s="67"/>
      <c r="F20" s="67"/>
      <c r="G20" s="143"/>
      <c r="H20" s="673">
        <f>ROUND(IF(H18=0,0,MAX(MIN('GSN Benchmarks'!B345+('4 Outlying Schools'!H18*'GSN Benchmarks'!B366),'GSN Benchmarks'!B347)-('4 Outlying Schools'!H18*'GSN Benchmarks'!B385),'GSN Benchmarks'!B339)),0)</f>
        <v>0</v>
      </c>
      <c r="I20" s="664">
        <f>+A20</f>
        <v>4.5999999999999996</v>
      </c>
      <c r="J20" s="3"/>
    </row>
    <row r="21" spans="1:10">
      <c r="A21" s="129"/>
      <c r="B21" s="224"/>
      <c r="C21" s="67"/>
      <c r="D21" s="67"/>
      <c r="E21" s="67"/>
      <c r="F21" s="67"/>
      <c r="G21" s="67"/>
      <c r="H21" s="178"/>
      <c r="I21" s="664"/>
      <c r="J21" s="3"/>
    </row>
    <row r="22" spans="1:10">
      <c r="A22" s="129">
        <v>4.7</v>
      </c>
      <c r="B22" s="41" t="s">
        <v>2303</v>
      </c>
      <c r="C22" s="67"/>
      <c r="D22" s="225"/>
      <c r="E22" s="225"/>
      <c r="F22" s="225"/>
      <c r="G22" s="143"/>
      <c r="H22" s="216">
        <f>+H15+H20</f>
        <v>0</v>
      </c>
      <c r="I22" s="664">
        <f>+A22</f>
        <v>4.7</v>
      </c>
      <c r="J22" s="3"/>
    </row>
    <row r="23" spans="1:10" ht="12.75">
      <c r="A23" s="129"/>
      <c r="B23" s="218" t="s">
        <v>2307</v>
      </c>
      <c r="C23" s="67"/>
      <c r="D23" s="225"/>
      <c r="E23" s="225"/>
      <c r="F23" s="225"/>
      <c r="G23" s="67"/>
      <c r="H23" s="666"/>
      <c r="I23" s="28"/>
      <c r="J23" s="3"/>
    </row>
    <row r="24" spans="1:10" ht="12.75">
      <c r="A24" s="129"/>
      <c r="B24" s="218"/>
      <c r="C24" s="67"/>
      <c r="D24" s="225"/>
      <c r="E24" s="225"/>
      <c r="F24" s="225"/>
      <c r="G24" s="67"/>
      <c r="H24" s="666"/>
      <c r="I24" s="28"/>
      <c r="J24" s="3"/>
    </row>
    <row r="25" spans="1:10">
      <c r="A25" s="129">
        <v>4.8</v>
      </c>
      <c r="B25" s="41" t="s">
        <v>2689</v>
      </c>
      <c r="C25" s="67"/>
      <c r="D25" s="225"/>
      <c r="E25" s="225"/>
      <c r="F25" s="225"/>
      <c r="G25" s="143"/>
      <c r="H25" s="216">
        <f>IF(F3=0,0,VLOOKUP(F3,Tables!$A$5:$AX$8,50,FALSE))</f>
        <v>0</v>
      </c>
      <c r="I25" s="664">
        <f>+A25</f>
        <v>4.8</v>
      </c>
      <c r="J25" s="3"/>
    </row>
    <row r="26" spans="1:10" ht="14.25">
      <c r="A26" s="129"/>
      <c r="B26" s="42" t="s">
        <v>3100</v>
      </c>
      <c r="C26" s="67"/>
      <c r="D26" s="225"/>
      <c r="E26" s="225"/>
      <c r="F26" s="225"/>
      <c r="G26" s="67"/>
      <c r="H26" s="666"/>
      <c r="I26" s="28"/>
      <c r="J26" s="3"/>
    </row>
    <row r="27" spans="1:10" ht="12.75">
      <c r="A27" s="129"/>
      <c r="B27" s="218"/>
      <c r="C27" s="67"/>
      <c r="D27" s="225"/>
      <c r="E27" s="225"/>
      <c r="F27" s="225"/>
      <c r="G27" s="67"/>
      <c r="H27" s="666"/>
      <c r="I27" s="28"/>
      <c r="J27" s="3"/>
    </row>
    <row r="28" spans="1:10">
      <c r="A28" s="129">
        <v>4.9000000000000004</v>
      </c>
      <c r="B28" s="41" t="s">
        <v>2324</v>
      </c>
      <c r="C28" s="67"/>
      <c r="D28" s="225"/>
      <c r="E28" s="225"/>
      <c r="F28" s="225"/>
      <c r="G28" s="143"/>
      <c r="H28" s="216">
        <f>MAX(H22,H25)</f>
        <v>0</v>
      </c>
      <c r="I28" s="664">
        <f>+A28</f>
        <v>4.9000000000000004</v>
      </c>
      <c r="J28" s="3"/>
    </row>
    <row r="29" spans="1:10" ht="14.25">
      <c r="A29" s="129"/>
      <c r="B29" s="42" t="s">
        <v>2690</v>
      </c>
      <c r="C29" s="67"/>
      <c r="D29" s="225"/>
      <c r="E29" s="225"/>
      <c r="F29" s="225"/>
      <c r="G29" s="67"/>
      <c r="H29" s="666"/>
      <c r="I29" s="28"/>
      <c r="J29" s="3"/>
    </row>
    <row r="30" spans="1:10" ht="12.75">
      <c r="A30" s="129"/>
      <c r="B30" s="218"/>
      <c r="C30" s="67"/>
      <c r="D30" s="225"/>
      <c r="E30" s="225"/>
      <c r="F30" s="225"/>
      <c r="G30" s="67"/>
      <c r="H30" s="666"/>
      <c r="I30" s="28"/>
      <c r="J30" s="3"/>
    </row>
    <row r="31" spans="1:10" ht="12.75">
      <c r="A31" s="129"/>
      <c r="B31" s="218"/>
      <c r="C31" s="67"/>
      <c r="D31" s="225"/>
      <c r="E31" s="225"/>
      <c r="F31" s="225"/>
      <c r="G31" s="67"/>
      <c r="H31" s="666"/>
      <c r="I31" s="28"/>
      <c r="J31" s="3"/>
    </row>
    <row r="32" spans="1:10" ht="33.75" customHeight="1">
      <c r="A32" s="671" t="s">
        <v>141</v>
      </c>
      <c r="B32" s="670" t="s">
        <v>2691</v>
      </c>
      <c r="C32" s="67"/>
      <c r="D32" s="225"/>
      <c r="E32" s="225"/>
      <c r="F32" s="225"/>
      <c r="G32" s="67"/>
      <c r="H32" s="666"/>
      <c r="I32" s="28"/>
      <c r="J32" s="3"/>
    </row>
    <row r="33" spans="1:10" ht="12.75">
      <c r="A33" s="129"/>
      <c r="B33" s="159" t="s">
        <v>789</v>
      </c>
      <c r="C33" s="67"/>
      <c r="D33" s="225"/>
      <c r="E33" s="225"/>
      <c r="F33" s="225"/>
      <c r="G33" s="67"/>
      <c r="H33" s="666"/>
      <c r="I33" s="28"/>
      <c r="J33" s="3"/>
    </row>
    <row r="34" spans="1:10" ht="12.75">
      <c r="A34" s="129"/>
      <c r="B34" s="159"/>
      <c r="C34" s="67"/>
      <c r="D34" s="225"/>
      <c r="E34" s="225"/>
      <c r="F34" s="225"/>
      <c r="G34" s="67"/>
      <c r="H34" s="666"/>
      <c r="I34" s="28"/>
      <c r="J34" s="3"/>
    </row>
    <row r="35" spans="1:10" ht="12.75">
      <c r="A35" s="129"/>
      <c r="B35" s="159"/>
      <c r="C35" s="67"/>
      <c r="D35" s="225"/>
      <c r="E35" s="225"/>
      <c r="F35" s="225"/>
      <c r="G35" s="67"/>
      <c r="H35" s="666"/>
      <c r="I35" s="28"/>
      <c r="J35" s="3"/>
    </row>
    <row r="36" spans="1:10" ht="12.75">
      <c r="A36" s="129"/>
      <c r="B36" s="159"/>
      <c r="C36" s="67"/>
      <c r="D36" s="225"/>
      <c r="E36" s="225"/>
      <c r="F36" s="225"/>
      <c r="G36" s="67"/>
      <c r="H36" s="666"/>
      <c r="I36" s="28"/>
      <c r="J36" s="3"/>
    </row>
    <row r="37" spans="1:10" ht="12.75">
      <c r="A37" s="129"/>
      <c r="B37" s="159"/>
      <c r="C37" s="67"/>
      <c r="D37" s="225"/>
      <c r="E37" s="225"/>
      <c r="F37" s="225"/>
      <c r="G37" s="67"/>
      <c r="H37" s="666"/>
      <c r="I37" s="28"/>
      <c r="J37" s="3"/>
    </row>
    <row r="38" spans="1:10" ht="12.75">
      <c r="A38" s="129" t="s">
        <v>789</v>
      </c>
      <c r="B38" s="159" t="s">
        <v>789</v>
      </c>
      <c r="C38" s="67"/>
      <c r="D38" s="225"/>
      <c r="E38" s="225"/>
      <c r="F38" s="225"/>
      <c r="G38" s="67"/>
      <c r="H38" s="666"/>
      <c r="I38" s="28"/>
      <c r="J38" s="3"/>
    </row>
    <row r="39" spans="1:10" ht="12.75">
      <c r="A39" s="129"/>
      <c r="B39" s="159" t="s">
        <v>789</v>
      </c>
      <c r="C39" s="67"/>
      <c r="D39" s="225"/>
      <c r="E39" s="225"/>
      <c r="F39" s="225"/>
      <c r="G39" s="67"/>
      <c r="H39" s="666"/>
      <c r="I39" s="28"/>
      <c r="J39" s="3"/>
    </row>
    <row r="40" spans="1:10" ht="12.75">
      <c r="A40" s="129" t="s">
        <v>789</v>
      </c>
      <c r="B40" s="159" t="s">
        <v>789</v>
      </c>
      <c r="C40" s="67"/>
      <c r="D40" s="225"/>
      <c r="E40" s="225"/>
      <c r="F40" s="225"/>
      <c r="G40" s="67"/>
      <c r="H40" s="666"/>
      <c r="I40" s="28"/>
      <c r="J40" s="3"/>
    </row>
    <row r="41" spans="1:10" ht="12.75">
      <c r="A41" s="15"/>
      <c r="B41" s="159" t="s">
        <v>789</v>
      </c>
      <c r="C41" s="67"/>
      <c r="D41" s="67"/>
      <c r="E41" s="67"/>
      <c r="F41" s="67"/>
      <c r="G41" s="67"/>
      <c r="H41" s="178"/>
      <c r="I41" s="28"/>
      <c r="J41" s="3"/>
    </row>
    <row r="42" spans="1:10" ht="12.75">
      <c r="A42" s="1"/>
      <c r="B42" s="226"/>
      <c r="C42" s="30"/>
      <c r="D42" s="3"/>
      <c r="E42" s="126"/>
      <c r="F42" s="127"/>
      <c r="G42" s="3"/>
      <c r="H42" s="31"/>
      <c r="I42" s="13"/>
      <c r="J42" s="3"/>
    </row>
    <row r="43" spans="1:10" ht="12.75" hidden="1"/>
    <row r="44" spans="1:10" ht="12.75" hidden="1"/>
    <row r="45" spans="1:10" ht="12.75" hidden="1"/>
    <row r="46" spans="1:10" ht="12.75" hidden="1"/>
    <row r="47" spans="1:10" ht="12.75" hidden="1"/>
    <row r="48" spans="1:10" ht="12.75" hidden="1"/>
    <row r="49" ht="12.75" hidden="1"/>
    <row r="50" ht="12.75" hidden="1"/>
    <row r="51" ht="12.75" hidden="1"/>
    <row r="52" ht="12.75" hidden="1"/>
    <row r="53" ht="12.75" hidden="1"/>
    <row r="54" ht="12.75" hidden="1"/>
    <row r="55" ht="12.75" hidden="1"/>
    <row r="56" ht="12.75" hidden="1"/>
    <row r="57" ht="12.75" hidden="1"/>
    <row r="58" ht="12.75" hidden="1"/>
    <row r="59" ht="12.75" hidden="1"/>
    <row r="60" ht="12.75" hidden="1"/>
    <row r="61" ht="12.75" hidden="1"/>
    <row r="62" ht="12.75" hidden="1"/>
    <row r="63" ht="12.75" hidden="1"/>
    <row r="64" ht="12.75" hidden="1"/>
    <row r="65" ht="12.75" hidden="1"/>
    <row r="66" ht="12.75" hidden="1"/>
    <row r="67" ht="12.75" hidden="1"/>
    <row r="68" ht="12.75" hidden="1"/>
    <row r="69" ht="12.75" hidden="1"/>
    <row r="70" ht="12.75" hidden="1"/>
    <row r="71" ht="12.75" hidden="1"/>
    <row r="72" ht="12.75" hidden="1"/>
    <row r="73" ht="12.75" hidden="1"/>
    <row r="74" ht="12.75" hidden="1"/>
    <row r="75" ht="12.75" hidden="1"/>
    <row r="76" ht="12.75" hidden="1"/>
    <row r="77" ht="12.75" hidden="1"/>
    <row r="78" ht="12.75" hidden="1"/>
    <row r="79" ht="12.75" hidden="1"/>
    <row r="80" ht="12.75" hidden="1"/>
    <row r="81" ht="12.75" hidden="1"/>
    <row r="82" ht="12.75" hidden="1"/>
    <row r="83" ht="12.75" hidden="1"/>
    <row r="84" ht="12.75" hidden="1"/>
    <row r="85" ht="12.75" hidden="1"/>
    <row r="86" ht="12.75" hidden="1"/>
    <row r="87" ht="12.75" hidden="1"/>
    <row r="88" ht="12.75" hidden="1"/>
    <row r="89" ht="12.75" hidden="1"/>
    <row r="90" ht="12.75" hidden="1"/>
    <row r="91" ht="12.75" hidden="1"/>
    <row r="92" ht="12.75" hidden="1"/>
    <row r="93" ht="12.75" hidden="1"/>
    <row r="94" ht="12.75" hidden="1" customHeight="1"/>
    <row r="95" ht="12.75" hidden="1" customHeight="1"/>
    <row r="96" ht="12.75" hidden="1" customHeight="1"/>
    <row r="97" ht="12.75" hidden="1" customHeight="1"/>
    <row r="98" ht="12.75" hidden="1" customHeight="1"/>
    <row r="99" ht="12.75" hidden="1" customHeight="1"/>
    <row r="100" ht="12.75" hidden="1"/>
    <row r="101" ht="12.75" hidden="1"/>
    <row r="102" ht="12.75" hidden="1"/>
    <row r="103" ht="12.75" hidden="1"/>
    <row r="104" ht="12.75" hidden="1"/>
    <row r="105" ht="12.75" hidden="1"/>
    <row r="106" ht="12.75" hidden="1"/>
    <row r="107" ht="12.75" hidden="1"/>
    <row r="108" ht="12.75" hidden="1"/>
    <row r="109" ht="12.75" hidden="1"/>
    <row r="110" ht="12.75" hidden="1"/>
    <row r="111" ht="12.75" hidden="1"/>
    <row r="112" ht="12.75" hidden="1"/>
    <row r="113" ht="12.75" hidden="1"/>
    <row r="114" ht="12.75" hidden="1"/>
    <row r="115" ht="12.75" hidden="1"/>
    <row r="116" ht="12.75" hidden="1"/>
    <row r="117" ht="12.75" hidden="1"/>
    <row r="118" ht="12.75" hidden="1"/>
    <row r="119" ht="12.75" hidden="1"/>
    <row r="120" ht="12.75" hidden="1"/>
    <row r="121" ht="12.75" hidden="1"/>
    <row r="122" ht="12.75" hidden="1"/>
    <row r="123" ht="12.75" hidden="1"/>
    <row r="124" ht="12.75" hidden="1"/>
    <row r="125" ht="12.75" hidden="1"/>
    <row r="126" ht="12.75" hidden="1"/>
    <row r="127" ht="12.75" hidden="1"/>
    <row r="128" ht="12.75" hidden="1"/>
    <row r="129" ht="12.75" hidden="1"/>
    <row r="130" ht="12.75" hidden="1"/>
    <row r="131" ht="12.75" hidden="1"/>
    <row r="132" ht="12.75" hidden="1"/>
    <row r="133" ht="12.75" hidden="1"/>
    <row r="134" ht="12.75" hidden="1"/>
    <row r="135" ht="12.75" hidden="1"/>
    <row r="136" ht="12.75" hidden="1"/>
    <row r="137" ht="12.75" hidden="1"/>
    <row r="138" ht="12.75" hidden="1"/>
    <row r="139" ht="12.75" hidden="1"/>
    <row r="140" ht="12.75" hidden="1"/>
    <row r="141" ht="15" hidden="1" customHeight="1"/>
  </sheetData>
  <sheetProtection password="C7B7" sheet="1" objects="1" scenarios="1"/>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69"/>
  <sheetViews>
    <sheetView topLeftCell="A7" zoomScaleNormal="100" workbookViewId="0">
      <selection activeCell="J30" sqref="J30"/>
    </sheetView>
  </sheetViews>
  <sheetFormatPr defaultColWidth="0" defaultRowHeight="15" zeroHeight="1"/>
  <cols>
    <col min="1" max="1" width="6.28515625" style="976" customWidth="1"/>
    <col min="2" max="2" width="3" style="976" customWidth="1"/>
    <col min="3" max="3" width="53.140625" style="976" customWidth="1"/>
    <col min="4" max="4" width="18.140625" style="976" customWidth="1"/>
    <col min="5" max="6" width="12.7109375" style="976" customWidth="1"/>
    <col min="7" max="7" width="15.5703125" style="976" customWidth="1"/>
    <col min="8" max="8" width="5.7109375" style="976" customWidth="1"/>
    <col min="9" max="9" width="8.5703125" style="976" bestFit="1" customWidth="1"/>
    <col min="10" max="10" width="16.7109375" style="976" customWidth="1"/>
    <col min="11" max="11" width="7.5703125" style="976" customWidth="1"/>
    <col min="12" max="16384" width="0" style="976" hidden="1"/>
  </cols>
  <sheetData>
    <row r="1" spans="1:11" ht="5.25" customHeight="1" thickBot="1">
      <c r="A1" s="2159" t="s">
        <v>2813</v>
      </c>
      <c r="B1" s="78"/>
      <c r="C1" s="78"/>
      <c r="D1" s="78"/>
      <c r="E1" s="78"/>
      <c r="F1" s="78"/>
      <c r="G1" s="78"/>
      <c r="H1" s="78"/>
      <c r="I1" s="78"/>
      <c r="J1" s="78"/>
      <c r="K1" s="78"/>
    </row>
    <row r="2" spans="1:11" ht="18.75" thickBot="1">
      <c r="A2" s="6" t="s">
        <v>621</v>
      </c>
      <c r="B2" s="632"/>
      <c r="C2" s="78"/>
      <c r="D2" s="941" t="s">
        <v>163</v>
      </c>
      <c r="E2" s="78"/>
      <c r="F2" s="78"/>
      <c r="G2" s="936" t="str">
        <f>+'1 Summary'!G2</f>
        <v/>
      </c>
      <c r="H2" s="943"/>
      <c r="I2" s="943"/>
      <c r="J2" s="944"/>
      <c r="K2" s="1244"/>
    </row>
    <row r="3" spans="1:11" ht="18.75" thickBot="1">
      <c r="A3" s="6" t="s">
        <v>1316</v>
      </c>
      <c r="B3" s="632"/>
      <c r="C3" s="78"/>
      <c r="D3" s="941" t="s">
        <v>162</v>
      </c>
      <c r="E3" s="78"/>
      <c r="F3" s="78"/>
      <c r="G3" s="851">
        <f>+'1 Summary'!G3</f>
        <v>0</v>
      </c>
      <c r="H3" s="886"/>
      <c r="I3" s="947"/>
      <c r="J3" s="814"/>
      <c r="K3" s="1245"/>
    </row>
    <row r="4" spans="1:11">
      <c r="A4" s="78"/>
      <c r="B4" s="632"/>
      <c r="C4" s="78"/>
      <c r="D4" s="78"/>
      <c r="E4" s="78"/>
      <c r="F4" s="78"/>
      <c r="G4" s="78"/>
      <c r="H4" s="78"/>
      <c r="I4" s="78"/>
      <c r="J4" s="78"/>
      <c r="K4" s="1245"/>
    </row>
    <row r="5" spans="1:11">
      <c r="A5" s="78"/>
      <c r="B5" s="632"/>
      <c r="C5" s="78"/>
      <c r="D5" s="78"/>
      <c r="E5" s="78"/>
      <c r="F5" s="78"/>
      <c r="G5" s="78"/>
      <c r="H5" s="78"/>
      <c r="I5" s="1246"/>
      <c r="J5" s="78"/>
      <c r="K5" s="1245"/>
    </row>
    <row r="6" spans="1:11" ht="15.75">
      <c r="A6" s="1247">
        <v>5.0999999999999996</v>
      </c>
      <c r="B6" s="86" t="s">
        <v>2138</v>
      </c>
      <c r="C6" s="78"/>
      <c r="D6" s="78"/>
      <c r="E6" s="78"/>
      <c r="F6" s="78"/>
      <c r="G6" s="78"/>
      <c r="H6" s="78"/>
      <c r="I6" s="1246"/>
      <c r="J6" s="78"/>
      <c r="K6" s="1021">
        <v>5.0999999999999996</v>
      </c>
    </row>
    <row r="7" spans="1:11">
      <c r="A7" s="78"/>
      <c r="B7" s="632"/>
      <c r="C7" s="78"/>
      <c r="D7" s="78"/>
      <c r="E7" s="78"/>
      <c r="F7" s="78"/>
      <c r="G7" s="78"/>
      <c r="H7" s="78"/>
      <c r="I7" s="1246"/>
      <c r="J7" s="78"/>
      <c r="K7" s="401"/>
    </row>
    <row r="8" spans="1:11" ht="15.75">
      <c r="A8" s="27" t="s">
        <v>1877</v>
      </c>
      <c r="B8" s="632" t="s">
        <v>1878</v>
      </c>
      <c r="C8" s="78"/>
      <c r="D8" s="78"/>
      <c r="E8" s="1077"/>
      <c r="F8" s="1077"/>
      <c r="G8" s="78"/>
      <c r="H8" s="78"/>
      <c r="I8" s="1246"/>
      <c r="J8" s="1102">
        <f>+'Sch 13 Enrolment'!V70</f>
        <v>0</v>
      </c>
      <c r="K8" s="1021" t="s">
        <v>1877</v>
      </c>
    </row>
    <row r="9" spans="1:11" ht="15.75">
      <c r="A9" s="27"/>
      <c r="B9" s="632"/>
      <c r="C9" s="78"/>
      <c r="D9" s="78"/>
      <c r="E9" s="1077"/>
      <c r="F9" s="1077"/>
      <c r="G9" s="78"/>
      <c r="H9" s="78"/>
      <c r="I9" s="1246"/>
      <c r="J9" s="1248"/>
      <c r="K9" s="1021"/>
    </row>
    <row r="10" spans="1:11" ht="15.75">
      <c r="A10" s="27"/>
      <c r="B10" s="632"/>
      <c r="C10" s="78"/>
      <c r="D10" s="1077"/>
      <c r="E10" s="1249" t="s">
        <v>1342</v>
      </c>
      <c r="F10" s="78"/>
      <c r="G10" s="1249" t="s">
        <v>1341</v>
      </c>
      <c r="H10" s="78"/>
      <c r="I10" s="1246"/>
      <c r="J10" s="1248"/>
      <c r="K10" s="1021"/>
    </row>
    <row r="11" spans="1:11">
      <c r="A11" s="78"/>
      <c r="B11" s="632"/>
      <c r="C11" s="78"/>
      <c r="D11" s="78"/>
      <c r="E11" s="901"/>
      <c r="F11" s="901"/>
      <c r="G11" s="78"/>
      <c r="H11" s="78"/>
      <c r="I11" s="1246"/>
      <c r="J11" s="78"/>
      <c r="K11" s="401"/>
    </row>
    <row r="12" spans="1:11" ht="15.75">
      <c r="A12" s="27" t="s">
        <v>1879</v>
      </c>
      <c r="B12" s="632" t="str">
        <f>"&lt; 4000 ADE  {[$ "&amp;E12&amp;"-(Line 5.1.1 X $"&amp;G12&amp;")] X Line 5.1.1}"</f>
        <v>&lt; 4000 ADE  {[$ 323.28-(Line 5.1.1 X $0.01756)] X Line 5.1.1}</v>
      </c>
      <c r="C12" s="632"/>
      <c r="D12" s="78"/>
      <c r="E12" s="1250">
        <f>IF(G3=15148,'GSN Benchmarks'!B116,'GSN Benchmarks'!B116)</f>
        <v>323.27999999999997</v>
      </c>
      <c r="F12" s="78"/>
      <c r="G12" s="1251">
        <f>IF(G3=15148,'GSN Benchmarks'!B119,'GSN Benchmarks'!B119)</f>
        <v>1.7559999999999999E-2</v>
      </c>
      <c r="H12" s="959"/>
      <c r="I12" s="1246"/>
      <c r="J12" s="909">
        <f>ROUND(IF(J8=0,0,IF(J8&lt;4000,ROUND((E12-(J8*G12))*J8,0),0)),0)</f>
        <v>0</v>
      </c>
      <c r="K12" s="1021" t="s">
        <v>1879</v>
      </c>
    </row>
    <row r="13" spans="1:11" ht="15.75">
      <c r="A13" s="27"/>
      <c r="B13" s="632"/>
      <c r="C13" s="27"/>
      <c r="D13" s="78"/>
      <c r="E13" s="78"/>
      <c r="F13" s="78"/>
      <c r="G13" s="78"/>
      <c r="H13" s="78"/>
      <c r="I13" s="1246"/>
      <c r="J13" s="1252" t="s">
        <v>789</v>
      </c>
      <c r="K13" s="1021"/>
    </row>
    <row r="14" spans="1:11" ht="15.75">
      <c r="A14" s="1247">
        <v>5.2</v>
      </c>
      <c r="B14" s="86" t="s">
        <v>1433</v>
      </c>
      <c r="C14" s="78"/>
      <c r="D14" s="78"/>
      <c r="E14" s="1198"/>
      <c r="F14" s="1198"/>
      <c r="G14" s="949"/>
      <c r="H14" s="949"/>
      <c r="I14" s="1253"/>
      <c r="J14" s="949"/>
      <c r="K14" s="1254">
        <f>+A14</f>
        <v>5.2</v>
      </c>
    </row>
    <row r="15" spans="1:11" ht="15.75">
      <c r="A15" s="104"/>
      <c r="B15" s="632"/>
      <c r="C15" s="78"/>
      <c r="D15" s="78"/>
      <c r="E15" s="78"/>
      <c r="F15" s="78"/>
      <c r="G15" s="78"/>
      <c r="H15" s="78"/>
      <c r="I15" s="1246"/>
      <c r="J15" s="78"/>
      <c r="K15" s="1021"/>
    </row>
    <row r="16" spans="1:11" ht="15.75">
      <c r="A16" s="104" t="s">
        <v>1869</v>
      </c>
      <c r="B16" s="632" t="s">
        <v>2736</v>
      </c>
      <c r="C16" s="78"/>
      <c r="D16" s="78"/>
      <c r="E16" s="78"/>
      <c r="F16" s="78"/>
      <c r="G16" s="78"/>
      <c r="H16" s="78"/>
      <c r="I16" s="314">
        <v>402</v>
      </c>
      <c r="J16" s="1193">
        <f>IF($G$3=0,0,VLOOKUP($G$3,Tables!$A$5:$Z$8,10,FALSE))</f>
        <v>0</v>
      </c>
      <c r="K16" s="1021" t="s">
        <v>1869</v>
      </c>
    </row>
    <row r="17" spans="1:11" ht="15.75">
      <c r="A17" s="104"/>
      <c r="B17" s="632"/>
      <c r="C17" s="78"/>
      <c r="D17" s="78"/>
      <c r="E17" s="632"/>
      <c r="F17" s="632"/>
      <c r="G17" s="78"/>
      <c r="H17" s="78"/>
      <c r="I17" s="1246"/>
      <c r="J17" s="78"/>
      <c r="K17" s="27"/>
    </row>
    <row r="18" spans="1:11" ht="15.75">
      <c r="A18" s="104" t="s">
        <v>1870</v>
      </c>
      <c r="B18" s="632" t="s">
        <v>2117</v>
      </c>
      <c r="C18" s="78"/>
      <c r="D18" s="78"/>
      <c r="E18" s="1255"/>
      <c r="F18" s="1255"/>
      <c r="G18" s="78"/>
      <c r="H18" s="78"/>
      <c r="I18" s="1246"/>
      <c r="J18" s="1256">
        <f>ROUND(IF(J16&lt;151,0,IF(J16&lt;650,((J16-150)*G20),IF(J16&lt;1150,((J16-650)*G21)+E21,E22))),3)</f>
        <v>0</v>
      </c>
      <c r="K18" s="1021" t="s">
        <v>1870</v>
      </c>
    </row>
    <row r="19" spans="1:11" ht="15.75">
      <c r="A19" s="104"/>
      <c r="B19" s="1257" t="s">
        <v>2146</v>
      </c>
      <c r="C19" s="993" t="s">
        <v>2464</v>
      </c>
      <c r="D19" s="1125"/>
      <c r="E19" s="1249" t="s">
        <v>1342</v>
      </c>
      <c r="F19" s="78"/>
      <c r="G19" s="1249" t="s">
        <v>1341</v>
      </c>
      <c r="H19" s="78"/>
      <c r="I19" s="1246"/>
      <c r="J19" s="78"/>
      <c r="K19" s="402"/>
    </row>
    <row r="20" spans="1:11" ht="30.75">
      <c r="A20" s="104"/>
      <c r="B20" s="1257" t="s">
        <v>2146</v>
      </c>
      <c r="C20" s="993" t="str">
        <f>"if line 5.2.1 is greater than 150, but less than 650, enter (Line 5.2.1 - 150) X " &amp;G20</f>
        <v>if line 5.2.1 is greater than 150, but less than 650, enter (Line 5.2.1 - 150) X 1.10288</v>
      </c>
      <c r="D20" s="1125"/>
      <c r="E20" s="78"/>
      <c r="F20" s="78"/>
      <c r="G20" s="1258">
        <f>IF(G3=15148,'GSN Benchmarks'!B127,'GSN Benchmarks'!B127)</f>
        <v>1.1028800000000001</v>
      </c>
      <c r="H20" s="78"/>
      <c r="I20" s="1246"/>
      <c r="J20" s="78"/>
      <c r="K20" s="402"/>
    </row>
    <row r="21" spans="1:11" ht="51" customHeight="1">
      <c r="A21" s="104"/>
      <c r="B21" s="1257" t="s">
        <v>2146</v>
      </c>
      <c r="C21" s="2030" t="str">
        <f>"if line 5.2.1 is greater than or equal to 650 but less than 1,150, enter [(Line 5.2.1 - 650) X $ "&amp;G21&amp;"+$ "&amp;E21</f>
        <v>if line 5.2.1 is greater than or equal to 650 but less than 1,150, enter [(Line 5.2.1 - 650) X $ 0.14844+$ 551.44</v>
      </c>
      <c r="D21" s="1125"/>
      <c r="E21" s="972">
        <f>IF(G3=15148,'GSN Benchmarks'!B125,'GSN Benchmarks'!B125)</f>
        <v>551.44000000000005</v>
      </c>
      <c r="F21" s="78"/>
      <c r="G21" s="1258">
        <f>IF(G3=15148,'GSN Benchmarks'!B128,'GSN Benchmarks'!B128)</f>
        <v>0.14843999999999999</v>
      </c>
      <c r="H21" s="78"/>
      <c r="I21" s="1246"/>
      <c r="J21" s="78"/>
      <c r="K21" s="402"/>
    </row>
    <row r="22" spans="1:11" ht="15.75">
      <c r="A22" s="104"/>
      <c r="B22" s="1257" t="s">
        <v>2146</v>
      </c>
      <c r="C22" s="400" t="str">
        <f>"If Line 5.2.1 is greater than or equal to 1,150, enter $ "&amp;E22</f>
        <v>If Line 5.2.1 is greater than or equal to 1,150, enter $ 625.66</v>
      </c>
      <c r="D22" s="401"/>
      <c r="E22" s="972">
        <f>IF(G3=15148,'GSN Benchmarks'!B126,'GSN Benchmarks'!B126)</f>
        <v>625.66</v>
      </c>
      <c r="F22" s="970"/>
      <c r="G22" s="632"/>
      <c r="H22" s="632"/>
      <c r="I22" s="1260"/>
      <c r="J22" s="632"/>
      <c r="K22" s="402"/>
    </row>
    <row r="23" spans="1:11" ht="15.75">
      <c r="A23" s="104"/>
      <c r="B23" s="1257"/>
      <c r="C23" s="400"/>
      <c r="D23" s="401"/>
      <c r="E23" s="632"/>
      <c r="F23" s="632"/>
      <c r="G23" s="632"/>
      <c r="H23" s="632"/>
      <c r="I23" s="1260"/>
      <c r="J23" s="632"/>
      <c r="K23" s="402"/>
    </row>
    <row r="24" spans="1:11" ht="15.75">
      <c r="A24" s="104" t="s">
        <v>557</v>
      </c>
      <c r="B24" s="104" t="s">
        <v>1275</v>
      </c>
      <c r="C24" s="104"/>
      <c r="D24" s="401"/>
      <c r="E24" s="632"/>
      <c r="F24" s="632"/>
      <c r="G24" s="632"/>
      <c r="H24" s="632"/>
      <c r="I24" s="314" t="s">
        <v>92</v>
      </c>
      <c r="J24" s="909">
        <f>ROUND(J18*J8,0)</f>
        <v>0</v>
      </c>
      <c r="K24" s="1128" t="str">
        <f>+A24</f>
        <v>5.2.3</v>
      </c>
    </row>
    <row r="25" spans="1:11" ht="15.75">
      <c r="A25" s="104"/>
      <c r="B25" s="680" t="s">
        <v>355</v>
      </c>
      <c r="C25" s="104"/>
      <c r="D25" s="401"/>
      <c r="E25" s="632"/>
      <c r="F25" s="632"/>
      <c r="G25" s="632"/>
      <c r="H25" s="632"/>
      <c r="I25" s="1260"/>
      <c r="J25" s="959"/>
      <c r="K25" s="1128"/>
    </row>
    <row r="26" spans="1:11" ht="15.75">
      <c r="A26" s="104"/>
      <c r="B26" s="680"/>
      <c r="C26" s="104"/>
      <c r="D26" s="401"/>
      <c r="E26" s="632"/>
      <c r="F26" s="632"/>
      <c r="G26" s="632"/>
      <c r="H26" s="632"/>
      <c r="I26" s="1260"/>
      <c r="J26" s="959"/>
      <c r="K26" s="1128"/>
    </row>
    <row r="27" spans="1:11" ht="15.75">
      <c r="A27" s="104" t="s">
        <v>3181</v>
      </c>
      <c r="B27" s="530" t="s">
        <v>3233</v>
      </c>
      <c r="C27" s="104"/>
      <c r="D27" s="401"/>
      <c r="E27" s="632"/>
      <c r="F27" s="632"/>
      <c r="G27" s="632"/>
      <c r="H27" s="632"/>
      <c r="I27" s="1260"/>
      <c r="J27" s="964">
        <f>IF($G$3=0,0,VLOOKUP($G$3,Tables!$A$5:$BN$8,66,FALSE))</f>
        <v>0</v>
      </c>
      <c r="K27" s="1128" t="str">
        <f>+A27</f>
        <v>5.2.4</v>
      </c>
    </row>
    <row r="28" spans="1:11" ht="15.75">
      <c r="A28" s="104"/>
      <c r="B28" s="1257"/>
      <c r="C28" s="104"/>
      <c r="D28" s="401"/>
      <c r="E28" s="632"/>
      <c r="F28" s="632"/>
      <c r="G28" s="632"/>
      <c r="H28" s="632"/>
      <c r="I28" s="1260"/>
      <c r="J28" s="959"/>
      <c r="K28" s="1128"/>
    </row>
    <row r="29" spans="1:11" ht="16.5" thickBot="1">
      <c r="A29" s="530"/>
      <c r="B29" s="78"/>
      <c r="C29" s="78"/>
      <c r="D29" s="78"/>
      <c r="E29" s="78"/>
      <c r="F29" s="78"/>
      <c r="G29" s="78"/>
      <c r="H29" s="78"/>
      <c r="I29" s="1261"/>
      <c r="J29" s="1183" t="s">
        <v>2118</v>
      </c>
      <c r="K29" s="1089"/>
    </row>
    <row r="30" spans="1:11" ht="16.5" thickBot="1">
      <c r="A30" s="1247">
        <v>5.4</v>
      </c>
      <c r="B30" s="86" t="s">
        <v>2465</v>
      </c>
      <c r="C30" s="78"/>
      <c r="D30" s="78"/>
      <c r="E30" s="78"/>
      <c r="F30" s="78"/>
      <c r="G30" s="78"/>
      <c r="H30" s="78"/>
      <c r="I30" s="1262"/>
      <c r="J30" s="975">
        <f>+J12+J24+J27</f>
        <v>0</v>
      </c>
      <c r="K30" s="1089">
        <f>+A30</f>
        <v>5.4</v>
      </c>
    </row>
    <row r="31" spans="1:11" ht="15.75">
      <c r="A31" s="104"/>
      <c r="B31" s="632" t="s">
        <v>3182</v>
      </c>
      <c r="C31" s="78"/>
      <c r="D31" s="78"/>
      <c r="E31" s="78"/>
      <c r="F31" s="78"/>
      <c r="G31" s="78"/>
      <c r="H31" s="78"/>
      <c r="I31" s="78"/>
      <c r="J31" s="78"/>
      <c r="K31" s="78"/>
    </row>
    <row r="32" spans="1:11" ht="15.75">
      <c r="A32" s="104"/>
      <c r="B32" s="632"/>
      <c r="C32" s="78"/>
      <c r="D32" s="78"/>
      <c r="E32" s="78"/>
      <c r="F32" s="78"/>
      <c r="G32" s="78"/>
      <c r="H32" s="78"/>
      <c r="I32" s="78"/>
      <c r="J32" s="78"/>
      <c r="K32" s="78"/>
    </row>
    <row r="33" spans="1:11">
      <c r="A33" s="78"/>
      <c r="B33" s="78"/>
      <c r="C33" s="78"/>
      <c r="D33" s="78"/>
      <c r="E33" s="78"/>
      <c r="F33" s="78"/>
      <c r="G33" s="78"/>
      <c r="H33" s="78"/>
      <c r="I33" s="78"/>
      <c r="J33" s="78"/>
      <c r="K33" s="78"/>
    </row>
    <row r="34" spans="1:11" hidden="1">
      <c r="A34" s="898"/>
      <c r="B34" s="898"/>
      <c r="C34" s="898"/>
      <c r="D34" s="898"/>
      <c r="E34" s="898"/>
      <c r="F34" s="898"/>
      <c r="G34" s="898"/>
      <c r="H34" s="898"/>
      <c r="I34" s="898"/>
      <c r="J34" s="898"/>
      <c r="K34" s="898"/>
    </row>
    <row r="35" spans="1:11" hidden="1">
      <c r="A35" s="898"/>
      <c r="B35" s="898"/>
      <c r="C35" s="898"/>
      <c r="D35" s="898"/>
      <c r="E35" s="898"/>
      <c r="F35" s="898"/>
      <c r="G35" s="898"/>
      <c r="H35" s="898"/>
      <c r="I35" s="898"/>
      <c r="J35" s="898"/>
      <c r="K35" s="898"/>
    </row>
    <row r="36" spans="1:11" hidden="1">
      <c r="A36" s="898"/>
      <c r="B36" s="898"/>
      <c r="C36" s="898"/>
      <c r="D36" s="898"/>
      <c r="E36" s="898"/>
      <c r="F36" s="898"/>
      <c r="G36" s="898"/>
      <c r="H36" s="898"/>
      <c r="I36" s="898"/>
      <c r="J36" s="898"/>
      <c r="K36" s="898"/>
    </row>
    <row r="37" spans="1:11" hidden="1">
      <c r="A37" s="898"/>
      <c r="B37" s="898"/>
      <c r="C37" s="898"/>
      <c r="D37" s="898"/>
      <c r="E37" s="898"/>
      <c r="F37" s="898"/>
      <c r="G37" s="898"/>
      <c r="H37" s="898"/>
      <c r="I37" s="898"/>
      <c r="J37" s="898"/>
      <c r="K37" s="898"/>
    </row>
    <row r="38" spans="1:11" hidden="1">
      <c r="A38" s="898"/>
      <c r="B38" s="898"/>
      <c r="C38" s="898"/>
      <c r="D38" s="898"/>
      <c r="E38" s="898"/>
      <c r="F38" s="898"/>
      <c r="G38" s="898"/>
      <c r="H38" s="898"/>
      <c r="I38" s="898"/>
      <c r="J38" s="898"/>
      <c r="K38" s="898"/>
    </row>
    <row r="39" spans="1:11" hidden="1">
      <c r="A39" s="898"/>
      <c r="B39" s="898"/>
      <c r="C39" s="898"/>
      <c r="D39" s="898"/>
      <c r="E39" s="898"/>
      <c r="F39" s="898"/>
      <c r="G39" s="898"/>
      <c r="H39" s="898"/>
      <c r="I39" s="898"/>
      <c r="J39" s="898"/>
      <c r="K39" s="898"/>
    </row>
    <row r="40" spans="1:11" hidden="1">
      <c r="A40" s="898"/>
      <c r="B40" s="898"/>
      <c r="C40" s="898"/>
      <c r="D40" s="898"/>
      <c r="E40" s="898"/>
      <c r="F40" s="898"/>
      <c r="G40" s="898"/>
      <c r="H40" s="898"/>
      <c r="I40" s="898"/>
      <c r="J40" s="898"/>
      <c r="K40" s="898"/>
    </row>
    <row r="41" spans="1:11" hidden="1">
      <c r="A41" s="898"/>
      <c r="B41" s="898"/>
      <c r="C41" s="898"/>
      <c r="D41" s="898"/>
      <c r="E41" s="898"/>
      <c r="F41" s="898"/>
      <c r="G41" s="898"/>
      <c r="H41" s="898"/>
      <c r="I41" s="898"/>
      <c r="J41" s="898"/>
      <c r="K41" s="898"/>
    </row>
    <row r="42" spans="1:11" hidden="1">
      <c r="A42" s="898"/>
      <c r="B42" s="898"/>
      <c r="C42" s="898"/>
      <c r="D42" s="898"/>
      <c r="E42" s="898"/>
      <c r="F42" s="898"/>
      <c r="G42" s="898"/>
      <c r="H42" s="898"/>
      <c r="I42" s="898"/>
      <c r="J42" s="898"/>
      <c r="K42" s="898"/>
    </row>
    <row r="43" spans="1:11" hidden="1">
      <c r="A43" s="898"/>
      <c r="B43" s="898"/>
      <c r="C43" s="898"/>
      <c r="D43" s="898"/>
      <c r="E43" s="898"/>
      <c r="F43" s="898"/>
      <c r="G43" s="898"/>
      <c r="H43" s="898"/>
      <c r="I43" s="898"/>
      <c r="J43" s="898"/>
      <c r="K43" s="898"/>
    </row>
    <row r="44" spans="1:11" hidden="1">
      <c r="A44" s="898"/>
      <c r="B44" s="898"/>
      <c r="C44" s="898"/>
      <c r="D44" s="898"/>
      <c r="E44" s="898"/>
      <c r="F44" s="898"/>
      <c r="G44" s="898"/>
      <c r="H44" s="898"/>
      <c r="I44" s="898"/>
      <c r="J44" s="898"/>
      <c r="K44" s="898"/>
    </row>
    <row r="45" spans="1:11">
      <c r="A45" s="78"/>
      <c r="B45" s="78"/>
      <c r="C45" s="78"/>
      <c r="D45" s="78"/>
      <c r="E45" s="78"/>
      <c r="F45" s="78"/>
      <c r="G45" s="78"/>
      <c r="H45" s="78"/>
      <c r="I45" s="78"/>
      <c r="J45" s="78"/>
      <c r="K45" s="78"/>
    </row>
    <row r="46" spans="1:11">
      <c r="A46" s="78"/>
      <c r="B46" s="78"/>
      <c r="C46" s="78"/>
      <c r="D46" s="78"/>
      <c r="E46" s="78"/>
      <c r="F46" s="78"/>
      <c r="G46" s="78"/>
      <c r="H46" s="78"/>
      <c r="I46" s="78"/>
      <c r="J46" s="78"/>
      <c r="K46" s="78"/>
    </row>
    <row r="47" spans="1:11">
      <c r="A47" s="78"/>
      <c r="B47" s="78"/>
      <c r="C47" s="78"/>
      <c r="D47" s="78"/>
      <c r="E47" s="78"/>
      <c r="F47" s="78"/>
      <c r="G47" s="78"/>
      <c r="H47" s="78"/>
      <c r="I47" s="78"/>
      <c r="J47" s="78"/>
      <c r="K47" s="78"/>
    </row>
    <row r="48" spans="1:11">
      <c r="A48" s="78"/>
      <c r="B48" s="78"/>
      <c r="C48" s="78"/>
      <c r="D48" s="78"/>
      <c r="E48" s="78"/>
      <c r="F48" s="78"/>
      <c r="G48" s="78"/>
      <c r="H48" s="78"/>
      <c r="I48" s="78"/>
      <c r="J48" s="78"/>
      <c r="K48" s="78"/>
    </row>
    <row r="49" spans="1:11">
      <c r="A49" s="78"/>
      <c r="B49" s="78"/>
      <c r="C49" s="78"/>
      <c r="D49" s="78"/>
      <c r="E49" s="78"/>
      <c r="F49" s="78"/>
      <c r="G49" s="78"/>
      <c r="H49" s="78"/>
      <c r="I49" s="78"/>
      <c r="J49" s="78"/>
      <c r="K49" s="78"/>
    </row>
    <row r="50" spans="1:11">
      <c r="A50" s="78"/>
      <c r="B50" s="78"/>
      <c r="C50" s="78"/>
      <c r="D50" s="78"/>
      <c r="E50" s="78"/>
      <c r="F50" s="78"/>
      <c r="G50" s="78"/>
      <c r="H50" s="78"/>
      <c r="I50" s="78"/>
      <c r="J50" s="78"/>
      <c r="K50" s="78"/>
    </row>
    <row r="51" spans="1:11">
      <c r="A51" s="78"/>
      <c r="B51" s="78"/>
      <c r="C51" s="78"/>
      <c r="D51" s="78"/>
      <c r="E51" s="78"/>
      <c r="F51" s="78"/>
      <c r="G51" s="78"/>
      <c r="H51" s="78"/>
      <c r="I51" s="78"/>
      <c r="J51" s="78"/>
      <c r="K51" s="78"/>
    </row>
    <row r="52" spans="1:11">
      <c r="A52" s="78"/>
      <c r="B52" s="78"/>
      <c r="C52" s="78"/>
      <c r="D52" s="78"/>
      <c r="E52" s="78"/>
      <c r="F52" s="78"/>
      <c r="G52" s="78"/>
      <c r="H52" s="78"/>
      <c r="I52" s="78"/>
      <c r="J52" s="78"/>
      <c r="K52" s="78"/>
    </row>
    <row r="53" spans="1:11">
      <c r="A53" s="78"/>
      <c r="B53" s="78"/>
      <c r="C53" s="78"/>
      <c r="D53" s="78"/>
      <c r="E53" s="78"/>
      <c r="F53" s="78"/>
      <c r="G53" s="78"/>
      <c r="H53" s="78"/>
      <c r="I53" s="78"/>
      <c r="J53" s="78"/>
      <c r="K53" s="78"/>
    </row>
    <row r="54" spans="1:11">
      <c r="A54" s="78"/>
      <c r="B54" s="78"/>
      <c r="C54" s="78"/>
      <c r="D54" s="78"/>
      <c r="E54" s="78"/>
      <c r="F54" s="78"/>
      <c r="G54" s="78"/>
      <c r="H54" s="78"/>
      <c r="I54" s="78"/>
      <c r="J54" s="78"/>
      <c r="K54" s="78"/>
    </row>
    <row r="55" spans="1:11">
      <c r="A55" s="78"/>
      <c r="B55" s="78"/>
      <c r="C55" s="78"/>
      <c r="D55" s="78"/>
      <c r="E55" s="78"/>
      <c r="F55" s="78"/>
      <c r="G55" s="78"/>
      <c r="H55" s="78"/>
      <c r="I55" s="78"/>
      <c r="J55" s="78"/>
      <c r="K55" s="78"/>
    </row>
    <row r="56" spans="1:11">
      <c r="A56" s="78"/>
      <c r="B56" s="78"/>
      <c r="C56" s="78"/>
      <c r="D56" s="78"/>
      <c r="E56" s="78"/>
      <c r="F56" s="78"/>
      <c r="G56" s="78"/>
      <c r="H56" s="78"/>
      <c r="I56" s="78"/>
      <c r="J56" s="78"/>
      <c r="K56" s="78"/>
    </row>
    <row r="57" spans="1:11">
      <c r="A57" s="78"/>
      <c r="B57" s="78"/>
      <c r="C57" s="78"/>
      <c r="D57" s="78"/>
      <c r="E57" s="78"/>
      <c r="F57" s="78"/>
      <c r="G57" s="78"/>
      <c r="H57" s="78"/>
      <c r="I57" s="78"/>
      <c r="J57" s="78"/>
      <c r="K57" s="78"/>
    </row>
    <row r="58" spans="1:11">
      <c r="A58" s="78"/>
      <c r="B58" s="78"/>
      <c r="C58" s="78"/>
      <c r="D58" s="78"/>
      <c r="E58" s="78"/>
      <c r="F58" s="78"/>
      <c r="G58" s="78"/>
      <c r="H58" s="78"/>
      <c r="I58" s="78"/>
      <c r="J58" s="78"/>
      <c r="K58" s="78"/>
    </row>
    <row r="59" spans="1:11">
      <c r="A59" s="78"/>
      <c r="B59" s="78"/>
      <c r="C59" s="78"/>
      <c r="D59" s="78"/>
      <c r="E59" s="78"/>
      <c r="F59" s="78"/>
      <c r="G59" s="78"/>
      <c r="H59" s="78"/>
      <c r="I59" s="78"/>
      <c r="J59" s="78"/>
      <c r="K59" s="78"/>
    </row>
    <row r="60" spans="1:11">
      <c r="A60" s="78"/>
      <c r="B60" s="78"/>
      <c r="C60" s="78"/>
      <c r="D60" s="78"/>
      <c r="E60" s="78"/>
      <c r="F60" s="78"/>
      <c r="G60" s="78"/>
      <c r="H60" s="78"/>
      <c r="I60" s="78"/>
      <c r="J60" s="78"/>
      <c r="K60" s="78"/>
    </row>
    <row r="61" spans="1:11">
      <c r="A61" s="78"/>
      <c r="B61" s="78"/>
      <c r="C61" s="78"/>
      <c r="D61" s="78"/>
      <c r="E61" s="78"/>
      <c r="F61" s="78"/>
      <c r="G61" s="78"/>
      <c r="H61" s="78"/>
      <c r="I61" s="78"/>
      <c r="J61" s="78"/>
      <c r="K61" s="78"/>
    </row>
    <row r="62" spans="1:11">
      <c r="A62" s="78"/>
      <c r="B62" s="78"/>
      <c r="C62" s="78"/>
      <c r="D62" s="78"/>
      <c r="E62" s="78"/>
      <c r="F62" s="78"/>
      <c r="G62" s="78"/>
      <c r="H62" s="78"/>
      <c r="I62" s="78"/>
      <c r="J62" s="78"/>
      <c r="K62" s="78"/>
    </row>
    <row r="63" spans="1:11">
      <c r="A63" s="78"/>
      <c r="B63" s="78"/>
      <c r="C63" s="78"/>
      <c r="D63" s="78"/>
      <c r="E63" s="78"/>
      <c r="F63" s="78"/>
      <c r="G63" s="78"/>
      <c r="H63" s="78"/>
      <c r="I63" s="78"/>
      <c r="J63" s="78"/>
      <c r="K63" s="78"/>
    </row>
    <row r="64" spans="1:11">
      <c r="A64" s="78"/>
      <c r="B64" s="78"/>
      <c r="C64" s="78"/>
      <c r="D64" s="78"/>
      <c r="E64" s="78"/>
      <c r="F64" s="78"/>
      <c r="G64" s="78"/>
      <c r="H64" s="78"/>
      <c r="I64" s="78"/>
      <c r="J64" s="78"/>
      <c r="K64" s="78"/>
    </row>
    <row r="65" spans="1:11">
      <c r="A65" s="78"/>
      <c r="B65" s="78"/>
      <c r="C65" s="78"/>
      <c r="D65" s="78"/>
      <c r="E65" s="78"/>
      <c r="F65" s="78"/>
      <c r="G65" s="78"/>
      <c r="H65" s="78"/>
      <c r="I65" s="78"/>
      <c r="J65" s="78"/>
      <c r="K65" s="78"/>
    </row>
    <row r="66" spans="1:11">
      <c r="A66" s="78"/>
      <c r="B66" s="78"/>
      <c r="C66" s="78"/>
      <c r="D66" s="78"/>
      <c r="E66" s="78"/>
      <c r="F66" s="78"/>
      <c r="G66" s="78"/>
      <c r="H66" s="78"/>
      <c r="I66" s="78"/>
      <c r="J66" s="78"/>
      <c r="K66" s="78"/>
    </row>
    <row r="67" spans="1:11">
      <c r="A67" s="78"/>
      <c r="B67" s="78"/>
      <c r="C67" s="78"/>
      <c r="D67" s="78"/>
      <c r="E67" s="78"/>
      <c r="F67" s="78"/>
      <c r="G67" s="78"/>
      <c r="H67" s="78"/>
      <c r="I67" s="78"/>
      <c r="J67" s="78"/>
      <c r="K67" s="78"/>
    </row>
    <row r="68" spans="1:11">
      <c r="A68" s="78"/>
      <c r="B68" s="78"/>
      <c r="C68" s="78"/>
      <c r="D68" s="78"/>
      <c r="E68" s="78"/>
      <c r="F68" s="78"/>
      <c r="G68" s="78"/>
      <c r="H68" s="78"/>
      <c r="I68" s="78"/>
      <c r="J68" s="78"/>
      <c r="K68" s="78"/>
    </row>
    <row r="69" spans="1:11"/>
  </sheetData>
  <sheetProtection password="C7B7" sheet="1" objects="1" scenarios="1"/>
  <phoneticPr fontId="13"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O71"/>
  <sheetViews>
    <sheetView topLeftCell="A25" zoomScaleNormal="100" workbookViewId="0">
      <selection activeCell="H27" sqref="H27"/>
    </sheetView>
  </sheetViews>
  <sheetFormatPr defaultColWidth="0" defaultRowHeight="15" zeroHeight="1"/>
  <cols>
    <col min="1" max="9" width="9.140625" style="976" customWidth="1"/>
    <col min="10" max="10" width="15" style="976" bestFit="1" customWidth="1"/>
    <col min="11" max="11" width="13.140625" style="976" customWidth="1"/>
    <col min="12" max="13" width="9.140625" style="976" customWidth="1"/>
    <col min="14" max="14" width="16.140625" style="976" bestFit="1" customWidth="1"/>
    <col min="15" max="15" width="9.140625" style="976" customWidth="1"/>
    <col min="16" max="16384" width="0" style="976" hidden="1"/>
  </cols>
  <sheetData>
    <row r="1" spans="1:15" ht="4.5" customHeight="1" thickBot="1">
      <c r="A1" s="2159" t="s">
        <v>2814</v>
      </c>
      <c r="B1" s="78"/>
      <c r="C1" s="78"/>
      <c r="D1" s="78"/>
      <c r="E1" s="78"/>
      <c r="F1" s="78"/>
      <c r="G1" s="78"/>
      <c r="H1" s="78"/>
      <c r="I1" s="78"/>
      <c r="J1" s="78"/>
      <c r="K1" s="78"/>
      <c r="L1" s="78"/>
      <c r="M1" s="78"/>
      <c r="N1" s="78"/>
      <c r="O1" s="78"/>
    </row>
    <row r="2" spans="1:15" ht="18.75" thickBot="1">
      <c r="A2" s="6" t="s">
        <v>621</v>
      </c>
      <c r="B2" s="78"/>
      <c r="C2" s="78"/>
      <c r="D2" s="78"/>
      <c r="E2" s="78"/>
      <c r="F2" s="78"/>
      <c r="G2" s="78"/>
      <c r="H2" s="78"/>
      <c r="I2" s="78"/>
      <c r="J2" s="941" t="s">
        <v>163</v>
      </c>
      <c r="K2" s="78"/>
      <c r="L2" s="936" t="str">
        <f>'1 Summary'!G2</f>
        <v/>
      </c>
      <c r="M2" s="943"/>
      <c r="N2" s="944"/>
      <c r="O2" s="1132"/>
    </row>
    <row r="3" spans="1:15" ht="16.5" thickBot="1">
      <c r="A3" s="27" t="s">
        <v>986</v>
      </c>
      <c r="B3" s="78"/>
      <c r="C3" s="78"/>
      <c r="D3" s="78"/>
      <c r="E3" s="78"/>
      <c r="F3" s="78"/>
      <c r="G3" s="78"/>
      <c r="H3" s="78"/>
      <c r="I3" s="78"/>
      <c r="J3" s="941" t="s">
        <v>162</v>
      </c>
      <c r="K3" s="814"/>
      <c r="L3" s="980">
        <f>'1 Summary'!G3</f>
        <v>0</v>
      </c>
      <c r="M3" s="200"/>
      <c r="N3" s="78"/>
      <c r="O3" s="1166"/>
    </row>
    <row r="4" spans="1:15" ht="15.75">
      <c r="A4" s="27"/>
      <c r="B4" s="78"/>
      <c r="C4" s="27" t="s">
        <v>2258</v>
      </c>
      <c r="D4" s="78"/>
      <c r="E4" s="78"/>
      <c r="F4" s="78"/>
      <c r="G4" s="78"/>
      <c r="H4" s="78"/>
      <c r="I4" s="78"/>
      <c r="J4" s="941"/>
      <c r="K4" s="814"/>
      <c r="L4" s="947"/>
      <c r="M4" s="200"/>
      <c r="N4" s="78"/>
      <c r="O4" s="1166"/>
    </row>
    <row r="5" spans="1:15" ht="15.75">
      <c r="A5" s="27"/>
      <c r="B5" s="78"/>
      <c r="C5" s="27"/>
      <c r="D5" s="78"/>
      <c r="E5" s="78"/>
      <c r="F5" s="78"/>
      <c r="G5" s="78"/>
      <c r="H5" s="78"/>
      <c r="I5" s="78"/>
      <c r="J5" s="941"/>
      <c r="K5" s="814"/>
      <c r="L5" s="947"/>
      <c r="M5" s="200"/>
      <c r="N5" s="78"/>
      <c r="O5" s="1166"/>
    </row>
    <row r="6" spans="1:15" ht="15.75">
      <c r="A6" s="27"/>
      <c r="B6" s="78"/>
      <c r="C6" s="27"/>
      <c r="D6" s="78"/>
      <c r="E6" s="78"/>
      <c r="F6" s="78"/>
      <c r="G6" s="78"/>
      <c r="H6" s="78"/>
      <c r="I6" s="78"/>
      <c r="J6" s="941"/>
      <c r="K6" s="814"/>
      <c r="L6" s="947"/>
      <c r="M6" s="200"/>
      <c r="N6" s="78"/>
      <c r="O6" s="1166"/>
    </row>
    <row r="7" spans="1:15" ht="15.75">
      <c r="A7" s="963"/>
      <c r="B7" s="104" t="s">
        <v>2259</v>
      </c>
      <c r="C7" s="27"/>
      <c r="D7" s="78"/>
      <c r="E7" s="78"/>
      <c r="F7" s="78"/>
      <c r="G7" s="78"/>
      <c r="H7" s="78"/>
      <c r="I7" s="78"/>
      <c r="J7" s="941"/>
      <c r="K7" s="814"/>
      <c r="L7" s="947"/>
      <c r="M7" s="200"/>
      <c r="N7" s="78"/>
      <c r="O7" s="1166"/>
    </row>
    <row r="8" spans="1:15" ht="15.75">
      <c r="A8" s="78"/>
      <c r="B8" s="78"/>
      <c r="C8" s="78"/>
      <c r="D8" s="78"/>
      <c r="E8" s="78"/>
      <c r="F8" s="815"/>
      <c r="G8" s="78"/>
      <c r="H8" s="815"/>
      <c r="I8" s="78"/>
      <c r="J8" s="78"/>
      <c r="K8" s="78"/>
      <c r="L8" s="78"/>
      <c r="M8" s="1246"/>
      <c r="N8" s="78"/>
      <c r="O8" s="1166"/>
    </row>
    <row r="9" spans="1:15" ht="15.75">
      <c r="A9" s="963" t="s">
        <v>987</v>
      </c>
      <c r="B9" s="400" t="s">
        <v>2404</v>
      </c>
      <c r="C9" s="400"/>
      <c r="D9" s="632"/>
      <c r="E9" s="632"/>
      <c r="F9" s="853"/>
      <c r="G9" s="632"/>
      <c r="H9" s="853"/>
      <c r="I9" s="632"/>
      <c r="J9" s="632"/>
      <c r="K9" s="632"/>
      <c r="L9" s="1263"/>
      <c r="M9" s="200"/>
      <c r="N9" s="1265">
        <f>'Sch 13 Enrolment'!P100</f>
        <v>0</v>
      </c>
      <c r="O9" s="1266" t="str">
        <f>A9</f>
        <v>6.1.1</v>
      </c>
    </row>
    <row r="10" spans="1:15" ht="15.75">
      <c r="A10" s="963"/>
      <c r="B10" s="400"/>
      <c r="C10" s="400"/>
      <c r="D10" s="632"/>
      <c r="E10" s="632"/>
      <c r="F10" s="853"/>
      <c r="G10" s="632"/>
      <c r="H10" s="853"/>
      <c r="I10" s="632"/>
      <c r="J10" s="632"/>
      <c r="K10" s="632"/>
      <c r="L10" s="1263"/>
      <c r="M10" s="200"/>
      <c r="N10" s="1267"/>
      <c r="O10" s="1266"/>
    </row>
    <row r="11" spans="1:15" ht="15.75">
      <c r="A11" s="963" t="s">
        <v>988</v>
      </c>
      <c r="B11" s="400" t="s">
        <v>2405</v>
      </c>
      <c r="C11" s="400"/>
      <c r="D11" s="632"/>
      <c r="E11" s="632"/>
      <c r="F11" s="853"/>
      <c r="G11" s="632"/>
      <c r="H11" s="853"/>
      <c r="I11" s="632"/>
      <c r="J11" s="632"/>
      <c r="K11" s="632"/>
      <c r="L11" s="1263"/>
      <c r="M11" s="200"/>
      <c r="N11" s="1265">
        <f>+'Sch 13 Enrolment'!J61+'Sch 13 Enrolment'!J62</f>
        <v>0</v>
      </c>
      <c r="O11" s="1266" t="str">
        <f>A11</f>
        <v>6.1.2</v>
      </c>
    </row>
    <row r="12" spans="1:15" ht="15.75">
      <c r="A12" s="963"/>
      <c r="B12" s="400"/>
      <c r="C12" s="400"/>
      <c r="D12" s="632"/>
      <c r="E12" s="632"/>
      <c r="F12" s="853"/>
      <c r="G12" s="632"/>
      <c r="H12" s="853"/>
      <c r="I12" s="632"/>
      <c r="J12" s="632"/>
      <c r="K12" s="632"/>
      <c r="L12" s="1263"/>
      <c r="M12" s="200"/>
      <c r="N12" s="1267"/>
      <c r="O12" s="1266"/>
    </row>
    <row r="13" spans="1:15" ht="15.75">
      <c r="A13" s="963" t="s">
        <v>989</v>
      </c>
      <c r="B13" s="400" t="s">
        <v>2406</v>
      </c>
      <c r="C13" s="400"/>
      <c r="D13" s="632"/>
      <c r="E13" s="632"/>
      <c r="F13" s="853"/>
      <c r="G13" s="632"/>
      <c r="H13" s="853"/>
      <c r="I13" s="632"/>
      <c r="J13" s="632"/>
      <c r="K13" s="632"/>
      <c r="L13" s="1263"/>
      <c r="M13" s="200"/>
      <c r="N13" s="1265">
        <f>+'Sch 12 ConEd Summer'!E18</f>
        <v>0</v>
      </c>
      <c r="O13" s="1266" t="str">
        <f>A13</f>
        <v>6.1.3</v>
      </c>
    </row>
    <row r="14" spans="1:15" ht="15.75">
      <c r="A14" s="963"/>
      <c r="B14" s="400"/>
      <c r="C14" s="400"/>
      <c r="D14" s="632"/>
      <c r="E14" s="632"/>
      <c r="F14" s="853"/>
      <c r="G14" s="632"/>
      <c r="H14" s="853"/>
      <c r="I14" s="632"/>
      <c r="J14" s="632"/>
      <c r="K14" s="632"/>
      <c r="L14" s="1263"/>
      <c r="M14" s="200"/>
      <c r="N14" s="1267"/>
      <c r="O14" s="1266"/>
    </row>
    <row r="15" spans="1:15" ht="15.75">
      <c r="A15" s="963" t="s">
        <v>276</v>
      </c>
      <c r="B15" s="400" t="s">
        <v>2407</v>
      </c>
      <c r="C15" s="400"/>
      <c r="D15" s="632"/>
      <c r="E15" s="632"/>
      <c r="F15" s="853"/>
      <c r="G15" s="632"/>
      <c r="H15" s="853"/>
      <c r="I15" s="632"/>
      <c r="J15" s="632"/>
      <c r="K15" s="632"/>
      <c r="L15" s="1263"/>
      <c r="M15" s="200"/>
      <c r="N15" s="1265">
        <f>+'Sch 12 ConEd Summer'!E31</f>
        <v>0</v>
      </c>
      <c r="O15" s="1266" t="str">
        <f>A15</f>
        <v>6.1.4</v>
      </c>
    </row>
    <row r="16" spans="1:15" ht="15.75">
      <c r="A16" s="963"/>
      <c r="B16" s="400"/>
      <c r="C16" s="400"/>
      <c r="D16" s="632"/>
      <c r="E16" s="632"/>
      <c r="F16" s="853"/>
      <c r="G16" s="632"/>
      <c r="H16" s="853"/>
      <c r="I16" s="632"/>
      <c r="J16" s="632"/>
      <c r="K16" s="632"/>
      <c r="L16" s="1263"/>
      <c r="M16" s="200"/>
      <c r="N16" s="1267"/>
      <c r="O16" s="1266"/>
    </row>
    <row r="17" spans="1:15" ht="15.75">
      <c r="A17" s="963" t="s">
        <v>2209</v>
      </c>
      <c r="B17" s="400" t="s">
        <v>2257</v>
      </c>
      <c r="C17" s="400"/>
      <c r="D17" s="632"/>
      <c r="E17" s="632"/>
      <c r="F17" s="853"/>
      <c r="G17" s="632"/>
      <c r="H17" s="853"/>
      <c r="I17" s="632"/>
      <c r="J17" s="632"/>
      <c r="K17" s="632"/>
      <c r="L17" s="1263"/>
      <c r="M17" s="200"/>
      <c r="N17" s="1265">
        <f>N9+N11+N13+N15</f>
        <v>0</v>
      </c>
      <c r="O17" s="1266" t="str">
        <f>A17</f>
        <v>6.1.5</v>
      </c>
    </row>
    <row r="18" spans="1:15" ht="15.75">
      <c r="A18" s="963"/>
      <c r="B18" s="400"/>
      <c r="C18" s="400"/>
      <c r="D18" s="632"/>
      <c r="E18" s="632"/>
      <c r="F18" s="853"/>
      <c r="G18" s="632"/>
      <c r="H18" s="853"/>
      <c r="I18" s="632"/>
      <c r="J18" s="632"/>
      <c r="K18" s="632"/>
      <c r="L18" s="1263"/>
      <c r="M18" s="200"/>
      <c r="N18" s="1267"/>
      <c r="O18" s="1266"/>
    </row>
    <row r="19" spans="1:15" ht="15.75">
      <c r="A19" s="963"/>
      <c r="B19" s="400"/>
      <c r="C19" s="400"/>
      <c r="D19" s="632"/>
      <c r="E19" s="632"/>
      <c r="F19" s="853"/>
      <c r="G19" s="632"/>
      <c r="H19" s="853"/>
      <c r="I19" s="632"/>
      <c r="J19" s="632"/>
      <c r="K19" s="632"/>
      <c r="L19" s="1263" t="s">
        <v>1109</v>
      </c>
      <c r="M19" s="200"/>
      <c r="N19" s="1267"/>
      <c r="O19" s="1266"/>
    </row>
    <row r="20" spans="1:15" ht="15.75">
      <c r="A20" s="963"/>
      <c r="B20" s="400"/>
      <c r="C20" s="400"/>
      <c r="D20" s="632"/>
      <c r="E20" s="632"/>
      <c r="F20" s="853"/>
      <c r="G20" s="632"/>
      <c r="H20" s="853"/>
      <c r="I20" s="632"/>
      <c r="J20" s="632"/>
      <c r="K20" s="632"/>
      <c r="L20" s="1263" t="s">
        <v>2065</v>
      </c>
      <c r="M20" s="200"/>
      <c r="N20" s="1267"/>
      <c r="O20" s="1266"/>
    </row>
    <row r="21" spans="1:15" ht="15.75">
      <c r="A21" s="963">
        <v>6.3</v>
      </c>
      <c r="B21" s="1164" t="str">
        <f>"Adult Day School, High Credit and Summer School ((Line 6.1.1 + 6.1.2 +6.1.4) X $"&amp;L21&amp;")"</f>
        <v>Adult Day School, High Credit and Summer School ((Line 6.1.1 + 6.1.2 +6.1.4) X $3418)</v>
      </c>
      <c r="C21" s="400"/>
      <c r="D21" s="632"/>
      <c r="E21" s="632"/>
      <c r="F21" s="853"/>
      <c r="G21" s="632"/>
      <c r="H21" s="853"/>
      <c r="I21" s="632"/>
      <c r="J21" s="632"/>
      <c r="K21" s="632"/>
      <c r="L21" s="970">
        <f>'GSN Benchmarks'!B138</f>
        <v>3418</v>
      </c>
      <c r="M21" s="200"/>
      <c r="N21" s="1140">
        <f>ROUND((N9+N11+N15)*L21,0)</f>
        <v>0</v>
      </c>
      <c r="O21" s="1266">
        <f>A21</f>
        <v>6.3</v>
      </c>
    </row>
    <row r="22" spans="1:15" ht="15.75">
      <c r="A22" s="963"/>
      <c r="B22" s="104" t="str">
        <f>"Continuing Education (Line 6.1.3 X $"&amp;L22&amp;")"</f>
        <v>Continuing Education (Line 6.1.3 X $3418)</v>
      </c>
      <c r="C22" s="400"/>
      <c r="D22" s="632"/>
      <c r="E22" s="632"/>
      <c r="F22" s="853"/>
      <c r="G22" s="632"/>
      <c r="H22" s="853"/>
      <c r="I22" s="632"/>
      <c r="J22" s="632"/>
      <c r="K22" s="632"/>
      <c r="L22" s="970">
        <f>'GSN Benchmarks'!B139</f>
        <v>3418</v>
      </c>
      <c r="M22" s="200"/>
      <c r="N22" s="1140">
        <f>ROUND(L22*N13,0)</f>
        <v>0</v>
      </c>
      <c r="O22" s="1266"/>
    </row>
    <row r="23" spans="1:15" ht="15.75">
      <c r="A23" s="963"/>
      <c r="B23" s="400"/>
      <c r="C23" s="400"/>
      <c r="D23" s="632"/>
      <c r="E23" s="632"/>
      <c r="F23" s="853"/>
      <c r="G23" s="632"/>
      <c r="H23" s="853"/>
      <c r="I23" s="632"/>
      <c r="J23" s="632"/>
      <c r="K23" s="632"/>
      <c r="L23" s="1263"/>
      <c r="M23" s="200"/>
      <c r="N23" s="1267"/>
      <c r="O23" s="1266"/>
    </row>
    <row r="24" spans="1:15" ht="15.75">
      <c r="A24" s="963"/>
      <c r="B24" s="104" t="s">
        <v>274</v>
      </c>
      <c r="C24" s="400"/>
      <c r="D24" s="632"/>
      <c r="E24" s="632"/>
      <c r="F24" s="853"/>
      <c r="G24" s="632"/>
      <c r="H24" s="853"/>
      <c r="I24" s="632"/>
      <c r="J24" s="632"/>
      <c r="K24" s="632"/>
      <c r="L24" s="1263"/>
      <c r="M24" s="200"/>
      <c r="N24" s="1267"/>
      <c r="O24" s="1266"/>
    </row>
    <row r="25" spans="1:15" ht="15.75">
      <c r="A25" s="963"/>
      <c r="B25" s="400"/>
      <c r="C25" s="400"/>
      <c r="D25" s="632"/>
      <c r="E25" s="632"/>
      <c r="F25" s="853"/>
      <c r="G25" s="632"/>
      <c r="H25" s="853"/>
      <c r="I25" s="632"/>
      <c r="J25" s="632"/>
      <c r="K25" s="632"/>
      <c r="L25" s="1263"/>
      <c r="M25" s="200"/>
      <c r="N25" s="1267"/>
      <c r="O25" s="1266"/>
    </row>
    <row r="26" spans="1:15" ht="15.75">
      <c r="A26" s="963" t="s">
        <v>1791</v>
      </c>
      <c r="B26" s="400" t="s">
        <v>471</v>
      </c>
      <c r="C26" s="400"/>
      <c r="D26" s="632"/>
      <c r="E26" s="632"/>
      <c r="F26" s="853"/>
      <c r="G26" s="632"/>
      <c r="H26" s="853"/>
      <c r="I26" s="632"/>
      <c r="J26" s="632"/>
      <c r="K26" s="632"/>
      <c r="L26" s="1263"/>
      <c r="M26" s="200"/>
      <c r="N26" s="1268"/>
      <c r="O26" s="1266" t="str">
        <f>A26</f>
        <v>6.2.1</v>
      </c>
    </row>
    <row r="27" spans="1:15" ht="15.75">
      <c r="A27" s="963" t="s">
        <v>2181</v>
      </c>
      <c r="B27" s="400" t="s">
        <v>472</v>
      </c>
      <c r="C27" s="400"/>
      <c r="D27" s="632"/>
      <c r="E27" s="632"/>
      <c r="F27" s="853"/>
      <c r="G27" s="632"/>
      <c r="H27" s="853"/>
      <c r="I27" s="632"/>
      <c r="J27" s="632"/>
      <c r="K27" s="632"/>
      <c r="L27" s="1263"/>
      <c r="M27" s="200"/>
      <c r="N27" s="1268"/>
      <c r="O27" s="1266" t="str">
        <f>A27</f>
        <v>6.2.2</v>
      </c>
    </row>
    <row r="28" spans="1:15" ht="15.75">
      <c r="A28" s="963" t="s">
        <v>2182</v>
      </c>
      <c r="B28" s="400" t="s">
        <v>2184</v>
      </c>
      <c r="C28" s="400"/>
      <c r="D28" s="632"/>
      <c r="E28" s="632"/>
      <c r="F28" s="853"/>
      <c r="G28" s="632"/>
      <c r="H28" s="853"/>
      <c r="I28" s="632"/>
      <c r="J28" s="632"/>
      <c r="K28" s="632"/>
      <c r="L28" s="1263"/>
      <c r="M28" s="200"/>
      <c r="N28" s="1269">
        <f>ROUND(IF(N27=0,0,N26/N27),0)</f>
        <v>0</v>
      </c>
      <c r="O28" s="1266" t="str">
        <f>A28</f>
        <v>6.2.3</v>
      </c>
    </row>
    <row r="29" spans="1:15" ht="15.75">
      <c r="A29" s="963"/>
      <c r="B29" s="400"/>
      <c r="C29" s="400"/>
      <c r="D29" s="632"/>
      <c r="E29" s="632"/>
      <c r="F29" s="853"/>
      <c r="G29" s="632"/>
      <c r="H29" s="853"/>
      <c r="I29" s="632"/>
      <c r="J29" s="632"/>
      <c r="K29" s="632"/>
      <c r="L29" s="1263"/>
      <c r="M29" s="200"/>
      <c r="N29" s="1267"/>
      <c r="O29" s="1266"/>
    </row>
    <row r="30" spans="1:15" ht="15.75">
      <c r="A30" s="963" t="s">
        <v>2183</v>
      </c>
      <c r="B30" s="400" t="s">
        <v>275</v>
      </c>
      <c r="C30" s="400"/>
      <c r="D30" s="632"/>
      <c r="E30" s="632"/>
      <c r="F30" s="853"/>
      <c r="G30" s="632"/>
      <c r="H30" s="853"/>
      <c r="I30" s="632"/>
      <c r="J30" s="632"/>
      <c r="K30" s="632"/>
      <c r="L30" s="1263"/>
      <c r="M30" s="200"/>
      <c r="N30" s="1268"/>
      <c r="O30" s="1266" t="str">
        <f>A30</f>
        <v>6.2.4</v>
      </c>
    </row>
    <row r="31" spans="1:15" ht="15.75">
      <c r="A31" s="963"/>
      <c r="B31" s="400"/>
      <c r="C31" s="400"/>
      <c r="D31" s="632"/>
      <c r="E31" s="632"/>
      <c r="F31" s="853"/>
      <c r="G31" s="632"/>
      <c r="H31" s="853"/>
      <c r="I31" s="901"/>
      <c r="J31" s="901"/>
      <c r="K31" s="901"/>
      <c r="L31" s="901" t="s">
        <v>2186</v>
      </c>
      <c r="M31" s="200"/>
      <c r="N31" s="1267"/>
      <c r="O31" s="1266"/>
    </row>
    <row r="32" spans="1:15" ht="15.75">
      <c r="A32" s="963"/>
      <c r="B32" s="400"/>
      <c r="C32" s="400"/>
      <c r="D32" s="632"/>
      <c r="E32" s="632"/>
      <c r="F32" s="853"/>
      <c r="G32" s="632"/>
      <c r="H32" s="853"/>
      <c r="I32" s="1005"/>
      <c r="J32" s="1005"/>
      <c r="K32" s="901"/>
      <c r="L32" s="1005" t="s">
        <v>2187</v>
      </c>
      <c r="M32" s="200"/>
      <c r="N32" s="1263"/>
      <c r="O32" s="1266"/>
    </row>
    <row r="33" spans="1:15" ht="15.75">
      <c r="A33" s="963" t="s">
        <v>2192</v>
      </c>
      <c r="B33" s="400" t="s">
        <v>2185</v>
      </c>
      <c r="C33" s="400"/>
      <c r="D33" s="632"/>
      <c r="E33" s="632"/>
      <c r="F33" s="853"/>
      <c r="G33" s="632"/>
      <c r="H33" s="853"/>
      <c r="I33" s="1250"/>
      <c r="J33" s="1250"/>
      <c r="K33" s="901"/>
      <c r="L33" s="1250">
        <f>'GSN Benchmarks'!B142</f>
        <v>55.79</v>
      </c>
      <c r="M33" s="200"/>
      <c r="N33" s="1140">
        <f>ROUND(N30*L33,0)</f>
        <v>0</v>
      </c>
      <c r="O33" s="1266" t="str">
        <f>A33</f>
        <v>6.2.5</v>
      </c>
    </row>
    <row r="34" spans="1:15" ht="15.75">
      <c r="A34" s="963"/>
      <c r="B34" s="400"/>
      <c r="C34" s="400"/>
      <c r="D34" s="632"/>
      <c r="E34" s="632"/>
      <c r="F34" s="853"/>
      <c r="G34" s="632"/>
      <c r="H34" s="853"/>
      <c r="I34" s="1250"/>
      <c r="J34" s="1250"/>
      <c r="K34" s="901"/>
      <c r="L34" s="1250"/>
      <c r="M34" s="200"/>
      <c r="N34" s="1270"/>
      <c r="O34" s="1266"/>
    </row>
    <row r="35" spans="1:15" ht="15.75">
      <c r="A35" s="963"/>
      <c r="B35" s="400"/>
      <c r="C35" s="400"/>
      <c r="D35" s="632"/>
      <c r="E35" s="632"/>
      <c r="F35" s="853"/>
      <c r="G35" s="632"/>
      <c r="H35" s="853"/>
      <c r="I35" s="1250"/>
      <c r="J35" s="901" t="s">
        <v>2188</v>
      </c>
      <c r="K35" s="632"/>
      <c r="L35" s="1263" t="s">
        <v>2190</v>
      </c>
      <c r="M35" s="200"/>
      <c r="N35" s="1270"/>
      <c r="O35" s="1266"/>
    </row>
    <row r="36" spans="1:15" ht="15.75">
      <c r="A36" s="963"/>
      <c r="B36" s="400"/>
      <c r="C36" s="400"/>
      <c r="D36" s="632"/>
      <c r="E36" s="632"/>
      <c r="F36" s="853"/>
      <c r="G36" s="632"/>
      <c r="H36" s="853"/>
      <c r="I36" s="632"/>
      <c r="J36" s="1005" t="s">
        <v>2189</v>
      </c>
      <c r="K36" s="632"/>
      <c r="L36" s="1271" t="s">
        <v>2191</v>
      </c>
      <c r="M36" s="200"/>
      <c r="N36" s="1267"/>
      <c r="O36" s="1266"/>
    </row>
    <row r="37" spans="1:15" ht="15.75">
      <c r="A37" s="963" t="s">
        <v>2193</v>
      </c>
      <c r="B37" s="400" t="s">
        <v>473</v>
      </c>
      <c r="C37" s="400"/>
      <c r="D37" s="632"/>
      <c r="E37" s="632"/>
      <c r="F37" s="853"/>
      <c r="G37" s="632"/>
      <c r="H37" s="853"/>
      <c r="I37" s="632"/>
      <c r="J37" s="1250">
        <f>'GSN Benchmarks'!B143</f>
        <v>1</v>
      </c>
      <c r="K37" s="632"/>
      <c r="L37" s="1263">
        <f>'GSN Benchmarks'!B144</f>
        <v>23</v>
      </c>
      <c r="M37" s="200"/>
      <c r="N37" s="1140">
        <f>ROUND(IF(N28&lt;L37,(L37-N28)*J37*N30,0),0)</f>
        <v>0</v>
      </c>
      <c r="O37" s="1266" t="str">
        <f>A37</f>
        <v>6.2.6</v>
      </c>
    </row>
    <row r="38" spans="1:15" ht="15.75">
      <c r="A38" s="963"/>
      <c r="B38" s="400"/>
      <c r="C38" s="400"/>
      <c r="D38" s="632"/>
      <c r="E38" s="632"/>
      <c r="F38" s="853"/>
      <c r="G38" s="632"/>
      <c r="H38" s="853"/>
      <c r="I38" s="632"/>
      <c r="J38" s="78"/>
      <c r="K38" s="78"/>
      <c r="L38" s="78"/>
      <c r="M38" s="200"/>
      <c r="N38" s="1267"/>
      <c r="O38" s="1266"/>
    </row>
    <row r="39" spans="1:15" ht="15.75">
      <c r="A39" s="963" t="s">
        <v>2194</v>
      </c>
      <c r="B39" s="400" t="s">
        <v>2195</v>
      </c>
      <c r="C39" s="400"/>
      <c r="D39" s="632"/>
      <c r="E39" s="632"/>
      <c r="F39" s="853"/>
      <c r="G39" s="632"/>
      <c r="H39" s="853"/>
      <c r="I39" s="632"/>
      <c r="J39" s="78"/>
      <c r="K39" s="78"/>
      <c r="L39" s="78"/>
      <c r="M39" s="200"/>
      <c r="N39" s="1140">
        <f>+N33-N37</f>
        <v>0</v>
      </c>
      <c r="O39" s="1266" t="str">
        <f>A39</f>
        <v>6.2.7</v>
      </c>
    </row>
    <row r="40" spans="1:15" ht="15.75">
      <c r="A40" s="963"/>
      <c r="B40" s="400" t="s">
        <v>2196</v>
      </c>
      <c r="C40" s="400"/>
      <c r="D40" s="632"/>
      <c r="E40" s="632"/>
      <c r="F40" s="853"/>
      <c r="G40" s="632"/>
      <c r="H40" s="853"/>
      <c r="I40" s="632"/>
      <c r="J40" s="632"/>
      <c r="K40" s="632"/>
      <c r="L40" s="1263"/>
      <c r="M40" s="200"/>
      <c r="N40" s="1267"/>
      <c r="O40" s="1266"/>
    </row>
    <row r="41" spans="1:15" ht="15.75">
      <c r="A41" s="963"/>
      <c r="B41" s="104"/>
      <c r="C41" s="400"/>
      <c r="D41" s="632"/>
      <c r="E41" s="632"/>
      <c r="F41" s="853"/>
      <c r="G41" s="632"/>
      <c r="H41" s="853"/>
      <c r="I41" s="632"/>
      <c r="J41" s="632"/>
      <c r="K41" s="632"/>
      <c r="L41" s="970"/>
      <c r="M41" s="200"/>
      <c r="N41" s="1270"/>
      <c r="O41" s="1266"/>
    </row>
    <row r="42" spans="1:15" ht="15.75">
      <c r="A42" s="963"/>
      <c r="B42" s="400"/>
      <c r="C42" s="400"/>
      <c r="D42" s="632"/>
      <c r="E42" s="632"/>
      <c r="F42" s="853"/>
      <c r="G42" s="632"/>
      <c r="H42" s="853"/>
      <c r="I42" s="632"/>
      <c r="J42" s="632"/>
      <c r="K42" s="632"/>
      <c r="L42" s="1263"/>
      <c r="M42" s="200"/>
      <c r="N42" s="1267"/>
      <c r="O42" s="1266"/>
    </row>
    <row r="43" spans="1:15" ht="15.75" customHeight="1">
      <c r="A43" s="963">
        <v>6.4</v>
      </c>
      <c r="B43" s="27" t="s">
        <v>985</v>
      </c>
      <c r="C43" s="27"/>
      <c r="D43" s="632"/>
      <c r="E43" s="632"/>
      <c r="F43" s="853"/>
      <c r="G43" s="632"/>
      <c r="H43" s="853"/>
      <c r="I43" s="632"/>
      <c r="J43" s="632"/>
      <c r="K43" s="632"/>
      <c r="L43" s="1263" t="s">
        <v>1109</v>
      </c>
      <c r="M43" s="200"/>
      <c r="N43" s="78"/>
      <c r="O43" s="78"/>
    </row>
    <row r="44" spans="1:15" ht="15.75" customHeight="1">
      <c r="A44" s="963"/>
      <c r="B44" s="27"/>
      <c r="C44" s="27"/>
      <c r="D44" s="632"/>
      <c r="E44" s="632"/>
      <c r="F44" s="853"/>
      <c r="G44" s="632"/>
      <c r="H44" s="853"/>
      <c r="I44" s="632"/>
      <c r="J44" s="632"/>
      <c r="K44" s="632"/>
      <c r="L44" s="1263" t="s">
        <v>2065</v>
      </c>
      <c r="M44" s="200"/>
      <c r="N44" s="1270"/>
      <c r="O44" s="1266"/>
    </row>
    <row r="45" spans="1:15" ht="15.75">
      <c r="A45" s="535"/>
      <c r="B45" s="78" t="str">
        <f>"(Schedule 12, line 3.1 + line 3.2) X $"&amp;L45&amp;")) + "</f>
        <v xml:space="preserve">(Schedule 12, line 3.1 + line 3.2) X $123)) + </v>
      </c>
      <c r="C45" s="78"/>
      <c r="D45" s="632"/>
      <c r="E45" s="632"/>
      <c r="F45" s="853"/>
      <c r="G45" s="632"/>
      <c r="H45" s="853"/>
      <c r="I45" s="632"/>
      <c r="J45" s="632"/>
      <c r="K45" s="632"/>
      <c r="L45" s="970">
        <f>'GSN Benchmarks'!B146</f>
        <v>123</v>
      </c>
      <c r="M45" s="200"/>
      <c r="N45" s="1140">
        <f>ROUND((('Sch 12 ConEd Summer'!E41+'Sch 12 ConEd Summer'!E42)*L45)+('Sch 12 ConEd Summer'!E43*L46),0)</f>
        <v>0</v>
      </c>
      <c r="O45" s="1266">
        <f>A43</f>
        <v>6.4</v>
      </c>
    </row>
    <row r="46" spans="1:15" ht="15.75">
      <c r="A46" s="963"/>
      <c r="B46" s="78" t="str">
        <f>"(Schedue 12, line 3.3 X $"&amp;L46&amp;")"</f>
        <v>(Schedue 12, line 3.3 X $369)</v>
      </c>
      <c r="C46" s="400"/>
      <c r="D46" s="632"/>
      <c r="E46" s="632"/>
      <c r="F46" s="853"/>
      <c r="G46" s="632"/>
      <c r="H46" s="853"/>
      <c r="I46" s="632"/>
      <c r="J46" s="632"/>
      <c r="K46" s="632"/>
      <c r="L46" s="970">
        <f>'GSN Benchmarks'!B148</f>
        <v>369</v>
      </c>
      <c r="M46" s="200"/>
      <c r="N46" s="1267"/>
      <c r="O46" s="1266"/>
    </row>
    <row r="47" spans="1:15" ht="15.75">
      <c r="A47" s="963"/>
      <c r="B47" s="78"/>
      <c r="C47" s="400"/>
      <c r="D47" s="632"/>
      <c r="E47" s="632"/>
      <c r="F47" s="853"/>
      <c r="G47" s="632"/>
      <c r="H47" s="853"/>
      <c r="I47" s="632"/>
      <c r="J47" s="632"/>
      <c r="K47" s="632"/>
      <c r="L47" s="970"/>
      <c r="M47" s="200"/>
      <c r="N47" s="1267"/>
      <c r="O47" s="1266"/>
    </row>
    <row r="48" spans="1:15" ht="15.75">
      <c r="A48" s="963"/>
      <c r="B48" s="400"/>
      <c r="C48" s="400"/>
      <c r="D48" s="632"/>
      <c r="E48" s="632"/>
      <c r="F48" s="853"/>
      <c r="G48" s="632"/>
      <c r="H48" s="853"/>
      <c r="I48" s="632"/>
      <c r="J48" s="632"/>
      <c r="K48" s="632"/>
      <c r="L48" s="1263"/>
      <c r="M48" s="200"/>
      <c r="N48" s="1267"/>
      <c r="O48" s="1266"/>
    </row>
    <row r="49" spans="1:15" ht="15.75">
      <c r="A49" s="963">
        <v>6.5</v>
      </c>
      <c r="B49" s="104" t="s">
        <v>2260</v>
      </c>
      <c r="C49" s="400"/>
      <c r="D49" s="632"/>
      <c r="E49" s="632"/>
      <c r="F49" s="853"/>
      <c r="G49" s="632"/>
      <c r="H49" s="853"/>
      <c r="I49" s="632"/>
      <c r="J49" s="632"/>
      <c r="K49" s="632"/>
      <c r="L49" s="1272"/>
      <c r="M49" s="1273">
        <v>699</v>
      </c>
      <c r="N49" s="1275">
        <f>ROUND(N21+N22+N45+N39,0)</f>
        <v>0</v>
      </c>
      <c r="O49" s="1266">
        <f>A49</f>
        <v>6.5</v>
      </c>
    </row>
    <row r="50" spans="1:15" ht="15.75">
      <c r="A50" s="963"/>
      <c r="B50" s="400" t="s">
        <v>2378</v>
      </c>
      <c r="C50" s="400"/>
      <c r="D50" s="632"/>
      <c r="E50" s="632"/>
      <c r="F50" s="853"/>
      <c r="G50" s="632"/>
      <c r="H50" s="853"/>
      <c r="I50" s="632"/>
      <c r="J50" s="632"/>
      <c r="K50" s="632"/>
      <c r="L50" s="1263"/>
      <c r="M50" s="1274"/>
      <c r="N50" s="632"/>
      <c r="O50" s="1266"/>
    </row>
    <row r="51" spans="1:15" ht="15.75">
      <c r="A51" s="963"/>
      <c r="B51" s="400"/>
      <c r="C51" s="400"/>
      <c r="D51" s="632"/>
      <c r="E51" s="632"/>
      <c r="F51" s="853"/>
      <c r="G51" s="632"/>
      <c r="H51" s="853"/>
      <c r="I51" s="632"/>
      <c r="J51" s="632"/>
      <c r="K51" s="632"/>
      <c r="L51" s="1263"/>
      <c r="M51" s="632"/>
      <c r="N51" s="632"/>
      <c r="O51" s="1266"/>
    </row>
    <row r="52" spans="1:15" ht="15.75">
      <c r="A52" s="963"/>
      <c r="B52" s="400"/>
      <c r="C52" s="400"/>
      <c r="D52" s="632"/>
      <c r="E52" s="632"/>
      <c r="F52" s="853"/>
      <c r="G52" s="632"/>
      <c r="H52" s="853"/>
      <c r="I52" s="632"/>
      <c r="J52" s="632"/>
      <c r="K52" s="632"/>
      <c r="L52" s="1263"/>
      <c r="M52" s="632"/>
      <c r="N52" s="632"/>
      <c r="O52" s="1266"/>
    </row>
    <row r="53" spans="1:15" ht="15.75">
      <c r="A53" s="963"/>
      <c r="B53" s="400"/>
      <c r="C53" s="400"/>
      <c r="D53" s="632"/>
      <c r="E53" s="632"/>
      <c r="F53" s="853"/>
      <c r="G53" s="632"/>
      <c r="H53" s="853"/>
      <c r="I53" s="632"/>
      <c r="J53" s="632"/>
      <c r="K53" s="632"/>
      <c r="L53" s="1263"/>
      <c r="M53" s="632"/>
      <c r="N53" s="632"/>
      <c r="O53" s="1266"/>
    </row>
    <row r="54" spans="1:15" ht="15.75">
      <c r="A54" s="963"/>
      <c r="B54" s="104"/>
      <c r="C54" s="400"/>
      <c r="D54" s="632"/>
      <c r="E54" s="632"/>
      <c r="F54" s="853"/>
      <c r="G54" s="632"/>
      <c r="H54" s="853"/>
      <c r="I54" s="632"/>
      <c r="J54" s="632"/>
      <c r="K54" s="632"/>
      <c r="L54" s="1263"/>
      <c r="M54" s="632"/>
      <c r="N54" s="632"/>
      <c r="O54" s="1266"/>
    </row>
    <row r="55" spans="1:15" ht="15.75">
      <c r="A55" s="963"/>
      <c r="B55" s="400"/>
      <c r="C55" s="400"/>
      <c r="D55" s="632"/>
      <c r="E55" s="632"/>
      <c r="F55" s="853"/>
      <c r="G55" s="632"/>
      <c r="H55" s="853"/>
      <c r="I55" s="632"/>
      <c r="J55" s="632"/>
      <c r="K55" s="632"/>
      <c r="L55" s="1263"/>
      <c r="M55" s="1274"/>
      <c r="N55" s="632"/>
      <c r="O55" s="1266"/>
    </row>
    <row r="56" spans="1:15" ht="15.75">
      <c r="A56" s="963"/>
      <c r="B56" s="104"/>
      <c r="C56" s="1263"/>
      <c r="D56" s="1263"/>
      <c r="E56" s="1263"/>
      <c r="F56" s="1263"/>
      <c r="G56" s="1263"/>
      <c r="H56" s="1263"/>
      <c r="I56" s="1263"/>
      <c r="J56" s="1263"/>
      <c r="K56" s="1263"/>
      <c r="L56" s="1263"/>
      <c r="M56" s="1263"/>
      <c r="N56" s="1263"/>
      <c r="O56" s="1266"/>
    </row>
    <row r="57" spans="1:15" ht="15.75">
      <c r="A57" s="963"/>
      <c r="B57" s="400"/>
      <c r="C57" s="400"/>
      <c r="D57" s="632"/>
      <c r="E57" s="632"/>
      <c r="F57" s="853"/>
      <c r="G57" s="632"/>
      <c r="H57" s="853"/>
      <c r="I57" s="632"/>
      <c r="J57" s="632"/>
      <c r="K57" s="632"/>
      <c r="L57" s="1263"/>
      <c r="M57" s="1274"/>
      <c r="N57" s="632"/>
      <c r="O57" s="1266"/>
    </row>
    <row r="58" spans="1:15" ht="15.75">
      <c r="A58" s="963"/>
      <c r="B58" s="400"/>
      <c r="C58" s="400"/>
      <c r="D58" s="632"/>
      <c r="E58" s="632"/>
      <c r="F58" s="853"/>
      <c r="G58" s="632"/>
      <c r="H58" s="853"/>
      <c r="I58" s="632"/>
      <c r="J58" s="632"/>
      <c r="K58" s="632"/>
      <c r="L58" s="1263"/>
      <c r="M58" s="632"/>
      <c r="N58" s="632"/>
      <c r="O58" s="1266"/>
    </row>
    <row r="59" spans="1:15" ht="15.75">
      <c r="A59" s="963"/>
      <c r="B59" s="400"/>
      <c r="C59" s="400"/>
      <c r="D59" s="632"/>
      <c r="E59" s="632"/>
      <c r="F59" s="853"/>
      <c r="G59" s="632"/>
      <c r="H59" s="853"/>
      <c r="I59" s="632"/>
      <c r="J59" s="632"/>
      <c r="K59" s="632"/>
      <c r="L59" s="1263"/>
      <c r="M59" s="632"/>
      <c r="N59" s="632"/>
      <c r="O59" s="1266"/>
    </row>
    <row r="60" spans="1:15" ht="15.75">
      <c r="A60" s="963"/>
      <c r="B60" s="400"/>
      <c r="C60" s="400"/>
      <c r="D60" s="632"/>
      <c r="E60" s="632"/>
      <c r="F60" s="853"/>
      <c r="G60" s="632"/>
      <c r="H60" s="853"/>
      <c r="I60" s="632"/>
      <c r="J60" s="632"/>
      <c r="K60" s="632"/>
      <c r="L60" s="1263"/>
      <c r="M60" s="632"/>
      <c r="N60" s="632"/>
      <c r="O60" s="1266"/>
    </row>
    <row r="61" spans="1:15" ht="15.75">
      <c r="A61" s="963"/>
      <c r="B61" s="400"/>
      <c r="C61" s="400"/>
      <c r="D61" s="632"/>
      <c r="E61" s="632"/>
      <c r="F61" s="853"/>
      <c r="G61" s="632"/>
      <c r="H61" s="853"/>
      <c r="I61" s="632"/>
      <c r="J61" s="632"/>
      <c r="K61" s="632"/>
      <c r="L61" s="1263"/>
      <c r="M61" s="632"/>
      <c r="N61" s="632"/>
      <c r="O61" s="1266"/>
    </row>
    <row r="62" spans="1:15" ht="15.75">
      <c r="A62" s="963"/>
      <c r="B62" s="400"/>
      <c r="C62" s="400"/>
      <c r="D62" s="632"/>
      <c r="E62" s="632"/>
      <c r="F62" s="853"/>
      <c r="G62" s="632"/>
      <c r="H62" s="853"/>
      <c r="I62" s="632"/>
      <c r="J62" s="632"/>
      <c r="K62" s="632"/>
      <c r="L62" s="1263"/>
      <c r="M62" s="632"/>
      <c r="N62" s="632"/>
      <c r="O62" s="1266"/>
    </row>
    <row r="63" spans="1:15" ht="15.75">
      <c r="A63" s="963"/>
      <c r="B63" s="400"/>
      <c r="C63" s="400"/>
      <c r="D63" s="632"/>
      <c r="E63" s="632"/>
      <c r="F63" s="853"/>
      <c r="G63" s="632"/>
      <c r="H63" s="853"/>
      <c r="I63" s="632"/>
      <c r="J63" s="632"/>
      <c r="K63" s="632"/>
      <c r="L63" s="1263"/>
      <c r="M63" s="632"/>
      <c r="N63" s="632"/>
      <c r="O63" s="1266"/>
    </row>
    <row r="64" spans="1:15" ht="15.75">
      <c r="A64" s="963"/>
      <c r="B64" s="400"/>
      <c r="C64" s="400"/>
      <c r="D64" s="632"/>
      <c r="E64" s="632"/>
      <c r="F64" s="853"/>
      <c r="G64" s="632"/>
      <c r="H64" s="853"/>
      <c r="I64" s="632"/>
      <c r="J64" s="632"/>
      <c r="K64" s="632"/>
      <c r="L64" s="1263"/>
      <c r="M64" s="632"/>
      <c r="N64" s="632"/>
      <c r="O64" s="1266"/>
    </row>
    <row r="65" spans="1:15" ht="15.75">
      <c r="A65" s="963"/>
      <c r="B65" s="400"/>
      <c r="C65" s="400"/>
      <c r="D65" s="632"/>
      <c r="E65" s="632"/>
      <c r="F65" s="853"/>
      <c r="G65" s="632"/>
      <c r="H65" s="853"/>
      <c r="I65" s="632"/>
      <c r="J65" s="632"/>
      <c r="K65" s="632"/>
      <c r="L65" s="1263"/>
      <c r="M65" s="632"/>
      <c r="N65" s="632"/>
      <c r="O65" s="1266"/>
    </row>
    <row r="66" spans="1:15" ht="15.75">
      <c r="A66" s="901"/>
      <c r="B66" s="400"/>
      <c r="C66" s="400"/>
      <c r="D66" s="632"/>
      <c r="E66" s="632"/>
      <c r="F66" s="853"/>
      <c r="G66" s="632"/>
      <c r="H66" s="853"/>
      <c r="I66" s="632"/>
      <c r="J66" s="632"/>
      <c r="K66" s="632"/>
      <c r="L66" s="1263"/>
      <c r="M66" s="632"/>
      <c r="N66" s="632"/>
      <c r="O66" s="1166"/>
    </row>
    <row r="67" spans="1:15">
      <c r="A67" s="78"/>
      <c r="B67" s="78"/>
      <c r="C67" s="78"/>
      <c r="D67" s="78"/>
      <c r="E67" s="78"/>
      <c r="F67" s="78"/>
      <c r="G67" s="78"/>
      <c r="H67" s="78"/>
      <c r="I67" s="78"/>
      <c r="J67" s="78"/>
      <c r="K67" s="78"/>
      <c r="L67" s="78"/>
      <c r="M67" s="78"/>
      <c r="N67" s="78"/>
      <c r="O67" s="78"/>
    </row>
    <row r="68" spans="1:15">
      <c r="A68" s="78"/>
      <c r="B68" s="78"/>
      <c r="C68" s="78"/>
      <c r="D68" s="78"/>
      <c r="E68" s="78"/>
      <c r="F68" s="78"/>
      <c r="G68" s="78"/>
      <c r="H68" s="78"/>
      <c r="I68" s="78"/>
      <c r="J68" s="78"/>
      <c r="K68" s="78"/>
      <c r="L68" s="78"/>
      <c r="M68" s="78"/>
      <c r="N68" s="78"/>
      <c r="O68" s="78"/>
    </row>
    <row r="69" spans="1:15">
      <c r="A69" s="78"/>
      <c r="B69" s="78"/>
      <c r="C69" s="78"/>
      <c r="D69" s="78"/>
      <c r="E69" s="78"/>
      <c r="F69" s="78"/>
      <c r="G69" s="78"/>
      <c r="H69" s="78"/>
      <c r="I69" s="78"/>
      <c r="J69" s="78"/>
      <c r="K69" s="78"/>
      <c r="L69" s="78"/>
      <c r="M69" s="78"/>
      <c r="N69" s="78"/>
      <c r="O69" s="78"/>
    </row>
    <row r="70" spans="1:15">
      <c r="A70" s="78"/>
      <c r="B70" s="78"/>
      <c r="C70" s="78"/>
      <c r="D70" s="78"/>
      <c r="E70" s="78"/>
      <c r="F70" s="78"/>
      <c r="G70" s="78"/>
      <c r="H70" s="78"/>
      <c r="I70" s="78"/>
      <c r="J70" s="78"/>
      <c r="K70" s="78"/>
      <c r="L70" s="78"/>
      <c r="M70" s="78"/>
      <c r="N70" s="78"/>
      <c r="O70" s="78"/>
    </row>
    <row r="71" spans="1:15">
      <c r="A71" s="78"/>
      <c r="B71" s="78"/>
      <c r="C71" s="78"/>
      <c r="D71" s="78"/>
      <c r="E71" s="78"/>
      <c r="F71" s="78"/>
      <c r="G71" s="78"/>
      <c r="H71" s="78"/>
      <c r="I71" s="78"/>
      <c r="J71" s="78"/>
      <c r="K71" s="78"/>
      <c r="L71" s="78"/>
      <c r="M71" s="78"/>
      <c r="N71" s="78"/>
      <c r="O71" s="78"/>
    </row>
  </sheetData>
  <sheetProtection password="C7B7" sheet="1" objects="1" scenarios="1"/>
  <protectedRanges>
    <protectedRange sqref="N30" name="Range2"/>
    <protectedRange sqref="N26:N27" name="Range1"/>
  </protectedRanges>
  <phoneticPr fontId="13" type="noConversion"/>
  <printOptions horizontalCentered="1"/>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5"/>
  <sheetViews>
    <sheetView topLeftCell="E176" zoomScaleNormal="100" zoomScaleSheetLayoutView="75" workbookViewId="0">
      <selection activeCell="R198" sqref="R198"/>
    </sheetView>
  </sheetViews>
  <sheetFormatPr defaultColWidth="0" defaultRowHeight="0" customHeight="1" zeroHeight="1"/>
  <cols>
    <col min="1" max="1" width="9.28515625" style="79" customWidth="1"/>
    <col min="2" max="2" width="7.7109375" style="79" customWidth="1"/>
    <col min="3" max="3" width="5.85546875" style="79" customWidth="1"/>
    <col min="4" max="4" width="13.140625" style="79" customWidth="1"/>
    <col min="5" max="5" width="8" style="79" bestFit="1" customWidth="1"/>
    <col min="6" max="6" width="15.7109375" style="79" customWidth="1"/>
    <col min="7" max="7" width="8" style="79" bestFit="1" customWidth="1"/>
    <col min="8" max="8" width="15.7109375" style="79" customWidth="1"/>
    <col min="9" max="9" width="13.42578125" style="79" customWidth="1"/>
    <col min="10" max="10" width="15.7109375" style="79" customWidth="1"/>
    <col min="11" max="11" width="8" style="79" bestFit="1" customWidth="1"/>
    <col min="12" max="12" width="15.7109375" style="79" customWidth="1"/>
    <col min="13" max="13" width="8" style="79" bestFit="1" customWidth="1"/>
    <col min="14" max="14" width="15.7109375" style="79" customWidth="1"/>
    <col min="15" max="15" width="8" style="79" bestFit="1" customWidth="1"/>
    <col min="16" max="16" width="15.7109375" style="79" customWidth="1"/>
    <col min="17" max="17" width="8" style="79" bestFit="1" customWidth="1"/>
    <col min="18" max="18" width="15.7109375" style="79" customWidth="1"/>
    <col min="19" max="19" width="7.7109375" style="79" bestFit="1" customWidth="1"/>
    <col min="20" max="16384" width="0" style="976" hidden="1"/>
  </cols>
  <sheetData>
    <row r="1" spans="1:19" ht="6" customHeight="1" thickBot="1">
      <c r="A1" s="2159" t="s">
        <v>2817</v>
      </c>
      <c r="B1" s="2126" t="s">
        <v>1821</v>
      </c>
      <c r="C1" s="2126" t="s">
        <v>2732</v>
      </c>
      <c r="D1" s="2126" t="s">
        <v>1097</v>
      </c>
      <c r="E1" s="2126" t="s">
        <v>2227</v>
      </c>
      <c r="F1" s="2126" t="s">
        <v>1536</v>
      </c>
      <c r="G1" s="2126" t="s">
        <v>1203</v>
      </c>
      <c r="H1" s="2126" t="s">
        <v>2729</v>
      </c>
      <c r="I1" s="2126" t="s">
        <v>138</v>
      </c>
      <c r="J1" s="2126" t="s">
        <v>617</v>
      </c>
      <c r="K1" s="2126" t="s">
        <v>2226</v>
      </c>
      <c r="L1" s="2126" t="s">
        <v>2815</v>
      </c>
      <c r="M1" s="2126" t="s">
        <v>2816</v>
      </c>
      <c r="N1" s="2126" t="s">
        <v>2729</v>
      </c>
      <c r="O1" s="2126" t="s">
        <v>2379</v>
      </c>
      <c r="P1" s="2126" t="s">
        <v>2401</v>
      </c>
      <c r="Q1" s="2126" t="s">
        <v>2224</v>
      </c>
      <c r="R1" s="2126" t="s">
        <v>2730</v>
      </c>
      <c r="S1" s="78"/>
    </row>
    <row r="2" spans="1:19" ht="18.75" thickBot="1">
      <c r="A2" s="43" t="s">
        <v>621</v>
      </c>
      <c r="B2" s="104"/>
      <c r="C2" s="78"/>
      <c r="D2" s="78"/>
      <c r="E2" s="78"/>
      <c r="F2" s="941"/>
      <c r="G2" s="941"/>
      <c r="H2" s="941"/>
      <c r="I2" s="941" t="s">
        <v>163</v>
      </c>
      <c r="J2" s="78"/>
      <c r="K2" s="1276" t="str">
        <f>+'1 Summary'!$G$2</f>
        <v/>
      </c>
      <c r="L2" s="943"/>
      <c r="M2" s="1277"/>
      <c r="N2" s="1278"/>
      <c r="O2" s="2131" t="s">
        <v>2228</v>
      </c>
      <c r="P2" s="2126" t="s">
        <v>2731</v>
      </c>
      <c r="Q2" s="2126" t="s">
        <v>1279</v>
      </c>
      <c r="R2" s="2130"/>
      <c r="S2" s="2132"/>
    </row>
    <row r="3" spans="1:19" ht="18.75" thickBot="1">
      <c r="A3" s="43" t="s">
        <v>1985</v>
      </c>
      <c r="B3" s="104"/>
      <c r="C3" s="78"/>
      <c r="D3" s="78"/>
      <c r="E3" s="78"/>
      <c r="F3" s="78"/>
      <c r="G3" s="814"/>
      <c r="H3" s="814"/>
      <c r="I3" s="941" t="s">
        <v>162</v>
      </c>
      <c r="J3" s="941"/>
      <c r="K3" s="851">
        <f>+'1 Summary'!$G$3</f>
        <v>0</v>
      </c>
      <c r="L3" s="78"/>
      <c r="M3" s="1245"/>
      <c r="N3" s="1278"/>
      <c r="O3" s="1278"/>
      <c r="P3" s="78"/>
      <c r="Q3" s="78"/>
      <c r="R3" s="78"/>
      <c r="S3" s="86"/>
    </row>
    <row r="4" spans="1:19" ht="18">
      <c r="A4" s="43" t="s">
        <v>1986</v>
      </c>
      <c r="B4" s="104"/>
      <c r="C4" s="78"/>
      <c r="D4" s="78"/>
      <c r="E4" s="78"/>
      <c r="F4" s="941"/>
      <c r="G4" s="941"/>
      <c r="H4" s="78"/>
      <c r="I4" s="78"/>
      <c r="J4" s="78"/>
      <c r="K4" s="78"/>
      <c r="L4" s="1245"/>
      <c r="M4" s="1245"/>
      <c r="N4" s="1278"/>
      <c r="O4" s="1278"/>
      <c r="P4" s="78"/>
      <c r="Q4" s="78"/>
      <c r="R4" s="78"/>
      <c r="S4" s="86"/>
    </row>
    <row r="5" spans="1:19" ht="15.75">
      <c r="A5" s="104"/>
      <c r="B5" s="104"/>
      <c r="C5" s="78"/>
      <c r="D5" s="78"/>
      <c r="E5" s="78"/>
      <c r="F5" s="941"/>
      <c r="G5" s="941"/>
      <c r="H5" s="78"/>
      <c r="I5" s="78"/>
      <c r="J5" s="78"/>
      <c r="K5" s="78"/>
      <c r="L5" s="1245"/>
      <c r="M5" s="1245"/>
      <c r="N5" s="1278"/>
      <c r="O5" s="1278"/>
      <c r="P5" s="78"/>
      <c r="Q5" s="78"/>
      <c r="R5" s="78"/>
      <c r="S5" s="86"/>
    </row>
    <row r="6" spans="1:19" ht="15">
      <c r="A6" s="1279"/>
      <c r="B6" s="1279"/>
      <c r="C6" s="78"/>
      <c r="D6" s="78"/>
      <c r="E6" s="78"/>
      <c r="F6" s="941"/>
      <c r="G6" s="941"/>
      <c r="H6" s="78"/>
      <c r="I6" s="78"/>
      <c r="J6" s="78"/>
      <c r="K6" s="78"/>
      <c r="L6" s="1245"/>
      <c r="M6" s="1245"/>
      <c r="N6" s="1278"/>
      <c r="O6" s="1278"/>
      <c r="P6" s="78"/>
      <c r="Q6" s="78"/>
      <c r="R6" s="78"/>
      <c r="S6" s="1280"/>
    </row>
    <row r="7" spans="1:19" ht="15.75">
      <c r="A7" s="104" t="s">
        <v>1821</v>
      </c>
      <c r="B7" s="104"/>
      <c r="C7" s="78"/>
      <c r="D7" s="78"/>
      <c r="E7" s="78"/>
      <c r="F7" s="941"/>
      <c r="G7" s="941"/>
      <c r="H7" s="78"/>
      <c r="I7" s="78"/>
      <c r="J7" s="78"/>
      <c r="K7" s="78"/>
      <c r="L7" s="1245"/>
      <c r="M7" s="1245"/>
      <c r="N7" s="1278"/>
      <c r="O7" s="1278"/>
      <c r="P7" s="78"/>
      <c r="Q7" s="78"/>
      <c r="R7" s="78"/>
      <c r="S7" s="86"/>
    </row>
    <row r="8" spans="1:19" ht="15.75">
      <c r="A8" s="104"/>
      <c r="B8" s="1281"/>
      <c r="C8" s="78" t="s">
        <v>1822</v>
      </c>
      <c r="D8" s="78"/>
      <c r="E8" s="78"/>
      <c r="F8" s="941"/>
      <c r="G8" s="941"/>
      <c r="H8" s="78"/>
      <c r="I8" s="78"/>
      <c r="J8" s="78"/>
      <c r="K8" s="78"/>
      <c r="L8" s="1245"/>
      <c r="M8" s="1245"/>
      <c r="N8" s="1278"/>
      <c r="O8" s="1278"/>
      <c r="P8" s="78"/>
      <c r="Q8" s="78"/>
      <c r="R8" s="78"/>
      <c r="S8" s="86"/>
    </row>
    <row r="9" spans="1:19" ht="15.75">
      <c r="A9" s="104"/>
      <c r="B9" s="1281"/>
      <c r="C9" s="78" t="s">
        <v>1823</v>
      </c>
      <c r="D9" s="78"/>
      <c r="E9" s="78"/>
      <c r="F9" s="941"/>
      <c r="G9" s="941"/>
      <c r="H9" s="78"/>
      <c r="I9" s="78"/>
      <c r="J9" s="78"/>
      <c r="K9" s="78"/>
      <c r="L9" s="1245"/>
      <c r="M9" s="1245"/>
      <c r="N9" s="1278"/>
      <c r="O9" s="1278"/>
      <c r="P9" s="78"/>
      <c r="Q9" s="78"/>
      <c r="R9" s="78"/>
      <c r="S9" s="86"/>
    </row>
    <row r="10" spans="1:19" ht="15.75">
      <c r="A10" s="104"/>
      <c r="B10" s="1281"/>
      <c r="C10" s="78" t="s">
        <v>2466</v>
      </c>
      <c r="D10" s="78"/>
      <c r="E10" s="78"/>
      <c r="F10" s="941"/>
      <c r="G10" s="941"/>
      <c r="H10" s="78"/>
      <c r="I10" s="78"/>
      <c r="J10" s="78"/>
      <c r="K10" s="78"/>
      <c r="L10" s="1245"/>
      <c r="M10" s="1245"/>
      <c r="N10" s="1278"/>
      <c r="O10" s="1278"/>
      <c r="P10" s="78"/>
      <c r="Q10" s="78"/>
      <c r="R10" s="78"/>
      <c r="S10" s="86"/>
    </row>
    <row r="11" spans="1:19" ht="15.75">
      <c r="A11" s="104"/>
      <c r="B11" s="104"/>
      <c r="C11" s="78" t="s">
        <v>2467</v>
      </c>
      <c r="D11" s="78"/>
      <c r="E11" s="78"/>
      <c r="F11" s="941"/>
      <c r="G11" s="941"/>
      <c r="H11" s="78"/>
      <c r="I11" s="78"/>
      <c r="J11" s="78"/>
      <c r="K11" s="78"/>
      <c r="L11" s="1245"/>
      <c r="M11" s="1245"/>
      <c r="N11" s="1278"/>
      <c r="O11" s="1278"/>
      <c r="P11" s="78"/>
      <c r="Q11" s="78"/>
      <c r="R11" s="78"/>
      <c r="S11" s="86"/>
    </row>
    <row r="12" spans="1:19" ht="15.75">
      <c r="A12" s="104"/>
      <c r="B12" s="1281"/>
      <c r="C12" s="78" t="s">
        <v>2468</v>
      </c>
      <c r="D12" s="78"/>
      <c r="E12" s="78"/>
      <c r="F12" s="941"/>
      <c r="G12" s="941"/>
      <c r="H12" s="78"/>
      <c r="I12" s="78"/>
      <c r="J12" s="78"/>
      <c r="K12" s="78"/>
      <c r="L12" s="1245"/>
      <c r="M12" s="1245"/>
      <c r="N12" s="1278"/>
      <c r="O12" s="1278"/>
      <c r="P12" s="78"/>
      <c r="Q12" s="78"/>
      <c r="R12" s="78"/>
      <c r="S12" s="86"/>
    </row>
    <row r="13" spans="1:19" ht="15.75">
      <c r="A13" s="104"/>
      <c r="B13" s="104"/>
      <c r="C13" s="78" t="s">
        <v>2469</v>
      </c>
      <c r="D13" s="78"/>
      <c r="E13" s="78"/>
      <c r="F13" s="941"/>
      <c r="G13" s="941"/>
      <c r="H13" s="78"/>
      <c r="I13" s="78"/>
      <c r="J13" s="78"/>
      <c r="K13" s="78"/>
      <c r="L13" s="1245"/>
      <c r="M13" s="1245"/>
      <c r="N13" s="1278"/>
      <c r="O13" s="1278"/>
      <c r="P13" s="78"/>
      <c r="Q13" s="78"/>
      <c r="R13" s="78"/>
      <c r="S13" s="86"/>
    </row>
    <row r="14" spans="1:19" ht="15.75">
      <c r="A14" s="104"/>
      <c r="B14" s="104"/>
      <c r="C14" s="78"/>
      <c r="D14" s="78"/>
      <c r="E14" s="78"/>
      <c r="F14" s="941"/>
      <c r="G14" s="941"/>
      <c r="H14" s="78"/>
      <c r="I14" s="78"/>
      <c r="J14" s="78"/>
      <c r="K14" s="78"/>
      <c r="L14" s="1245"/>
      <c r="M14" s="1245"/>
      <c r="N14" s="1278"/>
      <c r="O14" s="1278"/>
      <c r="P14" s="78"/>
      <c r="Q14" s="78"/>
      <c r="R14" s="78"/>
      <c r="S14" s="86"/>
    </row>
    <row r="15" spans="1:19" ht="15.75">
      <c r="A15" s="104" t="s">
        <v>2962</v>
      </c>
      <c r="B15" s="78"/>
      <c r="C15" s="78"/>
      <c r="D15" s="78"/>
      <c r="E15" s="78"/>
      <c r="F15" s="941"/>
      <c r="G15" s="941"/>
      <c r="H15" s="78"/>
      <c r="I15" s="78"/>
      <c r="J15" s="78"/>
      <c r="K15" s="78"/>
      <c r="L15" s="1245"/>
      <c r="M15" s="1245"/>
      <c r="N15" s="1278"/>
      <c r="O15" s="1278"/>
      <c r="P15" s="78"/>
      <c r="Q15" s="78"/>
      <c r="R15" s="78"/>
      <c r="S15" s="86"/>
    </row>
    <row r="16" spans="1:19" ht="15.75">
      <c r="A16" s="104"/>
      <c r="B16" s="400" t="s">
        <v>3099</v>
      </c>
      <c r="C16" s="1282"/>
      <c r="D16" s="78"/>
      <c r="E16" s="78"/>
      <c r="F16" s="941"/>
      <c r="G16" s="941"/>
      <c r="H16" s="78"/>
      <c r="I16" s="78"/>
      <c r="J16" s="78"/>
      <c r="K16" s="78"/>
      <c r="L16" s="1245"/>
      <c r="M16" s="1245"/>
      <c r="N16" s="1278"/>
      <c r="O16" s="1278"/>
      <c r="P16" s="78"/>
      <c r="Q16" s="78"/>
      <c r="R16" s="78"/>
      <c r="S16" s="86"/>
    </row>
    <row r="17" spans="1:19" ht="15.75">
      <c r="A17" s="104"/>
      <c r="B17" s="1136" t="s">
        <v>2963</v>
      </c>
      <c r="C17" s="1282"/>
      <c r="D17" s="78"/>
      <c r="E17" s="78"/>
      <c r="F17" s="941"/>
      <c r="G17" s="941"/>
      <c r="H17" s="78"/>
      <c r="I17" s="78"/>
      <c r="J17" s="78"/>
      <c r="K17" s="78"/>
      <c r="L17" s="1245"/>
      <c r="M17" s="1245"/>
      <c r="N17" s="1278"/>
      <c r="O17" s="1278"/>
      <c r="P17" s="78"/>
      <c r="Q17" s="78"/>
      <c r="R17" s="78"/>
      <c r="S17" s="86"/>
    </row>
    <row r="18" spans="1:19" ht="15.75">
      <c r="A18" s="104"/>
      <c r="B18" s="400" t="s">
        <v>2964</v>
      </c>
      <c r="C18" s="1282"/>
      <c r="D18" s="78"/>
      <c r="E18" s="78"/>
      <c r="F18" s="941"/>
      <c r="G18" s="941"/>
      <c r="H18" s="78"/>
      <c r="I18" s="78"/>
      <c r="J18" s="78"/>
      <c r="K18" s="78"/>
      <c r="L18" s="1245"/>
      <c r="M18" s="1245"/>
      <c r="N18" s="1278"/>
      <c r="O18" s="1278"/>
      <c r="P18" s="78"/>
      <c r="Q18" s="78"/>
      <c r="R18" s="78"/>
      <c r="S18" s="86"/>
    </row>
    <row r="19" spans="1:19" ht="15.75">
      <c r="A19" s="104"/>
      <c r="B19" s="400" t="s">
        <v>2965</v>
      </c>
      <c r="C19" s="1282"/>
      <c r="D19" s="78"/>
      <c r="E19" s="78"/>
      <c r="F19" s="941"/>
      <c r="G19" s="941"/>
      <c r="H19" s="78"/>
      <c r="I19" s="78"/>
      <c r="J19" s="78"/>
      <c r="K19" s="78"/>
      <c r="L19" s="1245"/>
      <c r="M19" s="1245"/>
      <c r="N19" s="1278"/>
      <c r="O19" s="1278"/>
      <c r="P19" s="78"/>
      <c r="Q19" s="78"/>
      <c r="R19" s="78"/>
      <c r="S19" s="86"/>
    </row>
    <row r="20" spans="1:19" ht="15.75">
      <c r="A20" s="104"/>
      <c r="B20" s="400" t="s">
        <v>644</v>
      </c>
      <c r="C20" s="1282"/>
      <c r="D20" s="78"/>
      <c r="E20" s="78"/>
      <c r="F20" s="941"/>
      <c r="G20" s="941"/>
      <c r="H20" s="78"/>
      <c r="I20" s="78"/>
      <c r="J20" s="78"/>
      <c r="K20" s="78"/>
      <c r="L20" s="1245"/>
      <c r="M20" s="1245"/>
      <c r="N20" s="1278"/>
      <c r="O20" s="1278"/>
      <c r="P20" s="78"/>
      <c r="Q20" s="78"/>
      <c r="R20" s="78"/>
      <c r="S20" s="86"/>
    </row>
    <row r="21" spans="1:19" ht="15.75">
      <c r="A21" s="104"/>
      <c r="B21" s="400" t="s">
        <v>2966</v>
      </c>
      <c r="C21" s="1282"/>
      <c r="D21" s="78"/>
      <c r="E21" s="78"/>
      <c r="F21" s="941"/>
      <c r="G21" s="941"/>
      <c r="H21" s="78"/>
      <c r="I21" s="78"/>
      <c r="J21" s="78"/>
      <c r="K21" s="78"/>
      <c r="L21" s="1245"/>
      <c r="M21" s="1245"/>
      <c r="N21" s="1278"/>
      <c r="O21" s="1278"/>
      <c r="P21" s="78"/>
      <c r="Q21" s="78"/>
      <c r="R21" s="78"/>
      <c r="S21" s="86"/>
    </row>
    <row r="22" spans="1:19" ht="15.75">
      <c r="A22" s="104"/>
      <c r="B22" s="400" t="s">
        <v>2967</v>
      </c>
      <c r="C22" s="1282"/>
      <c r="D22" s="78"/>
      <c r="E22" s="78"/>
      <c r="F22" s="941"/>
      <c r="G22" s="941"/>
      <c r="H22" s="78"/>
      <c r="I22" s="78"/>
      <c r="J22" s="78"/>
      <c r="K22" s="78"/>
      <c r="L22" s="1245"/>
      <c r="M22" s="1245"/>
      <c r="N22" s="1278"/>
      <c r="O22" s="1278"/>
      <c r="P22" s="78"/>
      <c r="Q22" s="78"/>
      <c r="R22" s="78"/>
      <c r="S22" s="86"/>
    </row>
    <row r="23" spans="1:19" ht="15.75">
      <c r="A23" s="104"/>
      <c r="B23" s="400" t="s">
        <v>1855</v>
      </c>
      <c r="C23" s="1282"/>
      <c r="D23" s="78"/>
      <c r="E23" s="78"/>
      <c r="F23" s="941"/>
      <c r="G23" s="941"/>
      <c r="H23" s="78"/>
      <c r="I23" s="78"/>
      <c r="J23" s="78"/>
      <c r="K23" s="78"/>
      <c r="L23" s="1245"/>
      <c r="M23" s="1245"/>
      <c r="N23" s="1278"/>
      <c r="O23" s="1278"/>
      <c r="P23" s="78"/>
      <c r="Q23" s="78"/>
      <c r="R23" s="78"/>
      <c r="S23" s="86"/>
    </row>
    <row r="24" spans="1:19" ht="15.75">
      <c r="A24" s="104"/>
      <c r="B24" s="78" t="s">
        <v>2097</v>
      </c>
      <c r="C24" s="1282"/>
      <c r="D24" s="78"/>
      <c r="E24" s="78"/>
      <c r="F24" s="941"/>
      <c r="G24" s="941"/>
      <c r="H24" s="78"/>
      <c r="I24" s="78"/>
      <c r="J24" s="78"/>
      <c r="K24" s="78"/>
      <c r="L24" s="1245"/>
      <c r="M24" s="1245"/>
      <c r="N24" s="1278"/>
      <c r="O24" s="1278"/>
      <c r="P24" s="78"/>
      <c r="Q24" s="78"/>
      <c r="R24" s="78"/>
      <c r="S24" s="86"/>
    </row>
    <row r="25" spans="1:19" ht="15.75">
      <c r="A25" s="104"/>
      <c r="B25" s="401"/>
      <c r="C25" s="400"/>
      <c r="D25" s="78"/>
      <c r="E25" s="78"/>
      <c r="F25" s="941"/>
      <c r="G25" s="1091"/>
      <c r="H25" s="78"/>
      <c r="I25" s="78"/>
      <c r="J25" s="78"/>
      <c r="K25" s="78"/>
      <c r="L25" s="1245"/>
      <c r="M25" s="1245"/>
      <c r="N25" s="1278"/>
      <c r="O25" s="1278"/>
      <c r="P25" s="78"/>
      <c r="Q25" s="78"/>
      <c r="R25" s="78"/>
      <c r="S25" s="86"/>
    </row>
    <row r="26" spans="1:19" ht="15.75">
      <c r="A26" s="104" t="s">
        <v>1097</v>
      </c>
      <c r="B26" s="401"/>
      <c r="C26" s="400"/>
      <c r="D26" s="78"/>
      <c r="E26" s="78"/>
      <c r="F26" s="941"/>
      <c r="G26" s="941"/>
      <c r="H26" s="78"/>
      <c r="I26" s="78"/>
      <c r="J26" s="78"/>
      <c r="K26" s="78"/>
      <c r="L26" s="1245"/>
      <c r="M26" s="1245"/>
      <c r="N26" s="1278"/>
      <c r="O26" s="1278"/>
      <c r="P26" s="78"/>
      <c r="Q26" s="78"/>
      <c r="R26" s="78"/>
      <c r="S26" s="86"/>
    </row>
    <row r="27" spans="1:19" ht="15.75">
      <c r="A27" s="104"/>
      <c r="B27" s="400" t="s">
        <v>2968</v>
      </c>
      <c r="C27" s="78"/>
      <c r="D27" s="78"/>
      <c r="E27" s="78"/>
      <c r="F27" s="941"/>
      <c r="G27" s="941"/>
      <c r="H27" s="78"/>
      <c r="I27" s="78"/>
      <c r="J27" s="78"/>
      <c r="K27" s="78"/>
      <c r="L27" s="1245"/>
      <c r="M27" s="1245"/>
      <c r="N27" s="1278"/>
      <c r="O27" s="1278"/>
      <c r="P27" s="78"/>
      <c r="Q27" s="78"/>
      <c r="R27" s="78"/>
      <c r="S27" s="86"/>
    </row>
    <row r="28" spans="1:19" ht="15.75">
      <c r="A28" s="104"/>
      <c r="B28" s="400"/>
      <c r="C28" s="78"/>
      <c r="D28" s="78"/>
      <c r="E28" s="78"/>
      <c r="F28" s="941"/>
      <c r="G28" s="941"/>
      <c r="H28" s="78"/>
      <c r="I28" s="78"/>
      <c r="J28" s="78"/>
      <c r="K28" s="78"/>
      <c r="L28" s="1245"/>
      <c r="M28" s="1245"/>
      <c r="N28" s="1278"/>
      <c r="O28" s="1278"/>
      <c r="P28" s="78"/>
      <c r="Q28" s="78"/>
      <c r="R28" s="78"/>
      <c r="S28" s="86"/>
    </row>
    <row r="29" spans="1:19" ht="15.75">
      <c r="A29" s="104" t="s">
        <v>789</v>
      </c>
      <c r="B29" s="78"/>
      <c r="C29" s="78"/>
      <c r="D29" s="78"/>
      <c r="E29" s="78"/>
      <c r="F29" s="941"/>
      <c r="G29" s="941"/>
      <c r="H29" s="78"/>
      <c r="I29" s="78"/>
      <c r="J29" s="78"/>
      <c r="K29" s="78"/>
      <c r="L29" s="1245"/>
      <c r="M29" s="1245"/>
      <c r="N29" s="1278"/>
      <c r="O29" s="1278"/>
      <c r="P29" s="78"/>
      <c r="Q29" s="78"/>
      <c r="R29" s="78"/>
      <c r="S29" s="86"/>
    </row>
    <row r="30" spans="1:19" ht="15.75">
      <c r="A30" s="104"/>
      <c r="B30" s="104"/>
      <c r="C30" s="78"/>
      <c r="D30" s="1092" t="s">
        <v>1286</v>
      </c>
      <c r="E30" s="1092"/>
      <c r="F30" s="1096" t="s">
        <v>1287</v>
      </c>
      <c r="G30" s="1096"/>
      <c r="H30" s="1092" t="s">
        <v>1288</v>
      </c>
      <c r="I30" s="1092"/>
      <c r="J30" s="1092" t="s">
        <v>842</v>
      </c>
      <c r="K30" s="1092"/>
      <c r="L30" s="1283" t="s">
        <v>843</v>
      </c>
      <c r="M30" s="1283"/>
      <c r="N30" s="1284" t="s">
        <v>844</v>
      </c>
      <c r="O30" s="1284"/>
      <c r="P30" s="1092" t="s">
        <v>2122</v>
      </c>
      <c r="Q30" s="1092"/>
      <c r="R30" s="1092" t="s">
        <v>840</v>
      </c>
      <c r="S30" s="86"/>
    </row>
    <row r="31" spans="1:19" ht="15.75">
      <c r="A31" s="104">
        <v>7.1</v>
      </c>
      <c r="B31" s="27" t="s">
        <v>1536</v>
      </c>
      <c r="C31" s="78"/>
      <c r="D31" s="78"/>
      <c r="E31" s="78"/>
      <c r="F31" s="1285"/>
      <c r="G31" s="1286"/>
      <c r="H31" s="1287"/>
      <c r="I31" s="1285" t="s">
        <v>806</v>
      </c>
      <c r="J31" s="1288"/>
      <c r="K31" s="1288"/>
      <c r="L31" s="1289"/>
      <c r="M31" s="1289"/>
      <c r="N31" s="1290"/>
      <c r="O31" s="1290"/>
      <c r="P31" s="1287"/>
      <c r="Q31" s="1287"/>
      <c r="R31" s="1287"/>
      <c r="S31" s="86"/>
    </row>
    <row r="32" spans="1:19" ht="45.75">
      <c r="A32" s="104"/>
      <c r="B32" s="104"/>
      <c r="C32" s="78"/>
      <c r="D32" s="1291" t="s">
        <v>1437</v>
      </c>
      <c r="E32" s="1291"/>
      <c r="F32" s="1292" t="s">
        <v>1438</v>
      </c>
      <c r="G32" s="1292"/>
      <c r="H32" s="1234" t="s">
        <v>1439</v>
      </c>
      <c r="I32" s="1234"/>
      <c r="J32" s="1234" t="s">
        <v>1440</v>
      </c>
      <c r="K32" s="1234"/>
      <c r="L32" s="1293" t="s">
        <v>1441</v>
      </c>
      <c r="M32" s="1293"/>
      <c r="N32" s="1294" t="s">
        <v>1442</v>
      </c>
      <c r="O32" s="1294"/>
      <c r="P32" s="1234" t="s">
        <v>1443</v>
      </c>
      <c r="Q32" s="1234"/>
      <c r="R32" s="1234" t="s">
        <v>1444</v>
      </c>
      <c r="S32" s="86"/>
    </row>
    <row r="33" spans="1:19" ht="15.75">
      <c r="A33" s="104"/>
      <c r="B33" s="104"/>
      <c r="C33" s="78"/>
      <c r="D33" s="904" t="s">
        <v>1445</v>
      </c>
      <c r="E33" s="1295" t="s">
        <v>1204</v>
      </c>
      <c r="F33" s="1296"/>
      <c r="G33" s="1295" t="s">
        <v>66</v>
      </c>
      <c r="H33" s="1296"/>
      <c r="I33" s="1295" t="s">
        <v>154</v>
      </c>
      <c r="J33" s="1296"/>
      <c r="K33" s="1295" t="s">
        <v>958</v>
      </c>
      <c r="L33" s="1296"/>
      <c r="M33" s="1295" t="s">
        <v>586</v>
      </c>
      <c r="N33" s="1296"/>
      <c r="O33" s="1295" t="s">
        <v>599</v>
      </c>
      <c r="P33" s="1296"/>
      <c r="Q33" s="1295" t="s">
        <v>1759</v>
      </c>
      <c r="R33" s="1296"/>
      <c r="S33" s="86"/>
    </row>
    <row r="34" spans="1:19" ht="15.75">
      <c r="A34" s="104"/>
      <c r="B34" s="104"/>
      <c r="C34" s="78"/>
      <c r="D34" s="904">
        <v>1</v>
      </c>
      <c r="E34" s="1295" t="s">
        <v>1205</v>
      </c>
      <c r="F34" s="1296"/>
      <c r="G34" s="1295" t="s">
        <v>109</v>
      </c>
      <c r="H34" s="1296"/>
      <c r="I34" s="1295" t="s">
        <v>155</v>
      </c>
      <c r="J34" s="1296"/>
      <c r="K34" s="1295" t="s">
        <v>959</v>
      </c>
      <c r="L34" s="1296"/>
      <c r="M34" s="1295" t="s">
        <v>587</v>
      </c>
      <c r="N34" s="1296"/>
      <c r="O34" s="1295" t="s">
        <v>600</v>
      </c>
      <c r="P34" s="1296"/>
      <c r="Q34" s="1295" t="s">
        <v>1760</v>
      </c>
      <c r="R34" s="1296"/>
      <c r="S34" s="86"/>
    </row>
    <row r="35" spans="1:19" ht="15.75">
      <c r="A35" s="104"/>
      <c r="B35" s="104"/>
      <c r="C35" s="78"/>
      <c r="D35" s="904">
        <v>2</v>
      </c>
      <c r="E35" s="1295" t="s">
        <v>1206</v>
      </c>
      <c r="F35" s="1296"/>
      <c r="G35" s="1295" t="s">
        <v>110</v>
      </c>
      <c r="H35" s="1296"/>
      <c r="I35" s="1295" t="s">
        <v>156</v>
      </c>
      <c r="J35" s="1296"/>
      <c r="K35" s="1295" t="s">
        <v>960</v>
      </c>
      <c r="L35" s="1296"/>
      <c r="M35" s="1295" t="s">
        <v>588</v>
      </c>
      <c r="N35" s="1296"/>
      <c r="O35" s="1295" t="s">
        <v>601</v>
      </c>
      <c r="P35" s="1296"/>
      <c r="Q35" s="1295" t="s">
        <v>1761</v>
      </c>
      <c r="R35" s="1296"/>
      <c r="S35" s="86"/>
    </row>
    <row r="36" spans="1:19" ht="15.75">
      <c r="A36" s="104"/>
      <c r="B36" s="104"/>
      <c r="C36" s="78"/>
      <c r="D36" s="904">
        <v>3</v>
      </c>
      <c r="E36" s="1295" t="s">
        <v>1207</v>
      </c>
      <c r="F36" s="1296"/>
      <c r="G36" s="1295" t="s">
        <v>111</v>
      </c>
      <c r="H36" s="1296"/>
      <c r="I36" s="1295" t="s">
        <v>157</v>
      </c>
      <c r="J36" s="1296"/>
      <c r="K36" s="1295" t="s">
        <v>961</v>
      </c>
      <c r="L36" s="1296"/>
      <c r="M36" s="1295" t="s">
        <v>589</v>
      </c>
      <c r="N36" s="1296"/>
      <c r="O36" s="1295" t="s">
        <v>602</v>
      </c>
      <c r="P36" s="1296"/>
      <c r="Q36" s="1295" t="s">
        <v>1762</v>
      </c>
      <c r="R36" s="1296"/>
      <c r="S36" s="86"/>
    </row>
    <row r="37" spans="1:19" ht="15.75">
      <c r="A37" s="104"/>
      <c r="B37" s="104"/>
      <c r="C37" s="78"/>
      <c r="D37" s="904">
        <v>4</v>
      </c>
      <c r="E37" s="1295" t="s">
        <v>1208</v>
      </c>
      <c r="F37" s="1296"/>
      <c r="G37" s="1295" t="s">
        <v>112</v>
      </c>
      <c r="H37" s="1296"/>
      <c r="I37" s="1295" t="s">
        <v>1863</v>
      </c>
      <c r="J37" s="1296"/>
      <c r="K37" s="1295" t="s">
        <v>962</v>
      </c>
      <c r="L37" s="1296"/>
      <c r="M37" s="1295" t="s">
        <v>590</v>
      </c>
      <c r="N37" s="1296"/>
      <c r="O37" s="1295" t="s">
        <v>603</v>
      </c>
      <c r="P37" s="1296"/>
      <c r="Q37" s="1295" t="s">
        <v>1763</v>
      </c>
      <c r="R37" s="1296"/>
      <c r="S37" s="86"/>
    </row>
    <row r="38" spans="1:19" ht="15.75">
      <c r="A38" s="104"/>
      <c r="B38" s="104"/>
      <c r="C38" s="78"/>
      <c r="D38" s="904">
        <v>5</v>
      </c>
      <c r="E38" s="1295" t="s">
        <v>1209</v>
      </c>
      <c r="F38" s="1296"/>
      <c r="G38" s="1295" t="s">
        <v>113</v>
      </c>
      <c r="H38" s="1296"/>
      <c r="I38" s="1295" t="s">
        <v>1306</v>
      </c>
      <c r="J38" s="1296"/>
      <c r="K38" s="1295" t="s">
        <v>963</v>
      </c>
      <c r="L38" s="1296"/>
      <c r="M38" s="1295" t="s">
        <v>591</v>
      </c>
      <c r="N38" s="1296"/>
      <c r="O38" s="1295" t="s">
        <v>604</v>
      </c>
      <c r="P38" s="1296"/>
      <c r="Q38" s="1295" t="s">
        <v>1764</v>
      </c>
      <c r="R38" s="1296"/>
      <c r="S38" s="86"/>
    </row>
    <row r="39" spans="1:19" ht="15.75">
      <c r="A39" s="104"/>
      <c r="B39" s="104"/>
      <c r="C39" s="78"/>
      <c r="D39" s="904">
        <v>6</v>
      </c>
      <c r="E39" s="1295" t="s">
        <v>1210</v>
      </c>
      <c r="F39" s="1296"/>
      <c r="G39" s="1295" t="s">
        <v>114</v>
      </c>
      <c r="H39" s="1296"/>
      <c r="I39" s="1295" t="s">
        <v>1307</v>
      </c>
      <c r="J39" s="1296"/>
      <c r="K39" s="1295" t="s">
        <v>964</v>
      </c>
      <c r="L39" s="1296"/>
      <c r="M39" s="1295" t="s">
        <v>592</v>
      </c>
      <c r="N39" s="1296"/>
      <c r="O39" s="1295" t="s">
        <v>605</v>
      </c>
      <c r="P39" s="1296"/>
      <c r="Q39" s="1295" t="s">
        <v>1765</v>
      </c>
      <c r="R39" s="1296"/>
      <c r="S39" s="86"/>
    </row>
    <row r="40" spans="1:19" ht="15.75">
      <c r="A40" s="104"/>
      <c r="B40" s="104"/>
      <c r="C40" s="78"/>
      <c r="D40" s="904">
        <v>7</v>
      </c>
      <c r="E40" s="1295" t="s">
        <v>1211</v>
      </c>
      <c r="F40" s="1296"/>
      <c r="G40" s="1295" t="s">
        <v>115</v>
      </c>
      <c r="H40" s="1296"/>
      <c r="I40" s="1295" t="s">
        <v>1308</v>
      </c>
      <c r="J40" s="1296"/>
      <c r="K40" s="1295" t="s">
        <v>965</v>
      </c>
      <c r="L40" s="1296"/>
      <c r="M40" s="1295" t="s">
        <v>593</v>
      </c>
      <c r="N40" s="1296"/>
      <c r="O40" s="1295" t="s">
        <v>606</v>
      </c>
      <c r="P40" s="1296"/>
      <c r="Q40" s="1295" t="s">
        <v>1766</v>
      </c>
      <c r="R40" s="1296"/>
      <c r="S40" s="86"/>
    </row>
    <row r="41" spans="1:19" ht="15.75">
      <c r="A41" s="104"/>
      <c r="B41" s="104"/>
      <c r="C41" s="78"/>
      <c r="D41" s="904">
        <v>8</v>
      </c>
      <c r="E41" s="1295" t="s">
        <v>1212</v>
      </c>
      <c r="F41" s="1296"/>
      <c r="G41" s="1295" t="s">
        <v>116</v>
      </c>
      <c r="H41" s="1296"/>
      <c r="I41" s="1295" t="s">
        <v>1309</v>
      </c>
      <c r="J41" s="1296"/>
      <c r="K41" s="1295" t="s">
        <v>581</v>
      </c>
      <c r="L41" s="1296"/>
      <c r="M41" s="1295" t="s">
        <v>594</v>
      </c>
      <c r="N41" s="1296"/>
      <c r="O41" s="1295" t="s">
        <v>1682</v>
      </c>
      <c r="P41" s="1296"/>
      <c r="Q41" s="1295" t="s">
        <v>1767</v>
      </c>
      <c r="R41" s="1296"/>
      <c r="S41" s="86"/>
    </row>
    <row r="42" spans="1:19" ht="15.75">
      <c r="A42" s="104"/>
      <c r="B42" s="104"/>
      <c r="C42" s="78"/>
      <c r="D42" s="904">
        <v>9</v>
      </c>
      <c r="E42" s="1295" t="s">
        <v>1213</v>
      </c>
      <c r="F42" s="1296"/>
      <c r="G42" s="1295" t="s">
        <v>117</v>
      </c>
      <c r="H42" s="1296"/>
      <c r="I42" s="1295" t="s">
        <v>1310</v>
      </c>
      <c r="J42" s="1296"/>
      <c r="K42" s="1295" t="s">
        <v>582</v>
      </c>
      <c r="L42" s="1296"/>
      <c r="M42" s="1295" t="s">
        <v>595</v>
      </c>
      <c r="N42" s="1296"/>
      <c r="O42" s="1295" t="s">
        <v>1683</v>
      </c>
      <c r="P42" s="1296"/>
      <c r="Q42" s="1295" t="s">
        <v>1768</v>
      </c>
      <c r="R42" s="1296"/>
      <c r="S42" s="86"/>
    </row>
    <row r="43" spans="1:19" ht="15.75">
      <c r="A43" s="104"/>
      <c r="B43" s="104"/>
      <c r="C43" s="78"/>
      <c r="D43" s="904">
        <v>10</v>
      </c>
      <c r="E43" s="1295" t="s">
        <v>1214</v>
      </c>
      <c r="F43" s="1296"/>
      <c r="G43" s="1295" t="s">
        <v>118</v>
      </c>
      <c r="H43" s="1296"/>
      <c r="I43" s="1295" t="s">
        <v>955</v>
      </c>
      <c r="J43" s="1296"/>
      <c r="K43" s="1295" t="s">
        <v>583</v>
      </c>
      <c r="L43" s="1296"/>
      <c r="M43" s="1295" t="s">
        <v>596</v>
      </c>
      <c r="N43" s="1296"/>
      <c r="O43" s="1295" t="s">
        <v>1756</v>
      </c>
      <c r="P43" s="1296"/>
      <c r="Q43" s="1295" t="s">
        <v>1738</v>
      </c>
      <c r="R43" s="1296"/>
      <c r="S43" s="86"/>
    </row>
    <row r="44" spans="1:19" ht="15.75">
      <c r="A44" s="104"/>
      <c r="B44" s="104"/>
      <c r="C44" s="78"/>
      <c r="D44" s="904">
        <v>11</v>
      </c>
      <c r="E44" s="1295" t="s">
        <v>1215</v>
      </c>
      <c r="F44" s="1296"/>
      <c r="G44" s="1295" t="s">
        <v>152</v>
      </c>
      <c r="H44" s="1296"/>
      <c r="I44" s="1295" t="s">
        <v>956</v>
      </c>
      <c r="J44" s="1296"/>
      <c r="K44" s="1295" t="s">
        <v>584</v>
      </c>
      <c r="L44" s="1296"/>
      <c r="M44" s="1295" t="s">
        <v>597</v>
      </c>
      <c r="N44" s="1296"/>
      <c r="O44" s="1295" t="s">
        <v>1757</v>
      </c>
      <c r="P44" s="1296"/>
      <c r="Q44" s="1295" t="s">
        <v>1739</v>
      </c>
      <c r="R44" s="1296"/>
      <c r="S44" s="86"/>
    </row>
    <row r="45" spans="1:19" ht="15.75">
      <c r="A45" s="104"/>
      <c r="B45" s="104"/>
      <c r="C45" s="78"/>
      <c r="D45" s="904">
        <v>12</v>
      </c>
      <c r="E45" s="1295" t="s">
        <v>65</v>
      </c>
      <c r="F45" s="1296"/>
      <c r="G45" s="1295" t="s">
        <v>153</v>
      </c>
      <c r="H45" s="1296"/>
      <c r="I45" s="1295" t="s">
        <v>957</v>
      </c>
      <c r="J45" s="1296"/>
      <c r="K45" s="1295" t="s">
        <v>585</v>
      </c>
      <c r="L45" s="1296"/>
      <c r="M45" s="1295" t="s">
        <v>598</v>
      </c>
      <c r="N45" s="1296"/>
      <c r="O45" s="1295" t="s">
        <v>1758</v>
      </c>
      <c r="P45" s="1296"/>
      <c r="Q45" s="1295" t="s">
        <v>1740</v>
      </c>
      <c r="R45" s="1296"/>
      <c r="S45" s="86"/>
    </row>
    <row r="46" spans="1:19" ht="15.75">
      <c r="A46" s="104"/>
      <c r="B46" s="104"/>
      <c r="C46" s="78"/>
      <c r="D46" s="903" t="s">
        <v>645</v>
      </c>
      <c r="E46" s="1295"/>
      <c r="F46" s="1296"/>
      <c r="G46" s="1295"/>
      <c r="H46" s="1296"/>
      <c r="I46" s="1295"/>
      <c r="J46" s="1296"/>
      <c r="K46" s="1295"/>
      <c r="L46" s="1296"/>
      <c r="M46" s="1295"/>
      <c r="N46" s="1296"/>
      <c r="O46" s="1295"/>
      <c r="P46" s="1296"/>
      <c r="Q46" s="1295"/>
      <c r="R46" s="1296"/>
      <c r="S46" s="86"/>
    </row>
    <row r="47" spans="1:19" ht="15.75">
      <c r="A47" s="104"/>
      <c r="B47" s="104"/>
      <c r="C47" s="78"/>
      <c r="D47" s="1297" t="s">
        <v>788</v>
      </c>
      <c r="E47" s="1298"/>
      <c r="F47" s="1299"/>
      <c r="G47" s="1298"/>
      <c r="H47" s="1299"/>
      <c r="I47" s="1299"/>
      <c r="J47" s="1299"/>
      <c r="K47" s="1299"/>
      <c r="L47" s="1299"/>
      <c r="M47" s="1299"/>
      <c r="N47" s="1299"/>
      <c r="O47" s="1299"/>
      <c r="P47" s="1300"/>
      <c r="Q47" s="1295" t="s">
        <v>1741</v>
      </c>
      <c r="R47" s="1296"/>
      <c r="S47" s="86"/>
    </row>
    <row r="48" spans="1:19" ht="15.75">
      <c r="A48" s="104"/>
      <c r="B48" s="27" t="s">
        <v>2139</v>
      </c>
      <c r="C48" s="78"/>
      <c r="D48" s="78"/>
      <c r="E48" s="78"/>
      <c r="F48" s="78"/>
      <c r="G48" s="78"/>
      <c r="H48" s="78"/>
      <c r="I48" s="78"/>
      <c r="J48" s="78"/>
      <c r="K48" s="78"/>
      <c r="L48" s="78"/>
      <c r="M48" s="78"/>
      <c r="N48" s="78"/>
      <c r="O48" s="78"/>
      <c r="P48" s="78"/>
      <c r="Q48" s="1295" t="s">
        <v>1742</v>
      </c>
      <c r="R48" s="1301">
        <f>SUM(R33:R47)+SUM(F33:F46)+SUM(J33:J46)+SUM(L33:L46)+SUM(N33:N46)+SUM(P33:P46)+SUM(H33:H46)</f>
        <v>0</v>
      </c>
      <c r="S48" s="86"/>
    </row>
    <row r="49" spans="1:19" ht="15.75">
      <c r="A49" s="104"/>
      <c r="B49" s="78"/>
      <c r="C49" s="78"/>
      <c r="D49" s="78"/>
      <c r="E49" s="78"/>
      <c r="F49" s="941"/>
      <c r="G49" s="941"/>
      <c r="H49" s="78"/>
      <c r="I49" s="78"/>
      <c r="J49" s="78"/>
      <c r="K49" s="78"/>
      <c r="L49" s="1245"/>
      <c r="M49" s="1245"/>
      <c r="N49" s="1278"/>
      <c r="O49" s="1278"/>
      <c r="P49" s="78"/>
      <c r="Q49" s="78"/>
      <c r="R49" s="78"/>
      <c r="S49" s="86"/>
    </row>
    <row r="50" spans="1:19" ht="15.75">
      <c r="A50" s="104"/>
      <c r="B50" s="78"/>
      <c r="C50" s="78"/>
      <c r="D50" s="78"/>
      <c r="E50" s="78"/>
      <c r="F50" s="941"/>
      <c r="G50" s="941"/>
      <c r="H50" s="78"/>
      <c r="I50" s="78"/>
      <c r="J50" s="78"/>
      <c r="K50" s="78"/>
      <c r="L50" s="1245"/>
      <c r="M50" s="1245"/>
      <c r="N50" s="1278"/>
      <c r="O50" s="1278"/>
      <c r="P50" s="78"/>
      <c r="Q50" s="78"/>
      <c r="R50" s="78"/>
      <c r="S50" s="86"/>
    </row>
    <row r="51" spans="1:19" ht="15.75">
      <c r="A51" s="104"/>
      <c r="B51" s="78"/>
      <c r="C51" s="78"/>
      <c r="D51" s="78"/>
      <c r="E51" s="78"/>
      <c r="F51" s="941"/>
      <c r="G51" s="941"/>
      <c r="H51" s="78"/>
      <c r="I51" s="78"/>
      <c r="J51" s="78"/>
      <c r="K51" s="78"/>
      <c r="L51" s="1245"/>
      <c r="M51" s="1245"/>
      <c r="N51" s="1278"/>
      <c r="O51" s="1278"/>
      <c r="P51" s="78"/>
      <c r="Q51" s="78"/>
      <c r="R51" s="78"/>
      <c r="S51" s="86"/>
    </row>
    <row r="52" spans="1:19" ht="15.75" hidden="1">
      <c r="A52" s="104"/>
      <c r="B52" s="104"/>
      <c r="C52" s="78"/>
      <c r="D52" s="1092" t="s">
        <v>1286</v>
      </c>
      <c r="E52" s="1092"/>
      <c r="F52" s="1096" t="s">
        <v>1287</v>
      </c>
      <c r="G52" s="1096"/>
      <c r="H52" s="1092" t="s">
        <v>1288</v>
      </c>
      <c r="I52" s="1092"/>
      <c r="J52" s="1092" t="s">
        <v>842</v>
      </c>
      <c r="K52" s="1092"/>
      <c r="L52" s="1283" t="s">
        <v>843</v>
      </c>
      <c r="M52" s="1283"/>
      <c r="N52" s="1284" t="s">
        <v>844</v>
      </c>
      <c r="O52" s="1284"/>
      <c r="P52" s="1092" t="s">
        <v>2122</v>
      </c>
      <c r="Q52" s="1092"/>
      <c r="R52" s="1092" t="s">
        <v>840</v>
      </c>
      <c r="S52" s="86"/>
    </row>
    <row r="53" spans="1:19" ht="15.75" hidden="1">
      <c r="A53" s="104"/>
      <c r="B53" s="27" t="s">
        <v>1536</v>
      </c>
      <c r="C53" s="78"/>
      <c r="D53" s="78"/>
      <c r="E53" s="78"/>
      <c r="F53" s="1285"/>
      <c r="G53" s="1286"/>
      <c r="H53" s="1287"/>
      <c r="I53" s="1285" t="s">
        <v>806</v>
      </c>
      <c r="J53" s="1288"/>
      <c r="K53" s="1288"/>
      <c r="L53" s="1289"/>
      <c r="M53" s="1289"/>
      <c r="N53" s="1290"/>
      <c r="O53" s="1290"/>
      <c r="P53" s="1287"/>
      <c r="Q53" s="1287"/>
      <c r="R53" s="1287"/>
      <c r="S53" s="86">
        <v>7.1</v>
      </c>
    </row>
    <row r="54" spans="1:19" ht="45.75" hidden="1">
      <c r="A54" s="104"/>
      <c r="B54" s="104"/>
      <c r="C54" s="78"/>
      <c r="D54" s="1291" t="s">
        <v>1437</v>
      </c>
      <c r="E54" s="1291"/>
      <c r="F54" s="1292" t="s">
        <v>1438</v>
      </c>
      <c r="G54" s="1292"/>
      <c r="H54" s="1234" t="s">
        <v>1439</v>
      </c>
      <c r="I54" s="1234"/>
      <c r="J54" s="1234" t="s">
        <v>1440</v>
      </c>
      <c r="K54" s="1234"/>
      <c r="L54" s="1293" t="s">
        <v>1441</v>
      </c>
      <c r="M54" s="1293"/>
      <c r="N54" s="1294" t="s">
        <v>1442</v>
      </c>
      <c r="O54" s="1294"/>
      <c r="P54" s="1234" t="s">
        <v>1443</v>
      </c>
      <c r="Q54" s="1234"/>
      <c r="R54" s="1234" t="s">
        <v>1444</v>
      </c>
      <c r="S54" s="86"/>
    </row>
    <row r="55" spans="1:19" ht="15.75" hidden="1">
      <c r="A55" s="104"/>
      <c r="B55" s="104"/>
      <c r="C55" s="78"/>
      <c r="D55" s="904" t="s">
        <v>1445</v>
      </c>
      <c r="E55" s="1295" t="s">
        <v>1204</v>
      </c>
      <c r="F55" s="1301">
        <f>F33</f>
        <v>0</v>
      </c>
      <c r="G55" s="1295" t="s">
        <v>66</v>
      </c>
      <c r="H55" s="1301">
        <f>H33</f>
        <v>0</v>
      </c>
      <c r="I55" s="1295" t="s">
        <v>154</v>
      </c>
      <c r="J55" s="1301">
        <f t="shared" ref="J55:J68" si="0">J33</f>
        <v>0</v>
      </c>
      <c r="K55" s="1295" t="s">
        <v>958</v>
      </c>
      <c r="L55" s="1301">
        <f t="shared" ref="L55:L68" si="1">L33</f>
        <v>0</v>
      </c>
      <c r="M55" s="1295" t="s">
        <v>586</v>
      </c>
      <c r="N55" s="1301">
        <f t="shared" ref="N55:N68" si="2">N33</f>
        <v>0</v>
      </c>
      <c r="O55" s="1295" t="s">
        <v>599</v>
      </c>
      <c r="P55" s="1301">
        <f t="shared" ref="P55:P68" si="3">P33</f>
        <v>0</v>
      </c>
      <c r="Q55" s="1295" t="s">
        <v>1759</v>
      </c>
      <c r="R55" s="1301">
        <f t="shared" ref="R55:R70" si="4">R33</f>
        <v>0</v>
      </c>
      <c r="S55" s="86"/>
    </row>
    <row r="56" spans="1:19" ht="15.75" hidden="1">
      <c r="A56" s="104"/>
      <c r="B56" s="104"/>
      <c r="C56" s="78"/>
      <c r="D56" s="904">
        <v>1</v>
      </c>
      <c r="E56" s="1295" t="s">
        <v>1205</v>
      </c>
      <c r="F56" s="1301">
        <f t="shared" ref="F56:F68" si="5">F34</f>
        <v>0</v>
      </c>
      <c r="G56" s="1295" t="s">
        <v>109</v>
      </c>
      <c r="H56" s="1301">
        <f t="shared" ref="H56:H68" si="6">H34</f>
        <v>0</v>
      </c>
      <c r="I56" s="1295" t="s">
        <v>155</v>
      </c>
      <c r="J56" s="1301">
        <f t="shared" si="0"/>
        <v>0</v>
      </c>
      <c r="K56" s="1295" t="s">
        <v>959</v>
      </c>
      <c r="L56" s="1301">
        <f t="shared" si="1"/>
        <v>0</v>
      </c>
      <c r="M56" s="1295" t="s">
        <v>587</v>
      </c>
      <c r="N56" s="1301">
        <f t="shared" si="2"/>
        <v>0</v>
      </c>
      <c r="O56" s="1295" t="s">
        <v>600</v>
      </c>
      <c r="P56" s="1301">
        <f t="shared" si="3"/>
        <v>0</v>
      </c>
      <c r="Q56" s="1295" t="s">
        <v>1760</v>
      </c>
      <c r="R56" s="1301">
        <f t="shared" si="4"/>
        <v>0</v>
      </c>
      <c r="S56" s="86"/>
    </row>
    <row r="57" spans="1:19" ht="15.75" hidden="1">
      <c r="A57" s="104"/>
      <c r="B57" s="104"/>
      <c r="C57" s="78"/>
      <c r="D57" s="904">
        <v>2</v>
      </c>
      <c r="E57" s="1295" t="s">
        <v>1206</v>
      </c>
      <c r="F57" s="1301">
        <f t="shared" si="5"/>
        <v>0</v>
      </c>
      <c r="G57" s="1295" t="s">
        <v>110</v>
      </c>
      <c r="H57" s="1301">
        <f t="shared" si="6"/>
        <v>0</v>
      </c>
      <c r="I57" s="1295" t="s">
        <v>156</v>
      </c>
      <c r="J57" s="1301">
        <f t="shared" si="0"/>
        <v>0</v>
      </c>
      <c r="K57" s="1295" t="s">
        <v>960</v>
      </c>
      <c r="L57" s="1301">
        <f t="shared" si="1"/>
        <v>0</v>
      </c>
      <c r="M57" s="1295" t="s">
        <v>588</v>
      </c>
      <c r="N57" s="1301">
        <f t="shared" si="2"/>
        <v>0</v>
      </c>
      <c r="O57" s="1295" t="s">
        <v>601</v>
      </c>
      <c r="P57" s="1301">
        <f t="shared" si="3"/>
        <v>0</v>
      </c>
      <c r="Q57" s="1295" t="s">
        <v>1761</v>
      </c>
      <c r="R57" s="1301">
        <f t="shared" si="4"/>
        <v>0</v>
      </c>
      <c r="S57" s="86"/>
    </row>
    <row r="58" spans="1:19" ht="15.75" hidden="1">
      <c r="A58" s="104"/>
      <c r="B58" s="104"/>
      <c r="C58" s="78"/>
      <c r="D58" s="904">
        <v>3</v>
      </c>
      <c r="E58" s="1295" t="s">
        <v>1207</v>
      </c>
      <c r="F58" s="1301">
        <f t="shared" si="5"/>
        <v>0</v>
      </c>
      <c r="G58" s="1295" t="s">
        <v>111</v>
      </c>
      <c r="H58" s="1301">
        <f t="shared" si="6"/>
        <v>0</v>
      </c>
      <c r="I58" s="1295" t="s">
        <v>157</v>
      </c>
      <c r="J58" s="1301">
        <f t="shared" si="0"/>
        <v>0</v>
      </c>
      <c r="K58" s="1295" t="s">
        <v>961</v>
      </c>
      <c r="L58" s="1301">
        <f t="shared" si="1"/>
        <v>0</v>
      </c>
      <c r="M58" s="1295" t="s">
        <v>589</v>
      </c>
      <c r="N58" s="1301">
        <f t="shared" si="2"/>
        <v>0</v>
      </c>
      <c r="O58" s="1295" t="s">
        <v>602</v>
      </c>
      <c r="P58" s="1301">
        <f t="shared" si="3"/>
        <v>0</v>
      </c>
      <c r="Q58" s="1295" t="s">
        <v>1762</v>
      </c>
      <c r="R58" s="1301">
        <f t="shared" si="4"/>
        <v>0</v>
      </c>
      <c r="S58" s="86"/>
    </row>
    <row r="59" spans="1:19" ht="15.75" hidden="1">
      <c r="A59" s="104"/>
      <c r="B59" s="104"/>
      <c r="C59" s="78"/>
      <c r="D59" s="904">
        <v>4</v>
      </c>
      <c r="E59" s="1295" t="s">
        <v>1208</v>
      </c>
      <c r="F59" s="1301">
        <f t="shared" si="5"/>
        <v>0</v>
      </c>
      <c r="G59" s="1295" t="s">
        <v>112</v>
      </c>
      <c r="H59" s="1301">
        <f t="shared" si="6"/>
        <v>0</v>
      </c>
      <c r="I59" s="1295" t="s">
        <v>1863</v>
      </c>
      <c r="J59" s="1301">
        <f t="shared" si="0"/>
        <v>0</v>
      </c>
      <c r="K59" s="1295" t="s">
        <v>962</v>
      </c>
      <c r="L59" s="1301">
        <f t="shared" si="1"/>
        <v>0</v>
      </c>
      <c r="M59" s="1295" t="s">
        <v>590</v>
      </c>
      <c r="N59" s="1301">
        <f t="shared" si="2"/>
        <v>0</v>
      </c>
      <c r="O59" s="1295" t="s">
        <v>603</v>
      </c>
      <c r="P59" s="1301">
        <f t="shared" si="3"/>
        <v>0</v>
      </c>
      <c r="Q59" s="1295" t="s">
        <v>1763</v>
      </c>
      <c r="R59" s="1301">
        <f t="shared" si="4"/>
        <v>0</v>
      </c>
      <c r="S59" s="86"/>
    </row>
    <row r="60" spans="1:19" ht="15.75" hidden="1">
      <c r="A60" s="104"/>
      <c r="B60" s="104"/>
      <c r="C60" s="78"/>
      <c r="D60" s="904">
        <v>5</v>
      </c>
      <c r="E60" s="1295" t="s">
        <v>1209</v>
      </c>
      <c r="F60" s="1301">
        <f t="shared" si="5"/>
        <v>0</v>
      </c>
      <c r="G60" s="1295" t="s">
        <v>113</v>
      </c>
      <c r="H60" s="1301">
        <f t="shared" si="6"/>
        <v>0</v>
      </c>
      <c r="I60" s="1295" t="s">
        <v>1306</v>
      </c>
      <c r="J60" s="1301">
        <f t="shared" si="0"/>
        <v>0</v>
      </c>
      <c r="K60" s="1295" t="s">
        <v>963</v>
      </c>
      <c r="L60" s="1301">
        <f t="shared" si="1"/>
        <v>0</v>
      </c>
      <c r="M60" s="1295" t="s">
        <v>591</v>
      </c>
      <c r="N60" s="1301">
        <f t="shared" si="2"/>
        <v>0</v>
      </c>
      <c r="O60" s="1295" t="s">
        <v>604</v>
      </c>
      <c r="P60" s="1301">
        <f t="shared" si="3"/>
        <v>0</v>
      </c>
      <c r="Q60" s="1295" t="s">
        <v>1764</v>
      </c>
      <c r="R60" s="1301">
        <f t="shared" si="4"/>
        <v>0</v>
      </c>
      <c r="S60" s="86"/>
    </row>
    <row r="61" spans="1:19" ht="15.75" hidden="1">
      <c r="A61" s="104"/>
      <c r="B61" s="104"/>
      <c r="C61" s="78"/>
      <c r="D61" s="904">
        <v>6</v>
      </c>
      <c r="E61" s="1295" t="s">
        <v>1210</v>
      </c>
      <c r="F61" s="1301">
        <f t="shared" si="5"/>
        <v>0</v>
      </c>
      <c r="G61" s="1295" t="s">
        <v>114</v>
      </c>
      <c r="H61" s="1301">
        <f t="shared" si="6"/>
        <v>0</v>
      </c>
      <c r="I61" s="1295" t="s">
        <v>1307</v>
      </c>
      <c r="J61" s="1301">
        <f t="shared" si="0"/>
        <v>0</v>
      </c>
      <c r="K61" s="1295" t="s">
        <v>964</v>
      </c>
      <c r="L61" s="1301">
        <f t="shared" si="1"/>
        <v>0</v>
      </c>
      <c r="M61" s="1295" t="s">
        <v>592</v>
      </c>
      <c r="N61" s="1301">
        <f t="shared" si="2"/>
        <v>0</v>
      </c>
      <c r="O61" s="1295" t="s">
        <v>605</v>
      </c>
      <c r="P61" s="1301">
        <f t="shared" si="3"/>
        <v>0</v>
      </c>
      <c r="Q61" s="1295" t="s">
        <v>1765</v>
      </c>
      <c r="R61" s="1301">
        <f t="shared" si="4"/>
        <v>0</v>
      </c>
      <c r="S61" s="86"/>
    </row>
    <row r="62" spans="1:19" ht="15.75" hidden="1">
      <c r="A62" s="104"/>
      <c r="B62" s="104"/>
      <c r="C62" s="78"/>
      <c r="D62" s="904">
        <v>7</v>
      </c>
      <c r="E62" s="1295" t="s">
        <v>1211</v>
      </c>
      <c r="F62" s="1301">
        <f t="shared" si="5"/>
        <v>0</v>
      </c>
      <c r="G62" s="1295" t="s">
        <v>115</v>
      </c>
      <c r="H62" s="1301">
        <f t="shared" si="6"/>
        <v>0</v>
      </c>
      <c r="I62" s="1295" t="s">
        <v>1308</v>
      </c>
      <c r="J62" s="1301">
        <f t="shared" si="0"/>
        <v>0</v>
      </c>
      <c r="K62" s="1295" t="s">
        <v>965</v>
      </c>
      <c r="L62" s="1301">
        <f t="shared" si="1"/>
        <v>0</v>
      </c>
      <c r="M62" s="1295" t="s">
        <v>593</v>
      </c>
      <c r="N62" s="1301">
        <f t="shared" si="2"/>
        <v>0</v>
      </c>
      <c r="O62" s="1295" t="s">
        <v>606</v>
      </c>
      <c r="P62" s="1301">
        <f t="shared" si="3"/>
        <v>0</v>
      </c>
      <c r="Q62" s="1295" t="s">
        <v>1766</v>
      </c>
      <c r="R62" s="1301">
        <f t="shared" si="4"/>
        <v>0</v>
      </c>
      <c r="S62" s="86"/>
    </row>
    <row r="63" spans="1:19" ht="15.75" hidden="1">
      <c r="A63" s="104"/>
      <c r="B63" s="104"/>
      <c r="C63" s="78"/>
      <c r="D63" s="904">
        <v>8</v>
      </c>
      <c r="E63" s="1295" t="s">
        <v>1212</v>
      </c>
      <c r="F63" s="1301">
        <f t="shared" si="5"/>
        <v>0</v>
      </c>
      <c r="G63" s="1295" t="s">
        <v>116</v>
      </c>
      <c r="H63" s="1301">
        <f t="shared" si="6"/>
        <v>0</v>
      </c>
      <c r="I63" s="1295" t="s">
        <v>1309</v>
      </c>
      <c r="J63" s="1301">
        <f t="shared" si="0"/>
        <v>0</v>
      </c>
      <c r="K63" s="1295" t="s">
        <v>581</v>
      </c>
      <c r="L63" s="1301">
        <f t="shared" si="1"/>
        <v>0</v>
      </c>
      <c r="M63" s="1295" t="s">
        <v>594</v>
      </c>
      <c r="N63" s="1301">
        <f t="shared" si="2"/>
        <v>0</v>
      </c>
      <c r="O63" s="1295" t="s">
        <v>1682</v>
      </c>
      <c r="P63" s="1301">
        <f t="shared" si="3"/>
        <v>0</v>
      </c>
      <c r="Q63" s="1295" t="s">
        <v>1767</v>
      </c>
      <c r="R63" s="1301">
        <f t="shared" si="4"/>
        <v>0</v>
      </c>
      <c r="S63" s="86"/>
    </row>
    <row r="64" spans="1:19" ht="15.75" hidden="1">
      <c r="A64" s="104"/>
      <c r="B64" s="104"/>
      <c r="C64" s="78"/>
      <c r="D64" s="904">
        <v>9</v>
      </c>
      <c r="E64" s="1295" t="s">
        <v>1213</v>
      </c>
      <c r="F64" s="1301">
        <f t="shared" si="5"/>
        <v>0</v>
      </c>
      <c r="G64" s="1295" t="s">
        <v>117</v>
      </c>
      <c r="H64" s="1301">
        <f t="shared" si="6"/>
        <v>0</v>
      </c>
      <c r="I64" s="1295" t="s">
        <v>1310</v>
      </c>
      <c r="J64" s="1301">
        <f t="shared" si="0"/>
        <v>0</v>
      </c>
      <c r="K64" s="1295" t="s">
        <v>582</v>
      </c>
      <c r="L64" s="1301">
        <f t="shared" si="1"/>
        <v>0</v>
      </c>
      <c r="M64" s="1295" t="s">
        <v>595</v>
      </c>
      <c r="N64" s="1301">
        <f t="shared" si="2"/>
        <v>0</v>
      </c>
      <c r="O64" s="1295" t="s">
        <v>1683</v>
      </c>
      <c r="P64" s="1301">
        <f t="shared" si="3"/>
        <v>0</v>
      </c>
      <c r="Q64" s="1295" t="s">
        <v>1768</v>
      </c>
      <c r="R64" s="1301">
        <f t="shared" si="4"/>
        <v>0</v>
      </c>
      <c r="S64" s="86"/>
    </row>
    <row r="65" spans="1:19" ht="15.75" hidden="1">
      <c r="A65" s="104"/>
      <c r="B65" s="104"/>
      <c r="C65" s="78"/>
      <c r="D65" s="904">
        <v>10</v>
      </c>
      <c r="E65" s="1295" t="s">
        <v>1214</v>
      </c>
      <c r="F65" s="1301">
        <f t="shared" si="5"/>
        <v>0</v>
      </c>
      <c r="G65" s="1295" t="s">
        <v>118</v>
      </c>
      <c r="H65" s="1301">
        <f t="shared" si="6"/>
        <v>0</v>
      </c>
      <c r="I65" s="1295" t="s">
        <v>955</v>
      </c>
      <c r="J65" s="1301">
        <f t="shared" si="0"/>
        <v>0</v>
      </c>
      <c r="K65" s="1295" t="s">
        <v>583</v>
      </c>
      <c r="L65" s="1301">
        <f t="shared" si="1"/>
        <v>0</v>
      </c>
      <c r="M65" s="1295" t="s">
        <v>596</v>
      </c>
      <c r="N65" s="1301">
        <f t="shared" si="2"/>
        <v>0</v>
      </c>
      <c r="O65" s="1295" t="s">
        <v>1756</v>
      </c>
      <c r="P65" s="1301">
        <f t="shared" si="3"/>
        <v>0</v>
      </c>
      <c r="Q65" s="1295" t="s">
        <v>1738</v>
      </c>
      <c r="R65" s="1301">
        <f t="shared" si="4"/>
        <v>0</v>
      </c>
      <c r="S65" s="86"/>
    </row>
    <row r="66" spans="1:19" ht="15.75" hidden="1">
      <c r="A66" s="104"/>
      <c r="B66" s="104"/>
      <c r="C66" s="78"/>
      <c r="D66" s="904">
        <v>11</v>
      </c>
      <c r="E66" s="1295" t="s">
        <v>1215</v>
      </c>
      <c r="F66" s="1301">
        <f t="shared" si="5"/>
        <v>0</v>
      </c>
      <c r="G66" s="1295" t="s">
        <v>152</v>
      </c>
      <c r="H66" s="1301">
        <f t="shared" si="6"/>
        <v>0</v>
      </c>
      <c r="I66" s="1295" t="s">
        <v>956</v>
      </c>
      <c r="J66" s="1301">
        <f t="shared" si="0"/>
        <v>0</v>
      </c>
      <c r="K66" s="1295" t="s">
        <v>584</v>
      </c>
      <c r="L66" s="1301">
        <f t="shared" si="1"/>
        <v>0</v>
      </c>
      <c r="M66" s="1295" t="s">
        <v>597</v>
      </c>
      <c r="N66" s="1301">
        <f t="shared" si="2"/>
        <v>0</v>
      </c>
      <c r="O66" s="1295" t="s">
        <v>1757</v>
      </c>
      <c r="P66" s="1301">
        <f t="shared" si="3"/>
        <v>0</v>
      </c>
      <c r="Q66" s="1295" t="s">
        <v>1739</v>
      </c>
      <c r="R66" s="1301">
        <f t="shared" si="4"/>
        <v>0</v>
      </c>
      <c r="S66" s="86"/>
    </row>
    <row r="67" spans="1:19" ht="15.75" hidden="1">
      <c r="A67" s="104"/>
      <c r="B67" s="104"/>
      <c r="C67" s="78"/>
      <c r="D67" s="904">
        <v>12</v>
      </c>
      <c r="E67" s="1295" t="s">
        <v>65</v>
      </c>
      <c r="F67" s="1301">
        <f t="shared" si="5"/>
        <v>0</v>
      </c>
      <c r="G67" s="1295" t="s">
        <v>153</v>
      </c>
      <c r="H67" s="1301">
        <f t="shared" si="6"/>
        <v>0</v>
      </c>
      <c r="I67" s="1295" t="s">
        <v>957</v>
      </c>
      <c r="J67" s="1301">
        <f t="shared" si="0"/>
        <v>0</v>
      </c>
      <c r="K67" s="1295" t="s">
        <v>585</v>
      </c>
      <c r="L67" s="1301">
        <f t="shared" si="1"/>
        <v>0</v>
      </c>
      <c r="M67" s="1295" t="s">
        <v>598</v>
      </c>
      <c r="N67" s="1301">
        <f t="shared" si="2"/>
        <v>0</v>
      </c>
      <c r="O67" s="1295" t="s">
        <v>1758</v>
      </c>
      <c r="P67" s="1301">
        <f t="shared" si="3"/>
        <v>0</v>
      </c>
      <c r="Q67" s="1295" t="s">
        <v>1740</v>
      </c>
      <c r="R67" s="1301">
        <f t="shared" si="4"/>
        <v>0</v>
      </c>
      <c r="S67" s="86"/>
    </row>
    <row r="68" spans="1:19" ht="15.75" hidden="1">
      <c r="A68" s="104"/>
      <c r="B68" s="104"/>
      <c r="C68" s="78"/>
      <c r="D68" s="903" t="s">
        <v>645</v>
      </c>
      <c r="E68" s="1295"/>
      <c r="F68" s="1301">
        <f t="shared" si="5"/>
        <v>0</v>
      </c>
      <c r="G68" s="1295"/>
      <c r="H68" s="1301">
        <f t="shared" si="6"/>
        <v>0</v>
      </c>
      <c r="I68" s="1295"/>
      <c r="J68" s="1301">
        <f t="shared" si="0"/>
        <v>0</v>
      </c>
      <c r="K68" s="1295"/>
      <c r="L68" s="1301">
        <f t="shared" si="1"/>
        <v>0</v>
      </c>
      <c r="M68" s="1295"/>
      <c r="N68" s="1301">
        <f t="shared" si="2"/>
        <v>0</v>
      </c>
      <c r="O68" s="1295"/>
      <c r="P68" s="1301">
        <f t="shared" si="3"/>
        <v>0</v>
      </c>
      <c r="Q68" s="1295"/>
      <c r="R68" s="1301">
        <f t="shared" si="4"/>
        <v>0</v>
      </c>
      <c r="S68" s="86"/>
    </row>
    <row r="69" spans="1:19" ht="15.75" hidden="1">
      <c r="A69" s="104"/>
      <c r="B69" s="104"/>
      <c r="C69" s="78"/>
      <c r="D69" s="1297" t="s">
        <v>788</v>
      </c>
      <c r="E69" s="1298"/>
      <c r="F69" s="1299"/>
      <c r="G69" s="1298"/>
      <c r="H69" s="1299"/>
      <c r="I69" s="1299"/>
      <c r="J69" s="1299"/>
      <c r="K69" s="1299"/>
      <c r="L69" s="1299"/>
      <c r="M69" s="1299"/>
      <c r="N69" s="1299"/>
      <c r="O69" s="1299"/>
      <c r="P69" s="1300"/>
      <c r="Q69" s="1295" t="s">
        <v>1741</v>
      </c>
      <c r="R69" s="1301">
        <f t="shared" si="4"/>
        <v>0</v>
      </c>
      <c r="S69" s="86"/>
    </row>
    <row r="70" spans="1:19" ht="15.75" hidden="1">
      <c r="A70" s="104"/>
      <c r="B70" s="27" t="s">
        <v>2139</v>
      </c>
      <c r="C70" s="78"/>
      <c r="D70" s="78"/>
      <c r="E70" s="78"/>
      <c r="F70" s="78"/>
      <c r="G70" s="78"/>
      <c r="H70" s="78"/>
      <c r="I70" s="78"/>
      <c r="J70" s="78"/>
      <c r="K70" s="78"/>
      <c r="L70" s="78"/>
      <c r="M70" s="78"/>
      <c r="N70" s="78"/>
      <c r="O70" s="78"/>
      <c r="P70" s="78"/>
      <c r="Q70" s="1295" t="s">
        <v>1742</v>
      </c>
      <c r="R70" s="1301">
        <f t="shared" si="4"/>
        <v>0</v>
      </c>
      <c r="S70" s="86"/>
    </row>
    <row r="71" spans="1:19" ht="15.75">
      <c r="A71" s="104"/>
      <c r="B71" s="104"/>
      <c r="C71" s="78"/>
      <c r="D71" s="78"/>
      <c r="E71" s="78"/>
      <c r="F71" s="1302"/>
      <c r="G71" s="1302"/>
      <c r="H71" s="1303"/>
      <c r="I71" s="1303"/>
      <c r="J71" s="1303"/>
      <c r="K71" s="1303"/>
      <c r="L71" s="1302"/>
      <c r="M71" s="1302"/>
      <c r="N71" s="1302"/>
      <c r="O71" s="1302"/>
      <c r="P71" s="1303"/>
      <c r="Q71" s="1303"/>
      <c r="R71" s="1303"/>
      <c r="S71" s="86"/>
    </row>
    <row r="72" spans="1:19" ht="15.75">
      <c r="A72" s="104">
        <v>7.2</v>
      </c>
      <c r="B72" s="27" t="s">
        <v>1203</v>
      </c>
      <c r="C72" s="78"/>
      <c r="D72" s="78"/>
      <c r="E72" s="78"/>
      <c r="F72" s="1286"/>
      <c r="G72" s="1286"/>
      <c r="H72" s="1304"/>
      <c r="I72" s="1305" t="s">
        <v>806</v>
      </c>
      <c r="J72" s="78"/>
      <c r="K72" s="1304"/>
      <c r="L72" s="1306"/>
      <c r="M72" s="1306"/>
      <c r="N72" s="1306"/>
      <c r="O72" s="1306"/>
      <c r="P72" s="1304"/>
      <c r="Q72" s="1304"/>
      <c r="R72" s="1304"/>
      <c r="S72" s="86">
        <v>7.2</v>
      </c>
    </row>
    <row r="73" spans="1:19" ht="45.75">
      <c r="A73" s="104"/>
      <c r="B73" s="104"/>
      <c r="C73" s="78"/>
      <c r="D73" s="1291" t="s">
        <v>1437</v>
      </c>
      <c r="E73" s="1291"/>
      <c r="F73" s="1307" t="s">
        <v>1438</v>
      </c>
      <c r="G73" s="1307"/>
      <c r="H73" s="1308" t="s">
        <v>1439</v>
      </c>
      <c r="I73" s="1308"/>
      <c r="J73" s="1308" t="s">
        <v>1440</v>
      </c>
      <c r="K73" s="1308"/>
      <c r="L73" s="1307" t="s">
        <v>1441</v>
      </c>
      <c r="M73" s="1307"/>
      <c r="N73" s="1307" t="s">
        <v>1442</v>
      </c>
      <c r="O73" s="1307"/>
      <c r="P73" s="1308" t="s">
        <v>1443</v>
      </c>
      <c r="Q73" s="1308"/>
      <c r="R73" s="1308" t="s">
        <v>1444</v>
      </c>
      <c r="S73" s="86"/>
    </row>
    <row r="74" spans="1:19" ht="15.75">
      <c r="A74" s="104"/>
      <c r="B74" s="104"/>
      <c r="C74" s="78"/>
      <c r="D74" s="904" t="s">
        <v>1445</v>
      </c>
      <c r="E74" s="1295" t="s">
        <v>1743</v>
      </c>
      <c r="F74" s="1296"/>
      <c r="G74" s="1295" t="s">
        <v>1800</v>
      </c>
      <c r="H74" s="1296"/>
      <c r="I74" s="1295" t="s">
        <v>2042</v>
      </c>
      <c r="J74" s="1296"/>
      <c r="K74" s="1295" t="s">
        <v>765</v>
      </c>
      <c r="L74" s="1296"/>
      <c r="M74" s="1295" t="s">
        <v>778</v>
      </c>
      <c r="N74" s="1296"/>
      <c r="O74" s="1295" t="s">
        <v>673</v>
      </c>
      <c r="P74" s="1296"/>
      <c r="Q74" s="1295" t="s">
        <v>1073</v>
      </c>
      <c r="R74" s="1296"/>
      <c r="S74" s="86"/>
    </row>
    <row r="75" spans="1:19" ht="15.75">
      <c r="A75" s="104"/>
      <c r="B75" s="104"/>
      <c r="C75" s="78"/>
      <c r="D75" s="904">
        <v>1</v>
      </c>
      <c r="E75" s="1295" t="s">
        <v>1744</v>
      </c>
      <c r="F75" s="1296"/>
      <c r="G75" s="1295" t="s">
        <v>1801</v>
      </c>
      <c r="H75" s="1296"/>
      <c r="I75" s="1295" t="s">
        <v>2043</v>
      </c>
      <c r="J75" s="1296"/>
      <c r="K75" s="1295" t="s">
        <v>766</v>
      </c>
      <c r="L75" s="1296"/>
      <c r="M75" s="1295" t="s">
        <v>779</v>
      </c>
      <c r="N75" s="1296"/>
      <c r="O75" s="1295" t="s">
        <v>674</v>
      </c>
      <c r="P75" s="1296"/>
      <c r="Q75" s="1295" t="s">
        <v>1074</v>
      </c>
      <c r="R75" s="1296"/>
      <c r="S75" s="86"/>
    </row>
    <row r="76" spans="1:19" ht="15.75">
      <c r="A76" s="104"/>
      <c r="B76" s="104"/>
      <c r="C76" s="78"/>
      <c r="D76" s="904">
        <v>2</v>
      </c>
      <c r="E76" s="1295" t="s">
        <v>529</v>
      </c>
      <c r="F76" s="1296"/>
      <c r="G76" s="1295" t="s">
        <v>1802</v>
      </c>
      <c r="H76" s="1296"/>
      <c r="I76" s="1295" t="s">
        <v>2044</v>
      </c>
      <c r="J76" s="1296"/>
      <c r="K76" s="1295" t="s">
        <v>767</v>
      </c>
      <c r="L76" s="1296"/>
      <c r="M76" s="1295" t="s">
        <v>780</v>
      </c>
      <c r="N76" s="1296"/>
      <c r="O76" s="1295" t="s">
        <v>1300</v>
      </c>
      <c r="P76" s="1296"/>
      <c r="Q76" s="1295" t="s">
        <v>1075</v>
      </c>
      <c r="R76" s="1296"/>
      <c r="S76" s="86"/>
    </row>
    <row r="77" spans="1:19" ht="15.75">
      <c r="A77" s="104"/>
      <c r="B77" s="104"/>
      <c r="C77" s="78"/>
      <c r="D77" s="904">
        <v>3</v>
      </c>
      <c r="E77" s="1295" t="s">
        <v>530</v>
      </c>
      <c r="F77" s="1296"/>
      <c r="G77" s="1295" t="s">
        <v>1803</v>
      </c>
      <c r="H77" s="1296"/>
      <c r="I77" s="1295" t="s">
        <v>2045</v>
      </c>
      <c r="J77" s="1296"/>
      <c r="K77" s="1295" t="s">
        <v>768</v>
      </c>
      <c r="L77" s="1296"/>
      <c r="M77" s="1295" t="s">
        <v>781</v>
      </c>
      <c r="N77" s="1296"/>
      <c r="O77" s="1295" t="s">
        <v>1301</v>
      </c>
      <c r="P77" s="1296"/>
      <c r="Q77" s="1295" t="s">
        <v>1076</v>
      </c>
      <c r="R77" s="1296"/>
      <c r="S77" s="86"/>
    </row>
    <row r="78" spans="1:19" ht="15.75">
      <c r="A78" s="104"/>
      <c r="B78" s="104"/>
      <c r="C78" s="78"/>
      <c r="D78" s="904">
        <v>4</v>
      </c>
      <c r="E78" s="1295" t="s">
        <v>531</v>
      </c>
      <c r="F78" s="1296"/>
      <c r="G78" s="1295" t="s">
        <v>1804</v>
      </c>
      <c r="H78" s="1296"/>
      <c r="I78" s="1295" t="s">
        <v>2046</v>
      </c>
      <c r="J78" s="1296"/>
      <c r="K78" s="1295" t="s">
        <v>769</v>
      </c>
      <c r="L78" s="1296"/>
      <c r="M78" s="1295" t="s">
        <v>782</v>
      </c>
      <c r="N78" s="1296"/>
      <c r="O78" s="1295" t="s">
        <v>1302</v>
      </c>
      <c r="P78" s="1296"/>
      <c r="Q78" s="1295" t="s">
        <v>1969</v>
      </c>
      <c r="R78" s="1296"/>
      <c r="S78" s="86"/>
    </row>
    <row r="79" spans="1:19" ht="15.75">
      <c r="A79" s="104"/>
      <c r="B79" s="104"/>
      <c r="C79" s="78"/>
      <c r="D79" s="904">
        <v>5</v>
      </c>
      <c r="E79" s="1295" t="s">
        <v>532</v>
      </c>
      <c r="F79" s="1296"/>
      <c r="G79" s="1295" t="s">
        <v>1805</v>
      </c>
      <c r="H79" s="1296"/>
      <c r="I79" s="1295" t="s">
        <v>2047</v>
      </c>
      <c r="J79" s="1296"/>
      <c r="K79" s="1295" t="s">
        <v>770</v>
      </c>
      <c r="L79" s="1296"/>
      <c r="M79" s="1295" t="s">
        <v>783</v>
      </c>
      <c r="N79" s="1296"/>
      <c r="O79" s="1295" t="s">
        <v>1303</v>
      </c>
      <c r="P79" s="1296"/>
      <c r="Q79" s="1295" t="s">
        <v>1970</v>
      </c>
      <c r="R79" s="1296"/>
      <c r="S79" s="86"/>
    </row>
    <row r="80" spans="1:19" ht="15.75">
      <c r="A80" s="104"/>
      <c r="B80" s="104"/>
      <c r="C80" s="78"/>
      <c r="D80" s="904">
        <v>6</v>
      </c>
      <c r="E80" s="1295" t="s">
        <v>533</v>
      </c>
      <c r="F80" s="1296"/>
      <c r="G80" s="1295" t="s">
        <v>1806</v>
      </c>
      <c r="H80" s="1296"/>
      <c r="I80" s="1295" t="s">
        <v>2048</v>
      </c>
      <c r="J80" s="1296"/>
      <c r="K80" s="1295" t="s">
        <v>771</v>
      </c>
      <c r="L80" s="1296"/>
      <c r="M80" s="1295" t="s">
        <v>666</v>
      </c>
      <c r="N80" s="1296"/>
      <c r="O80" s="1295" t="s">
        <v>1304</v>
      </c>
      <c r="P80" s="1296"/>
      <c r="Q80" s="1295" t="s">
        <v>1971</v>
      </c>
      <c r="R80" s="1296"/>
      <c r="S80" s="86"/>
    </row>
    <row r="81" spans="1:19" ht="15.75">
      <c r="A81" s="104"/>
      <c r="B81" s="104"/>
      <c r="C81" s="78"/>
      <c r="D81" s="904">
        <v>7</v>
      </c>
      <c r="E81" s="1295" t="s">
        <v>534</v>
      </c>
      <c r="F81" s="1296"/>
      <c r="G81" s="1295" t="s">
        <v>1807</v>
      </c>
      <c r="H81" s="1296"/>
      <c r="I81" s="1295" t="s">
        <v>2049</v>
      </c>
      <c r="J81" s="1296"/>
      <c r="K81" s="1295" t="s">
        <v>772</v>
      </c>
      <c r="L81" s="1296"/>
      <c r="M81" s="1295" t="s">
        <v>667</v>
      </c>
      <c r="N81" s="1296"/>
      <c r="O81" s="1295" t="s">
        <v>253</v>
      </c>
      <c r="P81" s="1296"/>
      <c r="Q81" s="1295" t="s">
        <v>1972</v>
      </c>
      <c r="R81" s="1296"/>
      <c r="S81" s="86"/>
    </row>
    <row r="82" spans="1:19" ht="15.75">
      <c r="A82" s="104"/>
      <c r="B82" s="104"/>
      <c r="C82" s="78"/>
      <c r="D82" s="904">
        <v>8</v>
      </c>
      <c r="E82" s="1295" t="s">
        <v>535</v>
      </c>
      <c r="F82" s="1296"/>
      <c r="G82" s="1295" t="s">
        <v>1808</v>
      </c>
      <c r="H82" s="1296"/>
      <c r="I82" s="1295" t="s">
        <v>1199</v>
      </c>
      <c r="J82" s="1296"/>
      <c r="K82" s="1295" t="s">
        <v>773</v>
      </c>
      <c r="L82" s="1296"/>
      <c r="M82" s="1295" t="s">
        <v>668</v>
      </c>
      <c r="N82" s="1296"/>
      <c r="O82" s="1295" t="s">
        <v>254</v>
      </c>
      <c r="P82" s="1296"/>
      <c r="Q82" s="1295" t="s">
        <v>1107</v>
      </c>
      <c r="R82" s="1296"/>
      <c r="S82" s="86"/>
    </row>
    <row r="83" spans="1:19" ht="15.75">
      <c r="A83" s="104"/>
      <c r="B83" s="104"/>
      <c r="C83" s="78"/>
      <c r="D83" s="904">
        <v>9</v>
      </c>
      <c r="E83" s="1295" t="s">
        <v>536</v>
      </c>
      <c r="F83" s="1296"/>
      <c r="G83" s="1295" t="s">
        <v>1809</v>
      </c>
      <c r="H83" s="1296"/>
      <c r="I83" s="1295" t="s">
        <v>1200</v>
      </c>
      <c r="J83" s="1296"/>
      <c r="K83" s="1295" t="s">
        <v>774</v>
      </c>
      <c r="L83" s="1296"/>
      <c r="M83" s="1295" t="s">
        <v>669</v>
      </c>
      <c r="N83" s="1296"/>
      <c r="O83" s="1295" t="s">
        <v>255</v>
      </c>
      <c r="P83" s="1296"/>
      <c r="Q83" s="1295" t="s">
        <v>1108</v>
      </c>
      <c r="R83" s="1296"/>
      <c r="S83" s="86"/>
    </row>
    <row r="84" spans="1:19" ht="15.75">
      <c r="A84" s="104"/>
      <c r="B84" s="104"/>
      <c r="C84" s="78"/>
      <c r="D84" s="904">
        <v>10</v>
      </c>
      <c r="E84" s="1295" t="s">
        <v>1797</v>
      </c>
      <c r="F84" s="1296"/>
      <c r="G84" s="1295" t="s">
        <v>1810</v>
      </c>
      <c r="H84" s="1296"/>
      <c r="I84" s="1295" t="s">
        <v>762</v>
      </c>
      <c r="J84" s="1296"/>
      <c r="K84" s="1295" t="s">
        <v>775</v>
      </c>
      <c r="L84" s="1296"/>
      <c r="M84" s="1295" t="s">
        <v>670</v>
      </c>
      <c r="N84" s="1296"/>
      <c r="O84" s="1295" t="s">
        <v>256</v>
      </c>
      <c r="P84" s="1296"/>
      <c r="Q84" s="1295" t="s">
        <v>1141</v>
      </c>
      <c r="R84" s="1296"/>
      <c r="S84" s="86"/>
    </row>
    <row r="85" spans="1:19" ht="15.75">
      <c r="A85" s="104"/>
      <c r="B85" s="104"/>
      <c r="C85" s="78"/>
      <c r="D85" s="904">
        <v>11</v>
      </c>
      <c r="E85" s="1295" t="s">
        <v>1798</v>
      </c>
      <c r="F85" s="1296"/>
      <c r="G85" s="1295" t="s">
        <v>1811</v>
      </c>
      <c r="H85" s="1296"/>
      <c r="I85" s="1295" t="s">
        <v>763</v>
      </c>
      <c r="J85" s="1296"/>
      <c r="K85" s="1295" t="s">
        <v>776</v>
      </c>
      <c r="L85" s="1296"/>
      <c r="M85" s="1295" t="s">
        <v>671</v>
      </c>
      <c r="N85" s="1296"/>
      <c r="O85" s="1295" t="s">
        <v>1071</v>
      </c>
      <c r="P85" s="1296"/>
      <c r="Q85" s="1295" t="s">
        <v>1142</v>
      </c>
      <c r="R85" s="1296"/>
      <c r="S85" s="86"/>
    </row>
    <row r="86" spans="1:19" ht="15.75">
      <c r="A86" s="104"/>
      <c r="B86" s="104"/>
      <c r="C86" s="78"/>
      <c r="D86" s="904">
        <v>12</v>
      </c>
      <c r="E86" s="1295" t="s">
        <v>1799</v>
      </c>
      <c r="F86" s="1296"/>
      <c r="G86" s="1295" t="s">
        <v>2041</v>
      </c>
      <c r="H86" s="1296"/>
      <c r="I86" s="1295" t="s">
        <v>764</v>
      </c>
      <c r="J86" s="1296"/>
      <c r="K86" s="1295" t="s">
        <v>777</v>
      </c>
      <c r="L86" s="1296"/>
      <c r="M86" s="1295" t="s">
        <v>672</v>
      </c>
      <c r="N86" s="1296"/>
      <c r="O86" s="1295" t="s">
        <v>1072</v>
      </c>
      <c r="P86" s="1296"/>
      <c r="Q86" s="1295" t="s">
        <v>1143</v>
      </c>
      <c r="R86" s="1296"/>
      <c r="S86" s="86"/>
    </row>
    <row r="87" spans="1:19" ht="15.75">
      <c r="A87" s="104"/>
      <c r="B87" s="104"/>
      <c r="C87" s="78"/>
      <c r="D87" s="903" t="s">
        <v>645</v>
      </c>
      <c r="E87" s="1295"/>
      <c r="F87" s="1296"/>
      <c r="G87" s="1295"/>
      <c r="H87" s="1296"/>
      <c r="I87" s="1295"/>
      <c r="J87" s="1296"/>
      <c r="K87" s="1295"/>
      <c r="L87" s="1296"/>
      <c r="M87" s="1295"/>
      <c r="N87" s="1296"/>
      <c r="O87" s="1295"/>
      <c r="P87" s="1296"/>
      <c r="Q87" s="1295"/>
      <c r="R87" s="1296"/>
      <c r="S87" s="86"/>
    </row>
    <row r="88" spans="1:19" ht="15.75">
      <c r="A88" s="104"/>
      <c r="B88" s="104"/>
      <c r="C88" s="78"/>
      <c r="D88" s="1297" t="s">
        <v>788</v>
      </c>
      <c r="E88" s="1298"/>
      <c r="F88" s="1299"/>
      <c r="G88" s="1298"/>
      <c r="H88" s="1299"/>
      <c r="I88" s="1299"/>
      <c r="J88" s="1299"/>
      <c r="K88" s="1299"/>
      <c r="L88" s="1299"/>
      <c r="M88" s="1299"/>
      <c r="N88" s="1299"/>
      <c r="O88" s="1299"/>
      <c r="P88" s="1300"/>
      <c r="Q88" s="1295" t="s">
        <v>1144</v>
      </c>
      <c r="R88" s="1296"/>
      <c r="S88" s="86"/>
    </row>
    <row r="89" spans="1:19" ht="15.75">
      <c r="A89" s="104"/>
      <c r="B89" s="27" t="s">
        <v>2140</v>
      </c>
      <c r="C89" s="78"/>
      <c r="D89" s="78"/>
      <c r="E89" s="78"/>
      <c r="F89" s="78"/>
      <c r="G89" s="78"/>
      <c r="H89" s="78"/>
      <c r="I89" s="78"/>
      <c r="J89" s="78"/>
      <c r="K89" s="78"/>
      <c r="L89" s="78"/>
      <c r="M89" s="78"/>
      <c r="N89" s="78"/>
      <c r="O89" s="78"/>
      <c r="P89" s="78"/>
      <c r="Q89" s="1295" t="s">
        <v>967</v>
      </c>
      <c r="R89" s="1301">
        <f>SUM(R74:R88)+SUM(F74:F87)+SUM(J74:J87)+SUM(L74:L87)+SUM(N74:N87)+SUM(P74:P87)+SUM(H74:H87)</f>
        <v>0</v>
      </c>
      <c r="S89" s="86"/>
    </row>
    <row r="90" spans="1:19" ht="15.75">
      <c r="A90" s="104"/>
      <c r="B90" s="104"/>
      <c r="C90" s="78"/>
      <c r="D90" s="78"/>
      <c r="E90" s="78"/>
      <c r="F90" s="941"/>
      <c r="G90" s="941"/>
      <c r="H90" s="78"/>
      <c r="I90" s="78"/>
      <c r="J90" s="78"/>
      <c r="K90" s="78"/>
      <c r="L90" s="1245"/>
      <c r="M90" s="1245"/>
      <c r="N90" s="1278"/>
      <c r="O90" s="1278"/>
      <c r="P90" s="78"/>
      <c r="Q90" s="78"/>
      <c r="R90" s="78"/>
      <c r="S90" s="86"/>
    </row>
    <row r="91" spans="1:19" ht="15.75">
      <c r="A91" s="104">
        <v>7.3</v>
      </c>
      <c r="B91" s="104" t="s">
        <v>2969</v>
      </c>
      <c r="C91" s="78"/>
      <c r="D91" s="78"/>
      <c r="E91" s="78"/>
      <c r="F91" s="941"/>
      <c r="G91" s="941"/>
      <c r="H91" s="78"/>
      <c r="I91" s="78"/>
      <c r="J91" s="78"/>
      <c r="K91" s="78"/>
      <c r="L91" s="1245"/>
      <c r="M91" s="1245"/>
      <c r="N91" s="1278"/>
      <c r="O91" s="1278"/>
      <c r="P91" s="78"/>
      <c r="Q91" s="78"/>
      <c r="R91" s="78"/>
      <c r="S91" s="86"/>
    </row>
    <row r="92" spans="1:19" ht="45.75">
      <c r="A92" s="78"/>
      <c r="B92" s="104"/>
      <c r="C92" s="78"/>
      <c r="D92" s="1291" t="s">
        <v>1437</v>
      </c>
      <c r="E92" s="1291"/>
      <c r="F92" s="1292" t="s">
        <v>1438</v>
      </c>
      <c r="G92" s="1292"/>
      <c r="H92" s="1234" t="s">
        <v>1439</v>
      </c>
      <c r="I92" s="1234"/>
      <c r="J92" s="1234" t="s">
        <v>1440</v>
      </c>
      <c r="K92" s="1234"/>
      <c r="L92" s="1293" t="s">
        <v>1441</v>
      </c>
      <c r="M92" s="1293"/>
      <c r="N92" s="1294" t="s">
        <v>1442</v>
      </c>
      <c r="O92" s="1294"/>
      <c r="P92" s="1234" t="s">
        <v>1443</v>
      </c>
      <c r="Q92" s="1234"/>
      <c r="R92" s="1234" t="s">
        <v>1444</v>
      </c>
      <c r="S92" s="86">
        <f>A91</f>
        <v>7.3</v>
      </c>
    </row>
    <row r="93" spans="1:19" ht="15.75">
      <c r="A93" s="104"/>
      <c r="B93" s="104"/>
      <c r="C93" s="78"/>
      <c r="D93" s="904" t="s">
        <v>1445</v>
      </c>
      <c r="E93" s="1234"/>
      <c r="F93" s="1310">
        <v>0.58250000000000002</v>
      </c>
      <c r="G93" s="1310"/>
      <c r="H93" s="1311">
        <f t="shared" ref="H93:H103" si="7">+F93</f>
        <v>0.58250000000000002</v>
      </c>
      <c r="I93" s="1311"/>
      <c r="J93" s="1311">
        <f t="shared" ref="J93:J103" si="8">+H93</f>
        <v>0.58250000000000002</v>
      </c>
      <c r="K93" s="1311"/>
      <c r="L93" s="1310">
        <v>0.61780000000000002</v>
      </c>
      <c r="M93" s="1310"/>
      <c r="N93" s="1310">
        <v>0.64780000000000004</v>
      </c>
      <c r="O93" s="1310"/>
      <c r="P93" s="1311">
        <v>0.70340000000000003</v>
      </c>
      <c r="Q93" s="1311"/>
      <c r="R93" s="1311">
        <v>0.74270000000000003</v>
      </c>
      <c r="S93" s="86"/>
    </row>
    <row r="94" spans="1:19" ht="15.75">
      <c r="A94" s="104"/>
      <c r="B94" s="104"/>
      <c r="C94" s="78"/>
      <c r="D94" s="904">
        <v>1</v>
      </c>
      <c r="E94" s="907"/>
      <c r="F94" s="1310">
        <v>0.61850000000000005</v>
      </c>
      <c r="G94" s="1310"/>
      <c r="H94" s="1311">
        <f t="shared" si="7"/>
        <v>0.61850000000000005</v>
      </c>
      <c r="I94" s="1311"/>
      <c r="J94" s="1311">
        <f t="shared" si="8"/>
        <v>0.61850000000000005</v>
      </c>
      <c r="K94" s="1311"/>
      <c r="L94" s="1310">
        <v>0.65569999999999995</v>
      </c>
      <c r="M94" s="1310"/>
      <c r="N94" s="1310">
        <v>0.68820000000000003</v>
      </c>
      <c r="O94" s="1310"/>
      <c r="P94" s="1311">
        <v>0.74870000000000003</v>
      </c>
      <c r="Q94" s="1311"/>
      <c r="R94" s="1311">
        <v>0.78979999999999995</v>
      </c>
      <c r="S94" s="86"/>
    </row>
    <row r="95" spans="1:19" ht="15.75">
      <c r="A95" s="104"/>
      <c r="B95" s="104"/>
      <c r="C95" s="78"/>
      <c r="D95" s="904">
        <v>2</v>
      </c>
      <c r="E95" s="907"/>
      <c r="F95" s="1310">
        <v>0.65620000000000001</v>
      </c>
      <c r="G95" s="1310"/>
      <c r="H95" s="1311">
        <f t="shared" si="7"/>
        <v>0.65620000000000001</v>
      </c>
      <c r="I95" s="1311"/>
      <c r="J95" s="1311">
        <f t="shared" si="8"/>
        <v>0.65620000000000001</v>
      </c>
      <c r="K95" s="1311"/>
      <c r="L95" s="1310">
        <v>0.69579999999999997</v>
      </c>
      <c r="M95" s="1310"/>
      <c r="N95" s="1310">
        <v>0.73080000000000001</v>
      </c>
      <c r="O95" s="1310"/>
      <c r="P95" s="1311">
        <v>0.79600000000000004</v>
      </c>
      <c r="Q95" s="1311"/>
      <c r="R95" s="1311">
        <v>0.8397</v>
      </c>
      <c r="S95" s="86"/>
    </row>
    <row r="96" spans="1:19" ht="15.75">
      <c r="A96" s="104"/>
      <c r="B96" s="104"/>
      <c r="C96" s="78"/>
      <c r="D96" s="904">
        <v>3</v>
      </c>
      <c r="E96" s="907"/>
      <c r="F96" s="1310">
        <v>0.69410000000000005</v>
      </c>
      <c r="G96" s="1310"/>
      <c r="H96" s="1311">
        <f t="shared" si="7"/>
        <v>0.69410000000000005</v>
      </c>
      <c r="I96" s="1311"/>
      <c r="J96" s="1311">
        <f t="shared" si="8"/>
        <v>0.69410000000000005</v>
      </c>
      <c r="K96" s="1311"/>
      <c r="L96" s="1310">
        <v>0.7359</v>
      </c>
      <c r="M96" s="1310"/>
      <c r="N96" s="1310">
        <v>0.77290000000000003</v>
      </c>
      <c r="O96" s="1310"/>
      <c r="P96" s="1311">
        <v>0.84330000000000005</v>
      </c>
      <c r="Q96" s="1311"/>
      <c r="R96" s="1311">
        <v>0.88970000000000005</v>
      </c>
      <c r="S96" s="86"/>
    </row>
    <row r="97" spans="1:19" ht="15.75">
      <c r="A97" s="104"/>
      <c r="B97" s="104"/>
      <c r="C97" s="78"/>
      <c r="D97" s="904">
        <v>4</v>
      </c>
      <c r="E97" s="907"/>
      <c r="F97" s="1310">
        <v>0.73350000000000004</v>
      </c>
      <c r="G97" s="1310"/>
      <c r="H97" s="1311">
        <f t="shared" si="7"/>
        <v>0.73350000000000004</v>
      </c>
      <c r="I97" s="1311"/>
      <c r="J97" s="1311">
        <f t="shared" si="8"/>
        <v>0.73350000000000004</v>
      </c>
      <c r="K97" s="1311"/>
      <c r="L97" s="1310">
        <v>0.7772</v>
      </c>
      <c r="M97" s="1310"/>
      <c r="N97" s="1310">
        <v>0.8165</v>
      </c>
      <c r="O97" s="1310"/>
      <c r="P97" s="1311">
        <v>0.89159999999999995</v>
      </c>
      <c r="Q97" s="1311"/>
      <c r="R97" s="1311">
        <v>0.94179999999999997</v>
      </c>
      <c r="S97" s="86"/>
    </row>
    <row r="98" spans="1:19" ht="15.75">
      <c r="A98" s="104"/>
      <c r="B98" s="104"/>
      <c r="C98" s="78"/>
      <c r="D98" s="904">
        <v>5</v>
      </c>
      <c r="E98" s="907"/>
      <c r="F98" s="1310">
        <v>0.77249999999999996</v>
      </c>
      <c r="G98" s="1310"/>
      <c r="H98" s="1311">
        <f t="shared" si="7"/>
        <v>0.77249999999999996</v>
      </c>
      <c r="I98" s="1311"/>
      <c r="J98" s="1311">
        <f t="shared" si="8"/>
        <v>0.77249999999999996</v>
      </c>
      <c r="K98" s="1311"/>
      <c r="L98" s="1310">
        <v>0.81850000000000001</v>
      </c>
      <c r="M98" s="1310"/>
      <c r="N98" s="1310">
        <v>0.86</v>
      </c>
      <c r="O98" s="1310"/>
      <c r="P98" s="1311">
        <v>0.93979999999999997</v>
      </c>
      <c r="Q98" s="1311"/>
      <c r="R98" s="1311">
        <v>0.99319999999999997</v>
      </c>
      <c r="S98" s="86"/>
    </row>
    <row r="99" spans="1:19" ht="15.75">
      <c r="A99" s="104"/>
      <c r="B99" s="104"/>
      <c r="C99" s="78"/>
      <c r="D99" s="904">
        <v>6</v>
      </c>
      <c r="E99" s="907"/>
      <c r="F99" s="1310">
        <v>0.81040000000000001</v>
      </c>
      <c r="G99" s="1310"/>
      <c r="H99" s="1311">
        <f t="shared" si="7"/>
        <v>0.81040000000000001</v>
      </c>
      <c r="I99" s="1311"/>
      <c r="J99" s="1311">
        <f t="shared" si="8"/>
        <v>0.81040000000000001</v>
      </c>
      <c r="K99" s="1311"/>
      <c r="L99" s="1310">
        <v>0.8599</v>
      </c>
      <c r="M99" s="1310"/>
      <c r="N99" s="1310">
        <v>0.90349999999999997</v>
      </c>
      <c r="O99" s="1310"/>
      <c r="P99" s="1311">
        <v>0.98809999999999998</v>
      </c>
      <c r="Q99" s="1311"/>
      <c r="R99" s="1311">
        <v>1.0452999999999999</v>
      </c>
      <c r="S99" s="86"/>
    </row>
    <row r="100" spans="1:19" ht="15.75">
      <c r="A100" s="104"/>
      <c r="B100" s="104"/>
      <c r="C100" s="78"/>
      <c r="D100" s="904">
        <v>7</v>
      </c>
      <c r="E100" s="907"/>
      <c r="F100" s="1310">
        <v>0.85019999999999996</v>
      </c>
      <c r="G100" s="1310"/>
      <c r="H100" s="1311">
        <f t="shared" si="7"/>
        <v>0.85019999999999996</v>
      </c>
      <c r="I100" s="1311"/>
      <c r="J100" s="1311">
        <f t="shared" si="8"/>
        <v>0.85019999999999996</v>
      </c>
      <c r="K100" s="1311"/>
      <c r="L100" s="1310">
        <v>0.90129999999999999</v>
      </c>
      <c r="M100" s="1310"/>
      <c r="N100" s="1310">
        <v>0.94750000000000001</v>
      </c>
      <c r="O100" s="1310"/>
      <c r="P100" s="1311">
        <v>1.0367</v>
      </c>
      <c r="Q100" s="1311"/>
      <c r="R100" s="1311">
        <v>1.0972999999999999</v>
      </c>
      <c r="S100" s="86"/>
    </row>
    <row r="101" spans="1:19" ht="15.75">
      <c r="A101" s="104"/>
      <c r="B101" s="104"/>
      <c r="C101" s="78"/>
      <c r="D101" s="904">
        <v>8</v>
      </c>
      <c r="E101" s="907"/>
      <c r="F101" s="1310">
        <v>0.89080000000000004</v>
      </c>
      <c r="G101" s="1310"/>
      <c r="H101" s="1311">
        <f t="shared" si="7"/>
        <v>0.89080000000000004</v>
      </c>
      <c r="I101" s="1311"/>
      <c r="J101" s="1311">
        <f t="shared" si="8"/>
        <v>0.89080000000000004</v>
      </c>
      <c r="K101" s="1311"/>
      <c r="L101" s="1310">
        <v>0.94350000000000001</v>
      </c>
      <c r="M101" s="1310"/>
      <c r="N101" s="1310">
        <v>0.9919</v>
      </c>
      <c r="O101" s="1310"/>
      <c r="P101" s="1311">
        <v>1.0855999999999999</v>
      </c>
      <c r="Q101" s="1311"/>
      <c r="R101" s="1311">
        <v>1.1499999999999999</v>
      </c>
      <c r="S101" s="86"/>
    </row>
    <row r="102" spans="1:19" ht="15.75">
      <c r="A102" s="104"/>
      <c r="B102" s="104"/>
      <c r="C102" s="78"/>
      <c r="D102" s="904">
        <v>9</v>
      </c>
      <c r="E102" s="907"/>
      <c r="F102" s="1310">
        <v>0.93149999999999999</v>
      </c>
      <c r="G102" s="1310"/>
      <c r="H102" s="1311">
        <f t="shared" si="7"/>
        <v>0.93149999999999999</v>
      </c>
      <c r="I102" s="1311"/>
      <c r="J102" s="1311">
        <f t="shared" si="8"/>
        <v>0.93149999999999999</v>
      </c>
      <c r="K102" s="1311"/>
      <c r="L102" s="1310">
        <v>0.98560000000000003</v>
      </c>
      <c r="M102" s="1310"/>
      <c r="N102" s="1310">
        <v>1.0356000000000001</v>
      </c>
      <c r="O102" s="1310"/>
      <c r="P102" s="1311">
        <v>1.1344000000000001</v>
      </c>
      <c r="Q102" s="1311"/>
      <c r="R102" s="1311">
        <v>1.2024999999999999</v>
      </c>
      <c r="S102" s="86"/>
    </row>
    <row r="103" spans="1:19" ht="15.75">
      <c r="A103" s="104"/>
      <c r="B103" s="104"/>
      <c r="C103" s="78"/>
      <c r="D103" s="904" t="s">
        <v>1678</v>
      </c>
      <c r="E103" s="1234"/>
      <c r="F103" s="1310">
        <v>1.0186999999999999</v>
      </c>
      <c r="G103" s="1310"/>
      <c r="H103" s="1311">
        <f t="shared" si="7"/>
        <v>1.0186999999999999</v>
      </c>
      <c r="I103" s="1311"/>
      <c r="J103" s="1311">
        <f t="shared" si="8"/>
        <v>1.0186999999999999</v>
      </c>
      <c r="K103" s="1311"/>
      <c r="L103" s="1310">
        <v>1.0438000000000001</v>
      </c>
      <c r="M103" s="1310"/>
      <c r="N103" s="1310">
        <v>1.0999000000000001</v>
      </c>
      <c r="O103" s="1310"/>
      <c r="P103" s="1311">
        <v>1.2165999999999999</v>
      </c>
      <c r="Q103" s="1311"/>
      <c r="R103" s="1311">
        <v>1.2982</v>
      </c>
      <c r="S103" s="86"/>
    </row>
    <row r="104" spans="1:19" ht="15.75">
      <c r="A104" s="104"/>
      <c r="B104" s="104"/>
      <c r="C104" s="78"/>
      <c r="D104" s="200"/>
      <c r="E104" s="200"/>
      <c r="F104" s="1312"/>
      <c r="G104" s="1312"/>
      <c r="H104" s="1313"/>
      <c r="I104" s="1313"/>
      <c r="J104" s="1313"/>
      <c r="K104" s="1313"/>
      <c r="L104" s="1312"/>
      <c r="M104" s="1312"/>
      <c r="N104" s="1312"/>
      <c r="O104" s="1312"/>
      <c r="P104" s="1313"/>
      <c r="Q104" s="1313"/>
      <c r="R104" s="1313"/>
      <c r="S104" s="86"/>
    </row>
    <row r="105" spans="1:19" ht="15.75">
      <c r="A105" s="1164">
        <v>7.4</v>
      </c>
      <c r="B105" s="27" t="s">
        <v>138</v>
      </c>
      <c r="C105" s="78"/>
      <c r="D105" s="200"/>
      <c r="E105" s="200"/>
      <c r="F105" s="1314"/>
      <c r="G105" s="1314"/>
      <c r="H105" s="1314"/>
      <c r="I105" s="1314"/>
      <c r="J105" s="1314"/>
      <c r="K105" s="1314"/>
      <c r="L105" s="1314"/>
      <c r="M105" s="1314"/>
      <c r="N105" s="1314"/>
      <c r="O105" s="1314"/>
      <c r="P105" s="1314"/>
      <c r="Q105" s="1314"/>
      <c r="R105" s="1314"/>
      <c r="S105" s="86">
        <v>7.4</v>
      </c>
    </row>
    <row r="106" spans="1:19" ht="45.75">
      <c r="A106" s="104"/>
      <c r="B106" s="104"/>
      <c r="C106" s="78"/>
      <c r="D106" s="1291" t="s">
        <v>1437</v>
      </c>
      <c r="E106" s="1291"/>
      <c r="F106" s="1292" t="s">
        <v>1438</v>
      </c>
      <c r="G106" s="1292"/>
      <c r="H106" s="1234" t="s">
        <v>1439</v>
      </c>
      <c r="I106" s="1234"/>
      <c r="J106" s="1234" t="s">
        <v>1440</v>
      </c>
      <c r="K106" s="1234"/>
      <c r="L106" s="1293" t="s">
        <v>1441</v>
      </c>
      <c r="M106" s="1293"/>
      <c r="N106" s="1294" t="s">
        <v>1442</v>
      </c>
      <c r="O106" s="1294"/>
      <c r="P106" s="1234" t="s">
        <v>1443</v>
      </c>
      <c r="Q106" s="1234"/>
      <c r="R106" s="1234" t="s">
        <v>1444</v>
      </c>
      <c r="S106" s="86"/>
    </row>
    <row r="107" spans="1:19" ht="15.75">
      <c r="A107" s="104"/>
      <c r="B107" s="104"/>
      <c r="C107" s="78"/>
      <c r="D107" s="904" t="s">
        <v>1445</v>
      </c>
      <c r="E107" s="1234"/>
      <c r="F107" s="1315">
        <f>ROUND(F33*F93,4)</f>
        <v>0</v>
      </c>
      <c r="G107" s="1315"/>
      <c r="H107" s="1315">
        <f>ROUND(H33*H93,4)</f>
        <v>0</v>
      </c>
      <c r="I107" s="1315"/>
      <c r="J107" s="1315">
        <f>ROUND(J33*J93,4)</f>
        <v>0</v>
      </c>
      <c r="K107" s="1315"/>
      <c r="L107" s="1315">
        <f>ROUND(L33*L93,4)</f>
        <v>0</v>
      </c>
      <c r="M107" s="1315"/>
      <c r="N107" s="1315">
        <f>ROUND(N33*N93,4)</f>
        <v>0</v>
      </c>
      <c r="O107" s="1315"/>
      <c r="P107" s="1315">
        <f>ROUND(P33*P93,4)</f>
        <v>0</v>
      </c>
      <c r="Q107" s="1315"/>
      <c r="R107" s="1315">
        <f t="shared" ref="R107:R116" si="9">ROUND(R33*R93,4)</f>
        <v>0</v>
      </c>
      <c r="S107" s="86"/>
    </row>
    <row r="108" spans="1:19" ht="15.75">
      <c r="A108" s="104"/>
      <c r="B108" s="104"/>
      <c r="C108" s="78"/>
      <c r="D108" s="904">
        <v>1</v>
      </c>
      <c r="E108" s="907"/>
      <c r="F108" s="1315">
        <f t="shared" ref="F108:P116" si="10">ROUND(F34*F94,4)</f>
        <v>0</v>
      </c>
      <c r="G108" s="1315"/>
      <c r="H108" s="1315">
        <f t="shared" si="10"/>
        <v>0</v>
      </c>
      <c r="I108" s="1315"/>
      <c r="J108" s="1315">
        <f t="shared" si="10"/>
        <v>0</v>
      </c>
      <c r="K108" s="1315"/>
      <c r="L108" s="1315">
        <f t="shared" si="10"/>
        <v>0</v>
      </c>
      <c r="M108" s="1315"/>
      <c r="N108" s="1315">
        <f t="shared" si="10"/>
        <v>0</v>
      </c>
      <c r="O108" s="1315"/>
      <c r="P108" s="1315">
        <f t="shared" si="10"/>
        <v>0</v>
      </c>
      <c r="Q108" s="1315"/>
      <c r="R108" s="1315">
        <f t="shared" si="9"/>
        <v>0</v>
      </c>
      <c r="S108" s="86"/>
    </row>
    <row r="109" spans="1:19" ht="15.75">
      <c r="A109" s="104"/>
      <c r="B109" s="104"/>
      <c r="C109" s="78"/>
      <c r="D109" s="904">
        <v>2</v>
      </c>
      <c r="E109" s="907"/>
      <c r="F109" s="1315">
        <f t="shared" si="10"/>
        <v>0</v>
      </c>
      <c r="G109" s="1315"/>
      <c r="H109" s="1315">
        <f t="shared" si="10"/>
        <v>0</v>
      </c>
      <c r="I109" s="1315"/>
      <c r="J109" s="1315">
        <f t="shared" si="10"/>
        <v>0</v>
      </c>
      <c r="K109" s="1315"/>
      <c r="L109" s="1315">
        <f t="shared" si="10"/>
        <v>0</v>
      </c>
      <c r="M109" s="1315"/>
      <c r="N109" s="1315">
        <f t="shared" si="10"/>
        <v>0</v>
      </c>
      <c r="O109" s="1315"/>
      <c r="P109" s="1315">
        <f t="shared" si="10"/>
        <v>0</v>
      </c>
      <c r="Q109" s="1315"/>
      <c r="R109" s="1315">
        <f t="shared" si="9"/>
        <v>0</v>
      </c>
      <c r="S109" s="86"/>
    </row>
    <row r="110" spans="1:19" ht="15.75">
      <c r="A110" s="104"/>
      <c r="B110" s="104"/>
      <c r="C110" s="78"/>
      <c r="D110" s="904">
        <v>3</v>
      </c>
      <c r="E110" s="907"/>
      <c r="F110" s="1315">
        <f t="shared" si="10"/>
        <v>0</v>
      </c>
      <c r="G110" s="1315"/>
      <c r="H110" s="1315">
        <f t="shared" si="10"/>
        <v>0</v>
      </c>
      <c r="I110" s="1315"/>
      <c r="J110" s="1315">
        <f t="shared" si="10"/>
        <v>0</v>
      </c>
      <c r="K110" s="1315"/>
      <c r="L110" s="1315">
        <f t="shared" si="10"/>
        <v>0</v>
      </c>
      <c r="M110" s="1315"/>
      <c r="N110" s="1315">
        <f t="shared" si="10"/>
        <v>0</v>
      </c>
      <c r="O110" s="1315"/>
      <c r="P110" s="1315">
        <f t="shared" si="10"/>
        <v>0</v>
      </c>
      <c r="Q110" s="1315"/>
      <c r="R110" s="1315">
        <f t="shared" si="9"/>
        <v>0</v>
      </c>
      <c r="S110" s="86"/>
    </row>
    <row r="111" spans="1:19" ht="15.75">
      <c r="A111" s="104"/>
      <c r="B111" s="104"/>
      <c r="C111" s="78"/>
      <c r="D111" s="904">
        <v>4</v>
      </c>
      <c r="E111" s="907"/>
      <c r="F111" s="1315">
        <f t="shared" si="10"/>
        <v>0</v>
      </c>
      <c r="G111" s="1315"/>
      <c r="H111" s="1315">
        <f t="shared" si="10"/>
        <v>0</v>
      </c>
      <c r="I111" s="1315"/>
      <c r="J111" s="1315">
        <f t="shared" si="10"/>
        <v>0</v>
      </c>
      <c r="K111" s="1315"/>
      <c r="L111" s="1315">
        <f t="shared" si="10"/>
        <v>0</v>
      </c>
      <c r="M111" s="1315"/>
      <c r="N111" s="1315">
        <f t="shared" si="10"/>
        <v>0</v>
      </c>
      <c r="O111" s="1315"/>
      <c r="P111" s="1315">
        <f t="shared" si="10"/>
        <v>0</v>
      </c>
      <c r="Q111" s="1315"/>
      <c r="R111" s="1315">
        <f t="shared" si="9"/>
        <v>0</v>
      </c>
      <c r="S111" s="86"/>
    </row>
    <row r="112" spans="1:19" ht="15.75">
      <c r="A112" s="104"/>
      <c r="B112" s="104"/>
      <c r="C112" s="78"/>
      <c r="D112" s="904">
        <v>5</v>
      </c>
      <c r="E112" s="907"/>
      <c r="F112" s="1315">
        <f t="shared" si="10"/>
        <v>0</v>
      </c>
      <c r="G112" s="1315"/>
      <c r="H112" s="1315">
        <f t="shared" si="10"/>
        <v>0</v>
      </c>
      <c r="I112" s="1315"/>
      <c r="J112" s="1315">
        <f t="shared" si="10"/>
        <v>0</v>
      </c>
      <c r="K112" s="1315"/>
      <c r="L112" s="1315">
        <f t="shared" si="10"/>
        <v>0</v>
      </c>
      <c r="M112" s="1315"/>
      <c r="N112" s="1315">
        <f t="shared" si="10"/>
        <v>0</v>
      </c>
      <c r="O112" s="1315"/>
      <c r="P112" s="1315">
        <f t="shared" si="10"/>
        <v>0</v>
      </c>
      <c r="Q112" s="1315"/>
      <c r="R112" s="1315">
        <f t="shared" si="9"/>
        <v>0</v>
      </c>
      <c r="S112" s="86"/>
    </row>
    <row r="113" spans="1:19" ht="15.75">
      <c r="A113" s="104"/>
      <c r="B113" s="104"/>
      <c r="C113" s="78"/>
      <c r="D113" s="904">
        <v>6</v>
      </c>
      <c r="E113" s="907"/>
      <c r="F113" s="1315">
        <f t="shared" si="10"/>
        <v>0</v>
      </c>
      <c r="G113" s="1315"/>
      <c r="H113" s="1315">
        <f t="shared" si="10"/>
        <v>0</v>
      </c>
      <c r="I113" s="1315"/>
      <c r="J113" s="1315">
        <f t="shared" si="10"/>
        <v>0</v>
      </c>
      <c r="K113" s="1315"/>
      <c r="L113" s="1315">
        <f t="shared" si="10"/>
        <v>0</v>
      </c>
      <c r="M113" s="1315"/>
      <c r="N113" s="1315">
        <f t="shared" si="10"/>
        <v>0</v>
      </c>
      <c r="O113" s="1315"/>
      <c r="P113" s="1315">
        <f t="shared" si="10"/>
        <v>0</v>
      </c>
      <c r="Q113" s="1315"/>
      <c r="R113" s="1315">
        <f t="shared" si="9"/>
        <v>0</v>
      </c>
      <c r="S113" s="86"/>
    </row>
    <row r="114" spans="1:19" ht="15.75">
      <c r="A114" s="104"/>
      <c r="B114" s="104"/>
      <c r="C114" s="78"/>
      <c r="D114" s="904">
        <v>7</v>
      </c>
      <c r="E114" s="907"/>
      <c r="F114" s="1315">
        <f t="shared" si="10"/>
        <v>0</v>
      </c>
      <c r="G114" s="1315"/>
      <c r="H114" s="1315">
        <f t="shared" si="10"/>
        <v>0</v>
      </c>
      <c r="I114" s="1315"/>
      <c r="J114" s="1315">
        <f t="shared" si="10"/>
        <v>0</v>
      </c>
      <c r="K114" s="1315"/>
      <c r="L114" s="1315">
        <f t="shared" si="10"/>
        <v>0</v>
      </c>
      <c r="M114" s="1315"/>
      <c r="N114" s="1315">
        <f t="shared" si="10"/>
        <v>0</v>
      </c>
      <c r="O114" s="1315"/>
      <c r="P114" s="1315">
        <f t="shared" si="10"/>
        <v>0</v>
      </c>
      <c r="Q114" s="1315"/>
      <c r="R114" s="1315">
        <f t="shared" si="9"/>
        <v>0</v>
      </c>
      <c r="S114" s="86"/>
    </row>
    <row r="115" spans="1:19" ht="15.75">
      <c r="A115" s="104"/>
      <c r="B115" s="104"/>
      <c r="C115" s="78"/>
      <c r="D115" s="904">
        <v>8</v>
      </c>
      <c r="E115" s="907"/>
      <c r="F115" s="1315">
        <f t="shared" si="10"/>
        <v>0</v>
      </c>
      <c r="G115" s="1315"/>
      <c r="H115" s="1315">
        <f t="shared" si="10"/>
        <v>0</v>
      </c>
      <c r="I115" s="1315"/>
      <c r="J115" s="1315">
        <f t="shared" si="10"/>
        <v>0</v>
      </c>
      <c r="K115" s="1315"/>
      <c r="L115" s="1315">
        <f t="shared" si="10"/>
        <v>0</v>
      </c>
      <c r="M115" s="1315"/>
      <c r="N115" s="1315">
        <f t="shared" si="10"/>
        <v>0</v>
      </c>
      <c r="O115" s="1315"/>
      <c r="P115" s="1315">
        <f t="shared" si="10"/>
        <v>0</v>
      </c>
      <c r="Q115" s="1315"/>
      <c r="R115" s="1315">
        <f t="shared" si="9"/>
        <v>0</v>
      </c>
      <c r="S115" s="86"/>
    </row>
    <row r="116" spans="1:19" ht="15.75">
      <c r="A116" s="104"/>
      <c r="B116" s="104"/>
      <c r="C116" s="78"/>
      <c r="D116" s="904">
        <v>9</v>
      </c>
      <c r="E116" s="907"/>
      <c r="F116" s="1315">
        <f t="shared" si="10"/>
        <v>0</v>
      </c>
      <c r="G116" s="1315"/>
      <c r="H116" s="1315">
        <f t="shared" si="10"/>
        <v>0</v>
      </c>
      <c r="I116" s="1315"/>
      <c r="J116" s="1315">
        <f t="shared" si="10"/>
        <v>0</v>
      </c>
      <c r="K116" s="1315"/>
      <c r="L116" s="1315">
        <f t="shared" si="10"/>
        <v>0</v>
      </c>
      <c r="M116" s="1315"/>
      <c r="N116" s="1315">
        <f t="shared" si="10"/>
        <v>0</v>
      </c>
      <c r="O116" s="1315"/>
      <c r="P116" s="1315">
        <f t="shared" si="10"/>
        <v>0</v>
      </c>
      <c r="Q116" s="1315"/>
      <c r="R116" s="1315">
        <f t="shared" si="9"/>
        <v>0</v>
      </c>
      <c r="S116" s="86"/>
    </row>
    <row r="117" spans="1:19" ht="15.75">
      <c r="A117" s="104"/>
      <c r="B117" s="104"/>
      <c r="C117" s="78"/>
      <c r="D117" s="904" t="s">
        <v>1678</v>
      </c>
      <c r="E117" s="1234"/>
      <c r="F117" s="1315">
        <f>ROUND(SUM(F43:F46)*F103,4)</f>
        <v>0</v>
      </c>
      <c r="G117" s="1315"/>
      <c r="H117" s="1315">
        <f>ROUND(SUM(H43:H46)*H103,4)</f>
        <v>0</v>
      </c>
      <c r="I117" s="1315"/>
      <c r="J117" s="1315">
        <f>ROUND(SUM(J43:J46)*J103,4)</f>
        <v>0</v>
      </c>
      <c r="K117" s="1315"/>
      <c r="L117" s="1315">
        <f>ROUND(SUM(L43:L46)*L103,4)</f>
        <v>0</v>
      </c>
      <c r="M117" s="1315"/>
      <c r="N117" s="1315">
        <f>ROUND(SUM(N43:N46)*N103,4)</f>
        <v>0</v>
      </c>
      <c r="O117" s="1315"/>
      <c r="P117" s="1315">
        <f>ROUND(SUM(P43:P46)*P103,4)</f>
        <v>0</v>
      </c>
      <c r="Q117" s="1315"/>
      <c r="R117" s="1315">
        <f>ROUND(SUM(R43:R47)*R103,4)</f>
        <v>0</v>
      </c>
      <c r="S117" s="86"/>
    </row>
    <row r="118" spans="1:19" ht="15.75">
      <c r="A118" s="104"/>
      <c r="B118" s="27" t="s">
        <v>1679</v>
      </c>
      <c r="C118" s="78"/>
      <c r="D118" s="78"/>
      <c r="E118" s="78"/>
      <c r="F118" s="78"/>
      <c r="G118" s="78"/>
      <c r="H118" s="78"/>
      <c r="I118" s="78"/>
      <c r="J118" s="78"/>
      <c r="K118" s="78"/>
      <c r="L118" s="78"/>
      <c r="M118" s="78"/>
      <c r="N118" s="78"/>
      <c r="O118" s="78"/>
      <c r="P118" s="78"/>
      <c r="Q118" s="1295" t="s">
        <v>935</v>
      </c>
      <c r="R118" s="1315">
        <f>SUM(R107:R117)+SUM(F107:F117)+SUM(J107:J117)+SUM(L107:L117)+SUM(N107:N117)+SUM(P107:P117)+SUM(H107:H117)</f>
        <v>0</v>
      </c>
      <c r="S118" s="86"/>
    </row>
    <row r="119" spans="1:19" ht="15.75">
      <c r="A119" s="104"/>
      <c r="B119" s="104"/>
      <c r="C119" s="78"/>
      <c r="D119" s="200"/>
      <c r="E119" s="200"/>
      <c r="F119" s="1312"/>
      <c r="G119" s="1312"/>
      <c r="H119" s="1313"/>
      <c r="I119" s="1313"/>
      <c r="J119" s="1313"/>
      <c r="K119" s="1313"/>
      <c r="L119" s="1312"/>
      <c r="M119" s="1312"/>
      <c r="N119" s="1312"/>
      <c r="O119" s="1312"/>
      <c r="P119" s="1313"/>
      <c r="Q119" s="1313"/>
      <c r="R119" s="1313"/>
      <c r="S119" s="86"/>
    </row>
    <row r="120" spans="1:19" ht="15.75">
      <c r="A120" s="104"/>
      <c r="B120" s="104"/>
      <c r="C120" s="78"/>
      <c r="D120" s="78"/>
      <c r="E120" s="78"/>
      <c r="F120" s="941"/>
      <c r="G120" s="941"/>
      <c r="H120" s="200"/>
      <c r="I120" s="200"/>
      <c r="J120" s="78"/>
      <c r="K120" s="78"/>
      <c r="L120" s="1245"/>
      <c r="M120" s="1245"/>
      <c r="N120" s="1278"/>
      <c r="O120" s="1278"/>
      <c r="P120" s="78"/>
      <c r="Q120" s="78"/>
      <c r="R120" s="78"/>
      <c r="S120" s="86"/>
    </row>
    <row r="121" spans="1:19" ht="15.75">
      <c r="A121" s="104"/>
      <c r="B121" s="104"/>
      <c r="C121" s="78"/>
      <c r="D121" s="1092" t="s">
        <v>1286</v>
      </c>
      <c r="E121" s="1092"/>
      <c r="F121" s="1096" t="s">
        <v>1287</v>
      </c>
      <c r="G121" s="1096"/>
      <c r="H121" s="1092" t="s">
        <v>1288</v>
      </c>
      <c r="I121" s="1092"/>
      <c r="J121" s="1092" t="s">
        <v>842</v>
      </c>
      <c r="K121" s="1092"/>
      <c r="L121" s="1283" t="s">
        <v>843</v>
      </c>
      <c r="M121" s="1283"/>
      <c r="N121" s="1284" t="s">
        <v>844</v>
      </c>
      <c r="O121" s="1284"/>
      <c r="P121" s="1092" t="s">
        <v>2122</v>
      </c>
      <c r="Q121" s="1092"/>
      <c r="R121" s="1092" t="s">
        <v>840</v>
      </c>
      <c r="S121" s="86"/>
    </row>
    <row r="122" spans="1:19" ht="15.75">
      <c r="A122" s="104">
        <v>7.5</v>
      </c>
      <c r="B122" s="27" t="s">
        <v>617</v>
      </c>
      <c r="C122" s="78"/>
      <c r="D122" s="78"/>
      <c r="E122" s="78"/>
      <c r="F122" s="1314"/>
      <c r="G122" s="1314"/>
      <c r="H122" s="1314"/>
      <c r="I122" s="1314"/>
      <c r="J122" s="1314"/>
      <c r="K122" s="1314"/>
      <c r="L122" s="1314"/>
      <c r="M122" s="1314"/>
      <c r="N122" s="1314"/>
      <c r="O122" s="1314"/>
      <c r="P122" s="1314"/>
      <c r="Q122" s="1314"/>
      <c r="R122" s="1314"/>
      <c r="S122" s="86">
        <v>7.5</v>
      </c>
    </row>
    <row r="123" spans="1:19" ht="45.75">
      <c r="A123" s="104"/>
      <c r="B123" s="104"/>
      <c r="C123" s="78"/>
      <c r="D123" s="1291" t="s">
        <v>1437</v>
      </c>
      <c r="E123" s="1291"/>
      <c r="F123" s="1292" t="s">
        <v>1438</v>
      </c>
      <c r="G123" s="1292"/>
      <c r="H123" s="1234" t="s">
        <v>1439</v>
      </c>
      <c r="I123" s="1234"/>
      <c r="J123" s="1234" t="s">
        <v>1440</v>
      </c>
      <c r="K123" s="1234"/>
      <c r="L123" s="1293" t="s">
        <v>1441</v>
      </c>
      <c r="M123" s="1293"/>
      <c r="N123" s="1294" t="s">
        <v>1442</v>
      </c>
      <c r="O123" s="1294"/>
      <c r="P123" s="1234" t="s">
        <v>1443</v>
      </c>
      <c r="Q123" s="1234"/>
      <c r="R123" s="1234" t="s">
        <v>1444</v>
      </c>
      <c r="S123" s="86"/>
    </row>
    <row r="124" spans="1:19" ht="15.75">
      <c r="A124" s="104"/>
      <c r="B124" s="104"/>
      <c r="C124" s="78"/>
      <c r="D124" s="904" t="s">
        <v>1445</v>
      </c>
      <c r="E124" s="1234"/>
      <c r="F124" s="1315">
        <f>ROUND(F74*F93,4)</f>
        <v>0</v>
      </c>
      <c r="G124" s="1315"/>
      <c r="H124" s="1315">
        <f>ROUND(H74*H93,4)</f>
        <v>0</v>
      </c>
      <c r="I124" s="1315"/>
      <c r="J124" s="1315">
        <f>ROUND(J74*J93,4)</f>
        <v>0</v>
      </c>
      <c r="K124" s="1315"/>
      <c r="L124" s="1315">
        <f>ROUND(L74*L93,4)</f>
        <v>0</v>
      </c>
      <c r="M124" s="1315"/>
      <c r="N124" s="1315">
        <f>ROUND(N74*N93,4)</f>
        <v>0</v>
      </c>
      <c r="O124" s="1315"/>
      <c r="P124" s="1315">
        <f>ROUND(P74*P93,4)</f>
        <v>0</v>
      </c>
      <c r="Q124" s="1315"/>
      <c r="R124" s="1315">
        <f t="shared" ref="R124:R133" si="11">ROUND(R74*R93,4)</f>
        <v>0</v>
      </c>
      <c r="S124" s="86"/>
    </row>
    <row r="125" spans="1:19" ht="15.75">
      <c r="A125" s="104"/>
      <c r="B125" s="104"/>
      <c r="C125" s="78"/>
      <c r="D125" s="904">
        <v>1</v>
      </c>
      <c r="E125" s="907"/>
      <c r="F125" s="1315">
        <f t="shared" ref="F125:P133" si="12">ROUND(F75*F94,4)</f>
        <v>0</v>
      </c>
      <c r="G125" s="1315"/>
      <c r="H125" s="1315">
        <f t="shared" si="12"/>
        <v>0</v>
      </c>
      <c r="I125" s="1315"/>
      <c r="J125" s="1315">
        <f t="shared" si="12"/>
        <v>0</v>
      </c>
      <c r="K125" s="1315"/>
      <c r="L125" s="1315">
        <f t="shared" si="12"/>
        <v>0</v>
      </c>
      <c r="M125" s="1315"/>
      <c r="N125" s="1315">
        <f t="shared" si="12"/>
        <v>0</v>
      </c>
      <c r="O125" s="1315"/>
      <c r="P125" s="1315">
        <f t="shared" si="12"/>
        <v>0</v>
      </c>
      <c r="Q125" s="1315"/>
      <c r="R125" s="1315">
        <f t="shared" si="11"/>
        <v>0</v>
      </c>
      <c r="S125" s="86"/>
    </row>
    <row r="126" spans="1:19" ht="15.75">
      <c r="A126" s="104"/>
      <c r="B126" s="104"/>
      <c r="C126" s="78"/>
      <c r="D126" s="904">
        <v>2</v>
      </c>
      <c r="E126" s="907"/>
      <c r="F126" s="1315">
        <f t="shared" si="12"/>
        <v>0</v>
      </c>
      <c r="G126" s="1315"/>
      <c r="H126" s="1315">
        <f t="shared" si="12"/>
        <v>0</v>
      </c>
      <c r="I126" s="1315"/>
      <c r="J126" s="1315">
        <f t="shared" si="12"/>
        <v>0</v>
      </c>
      <c r="K126" s="1315"/>
      <c r="L126" s="1315">
        <f t="shared" si="12"/>
        <v>0</v>
      </c>
      <c r="M126" s="1315"/>
      <c r="N126" s="1315">
        <f t="shared" si="12"/>
        <v>0</v>
      </c>
      <c r="O126" s="1315"/>
      <c r="P126" s="1315">
        <f t="shared" si="12"/>
        <v>0</v>
      </c>
      <c r="Q126" s="1315"/>
      <c r="R126" s="1315">
        <f t="shared" si="11"/>
        <v>0</v>
      </c>
      <c r="S126" s="86"/>
    </row>
    <row r="127" spans="1:19" ht="15.75">
      <c r="A127" s="104"/>
      <c r="B127" s="104"/>
      <c r="C127" s="78"/>
      <c r="D127" s="904">
        <v>3</v>
      </c>
      <c r="E127" s="907"/>
      <c r="F127" s="1315">
        <f t="shared" si="12"/>
        <v>0</v>
      </c>
      <c r="G127" s="1315"/>
      <c r="H127" s="1315">
        <f t="shared" si="12"/>
        <v>0</v>
      </c>
      <c r="I127" s="1315"/>
      <c r="J127" s="1315">
        <f t="shared" si="12"/>
        <v>0</v>
      </c>
      <c r="K127" s="1315"/>
      <c r="L127" s="1315">
        <f t="shared" si="12"/>
        <v>0</v>
      </c>
      <c r="M127" s="1315"/>
      <c r="N127" s="1315">
        <f t="shared" si="12"/>
        <v>0</v>
      </c>
      <c r="O127" s="1315"/>
      <c r="P127" s="1315">
        <f t="shared" si="12"/>
        <v>0</v>
      </c>
      <c r="Q127" s="1315"/>
      <c r="R127" s="1315">
        <f t="shared" si="11"/>
        <v>0</v>
      </c>
      <c r="S127" s="86"/>
    </row>
    <row r="128" spans="1:19" ht="15.75">
      <c r="A128" s="104"/>
      <c r="B128" s="104"/>
      <c r="C128" s="78"/>
      <c r="D128" s="904">
        <v>4</v>
      </c>
      <c r="E128" s="907"/>
      <c r="F128" s="1315">
        <f t="shared" si="12"/>
        <v>0</v>
      </c>
      <c r="G128" s="1315"/>
      <c r="H128" s="1315">
        <f t="shared" si="12"/>
        <v>0</v>
      </c>
      <c r="I128" s="1315"/>
      <c r="J128" s="1315">
        <f t="shared" si="12"/>
        <v>0</v>
      </c>
      <c r="K128" s="1315"/>
      <c r="L128" s="1315">
        <f t="shared" si="12"/>
        <v>0</v>
      </c>
      <c r="M128" s="1315"/>
      <c r="N128" s="1315">
        <f t="shared" si="12"/>
        <v>0</v>
      </c>
      <c r="O128" s="1315"/>
      <c r="P128" s="1315">
        <f t="shared" si="12"/>
        <v>0</v>
      </c>
      <c r="Q128" s="1315"/>
      <c r="R128" s="1315">
        <f t="shared" si="11"/>
        <v>0</v>
      </c>
      <c r="S128" s="86"/>
    </row>
    <row r="129" spans="1:19" ht="15.75">
      <c r="A129" s="104"/>
      <c r="B129" s="104"/>
      <c r="C129" s="78"/>
      <c r="D129" s="904">
        <v>5</v>
      </c>
      <c r="E129" s="907"/>
      <c r="F129" s="1315">
        <f t="shared" si="12"/>
        <v>0</v>
      </c>
      <c r="G129" s="1315"/>
      <c r="H129" s="1315">
        <f t="shared" si="12"/>
        <v>0</v>
      </c>
      <c r="I129" s="1315"/>
      <c r="J129" s="1315">
        <f t="shared" si="12"/>
        <v>0</v>
      </c>
      <c r="K129" s="1315"/>
      <c r="L129" s="1315">
        <f t="shared" si="12"/>
        <v>0</v>
      </c>
      <c r="M129" s="1315"/>
      <c r="N129" s="1315">
        <f t="shared" si="12"/>
        <v>0</v>
      </c>
      <c r="O129" s="1315"/>
      <c r="P129" s="1315">
        <f t="shared" si="12"/>
        <v>0</v>
      </c>
      <c r="Q129" s="1315"/>
      <c r="R129" s="1315">
        <f t="shared" si="11"/>
        <v>0</v>
      </c>
      <c r="S129" s="86"/>
    </row>
    <row r="130" spans="1:19" ht="15.75">
      <c r="A130" s="104"/>
      <c r="B130" s="104"/>
      <c r="C130" s="78"/>
      <c r="D130" s="904">
        <v>6</v>
      </c>
      <c r="E130" s="907"/>
      <c r="F130" s="1315">
        <f t="shared" si="12"/>
        <v>0</v>
      </c>
      <c r="G130" s="1315"/>
      <c r="H130" s="1315">
        <f t="shared" si="12"/>
        <v>0</v>
      </c>
      <c r="I130" s="1315"/>
      <c r="J130" s="1315">
        <f t="shared" si="12"/>
        <v>0</v>
      </c>
      <c r="K130" s="1315"/>
      <c r="L130" s="1315">
        <f t="shared" si="12"/>
        <v>0</v>
      </c>
      <c r="M130" s="1315"/>
      <c r="N130" s="1315">
        <f t="shared" si="12"/>
        <v>0</v>
      </c>
      <c r="O130" s="1315"/>
      <c r="P130" s="1315">
        <f t="shared" si="12"/>
        <v>0</v>
      </c>
      <c r="Q130" s="1315"/>
      <c r="R130" s="1315">
        <f t="shared" si="11"/>
        <v>0</v>
      </c>
      <c r="S130" s="86"/>
    </row>
    <row r="131" spans="1:19" ht="15.75">
      <c r="A131" s="104"/>
      <c r="B131" s="104"/>
      <c r="C131" s="78"/>
      <c r="D131" s="904">
        <v>7</v>
      </c>
      <c r="E131" s="907"/>
      <c r="F131" s="1315">
        <f t="shared" si="12"/>
        <v>0</v>
      </c>
      <c r="G131" s="1315"/>
      <c r="H131" s="1315">
        <f t="shared" si="12"/>
        <v>0</v>
      </c>
      <c r="I131" s="1315"/>
      <c r="J131" s="1315">
        <f t="shared" si="12"/>
        <v>0</v>
      </c>
      <c r="K131" s="1315"/>
      <c r="L131" s="1315">
        <f t="shared" si="12"/>
        <v>0</v>
      </c>
      <c r="M131" s="1315"/>
      <c r="N131" s="1315">
        <f t="shared" si="12"/>
        <v>0</v>
      </c>
      <c r="O131" s="1315"/>
      <c r="P131" s="1315">
        <f t="shared" si="12"/>
        <v>0</v>
      </c>
      <c r="Q131" s="1315"/>
      <c r="R131" s="1315">
        <f t="shared" si="11"/>
        <v>0</v>
      </c>
      <c r="S131" s="86"/>
    </row>
    <row r="132" spans="1:19" ht="15.75">
      <c r="A132" s="104"/>
      <c r="B132" s="104"/>
      <c r="C132" s="78"/>
      <c r="D132" s="904">
        <v>8</v>
      </c>
      <c r="E132" s="907"/>
      <c r="F132" s="1315">
        <f t="shared" si="12"/>
        <v>0</v>
      </c>
      <c r="G132" s="1315"/>
      <c r="H132" s="1315">
        <f t="shared" si="12"/>
        <v>0</v>
      </c>
      <c r="I132" s="1315"/>
      <c r="J132" s="1315">
        <f t="shared" si="12"/>
        <v>0</v>
      </c>
      <c r="K132" s="1315"/>
      <c r="L132" s="1315">
        <f t="shared" si="12"/>
        <v>0</v>
      </c>
      <c r="M132" s="1315"/>
      <c r="N132" s="1315">
        <f t="shared" si="12"/>
        <v>0</v>
      </c>
      <c r="O132" s="1315"/>
      <c r="P132" s="1315">
        <f t="shared" si="12"/>
        <v>0</v>
      </c>
      <c r="Q132" s="1315"/>
      <c r="R132" s="1315">
        <f t="shared" si="11"/>
        <v>0</v>
      </c>
      <c r="S132" s="86"/>
    </row>
    <row r="133" spans="1:19" ht="15.75">
      <c r="A133" s="104"/>
      <c r="B133" s="104"/>
      <c r="C133" s="78"/>
      <c r="D133" s="904">
        <v>9</v>
      </c>
      <c r="E133" s="907"/>
      <c r="F133" s="1315">
        <f t="shared" si="12"/>
        <v>0</v>
      </c>
      <c r="G133" s="1315"/>
      <c r="H133" s="1315">
        <f t="shared" si="12"/>
        <v>0</v>
      </c>
      <c r="I133" s="1315"/>
      <c r="J133" s="1315">
        <f t="shared" si="12"/>
        <v>0</v>
      </c>
      <c r="K133" s="1315"/>
      <c r="L133" s="1315">
        <f t="shared" si="12"/>
        <v>0</v>
      </c>
      <c r="M133" s="1315"/>
      <c r="N133" s="1315">
        <f t="shared" si="12"/>
        <v>0</v>
      </c>
      <c r="O133" s="1315"/>
      <c r="P133" s="1315">
        <f t="shared" si="12"/>
        <v>0</v>
      </c>
      <c r="Q133" s="1315"/>
      <c r="R133" s="1315">
        <f t="shared" si="11"/>
        <v>0</v>
      </c>
      <c r="S133" s="86"/>
    </row>
    <row r="134" spans="1:19" ht="15.75">
      <c r="A134" s="104"/>
      <c r="B134" s="104"/>
      <c r="C134" s="78"/>
      <c r="D134" s="904" t="s">
        <v>1678</v>
      </c>
      <c r="E134" s="1234"/>
      <c r="F134" s="1315">
        <f>ROUND(SUM(F84:F87)*F103,4)</f>
        <v>0</v>
      </c>
      <c r="G134" s="1315"/>
      <c r="H134" s="1315">
        <f>ROUND(SUM(H84:H87)*H103,4)</f>
        <v>0</v>
      </c>
      <c r="I134" s="1315"/>
      <c r="J134" s="1315">
        <f>ROUND(SUM(J84:J87)*J103,4)</f>
        <v>0</v>
      </c>
      <c r="K134" s="1315"/>
      <c r="L134" s="1315">
        <f>ROUND(SUM(L84:L87)*L103,4)</f>
        <v>0</v>
      </c>
      <c r="M134" s="1315"/>
      <c r="N134" s="1315">
        <f>ROUND(SUM(N84:N87)*N103,4)</f>
        <v>0</v>
      </c>
      <c r="O134" s="1315"/>
      <c r="P134" s="1315">
        <f>ROUND(SUM(P84:P87)*P103,4)</f>
        <v>0</v>
      </c>
      <c r="Q134" s="1315"/>
      <c r="R134" s="1315">
        <f>ROUND(SUM(R84:R88)*R103,4)</f>
        <v>0</v>
      </c>
      <c r="S134" s="86"/>
    </row>
    <row r="135" spans="1:19" ht="15.75">
      <c r="A135" s="104"/>
      <c r="B135" s="27" t="s">
        <v>1680</v>
      </c>
      <c r="C135" s="78"/>
      <c r="D135" s="78"/>
      <c r="E135" s="78"/>
      <c r="F135" s="78"/>
      <c r="G135" s="78"/>
      <c r="H135" s="78"/>
      <c r="I135" s="78"/>
      <c r="J135" s="78"/>
      <c r="K135" s="78"/>
      <c r="L135" s="78"/>
      <c r="M135" s="78"/>
      <c r="N135" s="78"/>
      <c r="O135" s="78"/>
      <c r="P135" s="78"/>
      <c r="Q135" s="1295" t="s">
        <v>137</v>
      </c>
      <c r="R135" s="1315">
        <f>SUM(F124:F134)+SUM(H124:H134)+SUM(J124:J134)+SUM(L124:L134)+SUM(N124:N134)+SUM(P124:P134)+SUM(R124:R134)</f>
        <v>0</v>
      </c>
      <c r="S135" s="86"/>
    </row>
    <row r="136" spans="1:19" ht="15.75">
      <c r="A136" s="104"/>
      <c r="B136" s="104"/>
      <c r="C136" s="78"/>
      <c r="D136" s="78"/>
      <c r="E136" s="78"/>
      <c r="F136" s="941"/>
      <c r="G136" s="941"/>
      <c r="H136" s="1492" t="s">
        <v>2473</v>
      </c>
      <c r="I136" s="1493"/>
      <c r="J136" s="1493"/>
      <c r="K136" s="1493"/>
      <c r="L136" s="1493"/>
      <c r="M136" s="1493"/>
      <c r="N136" s="1494"/>
      <c r="O136" s="1278"/>
      <c r="P136" s="78"/>
      <c r="Q136" s="78"/>
      <c r="R136" s="78"/>
      <c r="S136" s="86"/>
    </row>
    <row r="137" spans="1:19" ht="15.75" hidden="1">
      <c r="A137" s="104"/>
      <c r="B137" s="104"/>
      <c r="C137" s="78"/>
      <c r="D137" s="1092" t="s">
        <v>1286</v>
      </c>
      <c r="E137" s="1092"/>
      <c r="F137" s="1096" t="s">
        <v>1287</v>
      </c>
      <c r="G137" s="1096"/>
      <c r="H137" s="1092" t="s">
        <v>1288</v>
      </c>
      <c r="I137" s="1092"/>
      <c r="J137" s="1092" t="s">
        <v>842</v>
      </c>
      <c r="K137" s="1092"/>
      <c r="L137" s="1283" t="s">
        <v>843</v>
      </c>
      <c r="M137" s="1283"/>
      <c r="N137" s="1284" t="s">
        <v>844</v>
      </c>
      <c r="O137" s="1284"/>
      <c r="P137" s="1092" t="s">
        <v>2122</v>
      </c>
      <c r="Q137" s="1092"/>
      <c r="R137" s="1092" t="s">
        <v>840</v>
      </c>
      <c r="S137" s="86"/>
    </row>
    <row r="138" spans="1:19" ht="15.75" hidden="1">
      <c r="A138" s="104" t="s">
        <v>1916</v>
      </c>
      <c r="B138" s="27" t="s">
        <v>1099</v>
      </c>
      <c r="C138" s="78"/>
      <c r="D138" s="78"/>
      <c r="E138" s="78"/>
      <c r="F138" s="1314"/>
      <c r="G138" s="1314"/>
      <c r="H138" s="1314"/>
      <c r="I138" s="1314"/>
      <c r="J138" s="1314"/>
      <c r="K138" s="1314"/>
      <c r="L138" s="1314"/>
      <c r="M138" s="1314"/>
      <c r="N138" s="1314"/>
      <c r="O138" s="1314"/>
      <c r="P138" s="1314"/>
      <c r="Q138" s="1314"/>
      <c r="R138" s="1314"/>
      <c r="S138" s="86" t="s">
        <v>1916</v>
      </c>
    </row>
    <row r="139" spans="1:19" ht="45.75" hidden="1">
      <c r="A139" s="104"/>
      <c r="B139" s="104"/>
      <c r="C139" s="78"/>
      <c r="D139" s="1291" t="s">
        <v>1437</v>
      </c>
      <c r="E139" s="1291"/>
      <c r="F139" s="1292" t="s">
        <v>1438</v>
      </c>
      <c r="G139" s="1292"/>
      <c r="H139" s="1234" t="s">
        <v>1439</v>
      </c>
      <c r="I139" s="1234"/>
      <c r="J139" s="1234" t="s">
        <v>1440</v>
      </c>
      <c r="K139" s="1234"/>
      <c r="L139" s="1293" t="s">
        <v>1441</v>
      </c>
      <c r="M139" s="1293"/>
      <c r="N139" s="1294" t="s">
        <v>1442</v>
      </c>
      <c r="O139" s="1294"/>
      <c r="P139" s="1234" t="s">
        <v>1443</v>
      </c>
      <c r="Q139" s="1234"/>
      <c r="R139" s="1234" t="s">
        <v>1444</v>
      </c>
      <c r="S139" s="86"/>
    </row>
    <row r="140" spans="1:19" ht="15.75" hidden="1">
      <c r="A140" s="104"/>
      <c r="B140" s="104"/>
      <c r="C140" s="78"/>
      <c r="D140" s="904" t="s">
        <v>1445</v>
      </c>
      <c r="E140" s="1234"/>
      <c r="F140" s="1315" t="e">
        <f>ROUND(F93*#REF!,4)</f>
        <v>#REF!</v>
      </c>
      <c r="G140" s="1315"/>
      <c r="H140" s="1315" t="e">
        <f>ROUND(H93*#REF!,4)</f>
        <v>#REF!</v>
      </c>
      <c r="I140" s="1315"/>
      <c r="J140" s="1315" t="e">
        <f>ROUND(J93*#REF!,4)</f>
        <v>#REF!</v>
      </c>
      <c r="K140" s="1315"/>
      <c r="L140" s="1315" t="e">
        <f>ROUND(L93*#REF!,4)</f>
        <v>#REF!</v>
      </c>
      <c r="M140" s="1315"/>
      <c r="N140" s="1315" t="e">
        <f>ROUND(N93*#REF!,4)</f>
        <v>#REF!</v>
      </c>
      <c r="O140" s="1315"/>
      <c r="P140" s="1315" t="e">
        <f>ROUND(P93*#REF!,4)</f>
        <v>#REF!</v>
      </c>
      <c r="Q140" s="1315"/>
      <c r="R140" s="1315" t="e">
        <f>ROUND(R93*#REF!,4)</f>
        <v>#REF!</v>
      </c>
      <c r="S140" s="86"/>
    </row>
    <row r="141" spans="1:19" ht="15.75" hidden="1">
      <c r="A141" s="104"/>
      <c r="B141" s="104"/>
      <c r="C141" s="78"/>
      <c r="D141" s="904">
        <v>1</v>
      </c>
      <c r="E141" s="907"/>
      <c r="F141" s="1315" t="e">
        <f>ROUND(F94*#REF!,4)</f>
        <v>#REF!</v>
      </c>
      <c r="G141" s="1315"/>
      <c r="H141" s="1315" t="e">
        <f>ROUND(H94*#REF!,4)</f>
        <v>#REF!</v>
      </c>
      <c r="I141" s="1315"/>
      <c r="J141" s="1315" t="e">
        <f>ROUND(J94*#REF!,4)</f>
        <v>#REF!</v>
      </c>
      <c r="K141" s="1315"/>
      <c r="L141" s="1315" t="e">
        <f>ROUND(L94*#REF!,4)</f>
        <v>#REF!</v>
      </c>
      <c r="M141" s="1315"/>
      <c r="N141" s="1315" t="e">
        <f>ROUND(N94*#REF!,4)</f>
        <v>#REF!</v>
      </c>
      <c r="O141" s="1315"/>
      <c r="P141" s="1315" t="e">
        <f>ROUND(P94*#REF!,4)</f>
        <v>#REF!</v>
      </c>
      <c r="Q141" s="1315"/>
      <c r="R141" s="1315" t="e">
        <f>ROUND(R94*#REF!,4)</f>
        <v>#REF!</v>
      </c>
      <c r="S141" s="86"/>
    </row>
    <row r="142" spans="1:19" ht="15.75" hidden="1">
      <c r="A142" s="104"/>
      <c r="B142" s="104"/>
      <c r="C142" s="78"/>
      <c r="D142" s="904">
        <v>2</v>
      </c>
      <c r="E142" s="907"/>
      <c r="F142" s="1315" t="e">
        <f>ROUND(F95*#REF!,4)</f>
        <v>#REF!</v>
      </c>
      <c r="G142" s="1315"/>
      <c r="H142" s="1315" t="e">
        <f>ROUND(H95*#REF!,4)</f>
        <v>#REF!</v>
      </c>
      <c r="I142" s="1315"/>
      <c r="J142" s="1315" t="e">
        <f>ROUND(J95*#REF!,4)</f>
        <v>#REF!</v>
      </c>
      <c r="K142" s="1315"/>
      <c r="L142" s="1315" t="e">
        <f>ROUND(L95*#REF!,4)</f>
        <v>#REF!</v>
      </c>
      <c r="M142" s="1315"/>
      <c r="N142" s="1315" t="e">
        <f>ROUND(N95*#REF!,4)</f>
        <v>#REF!</v>
      </c>
      <c r="O142" s="1315"/>
      <c r="P142" s="1315" t="e">
        <f>ROUND(P95*#REF!,4)</f>
        <v>#REF!</v>
      </c>
      <c r="Q142" s="1315"/>
      <c r="R142" s="1315" t="e">
        <f>ROUND(R95*#REF!,4)</f>
        <v>#REF!</v>
      </c>
      <c r="S142" s="86"/>
    </row>
    <row r="143" spans="1:19" ht="15.75" hidden="1">
      <c r="A143" s="104"/>
      <c r="B143" s="104"/>
      <c r="C143" s="78"/>
      <c r="D143" s="904">
        <v>3</v>
      </c>
      <c r="E143" s="907"/>
      <c r="F143" s="1315" t="e">
        <f>ROUND(F96*#REF!,4)</f>
        <v>#REF!</v>
      </c>
      <c r="G143" s="1315"/>
      <c r="H143" s="1315" t="e">
        <f>ROUND(H96*#REF!,4)</f>
        <v>#REF!</v>
      </c>
      <c r="I143" s="1315"/>
      <c r="J143" s="1315" t="e">
        <f>ROUND(J96*#REF!,4)</f>
        <v>#REF!</v>
      </c>
      <c r="K143" s="1315"/>
      <c r="L143" s="1315" t="e">
        <f>ROUND(L96*#REF!,4)</f>
        <v>#REF!</v>
      </c>
      <c r="M143" s="1315"/>
      <c r="N143" s="1315" t="e">
        <f>ROUND(N96*#REF!,4)</f>
        <v>#REF!</v>
      </c>
      <c r="O143" s="1315"/>
      <c r="P143" s="1315" t="e">
        <f>ROUND(P96*#REF!,4)</f>
        <v>#REF!</v>
      </c>
      <c r="Q143" s="1315"/>
      <c r="R143" s="1315" t="e">
        <f>ROUND(R96*#REF!,4)</f>
        <v>#REF!</v>
      </c>
      <c r="S143" s="86"/>
    </row>
    <row r="144" spans="1:19" ht="15.75" hidden="1">
      <c r="A144" s="104"/>
      <c r="B144" s="104"/>
      <c r="C144" s="78"/>
      <c r="D144" s="904">
        <v>4</v>
      </c>
      <c r="E144" s="907"/>
      <c r="F144" s="1315" t="e">
        <f>ROUND(F97*#REF!,4)</f>
        <v>#REF!</v>
      </c>
      <c r="G144" s="1315"/>
      <c r="H144" s="1315" t="e">
        <f>ROUND(H97*#REF!,4)</f>
        <v>#REF!</v>
      </c>
      <c r="I144" s="1315"/>
      <c r="J144" s="1315" t="e">
        <f>ROUND(J97*#REF!,4)</f>
        <v>#REF!</v>
      </c>
      <c r="K144" s="1315"/>
      <c r="L144" s="1315" t="e">
        <f>ROUND(L97*#REF!,4)</f>
        <v>#REF!</v>
      </c>
      <c r="M144" s="1315"/>
      <c r="N144" s="1315" t="e">
        <f>ROUND(N97*#REF!,4)</f>
        <v>#REF!</v>
      </c>
      <c r="O144" s="1315"/>
      <c r="P144" s="1315" t="e">
        <f>ROUND(P97*#REF!,4)</f>
        <v>#REF!</v>
      </c>
      <c r="Q144" s="1315"/>
      <c r="R144" s="1315" t="e">
        <f>ROUND(R97*#REF!,4)</f>
        <v>#REF!</v>
      </c>
      <c r="S144" s="86"/>
    </row>
    <row r="145" spans="1:19" ht="15.75" hidden="1">
      <c r="A145" s="104"/>
      <c r="B145" s="104"/>
      <c r="C145" s="78"/>
      <c r="D145" s="904">
        <v>5</v>
      </c>
      <c r="E145" s="907"/>
      <c r="F145" s="1315" t="e">
        <f>ROUND(F98*#REF!,4)</f>
        <v>#REF!</v>
      </c>
      <c r="G145" s="1315"/>
      <c r="H145" s="1315" t="e">
        <f>ROUND(H98*#REF!,4)</f>
        <v>#REF!</v>
      </c>
      <c r="I145" s="1315"/>
      <c r="J145" s="1315" t="e">
        <f>ROUND(J98*#REF!,4)</f>
        <v>#REF!</v>
      </c>
      <c r="K145" s="1315"/>
      <c r="L145" s="1315" t="e">
        <f>ROUND(L98*#REF!,4)</f>
        <v>#REF!</v>
      </c>
      <c r="M145" s="1315"/>
      <c r="N145" s="1315" t="e">
        <f>ROUND(N98*#REF!,4)</f>
        <v>#REF!</v>
      </c>
      <c r="O145" s="1315"/>
      <c r="P145" s="1315" t="e">
        <f>ROUND(P98*#REF!,4)</f>
        <v>#REF!</v>
      </c>
      <c r="Q145" s="1315"/>
      <c r="R145" s="1315" t="e">
        <f>ROUND(R98*#REF!,4)</f>
        <v>#REF!</v>
      </c>
      <c r="S145" s="86"/>
    </row>
    <row r="146" spans="1:19" ht="15.75" hidden="1">
      <c r="A146" s="104"/>
      <c r="B146" s="104"/>
      <c r="C146" s="78"/>
      <c r="D146" s="904">
        <v>6</v>
      </c>
      <c r="E146" s="907"/>
      <c r="F146" s="1315" t="e">
        <f>ROUND(F99*#REF!,4)</f>
        <v>#REF!</v>
      </c>
      <c r="G146" s="1315"/>
      <c r="H146" s="1315" t="e">
        <f>ROUND(H99*#REF!,4)</f>
        <v>#REF!</v>
      </c>
      <c r="I146" s="1315"/>
      <c r="J146" s="1315" t="e">
        <f>ROUND(J99*#REF!,4)</f>
        <v>#REF!</v>
      </c>
      <c r="K146" s="1315"/>
      <c r="L146" s="1315" t="e">
        <f>ROUND(L99*#REF!,4)</f>
        <v>#REF!</v>
      </c>
      <c r="M146" s="1315"/>
      <c r="N146" s="1315" t="e">
        <f>ROUND(N99*#REF!,4)</f>
        <v>#REF!</v>
      </c>
      <c r="O146" s="1315"/>
      <c r="P146" s="1315" t="e">
        <f>ROUND(P99*#REF!,4)</f>
        <v>#REF!</v>
      </c>
      <c r="Q146" s="1315"/>
      <c r="R146" s="1315" t="e">
        <f>ROUND(R99*#REF!,4)</f>
        <v>#REF!</v>
      </c>
      <c r="S146" s="86"/>
    </row>
    <row r="147" spans="1:19" ht="15.75" hidden="1">
      <c r="A147" s="104"/>
      <c r="B147" s="104"/>
      <c r="C147" s="78"/>
      <c r="D147" s="904">
        <v>7</v>
      </c>
      <c r="E147" s="907"/>
      <c r="F147" s="1315" t="e">
        <f>ROUND(F100*#REF!,4)</f>
        <v>#REF!</v>
      </c>
      <c r="G147" s="1315"/>
      <c r="H147" s="1315" t="e">
        <f>ROUND(H100*#REF!,4)</f>
        <v>#REF!</v>
      </c>
      <c r="I147" s="1315"/>
      <c r="J147" s="1315" t="e">
        <f>ROUND(J100*#REF!,4)</f>
        <v>#REF!</v>
      </c>
      <c r="K147" s="1315"/>
      <c r="L147" s="1315" t="e">
        <f>ROUND(L100*#REF!,4)</f>
        <v>#REF!</v>
      </c>
      <c r="M147" s="1315"/>
      <c r="N147" s="1315" t="e">
        <f>ROUND(N100*#REF!,4)</f>
        <v>#REF!</v>
      </c>
      <c r="O147" s="1315"/>
      <c r="P147" s="1315" t="e">
        <f>ROUND(P100*#REF!,4)</f>
        <v>#REF!</v>
      </c>
      <c r="Q147" s="1315"/>
      <c r="R147" s="1315" t="e">
        <f>ROUND(R100*#REF!,4)</f>
        <v>#REF!</v>
      </c>
      <c r="S147" s="86"/>
    </row>
    <row r="148" spans="1:19" ht="15.75" hidden="1">
      <c r="A148" s="104"/>
      <c r="B148" s="104"/>
      <c r="C148" s="78"/>
      <c r="D148" s="904">
        <v>8</v>
      </c>
      <c r="E148" s="907"/>
      <c r="F148" s="1315" t="e">
        <f>ROUND(F101*#REF!,4)</f>
        <v>#REF!</v>
      </c>
      <c r="G148" s="1315"/>
      <c r="H148" s="1315" t="e">
        <f>ROUND(H101*#REF!,4)</f>
        <v>#REF!</v>
      </c>
      <c r="I148" s="1315"/>
      <c r="J148" s="1315" t="e">
        <f>ROUND(J101*#REF!,4)</f>
        <v>#REF!</v>
      </c>
      <c r="K148" s="1315"/>
      <c r="L148" s="1315" t="e">
        <f>ROUND(L101*#REF!,4)</f>
        <v>#REF!</v>
      </c>
      <c r="M148" s="1315"/>
      <c r="N148" s="1315" t="e">
        <f>ROUND(N101*#REF!,4)</f>
        <v>#REF!</v>
      </c>
      <c r="O148" s="1315"/>
      <c r="P148" s="1315" t="e">
        <f>ROUND(P101*#REF!,4)</f>
        <v>#REF!</v>
      </c>
      <c r="Q148" s="1315"/>
      <c r="R148" s="1315" t="e">
        <f>ROUND(R101*#REF!,4)</f>
        <v>#REF!</v>
      </c>
      <c r="S148" s="86"/>
    </row>
    <row r="149" spans="1:19" ht="15.75" hidden="1">
      <c r="A149" s="104"/>
      <c r="B149" s="104"/>
      <c r="C149" s="78"/>
      <c r="D149" s="904">
        <v>9</v>
      </c>
      <c r="E149" s="907"/>
      <c r="F149" s="1315" t="e">
        <f>ROUND(F102*#REF!,4)</f>
        <v>#REF!</v>
      </c>
      <c r="G149" s="1315"/>
      <c r="H149" s="1315" t="e">
        <f>ROUND(H102*#REF!,4)</f>
        <v>#REF!</v>
      </c>
      <c r="I149" s="1315"/>
      <c r="J149" s="1315" t="e">
        <f>ROUND(J102*#REF!,4)</f>
        <v>#REF!</v>
      </c>
      <c r="K149" s="1315"/>
      <c r="L149" s="1315" t="e">
        <f>ROUND(L102*#REF!,4)</f>
        <v>#REF!</v>
      </c>
      <c r="M149" s="1315"/>
      <c r="N149" s="1315" t="e">
        <f>ROUND(N102*#REF!,4)</f>
        <v>#REF!</v>
      </c>
      <c r="O149" s="1315"/>
      <c r="P149" s="1315" t="e">
        <f>ROUND(P102*#REF!,4)</f>
        <v>#REF!</v>
      </c>
      <c r="Q149" s="1315"/>
      <c r="R149" s="1315" t="e">
        <f>ROUND(R102*#REF!,4)</f>
        <v>#REF!</v>
      </c>
      <c r="S149" s="86"/>
    </row>
    <row r="150" spans="1:19" ht="15.75" hidden="1">
      <c r="A150" s="104"/>
      <c r="B150" s="104"/>
      <c r="C150" s="78"/>
      <c r="D150" s="904" t="s">
        <v>1678</v>
      </c>
      <c r="E150" s="1234"/>
      <c r="F150" s="1315" t="e">
        <f>ROUND(F103*SUM(#REF!),4)</f>
        <v>#REF!</v>
      </c>
      <c r="G150" s="1315"/>
      <c r="H150" s="1315" t="e">
        <f>ROUND(H103*SUM(#REF!),4)</f>
        <v>#REF!</v>
      </c>
      <c r="I150" s="1315"/>
      <c r="J150" s="1315" t="e">
        <f>ROUND(J103*SUM(#REF!),4)</f>
        <v>#REF!</v>
      </c>
      <c r="K150" s="1315"/>
      <c r="L150" s="1315" t="e">
        <f>ROUND(L103*SUM(#REF!),4)</f>
        <v>#REF!</v>
      </c>
      <c r="M150" s="1315"/>
      <c r="N150" s="1315" t="e">
        <f>ROUND(N103*SUM(#REF!),4)</f>
        <v>#REF!</v>
      </c>
      <c r="O150" s="1315"/>
      <c r="P150" s="1315" t="e">
        <f>ROUND(P103*SUM(#REF!),4)</f>
        <v>#REF!</v>
      </c>
      <c r="Q150" s="1315"/>
      <c r="R150" s="1315" t="e">
        <f>ROUND(R103*SUM(#REF!),4)</f>
        <v>#REF!</v>
      </c>
      <c r="S150" s="86"/>
    </row>
    <row r="151" spans="1:19" ht="15.75" hidden="1">
      <c r="A151" s="104"/>
      <c r="B151" s="27" t="s">
        <v>1680</v>
      </c>
      <c r="C151" s="78"/>
      <c r="D151" s="78"/>
      <c r="E151" s="78"/>
      <c r="F151" s="78"/>
      <c r="G151" s="78"/>
      <c r="H151" s="78"/>
      <c r="I151" s="78"/>
      <c r="J151" s="78"/>
      <c r="K151" s="78"/>
      <c r="L151" s="78"/>
      <c r="M151" s="78"/>
      <c r="N151" s="78"/>
      <c r="O151" s="78"/>
      <c r="P151" s="78"/>
      <c r="Q151" s="1295" t="s">
        <v>1100</v>
      </c>
      <c r="R151" s="1315" t="e">
        <f>SUM(F140:F150)+SUM(H140:H150)+SUM(J140:J150)+SUM(L140:L150)+SUM(N140:N150)+SUM(P140:P150)+SUM(R140:R150)</f>
        <v>#REF!</v>
      </c>
      <c r="S151" s="86"/>
    </row>
    <row r="152" spans="1:19" ht="12" customHeight="1">
      <c r="A152" s="104"/>
      <c r="B152" s="104"/>
      <c r="C152" s="78"/>
      <c r="D152" s="78"/>
      <c r="E152" s="78"/>
      <c r="F152" s="1316"/>
      <c r="G152" s="1316"/>
      <c r="H152" s="1317"/>
      <c r="I152" s="1318"/>
      <c r="J152" s="990"/>
      <c r="K152" s="990"/>
      <c r="L152" s="1319"/>
      <c r="M152" s="1319"/>
      <c r="N152" s="1320"/>
      <c r="O152" s="78"/>
      <c r="P152" s="982"/>
      <c r="Q152" s="982"/>
      <c r="R152" s="982"/>
      <c r="S152" s="86"/>
    </row>
    <row r="153" spans="1:19" ht="15.75">
      <c r="A153" s="104"/>
      <c r="B153" s="104"/>
      <c r="C153" s="78"/>
      <c r="D153" s="78"/>
      <c r="E153" s="78"/>
      <c r="F153" s="78"/>
      <c r="G153" s="78"/>
      <c r="H153" s="1321"/>
      <c r="I153" s="200"/>
      <c r="J153" s="1092" t="s">
        <v>1286</v>
      </c>
      <c r="K153" s="1180"/>
      <c r="L153" s="1096" t="s">
        <v>1287</v>
      </c>
      <c r="M153" s="200"/>
      <c r="N153" s="1322"/>
      <c r="O153" s="1156"/>
      <c r="P153" s="1032"/>
      <c r="Q153" s="1248"/>
      <c r="R153" s="982"/>
      <c r="S153" s="86"/>
    </row>
    <row r="154" spans="1:19" ht="15.75">
      <c r="A154" s="104"/>
      <c r="B154" s="104"/>
      <c r="C154" s="78"/>
      <c r="D154" s="78"/>
      <c r="E154" s="78"/>
      <c r="F154" s="78"/>
      <c r="G154" s="78"/>
      <c r="H154" s="1321"/>
      <c r="I154" s="200"/>
      <c r="J154" s="1323" t="s">
        <v>1659</v>
      </c>
      <c r="K154" s="1324"/>
      <c r="L154" s="1325" t="s">
        <v>1660</v>
      </c>
      <c r="M154" s="200"/>
      <c r="N154" s="1326"/>
      <c r="O154" s="1327"/>
      <c r="P154" s="949"/>
      <c r="Q154" s="1248"/>
      <c r="R154" s="982"/>
      <c r="S154" s="86"/>
    </row>
    <row r="155" spans="1:19" ht="15.75">
      <c r="A155" s="530" t="s">
        <v>2220</v>
      </c>
      <c r="B155" s="2027" t="s">
        <v>2472</v>
      </c>
      <c r="C155" s="1159"/>
      <c r="D155" s="1159"/>
      <c r="E155" s="1159"/>
      <c r="F155" s="1159"/>
      <c r="G155" s="78"/>
      <c r="H155" s="1321"/>
      <c r="I155" s="1328" t="s">
        <v>1101</v>
      </c>
      <c r="J155" s="1329">
        <f>R118</f>
        <v>0</v>
      </c>
      <c r="K155" s="1328" t="s">
        <v>1102</v>
      </c>
      <c r="L155" s="1330">
        <f>R135</f>
        <v>0</v>
      </c>
      <c r="M155" s="1331"/>
      <c r="N155" s="1332"/>
      <c r="O155" s="1331"/>
      <c r="P155" s="1333"/>
      <c r="Q155" s="1267"/>
      <c r="R155" s="1334"/>
      <c r="S155" s="1335" t="str">
        <f>+A155</f>
        <v>7.6.1</v>
      </c>
    </row>
    <row r="156" spans="1:19" ht="15.75">
      <c r="A156" s="530"/>
      <c r="B156" s="2027" t="s">
        <v>1237</v>
      </c>
      <c r="C156" s="1183"/>
      <c r="D156" s="1183"/>
      <c r="E156" s="1183"/>
      <c r="F156" s="1183"/>
      <c r="G156" s="78"/>
      <c r="H156" s="1321"/>
      <c r="I156" s="1333"/>
      <c r="J156" s="1333"/>
      <c r="K156" s="1333"/>
      <c r="L156" s="1333"/>
      <c r="M156" s="1333"/>
      <c r="N156" s="1332"/>
      <c r="O156" s="1333"/>
      <c r="P156" s="1333"/>
      <c r="Q156" s="1267"/>
      <c r="R156" s="1334"/>
      <c r="S156" s="1335"/>
    </row>
    <row r="157" spans="1:19" ht="15.75">
      <c r="A157" s="801"/>
      <c r="B157" s="1159"/>
      <c r="C157" s="1159"/>
      <c r="D157" s="1159"/>
      <c r="E157" s="1159"/>
      <c r="F157" s="1159"/>
      <c r="G157" s="78"/>
      <c r="H157" s="1321"/>
      <c r="I157" s="1336"/>
      <c r="J157" s="1333"/>
      <c r="K157" s="1336"/>
      <c r="L157" s="1333"/>
      <c r="M157" s="1337"/>
      <c r="N157" s="1338"/>
      <c r="O157" s="200"/>
      <c r="P157" s="1267"/>
      <c r="Q157" s="1267"/>
      <c r="R157" s="1267"/>
      <c r="S157" s="1339"/>
    </row>
    <row r="158" spans="1:19" ht="15.75" customHeight="1">
      <c r="A158" s="530" t="s">
        <v>2221</v>
      </c>
      <c r="B158" s="2027" t="s">
        <v>2471</v>
      </c>
      <c r="C158" s="1159"/>
      <c r="D158" s="1159"/>
      <c r="E158" s="1159"/>
      <c r="F158" s="1159"/>
      <c r="G158" s="78"/>
      <c r="H158" s="1340"/>
      <c r="I158" s="999"/>
      <c r="J158" s="1341">
        <f>+R48</f>
        <v>0</v>
      </c>
      <c r="K158" s="999"/>
      <c r="L158" s="1301">
        <f>+R89</f>
        <v>0</v>
      </c>
      <c r="M158" s="1309"/>
      <c r="N158" s="1342"/>
      <c r="O158" s="200"/>
      <c r="P158" s="1309"/>
      <c r="Q158" s="1248"/>
      <c r="R158" s="982"/>
      <c r="S158" s="1335" t="str">
        <f>+A158</f>
        <v>7.6.2</v>
      </c>
    </row>
    <row r="159" spans="1:19" ht="15.75" customHeight="1">
      <c r="A159" s="530"/>
      <c r="B159" s="2027" t="s">
        <v>2136</v>
      </c>
      <c r="C159" s="1159"/>
      <c r="D159" s="1159"/>
      <c r="E159" s="1159"/>
      <c r="F159" s="1159"/>
      <c r="G159" s="78"/>
      <c r="H159" s="1340"/>
      <c r="I159" s="339"/>
      <c r="J159" s="1343"/>
      <c r="K159" s="339"/>
      <c r="L159" s="1309"/>
      <c r="M159" s="1309"/>
      <c r="N159" s="1342"/>
      <c r="O159" s="200"/>
      <c r="P159" s="1309"/>
      <c r="Q159" s="1248"/>
      <c r="R159" s="982"/>
      <c r="S159" s="1335"/>
    </row>
    <row r="160" spans="1:19" ht="15.75" customHeight="1">
      <c r="A160" s="530"/>
      <c r="B160" s="2027" t="s">
        <v>2137</v>
      </c>
      <c r="C160" s="1159"/>
      <c r="D160" s="1159"/>
      <c r="E160" s="1159"/>
      <c r="F160" s="1159"/>
      <c r="G160" s="78"/>
      <c r="H160" s="1340"/>
      <c r="I160" s="339"/>
      <c r="J160" s="1343"/>
      <c r="K160" s="339"/>
      <c r="L160" s="1309"/>
      <c r="M160" s="1309"/>
      <c r="N160" s="1342"/>
      <c r="O160" s="200"/>
      <c r="P160" s="1309"/>
      <c r="Q160" s="1248"/>
      <c r="R160" s="982"/>
      <c r="S160" s="1335"/>
    </row>
    <row r="161" spans="1:19" ht="15.75">
      <c r="A161" s="961"/>
      <c r="B161" s="1198"/>
      <c r="C161" s="200"/>
      <c r="D161" s="200"/>
      <c r="E161" s="200"/>
      <c r="F161" s="200"/>
      <c r="G161" s="78"/>
      <c r="H161" s="1321"/>
      <c r="I161" s="1336"/>
      <c r="J161" s="1343"/>
      <c r="K161" s="1336"/>
      <c r="L161" s="1309"/>
      <c r="M161" s="1309"/>
      <c r="N161" s="1338"/>
      <c r="O161" s="200"/>
      <c r="P161" s="1248"/>
      <c r="Q161" s="1248"/>
      <c r="R161" s="1248"/>
      <c r="S161" s="1339"/>
    </row>
    <row r="162" spans="1:19" ht="15.75">
      <c r="A162" s="104" t="s">
        <v>2222</v>
      </c>
      <c r="B162" s="400" t="s">
        <v>2470</v>
      </c>
      <c r="C162" s="78"/>
      <c r="D162" s="78"/>
      <c r="E162" s="78"/>
      <c r="F162" s="78"/>
      <c r="G162" s="78"/>
      <c r="H162" s="1344"/>
      <c r="I162" s="1157"/>
      <c r="J162" s="1345">
        <f>IF(J158=0,0,ROUND(J155/J158,4))</f>
        <v>0</v>
      </c>
      <c r="K162" s="1346"/>
      <c r="L162" s="1345">
        <f>IF(L158=0,0,ROUND(L155/L158,4))</f>
        <v>0</v>
      </c>
      <c r="M162" s="1347"/>
      <c r="N162" s="1348"/>
      <c r="O162" s="200"/>
      <c r="P162" s="1349"/>
      <c r="Q162" s="1248"/>
      <c r="R162" s="982"/>
      <c r="S162" s="1335" t="str">
        <f>+A162</f>
        <v>7.6.3</v>
      </c>
    </row>
    <row r="163" spans="1:19" ht="15.75">
      <c r="A163" s="961"/>
      <c r="B163" s="1198"/>
      <c r="C163" s="200"/>
      <c r="D163" s="200"/>
      <c r="E163" s="200"/>
      <c r="F163" s="200"/>
      <c r="G163" s="78"/>
      <c r="H163" s="109" t="s">
        <v>789</v>
      </c>
      <c r="I163" s="200"/>
      <c r="J163" s="1349"/>
      <c r="K163" s="1349"/>
      <c r="L163" s="1349"/>
      <c r="M163" s="1350"/>
      <c r="N163" s="200"/>
      <c r="O163" s="200"/>
      <c r="P163" s="1248"/>
      <c r="Q163" s="1248"/>
      <c r="R163" s="1248"/>
      <c r="S163" s="1335"/>
    </row>
    <row r="164" spans="1:19" ht="15.75">
      <c r="A164" s="961"/>
      <c r="B164" s="1198"/>
      <c r="C164" s="200"/>
      <c r="D164" s="200"/>
      <c r="E164" s="200"/>
      <c r="F164" s="200"/>
      <c r="G164" s="78"/>
      <c r="H164" s="109"/>
      <c r="I164" s="200"/>
      <c r="J164" s="1349"/>
      <c r="K164" s="1349"/>
      <c r="L164" s="1349"/>
      <c r="M164" s="1350"/>
      <c r="N164" s="200"/>
      <c r="O164" s="200"/>
      <c r="P164" s="1248"/>
      <c r="Q164" s="1248"/>
      <c r="R164" s="1248"/>
      <c r="S164" s="1335"/>
    </row>
    <row r="165" spans="1:19" ht="15.6" hidden="1" customHeight="1">
      <c r="A165" s="961">
        <v>7.13</v>
      </c>
      <c r="B165" s="104" t="s">
        <v>2224</v>
      </c>
      <c r="C165" s="200"/>
      <c r="D165" s="200"/>
      <c r="E165" s="200"/>
      <c r="F165" s="200"/>
      <c r="G165" s="78"/>
      <c r="H165" s="109"/>
      <c r="I165" s="200"/>
      <c r="J165" s="1345" t="e">
        <f>ROUND((#REF!*96/194)+(J162*98/194),4)</f>
        <v>#REF!</v>
      </c>
      <c r="K165" s="1351"/>
      <c r="L165" s="1345" t="e">
        <f>ROUND((#REF!*96/194)+(L162*98/194),4)</f>
        <v>#REF!</v>
      </c>
      <c r="M165" s="1350"/>
      <c r="N165" s="200"/>
      <c r="O165" s="200"/>
      <c r="P165" s="1248"/>
      <c r="Q165" s="1248"/>
      <c r="R165" s="1248"/>
      <c r="S165" s="1335"/>
    </row>
    <row r="166" spans="1:19" ht="15.6" hidden="1" customHeight="1">
      <c r="A166" s="961"/>
      <c r="B166" s="400" t="s">
        <v>2225</v>
      </c>
      <c r="C166" s="200"/>
      <c r="D166" s="200"/>
      <c r="E166" s="200"/>
      <c r="F166" s="200"/>
      <c r="G166" s="78"/>
      <c r="H166" s="109"/>
      <c r="I166" s="200"/>
      <c r="J166" s="1349"/>
      <c r="K166" s="1349"/>
      <c r="L166" s="1349"/>
      <c r="M166" s="1350"/>
      <c r="N166" s="200"/>
      <c r="O166" s="200"/>
      <c r="P166" s="1248"/>
      <c r="Q166" s="1248"/>
      <c r="R166" s="1248"/>
      <c r="S166" s="1335"/>
    </row>
    <row r="167" spans="1:19" ht="15.75">
      <c r="A167" s="961"/>
      <c r="B167" s="1198"/>
      <c r="C167" s="200"/>
      <c r="D167" s="200"/>
      <c r="E167" s="200"/>
      <c r="F167" s="200"/>
      <c r="G167" s="78"/>
      <c r="H167" s="109"/>
      <c r="I167" s="200"/>
      <c r="J167" s="1349"/>
      <c r="K167" s="1349"/>
      <c r="L167" s="1349"/>
      <c r="M167" s="1350"/>
      <c r="N167" s="200"/>
      <c r="O167" s="200"/>
      <c r="P167" s="1248"/>
      <c r="Q167" s="1248"/>
      <c r="R167" s="1248"/>
      <c r="S167" s="1335"/>
    </row>
    <row r="168" spans="1:19" ht="15.75">
      <c r="A168" s="961"/>
      <c r="B168" s="1198"/>
      <c r="C168" s="200"/>
      <c r="D168" s="200"/>
      <c r="E168" s="200"/>
      <c r="F168" s="200"/>
      <c r="G168" s="78"/>
      <c r="H168" s="109"/>
      <c r="I168" s="200"/>
      <c r="J168" s="1349"/>
      <c r="K168" s="1349"/>
      <c r="L168" s="1349"/>
      <c r="M168" s="1350"/>
      <c r="N168" s="200"/>
      <c r="O168" s="200"/>
      <c r="P168" s="1248"/>
      <c r="Q168" s="1248"/>
      <c r="R168" s="1248"/>
      <c r="S168" s="1335"/>
    </row>
    <row r="169" spans="1:19" ht="15.75">
      <c r="A169" s="1467" t="s">
        <v>3094</v>
      </c>
      <c r="B169" s="632" t="s">
        <v>1480</v>
      </c>
      <c r="C169" s="632"/>
      <c r="D169" s="632"/>
      <c r="E169" s="632"/>
      <c r="F169" s="632"/>
      <c r="G169" s="1148"/>
      <c r="H169" s="78"/>
      <c r="I169" s="1331"/>
      <c r="J169" s="1248"/>
      <c r="K169" s="1331"/>
      <c r="L169" s="1352" t="s">
        <v>1001</v>
      </c>
      <c r="M169" s="1331"/>
      <c r="N169" s="1248"/>
      <c r="O169" s="1331"/>
      <c r="P169" s="1248"/>
      <c r="Q169" s="200"/>
      <c r="R169" s="200"/>
      <c r="S169" s="1339"/>
    </row>
    <row r="170" spans="1:19" ht="15.75">
      <c r="A170" s="965"/>
      <c r="B170" s="1134" t="str">
        <f>"JK to SK: (Line 7.6.3 -1) X $"&amp;H170&amp;" (if negative, zero)"</f>
        <v>JK to SK: (Line 7.6.3 -1) X $3982.1 (if negative, zero)</v>
      </c>
      <c r="C170" s="200"/>
      <c r="D170" s="200"/>
      <c r="E170" s="200"/>
      <c r="F170" s="200"/>
      <c r="G170" s="78"/>
      <c r="H170" s="1353">
        <f>'GSN Benchmarks'!B152</f>
        <v>3982.1</v>
      </c>
      <c r="I170" s="200"/>
      <c r="J170" s="1201">
        <f>ROUND(IF((J162-1)*H170&lt;1,0,(J162-1)*H170),2)</f>
        <v>0</v>
      </c>
      <c r="K170" s="1354"/>
      <c r="L170" s="1355">
        <f>ROUND(IF(K3=15148,0,J170*J177),0)</f>
        <v>0</v>
      </c>
      <c r="M170" s="1354"/>
      <c r="N170" s="1248"/>
      <c r="O170" s="1353"/>
      <c r="P170" s="1354"/>
      <c r="Q170" s="200"/>
      <c r="R170" s="200"/>
      <c r="S170" s="1356"/>
    </row>
    <row r="171" spans="1:19" ht="15.75">
      <c r="A171" s="965"/>
      <c r="B171" s="1134" t="str">
        <f>"Gr. 1 to 3: (Line 7.6.3 -1) X $"&amp;H171&amp;" (if negative, zero) "</f>
        <v xml:space="preserve">Gr. 1 to 3: (Line 7.6.3 -1) X $5123.22 (if negative, zero) </v>
      </c>
      <c r="C171" s="200"/>
      <c r="D171" s="200"/>
      <c r="E171" s="200"/>
      <c r="F171" s="200"/>
      <c r="G171" s="78"/>
      <c r="H171" s="1353">
        <f>'GSN Benchmarks'!B153</f>
        <v>5123.2199999999993</v>
      </c>
      <c r="I171" s="200"/>
      <c r="J171" s="1201">
        <f>ROUND(IF((J162-1)*H171&lt;1,0,(J162-1)*H171),2)</f>
        <v>0</v>
      </c>
      <c r="K171" s="1354"/>
      <c r="L171" s="1355">
        <f>IF(K3=15148,0,J171*J178)</f>
        <v>0</v>
      </c>
      <c r="M171" s="1354"/>
      <c r="N171" s="1248"/>
      <c r="O171" s="1353"/>
      <c r="P171" s="1354"/>
      <c r="Q171" s="200"/>
      <c r="R171" s="200"/>
      <c r="S171" s="1356"/>
    </row>
    <row r="172" spans="1:19" ht="15.75">
      <c r="A172" s="965"/>
      <c r="B172" s="1134" t="str">
        <f>"Grade 4 to 8.  (Line 7.6.3 -1) X $"&amp;H172&amp;" (if negative, zero) "</f>
        <v xml:space="preserve">Grade 4 to 8.  (Line 7.6.3 -1) X $4230.43 (if negative, zero) </v>
      </c>
      <c r="C172" s="200"/>
      <c r="D172" s="200"/>
      <c r="E172" s="200"/>
      <c r="F172" s="200"/>
      <c r="G172" s="78"/>
      <c r="H172" s="1353">
        <f>'GSN Benchmarks'!B155</f>
        <v>4230.43</v>
      </c>
      <c r="I172" s="200"/>
      <c r="J172" s="1201">
        <f>ROUND(IF((J162-1)*H172&lt;1,0,(J162-1)*H172),2)</f>
        <v>0</v>
      </c>
      <c r="K172" s="1354"/>
      <c r="L172" s="1355">
        <f>IF(K3=15148,0,J172*J179)</f>
        <v>0</v>
      </c>
      <c r="M172" s="1354"/>
      <c r="N172" s="1357"/>
      <c r="O172" s="1353"/>
      <c r="P172" s="1354"/>
      <c r="Q172" s="200"/>
      <c r="R172" s="200"/>
      <c r="S172" s="1356"/>
    </row>
    <row r="173" spans="1:19" ht="15.75">
      <c r="A173" s="1358"/>
      <c r="B173" s="971" t="str">
        <f>"Secondary: (Line 7.6.3 -1) X $"&amp;H173&amp;" (if negative, zero) "</f>
        <v xml:space="preserve">Secondary: (Line 7.6.3 -1) X $5188.99 (if negative, zero) </v>
      </c>
      <c r="C173" s="971"/>
      <c r="D173" s="971"/>
      <c r="E173" s="971"/>
      <c r="F173" s="971"/>
      <c r="G173" s="969"/>
      <c r="H173" s="1353">
        <f>'GSN Benchmarks'!B157</f>
        <v>5188.99</v>
      </c>
      <c r="I173" s="971"/>
      <c r="J173" s="1201">
        <f>ROUND(IF((L162-1)*H173&lt;1,0,(L162-1)*H173),2)</f>
        <v>0</v>
      </c>
      <c r="K173" s="1359"/>
      <c r="L173" s="1360">
        <f>ROUND(J173*J180,0)</f>
        <v>0</v>
      </c>
      <c r="M173" s="1359"/>
      <c r="N173" s="1357" t="s">
        <v>789</v>
      </c>
      <c r="O173" s="1353"/>
      <c r="P173" s="1359"/>
      <c r="Q173" s="971"/>
      <c r="R173" s="971"/>
      <c r="S173" s="1361"/>
    </row>
    <row r="174" spans="1:19" ht="27.75" customHeight="1">
      <c r="A174" s="1358"/>
      <c r="B174" s="122" t="s">
        <v>1481</v>
      </c>
      <c r="C174" s="971"/>
      <c r="D174" s="971"/>
      <c r="E174" s="971"/>
      <c r="F174" s="200"/>
      <c r="G174" s="969"/>
      <c r="H174" s="1353"/>
      <c r="I174" s="971"/>
      <c r="J174" s="947" t="s">
        <v>789</v>
      </c>
      <c r="K174" s="1359"/>
      <c r="L174" s="1362">
        <f>SUM(L170:L173)</f>
        <v>0</v>
      </c>
      <c r="M174" s="1359"/>
      <c r="N174" s="1359"/>
      <c r="O174" s="1359"/>
      <c r="P174" s="1359"/>
      <c r="Q174" s="971"/>
      <c r="R174" s="971"/>
      <c r="S174" s="1361"/>
    </row>
    <row r="175" spans="1:19" ht="28.5" customHeight="1">
      <c r="A175" s="965"/>
      <c r="B175" s="1134"/>
      <c r="C175" s="200"/>
      <c r="D175" s="200"/>
      <c r="E175" s="200"/>
      <c r="F175" s="78"/>
      <c r="G175" s="78"/>
      <c r="H175" s="78"/>
      <c r="I175" s="200"/>
      <c r="J175" s="1363"/>
      <c r="K175" s="1363"/>
      <c r="L175" s="1363"/>
      <c r="M175" s="1363"/>
      <c r="N175" s="886"/>
      <c r="O175" s="886"/>
      <c r="P175" s="886"/>
      <c r="Q175" s="886"/>
      <c r="R175" s="886"/>
      <c r="S175" s="1356"/>
    </row>
    <row r="176" spans="1:19" ht="15.75">
      <c r="A176" s="1467" t="s">
        <v>3095</v>
      </c>
      <c r="B176" s="86" t="s">
        <v>2970</v>
      </c>
      <c r="C176" s="200"/>
      <c r="D176" s="200"/>
      <c r="E176" s="200"/>
      <c r="F176" s="200"/>
      <c r="G176" s="78"/>
      <c r="H176" s="78"/>
      <c r="I176" s="200"/>
      <c r="J176" s="1352" t="s">
        <v>1001</v>
      </c>
      <c r="K176" s="863"/>
      <c r="L176" s="1248"/>
      <c r="M176" s="863"/>
      <c r="N176" s="200"/>
      <c r="O176" s="200"/>
      <c r="P176" s="200"/>
      <c r="Q176" s="200"/>
      <c r="R176" s="1364">
        <f>'Sch 13 Enrolment'!V70</f>
        <v>0</v>
      </c>
      <c r="S176" s="1365" t="str">
        <f>+A176</f>
        <v>7.8</v>
      </c>
    </row>
    <row r="177" spans="1:19" ht="15.75">
      <c r="A177" s="535"/>
      <c r="B177" s="632" t="s">
        <v>2300</v>
      </c>
      <c r="C177" s="78"/>
      <c r="D177" s="78"/>
      <c r="E177" s="78"/>
      <c r="F177" s="78"/>
      <c r="G177" s="78"/>
      <c r="H177" s="78"/>
      <c r="I177" s="78"/>
      <c r="J177" s="1102">
        <f>('Sch 13 Enrolment'!H21+'Sch 13 Enrolment'!H22+'Sch 13 Enrolment'!M21+'Sch 13 Enrolment'!M22+'Sch 13 Enrolment'!P21+'Sch 13 Enrolment'!P22+'Sch 13 Enrolment'!U21+'Sch 13 Enrolment'!U22+'Sch 13 Enrolment'!H32+'Sch 13 Enrolment'!H33+'Sch 13 Enrolment'!M32+'Sch 13 Enrolment'!M33+'Sch 13 Enrolment'!P32+'Sch 13 Enrolment'!P33+'Sch 13 Enrolment'!U32+'Sch 13 Enrolment'!U33)/2</f>
        <v>0</v>
      </c>
      <c r="K177" s="1366"/>
      <c r="L177" s="1248"/>
      <c r="M177" s="1309"/>
      <c r="N177" s="1248"/>
      <c r="O177" s="200"/>
      <c r="P177" s="1248"/>
      <c r="Q177" s="200"/>
      <c r="R177" s="962"/>
      <c r="S177" s="1365"/>
    </row>
    <row r="178" spans="1:19" ht="15.75">
      <c r="A178" s="535"/>
      <c r="B178" s="632" t="s">
        <v>2262</v>
      </c>
      <c r="C178" s="78"/>
      <c r="D178" s="78"/>
      <c r="E178" s="78"/>
      <c r="F178" s="78"/>
      <c r="G178" s="78"/>
      <c r="H178" s="78"/>
      <c r="I178" s="78"/>
      <c r="J178" s="1102">
        <f>('Sch 13 Enrolment'!H23+'Sch 13 Enrolment'!M23+'Sch 13 Enrolment'!P23+'Sch 13 Enrolment'!U23+'Sch 13 Enrolment'!H34+'Sch 13 Enrolment'!M34+'Sch 13 Enrolment'!P34+'Sch 13 Enrolment'!U34)/2</f>
        <v>0</v>
      </c>
      <c r="K178" s="1366"/>
      <c r="L178" s="1248"/>
      <c r="M178" s="1309"/>
      <c r="N178" s="1248"/>
      <c r="O178" s="200"/>
      <c r="P178" s="1248"/>
      <c r="Q178" s="200"/>
      <c r="R178" s="962"/>
      <c r="S178" s="1365"/>
    </row>
    <row r="179" spans="1:19" ht="15.75">
      <c r="A179" s="535"/>
      <c r="B179" s="632" t="s">
        <v>43</v>
      </c>
      <c r="C179" s="78"/>
      <c r="D179" s="78"/>
      <c r="E179" s="78"/>
      <c r="F179" s="78"/>
      <c r="G179" s="78"/>
      <c r="H179" s="78"/>
      <c r="I179" s="78"/>
      <c r="J179" s="1102">
        <f>'Sch 13 Enrolment'!T49+'Sch 13 Enrolment'!T52</f>
        <v>0</v>
      </c>
      <c r="K179" s="1366"/>
      <c r="L179" s="1248"/>
      <c r="M179" s="1309"/>
      <c r="N179" s="1248"/>
      <c r="O179" s="200"/>
      <c r="P179" s="1248"/>
      <c r="Q179" s="200"/>
      <c r="R179" s="962"/>
      <c r="S179" s="1365"/>
    </row>
    <row r="180" spans="1:19" ht="15.75">
      <c r="A180" s="535"/>
      <c r="B180" s="632" t="s">
        <v>1000</v>
      </c>
      <c r="C180" s="78"/>
      <c r="D180" s="78"/>
      <c r="E180" s="78"/>
      <c r="F180" s="78"/>
      <c r="G180" s="78"/>
      <c r="H180" s="78"/>
      <c r="I180" s="78"/>
      <c r="J180" s="1102">
        <f>'Sch 13 Enrolment'!V61+'Sch 13 Enrolment'!V62</f>
        <v>0</v>
      </c>
      <c r="K180" s="1366"/>
      <c r="L180" s="1248"/>
      <c r="M180" s="1309"/>
      <c r="N180" s="1248"/>
      <c r="O180" s="200"/>
      <c r="P180" s="1248"/>
      <c r="Q180" s="200"/>
      <c r="R180" s="962"/>
      <c r="S180" s="1365"/>
    </row>
    <row r="181" spans="1:19" ht="15.75">
      <c r="A181" s="535"/>
      <c r="B181" s="632" t="s">
        <v>1904</v>
      </c>
      <c r="C181" s="78"/>
      <c r="D181" s="78"/>
      <c r="E181" s="78"/>
      <c r="F181" s="78"/>
      <c r="G181" s="78"/>
      <c r="H181" s="78"/>
      <c r="I181" s="78"/>
      <c r="J181" s="1102">
        <f>SUM(J177:J180)</f>
        <v>0</v>
      </c>
      <c r="K181" s="1366"/>
      <c r="L181" s="1248"/>
      <c r="M181" s="1309"/>
      <c r="N181" s="1248"/>
      <c r="O181" s="200"/>
      <c r="P181" s="1248"/>
      <c r="Q181" s="200"/>
      <c r="R181" s="962"/>
      <c r="S181" s="1365"/>
    </row>
    <row r="182" spans="1:19" ht="15.75">
      <c r="A182" s="535"/>
      <c r="B182" s="632"/>
      <c r="C182" s="78"/>
      <c r="D182" s="78"/>
      <c r="E182" s="78"/>
      <c r="F182" s="78"/>
      <c r="G182" s="78"/>
      <c r="H182" s="78"/>
      <c r="I182" s="78"/>
      <c r="J182" s="1248"/>
      <c r="K182" s="1366"/>
      <c r="L182" s="1248"/>
      <c r="M182" s="1309"/>
      <c r="N182" s="1248"/>
      <c r="O182" s="200"/>
      <c r="P182" s="1248"/>
      <c r="Q182" s="78"/>
      <c r="R182" s="962"/>
      <c r="S182" s="1365"/>
    </row>
    <row r="183" spans="1:19" ht="15.75">
      <c r="A183" s="965"/>
      <c r="B183" s="1134"/>
      <c r="C183" s="200"/>
      <c r="D183" s="200"/>
      <c r="E183" s="200"/>
      <c r="F183" s="200"/>
      <c r="G183" s="78"/>
      <c r="H183" s="78"/>
      <c r="I183" s="200"/>
      <c r="J183" s="1367" t="s">
        <v>2274</v>
      </c>
      <c r="K183" s="1368"/>
      <c r="L183" s="886" t="s">
        <v>2301</v>
      </c>
      <c r="M183" s="1367"/>
      <c r="N183" s="1368" t="s">
        <v>1841</v>
      </c>
      <c r="O183" s="1368"/>
      <c r="P183" s="886" t="s">
        <v>1000</v>
      </c>
      <c r="Q183" s="200"/>
      <c r="R183" s="902"/>
      <c r="S183" s="1356"/>
    </row>
    <row r="184" spans="1:19" ht="15.75">
      <c r="A184" s="1056" t="s">
        <v>3096</v>
      </c>
      <c r="B184" s="104" t="s">
        <v>3098</v>
      </c>
      <c r="C184" s="632"/>
      <c r="D184" s="78"/>
      <c r="E184" s="78"/>
      <c r="F184" s="78"/>
      <c r="G184" s="78"/>
      <c r="H184" s="78"/>
      <c r="I184" s="1295" t="s">
        <v>1103</v>
      </c>
      <c r="J184" s="954">
        <f>IF(K3=15148,0,L170)</f>
        <v>0</v>
      </c>
      <c r="K184" s="1369"/>
      <c r="L184" s="954">
        <f>IF(M3=15148,0,L171)</f>
        <v>0</v>
      </c>
      <c r="M184" s="1295" t="s">
        <v>1104</v>
      </c>
      <c r="N184" s="954">
        <f>IF(K3=15148,0,L172)</f>
        <v>0</v>
      </c>
      <c r="O184" s="1369"/>
      <c r="P184" s="954">
        <f>L173</f>
        <v>0</v>
      </c>
      <c r="Q184" s="78"/>
      <c r="R184" s="964">
        <f>J184+L184+N184+P184</f>
        <v>0</v>
      </c>
      <c r="S184" s="1365" t="str">
        <f>+A184</f>
        <v>7.9</v>
      </c>
    </row>
    <row r="185" spans="1:19" ht="15.75">
      <c r="A185" s="535"/>
      <c r="B185" s="104"/>
      <c r="C185" s="632"/>
      <c r="D185" s="78"/>
      <c r="E185" s="78"/>
      <c r="F185" s="78"/>
      <c r="G185" s="1336"/>
      <c r="H185" s="956"/>
      <c r="I185" s="956"/>
      <c r="J185" s="863"/>
      <c r="K185" s="1336"/>
      <c r="L185" s="956"/>
      <c r="M185" s="956"/>
      <c r="N185" s="200"/>
      <c r="O185" s="200"/>
      <c r="P185" s="200"/>
      <c r="Q185" s="78"/>
      <c r="R185" s="78"/>
      <c r="S185" s="1365"/>
    </row>
    <row r="186" spans="1:19" ht="15.75">
      <c r="A186" s="535"/>
      <c r="B186" s="104"/>
      <c r="C186" s="632"/>
      <c r="D186" s="78"/>
      <c r="E186" s="78"/>
      <c r="F186" s="78"/>
      <c r="G186" s="1336"/>
      <c r="H186" s="956"/>
      <c r="I186" s="956"/>
      <c r="J186" s="863"/>
      <c r="K186" s="1336"/>
      <c r="L186" s="956"/>
      <c r="M186" s="956"/>
      <c r="N186" s="200"/>
      <c r="O186" s="200"/>
      <c r="P186" s="200"/>
      <c r="Q186" s="78"/>
      <c r="R186" s="78"/>
      <c r="S186" s="1365"/>
    </row>
    <row r="187" spans="1:19" ht="15.75">
      <c r="A187" s="535"/>
      <c r="B187" s="27" t="s">
        <v>299</v>
      </c>
      <c r="C187" s="632"/>
      <c r="D187" s="78"/>
      <c r="E187" s="78"/>
      <c r="F187" s="78"/>
      <c r="G187" s="1336"/>
      <c r="H187" s="956"/>
      <c r="I187" s="956"/>
      <c r="J187" s="1363" t="s">
        <v>1289</v>
      </c>
      <c r="K187" s="1370"/>
      <c r="L187" s="1371" t="s">
        <v>1000</v>
      </c>
      <c r="M187" s="956"/>
      <c r="N187" s="200"/>
      <c r="O187" s="200"/>
      <c r="P187" s="200"/>
      <c r="Q187" s="78"/>
      <c r="R187" s="78"/>
      <c r="S187" s="1365"/>
    </row>
    <row r="188" spans="1:19" ht="15.75">
      <c r="A188" s="535"/>
      <c r="B188" s="78"/>
      <c r="C188" s="632"/>
      <c r="D188" s="78"/>
      <c r="E188" s="78"/>
      <c r="F188" s="78"/>
      <c r="G188" s="1336"/>
      <c r="H188" s="956"/>
      <c r="I188" s="956"/>
      <c r="J188" s="863"/>
      <c r="K188" s="1336"/>
      <c r="L188" s="956"/>
      <c r="M188" s="956"/>
      <c r="N188" s="200"/>
      <c r="O188" s="200"/>
      <c r="P188" s="200"/>
      <c r="Q188" s="78"/>
      <c r="R188" s="78"/>
      <c r="S188" s="1365"/>
    </row>
    <row r="189" spans="1:19" ht="15.75">
      <c r="A189" s="1056" t="s">
        <v>2223</v>
      </c>
      <c r="B189" s="104" t="s">
        <v>2971</v>
      </c>
      <c r="C189" s="632"/>
      <c r="D189" s="78"/>
      <c r="E189" s="78"/>
      <c r="F189" s="78"/>
      <c r="G189" s="1336"/>
      <c r="H189" s="956"/>
      <c r="I189" s="956"/>
      <c r="J189" s="1193">
        <f>ROUND(IF($K$3=15148,0,IF($R$176=0,0,VLOOKUP($K$3,Tables!$A$5:$AN$32,11,FALSE))),0)</f>
        <v>0</v>
      </c>
      <c r="K189" s="1372"/>
      <c r="L189" s="1193">
        <f>ROUND(IF($K$3=15148,IF($R$176=0,0,VLOOKUP($K$3,Tables!$A$5:$AN$32,11,FALSE))),0)</f>
        <v>0</v>
      </c>
      <c r="M189" s="1373"/>
      <c r="N189" s="1374"/>
      <c r="O189" s="200"/>
      <c r="P189" s="1374"/>
      <c r="Q189" s="1373"/>
      <c r="R189" s="954">
        <f>J189+L189+N189+P189</f>
        <v>0</v>
      </c>
      <c r="S189" s="1365" t="str">
        <f>+A189</f>
        <v>7.10</v>
      </c>
    </row>
    <row r="190" spans="1:19" ht="15.75">
      <c r="A190" s="535"/>
      <c r="B190" s="2030"/>
      <c r="C190" s="2030"/>
      <c r="D190" s="2030"/>
      <c r="E190" s="2030"/>
      <c r="F190" s="2030"/>
      <c r="G190" s="2030"/>
      <c r="H190" s="2030"/>
      <c r="I190" s="956"/>
      <c r="J190" s="863"/>
      <c r="K190" s="1336"/>
      <c r="L190" s="956"/>
      <c r="M190" s="956"/>
      <c r="N190" s="78"/>
      <c r="O190" s="78"/>
      <c r="P190" s="78"/>
      <c r="Q190" s="78"/>
      <c r="R190" s="78"/>
      <c r="S190" s="1365"/>
    </row>
    <row r="191" spans="1:19" ht="15.75">
      <c r="A191" s="1056" t="s">
        <v>3131</v>
      </c>
      <c r="B191" s="104" t="s">
        <v>2972</v>
      </c>
      <c r="C191" s="2030"/>
      <c r="D191" s="2030"/>
      <c r="E191" s="2030"/>
      <c r="F191" s="2030"/>
      <c r="G191" s="2030"/>
      <c r="H191" s="2030"/>
      <c r="I191" s="956"/>
      <c r="J191" s="863"/>
      <c r="K191" s="1336"/>
      <c r="L191" s="956"/>
      <c r="M191" s="956"/>
      <c r="N191" s="78"/>
      <c r="O191" s="78"/>
      <c r="P191" s="78"/>
      <c r="Q191" s="78"/>
      <c r="R191" s="964">
        <f>IF($K$3=0,0,VLOOKUP($K$3,Tables!$A$5:$BF$8,58,FALSE))</f>
        <v>0</v>
      </c>
      <c r="S191" s="1365" t="str">
        <f>+A191</f>
        <v>7.11.1</v>
      </c>
    </row>
    <row r="192" spans="1:19" ht="15.75">
      <c r="A192" s="78"/>
      <c r="B192" s="78"/>
      <c r="C192" s="78"/>
      <c r="D192" s="78"/>
      <c r="E192" s="78"/>
      <c r="F192" s="78"/>
      <c r="G192" s="78"/>
      <c r="H192" s="941"/>
      <c r="I192" s="78"/>
      <c r="J192" s="78"/>
      <c r="K192" s="78"/>
      <c r="L192" s="78"/>
      <c r="M192" s="78"/>
      <c r="N192" s="1375"/>
      <c r="O192" s="1375"/>
      <c r="P192" s="78"/>
      <c r="Q192" s="78"/>
      <c r="R192" s="78"/>
      <c r="S192" s="1365"/>
    </row>
    <row r="193" spans="1:19" ht="15.75">
      <c r="A193" s="1056" t="s">
        <v>3132</v>
      </c>
      <c r="B193" s="104" t="s">
        <v>3151</v>
      </c>
      <c r="C193" s="2030"/>
      <c r="D193" s="2030"/>
      <c r="E193" s="2030"/>
      <c r="F193" s="2030"/>
      <c r="G193" s="2030"/>
      <c r="H193" s="2030"/>
      <c r="I193" s="2210"/>
      <c r="J193" s="863"/>
      <c r="K193" s="1336"/>
      <c r="L193" s="2210"/>
      <c r="M193" s="2210"/>
      <c r="N193" s="78"/>
      <c r="O193" s="78"/>
      <c r="P193" s="78"/>
      <c r="Q193" s="78"/>
      <c r="R193" s="964">
        <f>IF($K$3=0,0,VLOOKUP($K$3,Tables!$A$5:$BK$8,63,FALSE))</f>
        <v>0</v>
      </c>
      <c r="S193" s="1365" t="str">
        <f>+A193</f>
        <v>7.11.2</v>
      </c>
    </row>
    <row r="194" spans="1:19" ht="15.75">
      <c r="A194" s="78"/>
      <c r="B194" s="78"/>
      <c r="C194" s="78"/>
      <c r="D194" s="78"/>
      <c r="E194" s="78"/>
      <c r="F194" s="78"/>
      <c r="G194" s="78"/>
      <c r="H194" s="2209"/>
      <c r="I194" s="78"/>
      <c r="J194" s="78"/>
      <c r="K194" s="78"/>
      <c r="L194" s="78"/>
      <c r="M194" s="78"/>
      <c r="N194" s="1375"/>
      <c r="O194" s="1375"/>
      <c r="P194" s="78"/>
      <c r="Q194" s="78"/>
      <c r="R194" s="78"/>
      <c r="S194" s="1365"/>
    </row>
    <row r="195" spans="1:19" ht="15.75">
      <c r="A195" s="1056" t="s">
        <v>3150</v>
      </c>
      <c r="B195" s="104" t="s">
        <v>3142</v>
      </c>
      <c r="C195" s="2030"/>
      <c r="D195" s="2030"/>
      <c r="E195" s="2030"/>
      <c r="F195" s="2030"/>
      <c r="G195" s="2030"/>
      <c r="H195" s="2030"/>
      <c r="I195" s="2210"/>
      <c r="J195" s="863"/>
      <c r="K195" s="1336"/>
      <c r="L195" s="2210"/>
      <c r="M195" s="2210"/>
      <c r="N195" s="78"/>
      <c r="O195" s="78"/>
      <c r="P195" s="78"/>
      <c r="Q195" s="78"/>
      <c r="R195" s="964">
        <f>IF($K$3=0,0,VLOOKUP($K$3,Tables!$A$5:$BH$8,60,FALSE))</f>
        <v>0</v>
      </c>
      <c r="S195" s="1365" t="str">
        <f>+A195</f>
        <v>7.11.3</v>
      </c>
    </row>
    <row r="196" spans="1:19" ht="16.5" thickBot="1">
      <c r="A196" s="78"/>
      <c r="B196" s="78"/>
      <c r="C196" s="78"/>
      <c r="D196" s="78"/>
      <c r="E196" s="78"/>
      <c r="F196" s="78"/>
      <c r="G196" s="78"/>
      <c r="H196" s="2209"/>
      <c r="I196" s="78"/>
      <c r="J196" s="78"/>
      <c r="K196" s="78"/>
      <c r="L196" s="78"/>
      <c r="M196" s="78"/>
      <c r="N196" s="1375"/>
      <c r="O196" s="1375"/>
      <c r="P196" s="78"/>
      <c r="Q196" s="78"/>
      <c r="R196" s="78"/>
      <c r="S196" s="1365"/>
    </row>
    <row r="197" spans="1:19" ht="16.5" thickBot="1">
      <c r="A197" s="535">
        <v>7.12</v>
      </c>
      <c r="B197" s="27" t="s">
        <v>1279</v>
      </c>
      <c r="C197" s="78"/>
      <c r="D197" s="78"/>
      <c r="E197" s="78"/>
      <c r="F197" s="78"/>
      <c r="G197" s="78"/>
      <c r="H197" s="956"/>
      <c r="I197" s="956"/>
      <c r="J197" s="78"/>
      <c r="K197" s="956"/>
      <c r="L197" s="78"/>
      <c r="M197" s="1033"/>
      <c r="N197" s="1375"/>
      <c r="O197" s="1375"/>
      <c r="P197" s="200"/>
      <c r="Q197" s="200"/>
      <c r="R197" s="2331">
        <f>ROUND(R184+R189+R191+R193+R195,0)</f>
        <v>0</v>
      </c>
      <c r="S197" s="1365">
        <f>+A197</f>
        <v>7.12</v>
      </c>
    </row>
    <row r="198" spans="1:19" ht="15.75">
      <c r="A198" s="961"/>
      <c r="B198" s="1198" t="s">
        <v>3179</v>
      </c>
      <c r="C198" s="200"/>
      <c r="D198" s="200"/>
      <c r="E198" s="200"/>
      <c r="F198" s="78"/>
      <c r="G198" s="78"/>
      <c r="H198" s="200"/>
      <c r="I198" s="200"/>
      <c r="J198" s="200"/>
      <c r="K198" s="200"/>
      <c r="L198" s="78"/>
      <c r="M198" s="78"/>
      <c r="N198" s="1375"/>
      <c r="O198" s="1375"/>
      <c r="P198" s="200"/>
      <c r="Q198" s="200"/>
      <c r="R198" s="200"/>
      <c r="S198" s="1365"/>
    </row>
    <row r="199" spans="1:19" ht="15">
      <c r="A199" s="78"/>
      <c r="B199" s="78"/>
      <c r="C199" s="78"/>
      <c r="D199" s="78"/>
      <c r="E199" s="78"/>
      <c r="F199" s="78"/>
      <c r="G199" s="78"/>
      <c r="H199" s="78"/>
      <c r="I199" s="78"/>
      <c r="J199" s="78"/>
      <c r="K199" s="78"/>
      <c r="L199" s="78"/>
      <c r="M199" s="78"/>
      <c r="N199" s="78"/>
      <c r="O199" s="78"/>
      <c r="P199" s="78"/>
      <c r="Q199" s="78"/>
      <c r="R199" s="78"/>
      <c r="S199" s="78"/>
    </row>
    <row r="200" spans="1:19" ht="15.75">
      <c r="A200" s="78"/>
      <c r="B200" s="78"/>
      <c r="C200" s="78"/>
      <c r="D200" s="78"/>
      <c r="E200" s="78"/>
      <c r="F200" s="78"/>
      <c r="G200" s="78"/>
      <c r="H200" s="78"/>
      <c r="I200" s="78"/>
      <c r="J200" s="78"/>
      <c r="K200" s="78"/>
      <c r="L200" s="78"/>
      <c r="M200" s="78"/>
      <c r="N200" s="78"/>
      <c r="O200" s="78"/>
      <c r="P200" s="78"/>
      <c r="Q200" s="78"/>
      <c r="R200" s="1376"/>
      <c r="S200" s="78"/>
    </row>
    <row r="201" spans="1:19" ht="15">
      <c r="A201" s="78"/>
      <c r="B201" s="78"/>
      <c r="C201" s="78"/>
      <c r="D201" s="78"/>
      <c r="E201" s="78"/>
      <c r="F201" s="78"/>
      <c r="G201" s="78"/>
      <c r="H201" s="78"/>
      <c r="I201" s="78"/>
      <c r="J201" s="78"/>
      <c r="K201" s="78"/>
      <c r="L201" s="78"/>
      <c r="M201" s="78"/>
      <c r="N201" s="78"/>
      <c r="O201" s="78"/>
      <c r="P201" s="78"/>
      <c r="Q201" s="78"/>
      <c r="R201" s="78"/>
      <c r="S201" s="78"/>
    </row>
    <row r="202" spans="1:19" ht="15">
      <c r="A202" s="78"/>
      <c r="B202" s="78"/>
      <c r="C202" s="78"/>
      <c r="D202" s="78"/>
      <c r="E202" s="78"/>
      <c r="F202" s="78"/>
      <c r="G202" s="78"/>
      <c r="H202" s="78"/>
      <c r="I202" s="78"/>
      <c r="J202" s="78"/>
      <c r="K202" s="78"/>
      <c r="L202" s="78"/>
      <c r="M202" s="78"/>
      <c r="N202" s="78"/>
      <c r="O202" s="78"/>
      <c r="P202" s="78"/>
      <c r="Q202" s="78"/>
      <c r="R202" s="78"/>
      <c r="S202" s="78"/>
    </row>
    <row r="203" spans="1:19" ht="15">
      <c r="A203" s="78"/>
      <c r="B203" s="78"/>
      <c r="C203" s="78"/>
      <c r="D203" s="78"/>
      <c r="E203" s="78"/>
      <c r="F203" s="78"/>
      <c r="G203" s="78"/>
      <c r="H203" s="78"/>
      <c r="I203" s="78"/>
      <c r="J203" s="78"/>
      <c r="K203" s="78"/>
      <c r="L203" s="78"/>
      <c r="M203" s="78"/>
      <c r="N203" s="78"/>
      <c r="O203" s="78"/>
      <c r="P203" s="78"/>
      <c r="Q203" s="78"/>
      <c r="R203" s="78"/>
      <c r="S203" s="78"/>
    </row>
    <row r="204" spans="1:19" ht="15">
      <c r="A204" s="78"/>
      <c r="B204" s="78"/>
      <c r="C204" s="78"/>
      <c r="D204" s="78"/>
      <c r="E204" s="78"/>
      <c r="F204" s="78"/>
      <c r="G204" s="78"/>
      <c r="H204" s="78"/>
      <c r="I204" s="78"/>
      <c r="J204" s="78"/>
      <c r="K204" s="78"/>
      <c r="L204" s="78"/>
      <c r="M204" s="78"/>
      <c r="N204" s="78"/>
      <c r="O204" s="78"/>
      <c r="P204" s="78"/>
      <c r="Q204" s="78"/>
      <c r="R204" s="78"/>
      <c r="S204" s="78"/>
    </row>
    <row r="205" spans="1:19" ht="15">
      <c r="A205" s="78"/>
      <c r="B205" s="78"/>
      <c r="C205" s="78"/>
      <c r="D205" s="78"/>
      <c r="E205" s="78"/>
      <c r="F205" s="78"/>
      <c r="G205" s="78"/>
      <c r="H205" s="78"/>
      <c r="I205" s="78"/>
      <c r="J205" s="78"/>
      <c r="K205" s="78"/>
      <c r="L205" s="78"/>
      <c r="M205" s="78"/>
      <c r="N205" s="78"/>
      <c r="O205" s="78"/>
      <c r="P205" s="78"/>
      <c r="Q205" s="78"/>
      <c r="R205" s="78"/>
      <c r="S205" s="78"/>
    </row>
  </sheetData>
  <sheetProtection password="C7B7" sheet="1" objects="1" scenarios="1"/>
  <protectedRanges>
    <protectedRange sqref="R45:R46 R88" name="Range14"/>
    <protectedRange sqref="P45:P46" name="Range13"/>
    <protectedRange sqref="N45:N46" name="Range12"/>
    <protectedRange sqref="L45:L46" name="Range11"/>
    <protectedRange sqref="R33:R44 L33:L44 J33:J46 N33:N44 R47 P33:P44" name="Range10"/>
    <protectedRange sqref="H33:H46 F33:F46" name="Range8"/>
    <protectedRange sqref="R86:R87" name="Range14_5"/>
    <protectedRange sqref="P86:P87" name="Range13_5"/>
    <protectedRange sqref="N86:N87" name="Range12_5"/>
    <protectedRange sqref="L86:L87" name="Range11_5"/>
    <protectedRange sqref="J74:J87 L74:L85 N74:N85 P74:P85 R74:R85" name="Range10_5"/>
    <protectedRange sqref="H74:H87" name="Range9_1"/>
    <protectedRange sqref="F74:F87" name="Range8_5"/>
  </protectedRanges>
  <phoneticPr fontId="13" type="noConversion"/>
  <hyperlinks>
    <hyperlink ref="B1" location="Method_of_Qualification_Categories_System" display="Method of Qualification Categories System"/>
    <hyperlink ref="C1" location="Use_the_Full_Time_Equivalent_Number_of_Teachers_as_of_October_31__2016__one_decimal__as_described_in_section_40_4__of_Ont._2016_17_Grants_for_Student_Needs_Reg." display="Use the Full-Time Equivalent Number of Teachers as of October 31, 2016 (one decimal) as described in section 40(4) of Ont. 2016-17 Grants for Student Needs Reg."/>
    <hyperlink ref="D1" location="Years_of_experience" display="Years of experience"/>
    <hyperlink ref="E1" location="GRID_1___GRID_WITH_NO_Q___E_MOVEMENT_FROM_PRIOR_YEAR" display="GRID 1 - GRID WITH NO Q &amp; E MOVEMENT FROM PRIOR YEAR"/>
    <hyperlink ref="F1" location="Elementary___English_Language_Instructional_Unit" display="Elementary - English Language Instructional Unit"/>
    <hyperlink ref="G1" location="Secondary___English_Language_Instructional_Units" display="Secondary - English Language Instructional Units"/>
    <hyperlink ref="H1" location="Qualification_Factors___Table_13_Ontario_2016_17_Grant_Regulation" display="Qualification Factors - Table 13 Ontario 2016-17 Grant Regulation"/>
    <hyperlink ref="I1" location="Elementary_calculated_factor__Item_7.1_X_7.3___four_decimals____English_Language_Instructional_Unit" display="Elementary calculated factor (Item 7.1 X 7.3) (four decimals) - English Language Instructional Unit"/>
    <hyperlink ref="J1" location="Secondary_calculated_factor__Item_7.2_X_Item_7.3___four_decimals____English_Language_Intructional_Unit" display="Secondary calculated factor (Item 7.2 X Item 7.3) (four decimals) - English Language Intructional Unit"/>
    <hyperlink ref="K1" location="GRID_2___GRID_WITH_Q___E_MOVEMENT_AT_START_OF_SCHOOL_YEAR" display="GRID 2 - GRID WITH Q &amp; E MOVEMENT AT START OF SCHOOL YEAR"/>
    <hyperlink ref="L1" location="ElementaryEnglishLanguageInstructionalUnit2" display="Elementary - English Language Instructional Unit 2"/>
    <hyperlink ref="M1" location="SecondaryEnglishLanguageInstructionalUnits2" display="Secondary - English Language Instructional Units 2"/>
    <hyperlink ref="N1" location="QualificationFactors_Table13Ontario2016_17Grant2" display="Qualification Factors - Table 13 Ontario 2016-17 Grant Regulation"/>
    <hyperlink ref="O1" location="Elementary_calculated_factor__Item_7.7_X_7.9___four_decimals____English_Language_Instructional_Unit" display="Elementary calculated factor (Item 7.7 X 7.9) (four decimals) - English Language Instructional Unit"/>
    <hyperlink ref="P1" location="Secondary_calculated_factor__Item_7.8_X_Item_7.9___four_decimals____English_Language_Intructional_Unit" display="Secondary calculated factor (Item 7.8 X Item 7.9) (four decimals) - English Language Intructional Unit"/>
    <hyperlink ref="Q1" location="Average_experience_factor___total__4_dec.__for_both_grids" display="Average experience factor - total (4 dec.) for both grids"/>
    <hyperlink ref="R1" location="_2016_17_Day_School_ADE" display="2016-17 Day School ADE "/>
    <hyperlink ref="O2" location="Qualification_and_experience_allocation__Line_7.14" display="Qualification and experience allocation (Line 7.14)"/>
    <hyperlink ref="P2" location="Non_Teaching_Staff___Cost_Adjustment_amount__Table__5__2016_17_Instructions" display="Non-Teaching Staff - Cost Adjustment amount (Table  5, 2016-17 Instructions)"/>
    <hyperlink ref="Q2" location="Total_Cost_Adjustment_and_Teacher_Qualification_and_Experience_Allocation" display="Total Cost Adjustment and Teacher Qualification and Experience Allocation"/>
  </hyperlinks>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rowBreaks count="2" manualBreakCount="2">
    <brk id="90" max="16383" man="1"/>
    <brk id="135"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6"/>
  <sheetViews>
    <sheetView zoomScaleNormal="100" workbookViewId="0">
      <selection activeCell="A37" sqref="A37"/>
    </sheetView>
  </sheetViews>
  <sheetFormatPr defaultColWidth="0" defaultRowHeight="12.75" zeroHeight="1"/>
  <cols>
    <col min="1" max="1" width="7.42578125" style="69" customWidth="1"/>
    <col min="2" max="2" width="56.42578125" style="69" customWidth="1"/>
    <col min="3" max="3" width="12.7109375" style="69" customWidth="1"/>
    <col min="4" max="4" width="17" style="69" customWidth="1"/>
    <col min="5" max="5" width="12.7109375" style="69" customWidth="1"/>
    <col min="6" max="6" width="14.140625" style="69" customWidth="1"/>
    <col min="7" max="7" width="5.7109375" style="69" customWidth="1"/>
    <col min="8" max="16384" width="0" style="69" hidden="1"/>
  </cols>
  <sheetData>
    <row r="1" spans="1:7" ht="13.5" thickBot="1">
      <c r="A1" s="2138" t="s">
        <v>2818</v>
      </c>
      <c r="B1" s="2137" t="s">
        <v>2279</v>
      </c>
      <c r="C1" s="2137" t="s">
        <v>2280</v>
      </c>
      <c r="D1" s="2137" t="s">
        <v>2281</v>
      </c>
      <c r="E1" s="2137" t="s">
        <v>2281</v>
      </c>
      <c r="F1" s="2137" t="s">
        <v>2282</v>
      </c>
      <c r="G1" s="2137">
        <v>0</v>
      </c>
    </row>
    <row r="2" spans="1:7" ht="13.5" thickBot="1">
      <c r="A2" s="3"/>
      <c r="B2" s="3"/>
      <c r="C2" s="3"/>
      <c r="D2" s="3"/>
      <c r="E2" s="2091" t="str">
        <f>'1 Summary'!G2</f>
        <v/>
      </c>
      <c r="F2" s="2092"/>
      <c r="G2" s="2126" t="s">
        <v>2287</v>
      </c>
    </row>
    <row r="3" spans="1:7" ht="18.75" thickBot="1">
      <c r="A3" s="6" t="s">
        <v>622</v>
      </c>
      <c r="B3" s="17"/>
      <c r="C3" s="132"/>
      <c r="D3" s="3"/>
      <c r="E3" s="146">
        <f>'1 Summary'!G3</f>
        <v>0</v>
      </c>
      <c r="F3" s="133"/>
      <c r="G3" s="135"/>
    </row>
    <row r="4" spans="1:7">
      <c r="A4" s="17"/>
      <c r="B4" s="17"/>
      <c r="C4" s="132"/>
      <c r="D4" s="135"/>
      <c r="E4" s="135"/>
      <c r="F4" s="135"/>
      <c r="G4" s="135"/>
    </row>
    <row r="5" spans="1:7" ht="18">
      <c r="A5" s="6" t="s">
        <v>2278</v>
      </c>
      <c r="B5" s="24"/>
      <c r="C5" s="24"/>
      <c r="D5" s="136"/>
      <c r="E5" s="136"/>
      <c r="F5" s="136"/>
      <c r="G5" s="136"/>
    </row>
    <row r="6" spans="1:7" ht="18">
      <c r="A6" s="24"/>
      <c r="B6" s="24"/>
      <c r="C6" s="41"/>
      <c r="D6" s="137"/>
      <c r="E6" s="137"/>
      <c r="F6" s="137"/>
      <c r="G6" s="137"/>
    </row>
    <row r="7" spans="1:7" ht="15">
      <c r="A7" s="41"/>
      <c r="B7" s="41"/>
      <c r="C7" s="41"/>
      <c r="D7" s="137"/>
      <c r="E7" s="137"/>
      <c r="F7" s="137"/>
      <c r="G7" s="137"/>
    </row>
    <row r="8" spans="1:7" ht="15" customHeight="1">
      <c r="A8" s="41"/>
      <c r="B8" s="41"/>
      <c r="C8" s="41"/>
      <c r="D8" s="2028" t="s">
        <v>2744</v>
      </c>
      <c r="E8" s="206"/>
      <c r="F8" s="2028" t="s">
        <v>2744</v>
      </c>
      <c r="G8" s="137"/>
    </row>
    <row r="9" spans="1:7" ht="15">
      <c r="A9" s="41"/>
      <c r="B9" s="41"/>
      <c r="C9" s="41"/>
      <c r="D9" s="2028" t="s">
        <v>2745</v>
      </c>
      <c r="E9" s="206"/>
      <c r="F9" s="2028" t="s">
        <v>2746</v>
      </c>
      <c r="G9" s="137"/>
    </row>
    <row r="10" spans="1:7" ht="15">
      <c r="A10" s="41"/>
      <c r="B10" s="41"/>
      <c r="C10" s="41"/>
      <c r="D10" s="651"/>
      <c r="E10" s="651"/>
      <c r="F10" s="137"/>
      <c r="G10" s="138"/>
    </row>
    <row r="11" spans="1:7" ht="15">
      <c r="A11" s="41" t="s">
        <v>2878</v>
      </c>
      <c r="B11" s="41"/>
      <c r="C11" s="41"/>
      <c r="D11" s="137"/>
      <c r="E11" s="137"/>
      <c r="F11" s="137"/>
      <c r="G11" s="138"/>
    </row>
    <row r="12" spans="1:7" ht="15">
      <c r="A12" s="42" t="s">
        <v>2215</v>
      </c>
      <c r="B12" s="41"/>
      <c r="C12" s="42"/>
      <c r="D12" s="647">
        <v>0</v>
      </c>
      <c r="E12" s="648"/>
      <c r="F12" s="644"/>
      <c r="G12" s="138"/>
    </row>
    <row r="13" spans="1:7" ht="15">
      <c r="A13" s="42" t="s">
        <v>2216</v>
      </c>
      <c r="B13" s="41"/>
      <c r="C13" s="41"/>
      <c r="D13" s="647">
        <v>0</v>
      </c>
      <c r="E13" s="649"/>
      <c r="F13" s="644"/>
      <c r="G13" s="138"/>
    </row>
    <row r="14" spans="1:7" ht="15">
      <c r="A14" s="42" t="s">
        <v>2217</v>
      </c>
      <c r="B14" s="41"/>
      <c r="C14" s="84"/>
      <c r="D14" s="647">
        <v>0</v>
      </c>
      <c r="E14" s="650"/>
      <c r="F14" s="644"/>
      <c r="G14" s="138"/>
    </row>
    <row r="15" spans="1:7" ht="15">
      <c r="A15" s="42" t="s">
        <v>2218</v>
      </c>
      <c r="B15" s="41"/>
      <c r="C15" s="84"/>
      <c r="D15" s="647">
        <v>0</v>
      </c>
      <c r="E15" s="650"/>
      <c r="F15" s="644"/>
      <c r="G15" s="138"/>
    </row>
    <row r="16" spans="1:7" ht="15">
      <c r="A16" s="42" t="s">
        <v>2219</v>
      </c>
      <c r="B16" s="41"/>
      <c r="C16" s="41"/>
      <c r="D16" s="647">
        <v>0</v>
      </c>
      <c r="E16" s="644"/>
      <c r="F16" s="644"/>
      <c r="G16" s="138"/>
    </row>
    <row r="17" spans="1:7" ht="15">
      <c r="A17" s="42" t="s">
        <v>2277</v>
      </c>
      <c r="B17" s="41"/>
      <c r="C17" s="84"/>
      <c r="D17" s="648"/>
      <c r="E17" s="648"/>
      <c r="F17" s="647">
        <v>0</v>
      </c>
      <c r="G17" s="138"/>
    </row>
    <row r="18" spans="1:7" ht="15">
      <c r="A18" s="41" t="s">
        <v>2879</v>
      </c>
      <c r="B18" s="41"/>
      <c r="C18" s="84"/>
      <c r="D18" s="651"/>
      <c r="E18" s="651"/>
      <c r="F18" s="652">
        <f>SUM(D12:F17)</f>
        <v>0</v>
      </c>
      <c r="G18" s="138"/>
    </row>
    <row r="19" spans="1:7" ht="15">
      <c r="A19" s="41"/>
      <c r="B19" s="41"/>
      <c r="C19" s="84"/>
      <c r="D19" s="651"/>
      <c r="E19" s="651"/>
      <c r="F19" s="652"/>
      <c r="G19" s="138"/>
    </row>
    <row r="20" spans="1:7" ht="15">
      <c r="A20" s="653"/>
      <c r="B20" s="654"/>
      <c r="C20" s="661"/>
      <c r="D20" s="651"/>
      <c r="E20" s="651"/>
      <c r="F20" s="41" t="s">
        <v>2261</v>
      </c>
      <c r="G20" s="138"/>
    </row>
    <row r="21" spans="1:7" ht="15">
      <c r="A21" s="42" t="s">
        <v>2282</v>
      </c>
      <c r="B21" s="654"/>
      <c r="C21" s="661"/>
      <c r="D21" s="651"/>
      <c r="E21" s="651"/>
      <c r="F21" s="652">
        <f>+F18</f>
        <v>0</v>
      </c>
      <c r="G21" s="138"/>
    </row>
    <row r="22" spans="1:7" ht="15">
      <c r="A22" s="42" t="s">
        <v>2283</v>
      </c>
      <c r="B22" s="654"/>
      <c r="C22" s="661"/>
      <c r="D22" s="651"/>
      <c r="E22" s="651"/>
      <c r="F22" s="655">
        <f>ROUND(D12*'ECE Grid'!B$3+'7A ECE'!D13*'ECE Grid'!B$4+'7A ECE'!D14*'ECE Grid'!B$5+'7A ECE'!D15*'ECE Grid'!B$6+'7A ECE'!D16*'ECE Grid'!B$7+'7A ECE'!F17*'ECE Grid'!B$2,4)</f>
        <v>0</v>
      </c>
      <c r="G22" s="138"/>
    </row>
    <row r="23" spans="1:7" ht="15">
      <c r="A23" s="42" t="s">
        <v>2973</v>
      </c>
      <c r="B23" s="654"/>
      <c r="C23" s="661"/>
      <c r="D23" s="651"/>
      <c r="E23" s="651"/>
      <c r="F23" s="41"/>
      <c r="G23" s="138"/>
    </row>
    <row r="24" spans="1:7" ht="15">
      <c r="A24" s="42" t="s">
        <v>2284</v>
      </c>
      <c r="B24" s="654"/>
      <c r="C24" s="661"/>
      <c r="D24" s="651"/>
      <c r="E24" s="651"/>
      <c r="F24" s="655">
        <f>ROUND(IF(F21=0,0,F22/F21),4)</f>
        <v>0</v>
      </c>
      <c r="G24" s="138"/>
    </row>
    <row r="25" spans="1:7" ht="15">
      <c r="A25" s="42" t="s">
        <v>2285</v>
      </c>
      <c r="B25" s="654"/>
      <c r="C25" s="661"/>
      <c r="D25" s="651"/>
      <c r="E25" s="651"/>
      <c r="F25" s="41"/>
      <c r="G25" s="138"/>
    </row>
    <row r="26" spans="1:7" ht="15">
      <c r="A26" s="653"/>
      <c r="B26" s="654"/>
      <c r="C26" s="661"/>
      <c r="D26" s="651"/>
      <c r="E26" s="651"/>
      <c r="F26" s="41"/>
      <c r="G26" s="138"/>
    </row>
    <row r="27" spans="1:7" ht="15">
      <c r="A27" s="653"/>
      <c r="B27" s="654"/>
      <c r="C27" s="661"/>
      <c r="D27" s="651"/>
      <c r="E27" s="651"/>
      <c r="F27" s="41"/>
      <c r="G27" s="138"/>
    </row>
    <row r="28" spans="1:7" ht="15">
      <c r="A28" s="42" t="s">
        <v>2286</v>
      </c>
      <c r="B28" s="654"/>
      <c r="C28" s="661"/>
      <c r="D28" s="651"/>
      <c r="E28" s="651"/>
      <c r="F28" s="656">
        <f>ROUND(IF((F24-1)&lt;0,0,(F24-1)*'GSN Benchmarks'!B354),2)</f>
        <v>0</v>
      </c>
      <c r="G28" s="138"/>
    </row>
    <row r="29" spans="1:7" ht="15">
      <c r="A29" s="42" t="str">
        <f>"..... (Item 7.34 - 1) x ECE Q&amp;E per Pupil Benchmark "&amp;'GSN Benchmarks'!B354&amp;", 0 if negative"</f>
        <v>..... (Item 7.34 - 1) x ECE Q&amp;E per Pupil Benchmark 1727.11, 0 if negative</v>
      </c>
      <c r="B29" s="654"/>
      <c r="C29" s="661"/>
      <c r="D29" s="651"/>
      <c r="E29" s="651"/>
      <c r="F29" s="41" t="s">
        <v>789</v>
      </c>
      <c r="G29" s="138"/>
    </row>
    <row r="30" spans="1:7" ht="15">
      <c r="A30" s="42"/>
      <c r="B30" s="654"/>
      <c r="C30" s="661"/>
      <c r="D30" s="651"/>
      <c r="E30" s="651"/>
      <c r="F30" s="41"/>
      <c r="G30" s="138"/>
    </row>
    <row r="31" spans="1:7" ht="15">
      <c r="A31" s="41" t="s">
        <v>2287</v>
      </c>
      <c r="B31" s="654"/>
      <c r="C31" s="661"/>
      <c r="D31" s="651"/>
      <c r="E31" s="651"/>
      <c r="F31" s="1378">
        <f>IF(F18=0,0,(F28*(('Sch 13 Enrolment'!H21+'Sch 13 Enrolment'!H22+'Sch 13 Enrolment'!M21+'Sch 13 Enrolment'!M22+'Sch 13 Enrolment'!P21+'Sch 13 Enrolment'!P22+'Sch 13 Enrolment'!U21+'Sch 13 Enrolment'!U22+'Sch 13 Enrolment'!H32+'Sch 13 Enrolment'!H33+'Sch 13 Enrolment'!M32+'Sch 13 Enrolment'!M33+'Sch 13 Enrolment'!P32+'Sch 13 Enrolment'!P33+'Sch 13 Enrolment'!U32+'Sch 13 Enrolment'!U33)/2)))</f>
        <v>0</v>
      </c>
      <c r="G31" s="138"/>
    </row>
    <row r="32" spans="1:7" ht="15">
      <c r="A32" s="41" t="s">
        <v>2288</v>
      </c>
      <c r="B32" s="654"/>
      <c r="C32" s="662"/>
      <c r="D32" s="651"/>
      <c r="E32" s="651"/>
      <c r="F32" s="41"/>
      <c r="G32" s="138"/>
    </row>
    <row r="33" spans="1:7">
      <c r="A33" s="139"/>
      <c r="B33" s="140"/>
      <c r="C33" s="101"/>
      <c r="D33" s="124"/>
      <c r="E33" s="124"/>
      <c r="F33" s="138"/>
      <c r="G33" s="138"/>
    </row>
    <row r="34" spans="1:7">
      <c r="A34" s="139"/>
      <c r="B34" s="140"/>
      <c r="C34" s="101"/>
      <c r="D34" s="124"/>
      <c r="E34" s="124"/>
      <c r="F34" s="138"/>
      <c r="G34" s="138"/>
    </row>
    <row r="35" spans="1:7">
      <c r="A35" s="3"/>
      <c r="B35" s="3"/>
      <c r="C35" s="3"/>
      <c r="D35" s="3"/>
      <c r="E35" s="3"/>
      <c r="F35" s="3"/>
      <c r="G35" s="3"/>
    </row>
    <row r="36" spans="1:7">
      <c r="A36" s="3"/>
      <c r="B36" s="3"/>
      <c r="C36" s="3"/>
      <c r="D36" s="3"/>
      <c r="E36" s="3"/>
      <c r="F36" s="3"/>
      <c r="G36" s="3"/>
    </row>
    <row r="37" spans="1:7">
      <c r="A37" s="3"/>
      <c r="B37" s="3"/>
      <c r="C37" s="3"/>
      <c r="D37" s="3"/>
      <c r="E37" s="3"/>
      <c r="F37" s="3"/>
      <c r="G37" s="3"/>
    </row>
    <row r="38" spans="1:7" hidden="1"/>
    <row r="39" spans="1:7" hidden="1"/>
    <row r="40" spans="1:7" hidden="1"/>
    <row r="41" spans="1:7" hidden="1"/>
    <row r="42" spans="1:7" hidden="1"/>
    <row r="43" spans="1:7" hidden="1"/>
    <row r="44" spans="1:7" hidden="1"/>
    <row r="45" spans="1:7" hidden="1"/>
    <row r="46" spans="1:7" hidden="1"/>
    <row r="47" spans="1:7" hidden="1"/>
    <row r="48" spans="1:7" hidden="1"/>
    <row r="49" hidden="1"/>
    <row r="50" hidden="1"/>
    <row r="51" hidden="1"/>
    <row r="52" hidden="1"/>
    <row r="53" hidden="1"/>
    <row r="54" hidden="1"/>
    <row r="55" hidden="1"/>
    <row r="56" hidden="1"/>
  </sheetData>
  <sheetProtection password="C7B7" sheet="1" objects="1" scenarios="1"/>
  <hyperlinks>
    <hyperlink ref="B1" location="_7.30___ECE_FTE___No_movement" display="7.30 - ECE FTE - No movement"/>
    <hyperlink ref="C1" location="_7.31___ECE_FTE___With_movement" display="7.31 - ECE FTE - With movement"/>
    <hyperlink ref="D1" location="_7.31___ECE_FTE___With_movement" display="7.32.1 ECE FTE - No Movement"/>
    <hyperlink ref="E1" location="_7321NoMovement2" display="7.32.1 ECE FTE - No Movement"/>
    <hyperlink ref="F1" location="_7.33.1_ECE_FTE___With_Movement" display="7.33.1 ECE FTE - With Movement"/>
    <hyperlink ref="G1" location="_7.35_ECE_Q_E_per_Pupil_Allocation___________________________________________________________________________________________________________________________________________________________________________________________________0.00" display="_7.35_ECE_Q_E_per_Pupil_Allocation___________________________________________________________________________________________________________________________________________________________________________________________________0.00"/>
    <hyperlink ref="G2" location="_7.36_ECE_Q_E_Allocation" display="7.36 ECE Q&amp;E Allocation"/>
  </hyperlinks>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zoomScaleNormal="100" workbookViewId="0">
      <selection activeCell="C10" sqref="C10"/>
    </sheetView>
  </sheetViews>
  <sheetFormatPr defaultColWidth="0" defaultRowHeight="12.75" zeroHeight="1"/>
  <cols>
    <col min="1" max="1" width="7.42578125" customWidth="1"/>
    <col min="2" max="2" width="56.42578125" customWidth="1"/>
    <col min="3" max="3" width="19.28515625" customWidth="1"/>
    <col min="4" max="8" width="12.7109375" customWidth="1"/>
    <col min="9" max="9" width="9.140625" customWidth="1"/>
  </cols>
  <sheetData>
    <row r="1" spans="1:9" ht="13.5" thickBot="1">
      <c r="A1" s="2138" t="s">
        <v>2819</v>
      </c>
      <c r="B1" s="3"/>
      <c r="C1" s="3"/>
      <c r="D1" s="3"/>
      <c r="E1" s="3"/>
      <c r="F1" s="3"/>
      <c r="G1" s="3"/>
      <c r="H1" s="3"/>
      <c r="I1" s="3"/>
    </row>
    <row r="2" spans="1:9" ht="13.5" thickBot="1">
      <c r="A2" s="3"/>
      <c r="B2" s="3"/>
      <c r="C2" s="3"/>
      <c r="D2" s="3"/>
      <c r="E2" s="142"/>
      <c r="F2" s="124"/>
      <c r="G2" s="2091" t="str">
        <f>'1 Summary'!G2</f>
        <v/>
      </c>
      <c r="H2" s="2092"/>
      <c r="I2" s="148"/>
    </row>
    <row r="3" spans="1:9" ht="16.5" thickBot="1">
      <c r="A3" s="27" t="s">
        <v>622</v>
      </c>
      <c r="B3" s="17"/>
      <c r="C3" s="132"/>
      <c r="D3" s="3"/>
      <c r="E3" s="142"/>
      <c r="F3" s="124"/>
      <c r="G3" s="146">
        <f>'1 Summary'!G3</f>
        <v>0</v>
      </c>
      <c r="H3" s="133"/>
      <c r="I3" s="134"/>
    </row>
    <row r="4" spans="1:9">
      <c r="A4" s="17"/>
      <c r="B4" s="17"/>
      <c r="C4" s="132"/>
      <c r="D4" s="135"/>
      <c r="E4" s="135"/>
      <c r="F4" s="135"/>
      <c r="G4" s="135"/>
      <c r="H4" s="124"/>
      <c r="I4" s="124"/>
    </row>
    <row r="5" spans="1:9" ht="18">
      <c r="A5" s="6" t="s">
        <v>2827</v>
      </c>
      <c r="B5" s="24"/>
      <c r="C5" s="24"/>
      <c r="D5" s="136"/>
      <c r="E5" s="136"/>
      <c r="F5" s="136"/>
      <c r="G5" s="136"/>
      <c r="H5" s="124"/>
      <c r="I5" s="124"/>
    </row>
    <row r="6" spans="1:9" ht="18">
      <c r="A6" s="24"/>
      <c r="B6" s="24"/>
      <c r="C6" s="41"/>
      <c r="D6" s="137"/>
      <c r="E6" s="137"/>
      <c r="F6" s="137"/>
      <c r="G6" s="137"/>
      <c r="H6" s="137"/>
      <c r="I6" s="137"/>
    </row>
    <row r="7" spans="1:9" ht="15">
      <c r="A7" s="41"/>
      <c r="B7" s="41"/>
      <c r="C7" s="41"/>
      <c r="D7" s="137"/>
      <c r="E7" s="137"/>
      <c r="F7" s="137"/>
      <c r="G7" s="137"/>
      <c r="H7" s="137"/>
      <c r="I7" s="137"/>
    </row>
    <row r="8" spans="1:9" ht="15">
      <c r="A8" s="41"/>
      <c r="B8" s="41"/>
      <c r="C8" s="41"/>
      <c r="D8" s="137"/>
      <c r="E8" s="206"/>
      <c r="F8" s="2028"/>
      <c r="G8" s="137"/>
      <c r="H8" s="137"/>
      <c r="I8" s="137"/>
    </row>
    <row r="9" spans="1:9" ht="15">
      <c r="A9" s="41"/>
      <c r="B9" s="41"/>
      <c r="C9" s="41"/>
      <c r="D9" s="2028" t="s">
        <v>1289</v>
      </c>
      <c r="E9" s="2028"/>
      <c r="F9" s="2028" t="s">
        <v>1000</v>
      </c>
      <c r="G9" s="137"/>
      <c r="H9" s="2028" t="s">
        <v>1001</v>
      </c>
      <c r="I9" s="137"/>
    </row>
    <row r="10" spans="1:9" ht="15">
      <c r="A10" s="41"/>
      <c r="B10" s="41"/>
      <c r="C10" s="41"/>
      <c r="D10" s="137"/>
      <c r="E10" s="137"/>
      <c r="F10" s="137"/>
      <c r="G10" s="137"/>
      <c r="H10" s="207"/>
      <c r="I10" s="207"/>
    </row>
    <row r="11" spans="1:9">
      <c r="A11" s="110">
        <v>7.2</v>
      </c>
      <c r="B11" s="1" t="s">
        <v>2098</v>
      </c>
      <c r="C11" s="30"/>
      <c r="D11" s="90"/>
      <c r="E11" s="124"/>
      <c r="F11" s="90"/>
      <c r="G11" s="124"/>
      <c r="H11" s="124"/>
      <c r="I11" s="66"/>
    </row>
    <row r="12" spans="1:9">
      <c r="A12" s="110"/>
      <c r="B12" s="1"/>
      <c r="C12" s="1"/>
      <c r="D12" s="1"/>
      <c r="E12" s="1"/>
      <c r="F12" s="1"/>
      <c r="G12" s="1"/>
      <c r="H12" s="208"/>
      <c r="I12" s="1"/>
    </row>
    <row r="13" spans="1:9">
      <c r="A13" s="17">
        <v>7.21</v>
      </c>
      <c r="B13" s="1" t="s">
        <v>2177</v>
      </c>
      <c r="C13" s="101"/>
      <c r="D13" s="278">
        <f>'GSN Benchmarks'!B160</f>
        <v>1490.49</v>
      </c>
      <c r="E13" s="210"/>
      <c r="F13" s="277">
        <f>D13</f>
        <v>1490.49</v>
      </c>
      <c r="G13" s="1"/>
      <c r="H13" s="194">
        <f>ROUND(D11*D13+F11*F13,0)</f>
        <v>0</v>
      </c>
      <c r="I13" s="156"/>
    </row>
    <row r="14" spans="1:9">
      <c r="A14" s="17"/>
      <c r="B14" s="1"/>
      <c r="C14" s="101"/>
      <c r="D14" s="210"/>
      <c r="E14" s="210"/>
      <c r="F14" s="209"/>
      <c r="G14" s="138"/>
      <c r="H14" s="1"/>
      <c r="I14" s="156"/>
    </row>
    <row r="15" spans="1:9">
      <c r="A15" s="17">
        <v>7.23</v>
      </c>
      <c r="B15" s="1" t="s">
        <v>3141</v>
      </c>
      <c r="C15" s="1"/>
      <c r="D15" s="2368"/>
      <c r="E15" s="138"/>
      <c r="F15" s="2368"/>
      <c r="G15" s="138"/>
      <c r="H15" s="194">
        <f>ROUND(D15+F15,0)</f>
        <v>0</v>
      </c>
      <c r="I15" s="66"/>
    </row>
    <row r="16" spans="1:9">
      <c r="A16" s="17"/>
      <c r="B16" s="140"/>
      <c r="C16" s="101"/>
      <c r="D16" s="124"/>
      <c r="E16" s="124"/>
      <c r="F16" s="138"/>
      <c r="G16" s="138"/>
      <c r="H16" s="138"/>
      <c r="I16" s="138"/>
    </row>
    <row r="17" spans="1:9">
      <c r="A17" s="17"/>
      <c r="B17" s="140"/>
      <c r="C17" s="101"/>
      <c r="D17" s="124"/>
      <c r="E17" s="124"/>
      <c r="F17" s="138"/>
      <c r="G17" s="138"/>
      <c r="H17" s="141"/>
      <c r="I17" s="138"/>
    </row>
    <row r="18" spans="1:9">
      <c r="A18" s="17">
        <v>7.24</v>
      </c>
      <c r="B18" s="46" t="s">
        <v>2178</v>
      </c>
      <c r="C18" s="1"/>
      <c r="D18" s="124"/>
      <c r="E18" s="124"/>
      <c r="F18" s="138"/>
      <c r="G18" s="138"/>
      <c r="H18" s="1377">
        <f>ROUND(IF(AND((D11+F11)&gt;0,H13&gt;0),MIN(H13,H15),0),0)</f>
        <v>0</v>
      </c>
      <c r="I18" s="156">
        <f>A18</f>
        <v>7.24</v>
      </c>
    </row>
    <row r="19" spans="1:9" ht="102">
      <c r="A19" s="139"/>
      <c r="B19" s="265" t="str">
        <f>"In 2017-18, school boards will receive funding for the NTIP Allocation that is the lesser of:
(1) "&amp;D13&amp;" multiplied by the number of teachers on Rows 0, 1, and 2 of a board's Teacher Qualifications and Experience Grid with movement in 2016–17,
                      or
(2) A board's expenditure for NTIP in 2017–18."</f>
        <v>In 2017-18, school boards will receive funding for the NTIP Allocation that is the lesser of:
(1) 1490.49 multiplied by the number of teachers on Rows 0, 1, and 2 of a board's Teacher Qualifications and Experience Grid with movement in 2016–17,
                      or
(2) A board's expenditure for NTIP in 2017–18.</v>
      </c>
      <c r="C19" s="101"/>
      <c r="D19" s="124"/>
      <c r="E19" s="124"/>
      <c r="F19" s="138"/>
      <c r="G19" s="138"/>
      <c r="H19" s="141"/>
      <c r="I19" s="138"/>
    </row>
    <row r="20" spans="1:9">
      <c r="A20" s="139"/>
      <c r="B20" s="140"/>
      <c r="C20" s="265"/>
      <c r="D20" s="124"/>
      <c r="E20" s="124"/>
      <c r="F20" s="138"/>
      <c r="G20" s="138"/>
      <c r="H20" s="141"/>
      <c r="I20" s="138"/>
    </row>
    <row r="21" spans="1:9">
      <c r="A21" s="139"/>
      <c r="B21" s="140"/>
      <c r="C21" s="264"/>
      <c r="D21" s="124"/>
      <c r="E21" s="124"/>
      <c r="F21" s="138"/>
      <c r="G21" s="138"/>
      <c r="H21" s="141"/>
      <c r="I21" s="138"/>
    </row>
    <row r="22" spans="1:9">
      <c r="A22" s="139"/>
      <c r="B22" s="140"/>
      <c r="C22" s="101"/>
      <c r="D22" s="124"/>
      <c r="E22" s="124"/>
      <c r="F22" s="138"/>
      <c r="G22" s="138"/>
      <c r="H22" s="141"/>
      <c r="I22" s="138"/>
    </row>
    <row r="23" spans="1:9">
      <c r="A23" s="139"/>
      <c r="B23" s="140"/>
      <c r="C23" s="101"/>
      <c r="D23" s="124"/>
      <c r="E23" s="124"/>
      <c r="F23" s="138"/>
      <c r="G23" s="138"/>
      <c r="H23" s="141"/>
      <c r="I23" s="138"/>
    </row>
    <row r="24" spans="1:9">
      <c r="A24" s="3"/>
      <c r="B24" s="3"/>
      <c r="C24" s="3"/>
      <c r="D24" s="3"/>
      <c r="E24" s="3"/>
      <c r="F24" s="3"/>
      <c r="G24" s="3"/>
      <c r="H24" s="3"/>
      <c r="I24" s="3"/>
    </row>
    <row r="25" spans="1:9">
      <c r="A25" s="3"/>
      <c r="B25" s="3"/>
      <c r="C25" s="3"/>
      <c r="D25" s="3"/>
      <c r="E25" s="3"/>
      <c r="F25" s="3"/>
      <c r="G25" s="3"/>
      <c r="H25" s="3"/>
      <c r="I25" s="3"/>
    </row>
    <row r="26" spans="1:9">
      <c r="A26" s="3"/>
      <c r="B26" s="3"/>
      <c r="C26" s="3"/>
      <c r="D26" s="3"/>
      <c r="E26" s="3"/>
      <c r="F26" s="3"/>
      <c r="G26" s="3"/>
      <c r="H26" s="3"/>
      <c r="I26" s="3"/>
    </row>
  </sheetData>
  <sheetProtection password="C7B7" sheet="1" objects="1" scenarios="1"/>
  <phoneticPr fontId="13" type="noConversion"/>
  <pageMargins left="0" right="0" top="1" bottom="1" header="0.5" footer="0.5"/>
  <pageSetup scale="68" orientation="landscape" horizontalDpi="4294967295" verticalDpi="4294967295" r:id="rId1"/>
  <headerFooter alignWithMargins="0">
    <oddFooter>&amp;L&amp;D,&amp;" ,Regular" &amp;T
&amp;CPage &amp;P of &amp;N&amp;R2015/16 School Authority Estimates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topLeftCell="A22" zoomScaleNormal="100" workbookViewId="0">
      <selection activeCell="D14" sqref="D14"/>
    </sheetView>
  </sheetViews>
  <sheetFormatPr defaultColWidth="0" defaultRowHeight="12.75" zeroHeight="1"/>
  <cols>
    <col min="1" max="1" width="5.85546875" customWidth="1"/>
    <col min="2" max="2" width="49.5703125" customWidth="1"/>
    <col min="3" max="4" width="20.28515625" customWidth="1"/>
    <col min="5" max="5" width="22.85546875" customWidth="1"/>
    <col min="6" max="6" width="9.140625" customWidth="1"/>
  </cols>
  <sheetData>
    <row r="1" spans="1:6" s="688" customFormat="1" ht="14.25" customHeight="1">
      <c r="A1" s="2043" t="s">
        <v>2116</v>
      </c>
      <c r="B1" s="2043"/>
      <c r="C1" s="2043"/>
      <c r="D1" s="2043"/>
      <c r="E1" s="2043"/>
      <c r="F1" s="2044"/>
    </row>
    <row r="2" spans="1:6" s="688" customFormat="1" ht="17.25" customHeight="1">
      <c r="A2" s="2043" t="s">
        <v>328</v>
      </c>
      <c r="B2" s="2043"/>
      <c r="C2" s="2043"/>
      <c r="D2" s="2043"/>
      <c r="E2" s="2043"/>
      <c r="F2" s="2044"/>
    </row>
    <row r="3" spans="1:6" s="688" customFormat="1" ht="18" customHeight="1">
      <c r="A3" s="2043" t="s">
        <v>329</v>
      </c>
      <c r="B3" s="2043"/>
      <c r="C3" s="2043"/>
      <c r="D3" s="2043"/>
      <c r="E3" s="2043"/>
      <c r="F3" s="2044"/>
    </row>
    <row r="4" spans="1:6">
      <c r="A4" s="2140" t="s">
        <v>2778</v>
      </c>
      <c r="B4" s="2141" t="s">
        <v>2779</v>
      </c>
      <c r="C4" s="2141" t="s">
        <v>2698</v>
      </c>
      <c r="D4" s="2016"/>
      <c r="E4" s="2016"/>
      <c r="F4" s="3"/>
    </row>
    <row r="5" spans="1:6" s="617" customFormat="1" ht="14.25">
      <c r="A5" s="1917"/>
      <c r="B5" s="419" t="str">
        <f>'1 Summary'!G2</f>
        <v/>
      </c>
      <c r="C5" s="1917"/>
      <c r="D5" s="1917"/>
      <c r="E5" s="1917"/>
      <c r="F5" s="185"/>
    </row>
    <row r="6" spans="1:6" s="617" customFormat="1" ht="14.25">
      <c r="A6" s="1917"/>
      <c r="B6" s="419">
        <f>'1 Summary'!G3</f>
        <v>0</v>
      </c>
      <c r="C6" s="1918" t="s">
        <v>2073</v>
      </c>
      <c r="D6" s="1918" t="s">
        <v>3059</v>
      </c>
      <c r="E6" s="1918" t="s">
        <v>2073</v>
      </c>
      <c r="F6" s="185"/>
    </row>
    <row r="7" spans="1:6" s="617" customFormat="1" ht="15">
      <c r="A7" s="1919">
        <v>1</v>
      </c>
      <c r="B7" s="1920" t="s">
        <v>219</v>
      </c>
      <c r="C7" s="1921"/>
      <c r="D7" s="1921"/>
      <c r="E7" s="1921"/>
      <c r="F7" s="1922"/>
    </row>
    <row r="8" spans="1:6" s="617" customFormat="1" ht="20.100000000000001" customHeight="1">
      <c r="A8" s="1923">
        <v>1.1000000000000001</v>
      </c>
      <c r="B8" s="1924" t="s">
        <v>330</v>
      </c>
      <c r="C8" s="1925">
        <v>0</v>
      </c>
      <c r="D8" s="1926">
        <f>'Schedule 9'!E8</f>
        <v>47042</v>
      </c>
      <c r="E8" s="1925">
        <v>0</v>
      </c>
      <c r="F8" s="1927"/>
    </row>
    <row r="9" spans="1:6" s="617" customFormat="1" ht="20.100000000000001" customHeight="1">
      <c r="A9" s="1923">
        <v>1.2</v>
      </c>
      <c r="B9" s="1924" t="s">
        <v>647</v>
      </c>
      <c r="C9" s="1925">
        <v>0</v>
      </c>
      <c r="D9" s="1926">
        <f>'Schedule 9'!E44</f>
        <v>0</v>
      </c>
      <c r="E9" s="1925">
        <v>0</v>
      </c>
      <c r="F9" s="1927"/>
    </row>
    <row r="10" spans="1:6" s="617" customFormat="1" ht="20.100000000000001" customHeight="1">
      <c r="A10" s="1923">
        <v>1.3</v>
      </c>
      <c r="B10" s="1924" t="s">
        <v>646</v>
      </c>
      <c r="C10" s="1925">
        <v>0</v>
      </c>
      <c r="D10" s="1926">
        <f>'Schedule 9'!E51</f>
        <v>0</v>
      </c>
      <c r="E10" s="1925">
        <v>0</v>
      </c>
      <c r="F10" s="1927"/>
    </row>
    <row r="11" spans="1:6" s="617" customFormat="1" ht="20.100000000000001" customHeight="1">
      <c r="A11" s="1923">
        <v>1.4</v>
      </c>
      <c r="B11" s="1924" t="s">
        <v>331</v>
      </c>
      <c r="C11" s="1925">
        <v>0</v>
      </c>
      <c r="D11" s="1926">
        <f>'Schedule 9'!E58</f>
        <v>0</v>
      </c>
      <c r="E11" s="1925">
        <v>0</v>
      </c>
      <c r="F11" s="1927"/>
    </row>
    <row r="12" spans="1:6" s="617" customFormat="1" ht="20.100000000000001" customHeight="1">
      <c r="A12" s="1923">
        <v>1.5</v>
      </c>
      <c r="B12" s="1924" t="s">
        <v>791</v>
      </c>
      <c r="C12" s="1925">
        <v>0</v>
      </c>
      <c r="D12" s="1926">
        <f>'Schedule 9'!E69</f>
        <v>0</v>
      </c>
      <c r="E12" s="1925">
        <v>0</v>
      </c>
      <c r="F12" s="1927"/>
    </row>
    <row r="13" spans="1:6" s="617" customFormat="1" ht="20.100000000000001" customHeight="1">
      <c r="A13" s="1923">
        <v>1.6</v>
      </c>
      <c r="B13" s="1924" t="s">
        <v>2067</v>
      </c>
      <c r="C13" s="1925">
        <v>0</v>
      </c>
      <c r="D13" s="1926">
        <f>'Schedule 9'!E74</f>
        <v>0</v>
      </c>
      <c r="E13" s="1925">
        <v>0</v>
      </c>
      <c r="F13" s="1927"/>
    </row>
    <row r="14" spans="1:6" s="617" customFormat="1" ht="20.100000000000001" customHeight="1">
      <c r="A14" s="1923">
        <v>1.7</v>
      </c>
      <c r="B14" s="1924" t="s">
        <v>792</v>
      </c>
      <c r="C14" s="1925">
        <v>0</v>
      </c>
      <c r="D14" s="1926">
        <f>'Schedule 9'!E83</f>
        <v>0</v>
      </c>
      <c r="E14" s="1925">
        <v>0</v>
      </c>
      <c r="F14" s="1927"/>
    </row>
    <row r="15" spans="1:6" s="617" customFormat="1" ht="20.100000000000001" customHeight="1">
      <c r="A15" s="1923">
        <v>1.8</v>
      </c>
      <c r="B15" s="1924" t="s">
        <v>2066</v>
      </c>
      <c r="C15" s="1925">
        <v>0</v>
      </c>
      <c r="D15" s="1926">
        <f>'Schedule 9'!E114</f>
        <v>0</v>
      </c>
      <c r="E15" s="1925">
        <v>0</v>
      </c>
      <c r="F15" s="1927"/>
    </row>
    <row r="16" spans="1:6" s="617" customFormat="1" ht="20.100000000000001" customHeight="1">
      <c r="A16" s="1923">
        <v>1.9</v>
      </c>
      <c r="B16" s="1928" t="s">
        <v>2068</v>
      </c>
      <c r="C16" s="1925">
        <f>SUM(C8:C15)</f>
        <v>0</v>
      </c>
      <c r="D16" s="1926">
        <f>SUM(D8:D15)</f>
        <v>47042</v>
      </c>
      <c r="E16" s="1925">
        <f>SUM(E8:E15)</f>
        <v>0</v>
      </c>
      <c r="F16" s="1927"/>
    </row>
    <row r="17" spans="1:6" s="617" customFormat="1" ht="20.100000000000001" customHeight="1">
      <c r="A17" s="1929"/>
      <c r="B17" s="1917"/>
      <c r="C17" s="1917"/>
      <c r="D17" s="1917"/>
      <c r="E17" s="1917"/>
      <c r="F17" s="1927"/>
    </row>
    <row r="18" spans="1:6" s="617" customFormat="1" ht="20.100000000000001" customHeight="1">
      <c r="A18" s="1923">
        <v>2</v>
      </c>
      <c r="B18" s="1928" t="s">
        <v>332</v>
      </c>
      <c r="C18" s="1917"/>
      <c r="D18" s="1917"/>
      <c r="E18" s="1917"/>
      <c r="F18" s="1927"/>
    </row>
    <row r="19" spans="1:6" s="617" customFormat="1" ht="20.100000000000001" customHeight="1">
      <c r="A19" s="1923">
        <v>2.1</v>
      </c>
      <c r="B19" s="1924" t="s">
        <v>2069</v>
      </c>
      <c r="C19" s="1925">
        <v>0</v>
      </c>
      <c r="D19" s="1926">
        <f>'Sch. 10 Operating Fund - Exp'!M26</f>
        <v>0</v>
      </c>
      <c r="E19" s="1925">
        <v>0</v>
      </c>
      <c r="F19" s="1927"/>
    </row>
    <row r="20" spans="1:6" s="617" customFormat="1" ht="20.100000000000001" customHeight="1">
      <c r="A20" s="1923">
        <v>2.2000000000000002</v>
      </c>
      <c r="B20" s="1924" t="s">
        <v>2070</v>
      </c>
      <c r="C20" s="1925">
        <v>0</v>
      </c>
      <c r="D20" s="1926">
        <f>'Sch. 10 Operating Fund - Exp'!M33</f>
        <v>0</v>
      </c>
      <c r="E20" s="1925">
        <v>0</v>
      </c>
      <c r="F20" s="1927"/>
    </row>
    <row r="21" spans="1:6" s="617" customFormat="1" ht="20.100000000000001" customHeight="1">
      <c r="A21" s="1923">
        <v>2.2999999999999998</v>
      </c>
      <c r="B21" s="1924" t="s">
        <v>195</v>
      </c>
      <c r="C21" s="1925">
        <v>0</v>
      </c>
      <c r="D21" s="1926">
        <f>'Sch. 10 Operating Fund - Exp'!M39</f>
        <v>0</v>
      </c>
      <c r="E21" s="1925">
        <v>0</v>
      </c>
      <c r="F21" s="1927"/>
    </row>
    <row r="22" spans="1:6" s="617" customFormat="1" ht="20.100000000000001" customHeight="1">
      <c r="A22" s="1923">
        <v>2.4</v>
      </c>
      <c r="B22" s="1924" t="s">
        <v>2071</v>
      </c>
      <c r="C22" s="1925">
        <v>0</v>
      </c>
      <c r="D22" s="1926">
        <f>'Sch. 10 Operating Fund - Exp'!M48-'Sch. 10 Operating Fund - Exp'!M45</f>
        <v>0</v>
      </c>
      <c r="E22" s="1925">
        <v>0</v>
      </c>
      <c r="F22" s="1927"/>
    </row>
    <row r="23" spans="1:6" s="617" customFormat="1" ht="20.100000000000001" customHeight="1">
      <c r="A23" s="1923">
        <v>2.5</v>
      </c>
      <c r="B23" s="1924" t="s">
        <v>331</v>
      </c>
      <c r="C23" s="1925">
        <v>0</v>
      </c>
      <c r="D23" s="1926">
        <f>'Sch. 10 Operating Fund - Exp'!M51</f>
        <v>0</v>
      </c>
      <c r="E23" s="1925">
        <v>0</v>
      </c>
      <c r="F23" s="1927"/>
    </row>
    <row r="24" spans="1:6" s="617" customFormat="1" ht="20.100000000000001" customHeight="1">
      <c r="A24" s="1923">
        <v>2.6</v>
      </c>
      <c r="B24" s="1924" t="s">
        <v>799</v>
      </c>
      <c r="C24" s="1925">
        <v>0</v>
      </c>
      <c r="D24" s="1926">
        <f>'Sch. 10 Operating Fund - Exp'!M54-'Sch. 10 Operating Fund - Exp'!M51+'Sch. 10 Operating Fund - Exp'!M45</f>
        <v>0</v>
      </c>
      <c r="E24" s="1925">
        <v>0</v>
      </c>
      <c r="F24" s="1927"/>
    </row>
    <row r="25" spans="1:6" s="617" customFormat="1" ht="20.100000000000001" customHeight="1">
      <c r="A25" s="1923">
        <v>2.7</v>
      </c>
      <c r="B25" s="1928" t="s">
        <v>333</v>
      </c>
      <c r="C25" s="1925">
        <v>0</v>
      </c>
      <c r="D25" s="1926">
        <f>SUM(D19:D24)</f>
        <v>0</v>
      </c>
      <c r="E25" s="1925">
        <v>0</v>
      </c>
      <c r="F25" s="1927"/>
    </row>
    <row r="26" spans="1:6" s="617" customFormat="1" ht="20.100000000000001" customHeight="1">
      <c r="A26" s="1929"/>
      <c r="B26" s="1917"/>
      <c r="C26" s="1917"/>
      <c r="D26" s="1930"/>
      <c r="E26" s="1917"/>
      <c r="F26" s="1927"/>
    </row>
    <row r="27" spans="1:6" s="617" customFormat="1" ht="20.100000000000001" customHeight="1">
      <c r="A27" s="1923">
        <v>3.1</v>
      </c>
      <c r="B27" s="1924" t="s">
        <v>334</v>
      </c>
      <c r="C27" s="1925">
        <v>0</v>
      </c>
      <c r="D27" s="1926">
        <f>D16-D25</f>
        <v>47042</v>
      </c>
      <c r="E27" s="1925">
        <v>0</v>
      </c>
      <c r="F27" s="1927"/>
    </row>
    <row r="28" spans="1:6" s="617" customFormat="1" ht="20.100000000000001" customHeight="1">
      <c r="A28" s="1929"/>
      <c r="B28" s="1917"/>
      <c r="C28" s="1917"/>
      <c r="D28" s="1930"/>
      <c r="E28" s="1917"/>
      <c r="F28" s="1927"/>
    </row>
    <row r="29" spans="1:6" s="617" customFormat="1" ht="28.5" customHeight="1">
      <c r="A29" s="1923">
        <v>3.2</v>
      </c>
      <c r="B29" s="1924" t="s">
        <v>335</v>
      </c>
      <c r="C29" s="1925">
        <v>0</v>
      </c>
      <c r="D29" s="1931"/>
      <c r="E29" s="1925">
        <v>0</v>
      </c>
      <c r="F29" s="1927"/>
    </row>
    <row r="30" spans="1:6" s="617" customFormat="1" ht="20.100000000000001" customHeight="1">
      <c r="A30" s="1929"/>
      <c r="B30" s="1917"/>
      <c r="C30" s="1917"/>
      <c r="D30" s="1930"/>
      <c r="E30" s="1917"/>
      <c r="F30" s="1927"/>
    </row>
    <row r="31" spans="1:6" s="617" customFormat="1" ht="20.100000000000001" customHeight="1">
      <c r="A31" s="1923">
        <v>3.3</v>
      </c>
      <c r="B31" s="1924" t="s">
        <v>336</v>
      </c>
      <c r="C31" s="1925">
        <v>0</v>
      </c>
      <c r="D31" s="1926">
        <f>D27+D29</f>
        <v>47042</v>
      </c>
      <c r="E31" s="1925">
        <v>0</v>
      </c>
      <c r="F31" s="1927"/>
    </row>
    <row r="32" spans="1:6" ht="20.100000000000001" customHeight="1">
      <c r="A32" s="1932"/>
      <c r="B32" s="1933"/>
      <c r="C32" s="1933"/>
      <c r="D32" s="1933"/>
      <c r="E32" s="1933"/>
      <c r="F32" s="1927"/>
    </row>
    <row r="33" hidden="1"/>
    <row r="34" hidden="1"/>
    <row r="35" hidden="1"/>
    <row r="36" hidden="1"/>
    <row r="37" hidden="1"/>
  </sheetData>
  <sheetProtection password="C7A7" sheet="1" objects="1" scenarios="1"/>
  <protectedRanges>
    <protectedRange sqref="D29" name="Range1"/>
  </protectedRanges>
  <phoneticPr fontId="13" type="noConversion"/>
  <hyperlinks>
    <hyperlink ref="B4" location="REVENUES" display="Revenues"/>
    <hyperlink ref="C4" location="EXPENSES" display="Expenses"/>
  </hyperlinks>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U69"/>
  <sheetViews>
    <sheetView zoomScale="75" zoomScaleNormal="75" workbookViewId="0">
      <selection activeCell="B25" sqref="B25"/>
    </sheetView>
  </sheetViews>
  <sheetFormatPr defaultColWidth="0" defaultRowHeight="0" customHeight="1" zeroHeight="1"/>
  <cols>
    <col min="1" max="1" width="7.7109375" style="200" customWidth="1"/>
    <col min="2" max="2" width="28.85546875" style="1134" customWidth="1"/>
    <col min="3" max="4" width="15.7109375" style="1134" customWidth="1"/>
    <col min="5" max="5" width="30.85546875" style="1134" customWidth="1"/>
    <col min="6" max="6" width="9.42578125" style="1134" customWidth="1"/>
    <col min="7" max="7" width="19.28515625" style="1134" customWidth="1"/>
    <col min="8" max="8" width="8.42578125" style="200" customWidth="1"/>
    <col min="9" max="255" width="0" style="976" hidden="1" customWidth="1"/>
    <col min="256" max="16384" width="0.140625" style="976" hidden="1"/>
  </cols>
  <sheetData>
    <row r="1" spans="1:8" ht="4.5" customHeight="1" thickBot="1">
      <c r="A1" s="2159" t="s">
        <v>2820</v>
      </c>
      <c r="B1" s="2137" t="s">
        <v>2447</v>
      </c>
      <c r="C1" s="2137" t="s">
        <v>2448</v>
      </c>
      <c r="D1" s="2137" t="s">
        <v>248</v>
      </c>
      <c r="E1" s="2137" t="s">
        <v>1079</v>
      </c>
      <c r="F1" s="2159"/>
      <c r="G1" s="2159"/>
      <c r="H1" s="78"/>
    </row>
    <row r="2" spans="1:8" ht="18.75" thickBot="1">
      <c r="A2" s="43" t="s">
        <v>622</v>
      </c>
      <c r="B2" s="78"/>
      <c r="C2" s="78"/>
      <c r="D2" s="78"/>
      <c r="E2" s="1379" t="s">
        <v>163</v>
      </c>
      <c r="F2" s="1276" t="str">
        <f>+'1 Summary'!$G$2</f>
        <v/>
      </c>
      <c r="G2" s="1380"/>
      <c r="H2" s="1381"/>
    </row>
    <row r="3" spans="1:8" ht="16.5" thickBot="1">
      <c r="E3" s="1379" t="s">
        <v>162</v>
      </c>
      <c r="F3" s="851">
        <f>+'1 Summary'!$G$3</f>
        <v>0</v>
      </c>
      <c r="G3" s="814"/>
      <c r="H3" s="1382"/>
    </row>
    <row r="4" spans="1:8" ht="5.25" customHeight="1">
      <c r="A4" s="104"/>
      <c r="B4" s="78"/>
      <c r="C4" s="78"/>
      <c r="D4" s="78"/>
      <c r="E4" s="1379"/>
      <c r="F4" s="1383"/>
      <c r="G4" s="814"/>
      <c r="H4" s="1382"/>
    </row>
    <row r="5" spans="1:8" ht="18">
      <c r="A5" s="43" t="s">
        <v>1603</v>
      </c>
      <c r="B5" s="78"/>
      <c r="C5" s="78"/>
      <c r="D5" s="78"/>
      <c r="E5" s="1379"/>
      <c r="F5" s="1383"/>
      <c r="G5" s="814"/>
      <c r="H5" s="1021"/>
    </row>
    <row r="6" spans="1:8" ht="15.75">
      <c r="A6" s="961"/>
      <c r="B6" s="961"/>
      <c r="C6" s="200"/>
      <c r="D6" s="200"/>
      <c r="E6" s="1384"/>
      <c r="F6" s="339"/>
      <c r="G6" s="863"/>
      <c r="H6" s="1020"/>
    </row>
    <row r="7" spans="1:8" ht="15.75">
      <c r="A7" s="104">
        <v>9.1</v>
      </c>
      <c r="B7" s="104" t="s">
        <v>2447</v>
      </c>
      <c r="C7" s="78"/>
      <c r="D7" s="78"/>
      <c r="E7" s="1379"/>
      <c r="F7" s="78"/>
      <c r="G7" s="78"/>
      <c r="H7" s="1021">
        <f>+A7</f>
        <v>9.1</v>
      </c>
    </row>
    <row r="8" spans="1:8" ht="15.75">
      <c r="A8" s="104"/>
      <c r="B8" s="632"/>
      <c r="C8" s="78"/>
      <c r="D8" s="78"/>
      <c r="E8" s="1379"/>
      <c r="F8" s="632"/>
      <c r="G8" s="632"/>
      <c r="H8" s="1021"/>
    </row>
    <row r="9" spans="1:8" ht="15.75">
      <c r="A9" s="104" t="s">
        <v>1604</v>
      </c>
      <c r="B9" s="400" t="s">
        <v>218</v>
      </c>
      <c r="C9" s="632"/>
      <c r="D9" s="632"/>
      <c r="E9" s="632"/>
      <c r="F9" s="346">
        <v>902</v>
      </c>
      <c r="G9" s="966">
        <f>+'App F1 Transportation'!O26</f>
        <v>0</v>
      </c>
      <c r="H9" s="1021" t="str">
        <f>+A9</f>
        <v>9.1.1</v>
      </c>
    </row>
    <row r="10" spans="1:8" ht="15.75">
      <c r="A10" s="104"/>
      <c r="B10" s="400" t="s">
        <v>413</v>
      </c>
      <c r="C10" s="632"/>
      <c r="D10" s="632"/>
      <c r="E10" s="632"/>
      <c r="F10" s="1385"/>
      <c r="G10" s="863"/>
      <c r="H10" s="1021"/>
    </row>
    <row r="11" spans="1:8" ht="15.75">
      <c r="A11" s="104"/>
      <c r="B11" s="632"/>
      <c r="C11" s="632"/>
      <c r="D11" s="632"/>
      <c r="E11" s="632"/>
      <c r="F11" s="1385"/>
      <c r="G11" s="632"/>
      <c r="H11" s="1021"/>
    </row>
    <row r="12" spans="1:8" ht="15.75">
      <c r="A12" s="104" t="s">
        <v>1950</v>
      </c>
      <c r="B12" s="632" t="s">
        <v>1951</v>
      </c>
      <c r="C12" s="632"/>
      <c r="D12" s="632"/>
      <c r="E12" s="632"/>
      <c r="F12" s="314">
        <v>910</v>
      </c>
      <c r="G12" s="966">
        <f>+'App F1 Transportation'!Q26</f>
        <v>0</v>
      </c>
      <c r="H12" s="1021" t="str">
        <f>+A12</f>
        <v>9.1.2.1</v>
      </c>
    </row>
    <row r="13" spans="1:8" ht="15.75">
      <c r="A13" s="104"/>
      <c r="B13" s="400" t="s">
        <v>2002</v>
      </c>
      <c r="C13" s="632"/>
      <c r="D13" s="632"/>
      <c r="E13" s="632"/>
      <c r="F13" s="1385"/>
      <c r="G13" s="863"/>
      <c r="H13" s="1021"/>
    </row>
    <row r="14" spans="1:8" ht="15.75">
      <c r="A14" s="104"/>
      <c r="B14" s="400"/>
      <c r="C14" s="632"/>
      <c r="D14" s="632"/>
      <c r="E14" s="632"/>
      <c r="F14" s="1385"/>
      <c r="G14" s="863"/>
      <c r="H14" s="1021"/>
    </row>
    <row r="15" spans="1:8" ht="15.75">
      <c r="A15" s="104" t="s">
        <v>2150</v>
      </c>
      <c r="B15" s="400" t="s">
        <v>2151</v>
      </c>
      <c r="C15" s="632"/>
      <c r="D15" s="632"/>
      <c r="E15" s="632"/>
      <c r="F15" s="314"/>
      <c r="G15" s="1386"/>
      <c r="H15" s="1021" t="str">
        <f>+A15</f>
        <v>9.1.2.2</v>
      </c>
    </row>
    <row r="16" spans="1:8" ht="15.75">
      <c r="A16" s="104"/>
      <c r="B16" s="400"/>
      <c r="C16" s="632"/>
      <c r="D16" s="632"/>
      <c r="E16" s="632"/>
      <c r="F16" s="1385"/>
      <c r="G16" s="632"/>
      <c r="H16" s="1021"/>
    </row>
    <row r="17" spans="1:8" ht="15.75">
      <c r="A17" s="104" t="s">
        <v>2152</v>
      </c>
      <c r="B17" s="632" t="s">
        <v>1637</v>
      </c>
      <c r="C17" s="632"/>
      <c r="D17" s="632"/>
      <c r="E17" s="632"/>
      <c r="F17" s="314"/>
      <c r="G17" s="966">
        <f>ROUND(G12-G15,0)</f>
        <v>0</v>
      </c>
      <c r="H17" s="1021" t="str">
        <f>+A17</f>
        <v>9.1.2.3</v>
      </c>
    </row>
    <row r="18" spans="1:8" ht="15.75">
      <c r="A18" s="104"/>
      <c r="B18" s="400" t="s">
        <v>412</v>
      </c>
      <c r="C18" s="632"/>
      <c r="D18" s="632"/>
      <c r="E18" s="632"/>
      <c r="F18" s="1385"/>
      <c r="G18" s="863"/>
      <c r="H18" s="1021"/>
    </row>
    <row r="19" spans="1:8" ht="15.75">
      <c r="A19" s="104"/>
      <c r="B19" s="400"/>
      <c r="C19" s="632"/>
      <c r="D19" s="632"/>
      <c r="E19" s="632"/>
      <c r="F19" s="1385"/>
      <c r="G19" s="863"/>
      <c r="H19" s="1021"/>
    </row>
    <row r="20" spans="1:8" ht="15.75">
      <c r="A20" s="104" t="s">
        <v>1643</v>
      </c>
      <c r="B20" s="632" t="s">
        <v>1638</v>
      </c>
      <c r="C20" s="632"/>
      <c r="D20" s="632"/>
      <c r="E20" s="1379"/>
      <c r="F20" s="314">
        <v>913</v>
      </c>
      <c r="G20" s="966">
        <f>IF(MIN(G9,G17)&lt;0,0,MIN(G9,G17))</f>
        <v>0</v>
      </c>
      <c r="H20" s="1021" t="str">
        <f>+A20</f>
        <v>9.1.3</v>
      </c>
    </row>
    <row r="21" spans="1:8" ht="15.75">
      <c r="A21" s="104"/>
      <c r="B21" s="1118" t="s">
        <v>1261</v>
      </c>
      <c r="C21" s="632"/>
      <c r="D21" s="632"/>
      <c r="E21" s="1379"/>
      <c r="F21" s="1387"/>
      <c r="G21" s="1379"/>
      <c r="H21" s="1145"/>
    </row>
    <row r="22" spans="1:8" ht="15.75">
      <c r="A22" s="104"/>
      <c r="B22" s="86"/>
      <c r="C22" s="632"/>
      <c r="D22" s="632"/>
      <c r="E22" s="632"/>
      <c r="F22" s="1387"/>
      <c r="G22" s="863"/>
      <c r="H22" s="1145"/>
    </row>
    <row r="23" spans="1:8" ht="15.75">
      <c r="A23" s="104">
        <v>9.1999999999999993</v>
      </c>
      <c r="B23" s="104" t="s">
        <v>2448</v>
      </c>
      <c r="C23" s="86"/>
      <c r="D23" s="632"/>
      <c r="E23" s="1388"/>
      <c r="F23" s="1389"/>
      <c r="G23" s="78"/>
      <c r="H23" s="1021">
        <f>+A23</f>
        <v>9.1999999999999993</v>
      </c>
    </row>
    <row r="24" spans="1:8" ht="15">
      <c r="A24" s="78"/>
      <c r="B24" s="78"/>
      <c r="C24" s="78"/>
      <c r="D24" s="78"/>
      <c r="E24" s="78"/>
      <c r="F24" s="1389"/>
      <c r="G24" s="78"/>
      <c r="H24" s="78"/>
    </row>
    <row r="25" spans="1:8" ht="15.75">
      <c r="A25" s="104" t="s">
        <v>182</v>
      </c>
      <c r="B25" s="78" t="s">
        <v>1113</v>
      </c>
      <c r="C25" s="78"/>
      <c r="D25" s="78"/>
      <c r="E25" s="78"/>
      <c r="F25" s="314" t="s">
        <v>1703</v>
      </c>
      <c r="G25" s="966">
        <f>+'App F2 Board Lodging'!F43</f>
        <v>0</v>
      </c>
      <c r="H25" s="1021" t="str">
        <f>+A25</f>
        <v>9.2.1</v>
      </c>
    </row>
    <row r="26" spans="1:8" ht="15">
      <c r="A26" s="78"/>
      <c r="B26" s="78" t="s">
        <v>402</v>
      </c>
      <c r="C26" s="78"/>
      <c r="D26" s="78"/>
      <c r="E26" s="78"/>
      <c r="F26" s="1389"/>
      <c r="G26" s="78"/>
      <c r="H26" s="401"/>
    </row>
    <row r="27" spans="1:8" ht="15">
      <c r="A27" s="78"/>
      <c r="B27" s="78"/>
      <c r="C27" s="78"/>
      <c r="D27" s="78"/>
      <c r="E27" s="78"/>
      <c r="F27" s="1389"/>
      <c r="G27" s="78"/>
      <c r="H27" s="401"/>
    </row>
    <row r="28" spans="1:8" ht="15.75">
      <c r="A28" s="104" t="s">
        <v>614</v>
      </c>
      <c r="B28" s="632" t="s">
        <v>979</v>
      </c>
      <c r="C28" s="78"/>
      <c r="D28" s="901"/>
      <c r="E28" s="1390"/>
      <c r="F28" s="314" t="s">
        <v>1704</v>
      </c>
      <c r="G28" s="966">
        <f>ROUND(G25*500,0)</f>
        <v>0</v>
      </c>
      <c r="H28" s="1021" t="str">
        <f>+A28</f>
        <v>9.2.2</v>
      </c>
    </row>
    <row r="29" spans="1:8" ht="15">
      <c r="A29" s="78"/>
      <c r="B29" s="78" t="s">
        <v>2003</v>
      </c>
      <c r="C29" s="78"/>
      <c r="D29" s="78"/>
      <c r="E29" s="78"/>
      <c r="F29" s="1389"/>
      <c r="G29" s="78"/>
      <c r="H29" s="401"/>
    </row>
    <row r="30" spans="1:8" ht="15">
      <c r="A30" s="78"/>
      <c r="B30" s="78"/>
      <c r="C30" s="78"/>
      <c r="D30" s="78"/>
      <c r="E30" s="78"/>
      <c r="F30" s="1389"/>
      <c r="G30" s="78"/>
      <c r="H30" s="401"/>
    </row>
    <row r="31" spans="1:8" ht="15.75">
      <c r="A31" s="104" t="s">
        <v>615</v>
      </c>
      <c r="B31" s="78" t="s">
        <v>980</v>
      </c>
      <c r="C31" s="78"/>
      <c r="D31" s="78"/>
      <c r="E31" s="78"/>
      <c r="F31" s="314">
        <v>911</v>
      </c>
      <c r="G31" s="1386"/>
      <c r="H31" s="1021" t="str">
        <f>+A31</f>
        <v>9.2.3</v>
      </c>
    </row>
    <row r="32" spans="1:8" ht="15">
      <c r="A32" s="78"/>
      <c r="B32" s="78"/>
      <c r="C32" s="78"/>
      <c r="D32" s="78"/>
      <c r="E32" s="78"/>
      <c r="F32" s="1389"/>
      <c r="G32" s="78"/>
      <c r="H32" s="401"/>
    </row>
    <row r="33" spans="1:8" ht="15.75">
      <c r="A33" s="104" t="s">
        <v>1790</v>
      </c>
      <c r="B33" s="78" t="s">
        <v>1991</v>
      </c>
      <c r="C33" s="78"/>
      <c r="D33" s="78"/>
      <c r="E33" s="78"/>
      <c r="F33" s="314" t="s">
        <v>1705</v>
      </c>
      <c r="G33" s="966">
        <f>ROUND(IF(G31="",0,MIN(G28,G31)),0)</f>
        <v>0</v>
      </c>
      <c r="H33" s="1021" t="str">
        <f>+A33</f>
        <v>9.2.4</v>
      </c>
    </row>
    <row r="34" spans="1:8" ht="15">
      <c r="A34" s="78"/>
      <c r="B34" s="1391" t="s">
        <v>1260</v>
      </c>
      <c r="C34" s="78"/>
      <c r="D34" s="78"/>
      <c r="E34" s="78"/>
      <c r="F34" s="1389"/>
      <c r="G34" s="78"/>
      <c r="H34" s="78"/>
    </row>
    <row r="35" spans="1:8" ht="15">
      <c r="A35" s="78"/>
      <c r="B35" s="1391"/>
      <c r="C35" s="78"/>
      <c r="D35" s="78"/>
      <c r="E35" s="78"/>
      <c r="F35" s="1389"/>
      <c r="G35" s="78"/>
      <c r="H35" s="78"/>
    </row>
    <row r="36" spans="1:8" ht="15.75">
      <c r="A36" s="104">
        <v>9.5</v>
      </c>
      <c r="B36" s="104" t="s">
        <v>248</v>
      </c>
      <c r="C36" s="632"/>
      <c r="D36" s="632"/>
      <c r="E36" s="1379"/>
      <c r="F36" s="1379"/>
      <c r="G36" s="1379"/>
      <c r="H36" s="1145"/>
    </row>
    <row r="37" spans="1:8" ht="15.75">
      <c r="A37" s="104"/>
      <c r="B37" s="1118"/>
      <c r="C37" s="632"/>
      <c r="D37" s="632"/>
      <c r="E37" s="1379"/>
      <c r="F37" s="1379"/>
      <c r="G37" s="1379"/>
      <c r="H37" s="1145"/>
    </row>
    <row r="38" spans="1:8" ht="15.75">
      <c r="A38" s="104" t="s">
        <v>2008</v>
      </c>
      <c r="B38" s="632" t="s">
        <v>2449</v>
      </c>
      <c r="C38" s="632"/>
      <c r="D38" s="632"/>
      <c r="E38" s="1379"/>
      <c r="F38" s="314"/>
      <c r="G38" s="1392"/>
      <c r="H38" s="1021" t="str">
        <f>+A38</f>
        <v>9.5.1</v>
      </c>
    </row>
    <row r="39" spans="1:8" ht="15.75">
      <c r="A39" s="104"/>
      <c r="B39" s="632" t="s">
        <v>2450</v>
      </c>
      <c r="C39" s="632"/>
      <c r="D39" s="632"/>
      <c r="E39" s="1379"/>
      <c r="F39" s="1379"/>
      <c r="G39" s="1379"/>
      <c r="H39" s="1145"/>
    </row>
    <row r="40" spans="1:8" ht="15.75">
      <c r="A40" s="104"/>
      <c r="B40" s="632"/>
      <c r="C40" s="632"/>
      <c r="D40" s="632"/>
      <c r="E40" s="1393" t="s">
        <v>2010</v>
      </c>
      <c r="F40" s="1379"/>
      <c r="G40" s="1379"/>
      <c r="H40" s="1145"/>
    </row>
    <row r="41" spans="1:8" ht="15.75">
      <c r="A41" s="104" t="s">
        <v>2009</v>
      </c>
      <c r="B41" s="632" t="s">
        <v>1262</v>
      </c>
      <c r="C41" s="632"/>
      <c r="D41" s="632"/>
      <c r="E41" s="970">
        <v>1000</v>
      </c>
      <c r="F41" s="314"/>
      <c r="G41" s="1394">
        <f>ROUND(G38*E41,0)</f>
        <v>0</v>
      </c>
      <c r="H41" s="1021" t="str">
        <f>+A41</f>
        <v>9.5.2</v>
      </c>
    </row>
    <row r="42" spans="1:8" ht="15.75">
      <c r="A42" s="104"/>
      <c r="B42" s="632"/>
      <c r="C42" s="632"/>
      <c r="D42" s="632"/>
      <c r="E42" s="970"/>
      <c r="F42" s="632"/>
      <c r="G42" s="1395"/>
      <c r="H42" s="1021"/>
    </row>
    <row r="43" spans="1:8" ht="15.75">
      <c r="A43" s="104" t="s">
        <v>1263</v>
      </c>
      <c r="B43" s="78" t="s">
        <v>1264</v>
      </c>
      <c r="C43" s="78"/>
      <c r="D43" s="78"/>
      <c r="E43" s="78"/>
      <c r="F43" s="314"/>
      <c r="G43" s="1386"/>
      <c r="H43" s="1021" t="str">
        <f>+A43</f>
        <v>9.5.3</v>
      </c>
    </row>
    <row r="44" spans="1:8" ht="15.75">
      <c r="A44" s="104"/>
      <c r="B44" s="632"/>
      <c r="C44" s="632"/>
      <c r="D44" s="632"/>
      <c r="E44" s="970"/>
      <c r="F44" s="632"/>
      <c r="G44" s="1395"/>
      <c r="H44" s="1021"/>
    </row>
    <row r="45" spans="1:8" ht="15.75">
      <c r="A45" s="104" t="s">
        <v>1265</v>
      </c>
      <c r="B45" s="78" t="s">
        <v>1266</v>
      </c>
      <c r="C45" s="78"/>
      <c r="D45" s="78"/>
      <c r="E45" s="78"/>
      <c r="F45" s="314"/>
      <c r="G45" s="966">
        <f>ROUND(IF(G43="",0,MIN(G41,G43)),0)</f>
        <v>0</v>
      </c>
      <c r="H45" s="1021" t="str">
        <f>+A45</f>
        <v>9.5.4</v>
      </c>
    </row>
    <row r="46" spans="1:8" ht="15">
      <c r="A46" s="78"/>
      <c r="B46" s="78"/>
      <c r="C46" s="78"/>
      <c r="D46" s="78"/>
      <c r="E46" s="78"/>
      <c r="F46" s="78"/>
      <c r="G46" s="78"/>
      <c r="H46" s="78"/>
    </row>
    <row r="47" spans="1:8" ht="15.75">
      <c r="A47" s="104">
        <v>9.6</v>
      </c>
      <c r="B47" s="104" t="s">
        <v>1079</v>
      </c>
      <c r="C47" s="27"/>
      <c r="D47" s="27"/>
      <c r="E47" s="27"/>
      <c r="F47" s="314"/>
      <c r="G47" s="1213">
        <f>ROUND(G20+G33+G45,0)</f>
        <v>0</v>
      </c>
      <c r="H47" s="1021">
        <f>+A47</f>
        <v>9.6</v>
      </c>
    </row>
    <row r="48" spans="1:8" ht="15">
      <c r="A48" s="78"/>
      <c r="B48" s="1391" t="s">
        <v>2380</v>
      </c>
      <c r="C48" s="78"/>
      <c r="D48" s="78"/>
      <c r="E48" s="78"/>
      <c r="F48" s="78"/>
      <c r="G48" s="78"/>
      <c r="H48" s="78"/>
    </row>
    <row r="49" spans="1:8" ht="12" customHeight="1">
      <c r="A49" s="78"/>
      <c r="B49" s="1391"/>
      <c r="C49" s="78"/>
      <c r="D49" s="78"/>
      <c r="E49" s="78"/>
      <c r="F49" s="78"/>
      <c r="G49" s="219"/>
      <c r="H49" s="78"/>
    </row>
    <row r="50" spans="1:8" ht="12" hidden="1" customHeight="1">
      <c r="A50" s="976"/>
      <c r="B50" s="976"/>
      <c r="C50" s="976"/>
      <c r="D50" s="976"/>
      <c r="E50" s="976"/>
      <c r="F50" s="976"/>
      <c r="G50" s="976"/>
      <c r="H50" s="976"/>
    </row>
    <row r="51" spans="1:8" ht="15" hidden="1">
      <c r="A51" s="976"/>
      <c r="B51" s="976"/>
      <c r="C51" s="976"/>
      <c r="D51" s="976"/>
      <c r="E51" s="976"/>
      <c r="F51" s="976"/>
      <c r="G51" s="976"/>
      <c r="H51" s="976"/>
    </row>
    <row r="52" spans="1:8" ht="15" hidden="1">
      <c r="A52" s="976"/>
      <c r="B52" s="976"/>
      <c r="C52" s="976"/>
      <c r="D52" s="976"/>
      <c r="E52" s="976"/>
      <c r="F52" s="976"/>
      <c r="G52" s="976"/>
      <c r="H52" s="976"/>
    </row>
    <row r="53" spans="1:8" ht="12.75" hidden="1" customHeight="1">
      <c r="A53" s="976"/>
      <c r="B53" s="976"/>
      <c r="C53" s="976"/>
      <c r="D53" s="976"/>
      <c r="E53" s="976"/>
      <c r="F53" s="976"/>
      <c r="G53" s="976"/>
      <c r="H53" s="976"/>
    </row>
    <row r="54" spans="1:8" ht="12.75" hidden="1" customHeight="1">
      <c r="A54" s="976"/>
      <c r="B54" s="976"/>
      <c r="C54" s="976"/>
      <c r="D54" s="976"/>
      <c r="E54" s="976"/>
      <c r="F54" s="976"/>
      <c r="G54" s="976"/>
      <c r="H54" s="976"/>
    </row>
    <row r="55" spans="1:8" ht="12.75" hidden="1" customHeight="1">
      <c r="A55" s="976"/>
      <c r="B55" s="976"/>
      <c r="C55" s="976"/>
      <c r="D55" s="976"/>
      <c r="E55" s="976"/>
      <c r="F55" s="976"/>
      <c r="G55" s="976"/>
      <c r="H55" s="976"/>
    </row>
    <row r="56" spans="1:8" ht="12.75" hidden="1" customHeight="1">
      <c r="A56" s="976"/>
      <c r="B56" s="976"/>
      <c r="C56" s="976"/>
      <c r="D56" s="976"/>
      <c r="E56" s="976"/>
      <c r="F56" s="976"/>
      <c r="G56" s="976"/>
      <c r="H56" s="976"/>
    </row>
    <row r="57" spans="1:8" ht="12.75" hidden="1" customHeight="1">
      <c r="A57" s="976"/>
      <c r="B57" s="976"/>
      <c r="C57" s="976"/>
      <c r="D57" s="976"/>
      <c r="E57" s="976"/>
      <c r="F57" s="976"/>
      <c r="G57" s="976"/>
      <c r="H57" s="976"/>
    </row>
    <row r="58" spans="1:8" ht="12.75" hidden="1" customHeight="1">
      <c r="A58" s="976"/>
      <c r="B58" s="976"/>
      <c r="C58" s="976"/>
      <c r="D58" s="976"/>
      <c r="E58" s="976"/>
      <c r="F58" s="976"/>
      <c r="G58" s="976"/>
      <c r="H58" s="976"/>
    </row>
    <row r="59" spans="1:8" ht="12.75" hidden="1" customHeight="1">
      <c r="A59" s="976"/>
      <c r="B59" s="976"/>
      <c r="C59" s="976"/>
      <c r="D59" s="976"/>
      <c r="E59" s="976"/>
      <c r="F59" s="976"/>
      <c r="G59" s="976"/>
      <c r="H59" s="976"/>
    </row>
    <row r="60" spans="1:8" ht="12.75" hidden="1" customHeight="1">
      <c r="A60" s="976"/>
      <c r="B60" s="976"/>
      <c r="C60" s="976"/>
      <c r="D60" s="976"/>
      <c r="E60" s="976"/>
      <c r="F60" s="976"/>
      <c r="G60" s="976"/>
      <c r="H60" s="976"/>
    </row>
    <row r="61" spans="1:8" ht="12.75" hidden="1" customHeight="1">
      <c r="A61" s="976"/>
      <c r="B61" s="976"/>
      <c r="C61" s="976"/>
      <c r="D61" s="976"/>
      <c r="E61" s="976"/>
      <c r="F61" s="976"/>
      <c r="G61" s="976"/>
      <c r="H61" s="976"/>
    </row>
    <row r="62" spans="1:8" ht="12.75" hidden="1" customHeight="1">
      <c r="A62" s="976"/>
      <c r="B62" s="976"/>
      <c r="C62" s="976"/>
      <c r="D62" s="976"/>
      <c r="E62" s="976"/>
      <c r="F62" s="976"/>
      <c r="G62" s="976"/>
      <c r="H62" s="976"/>
    </row>
    <row r="63" spans="1:8" ht="12.75" hidden="1" customHeight="1">
      <c r="A63" s="976"/>
      <c r="B63" s="976"/>
      <c r="C63" s="976"/>
      <c r="D63" s="976"/>
      <c r="E63" s="976"/>
      <c r="F63" s="976"/>
      <c r="G63" s="976"/>
      <c r="H63" s="976"/>
    </row>
    <row r="64" spans="1:8" ht="12.75" hidden="1" customHeight="1">
      <c r="A64" s="976"/>
      <c r="B64" s="976"/>
      <c r="C64" s="976"/>
      <c r="D64" s="976"/>
      <c r="E64" s="976"/>
      <c r="F64" s="976"/>
      <c r="G64" s="976"/>
      <c r="H64" s="976"/>
    </row>
    <row r="65" spans="1:8" ht="12.75" hidden="1" customHeight="1">
      <c r="A65" s="976"/>
      <c r="B65" s="976"/>
      <c r="C65" s="976"/>
      <c r="D65" s="976"/>
      <c r="E65" s="976"/>
      <c r="F65" s="976"/>
      <c r="G65" s="976"/>
      <c r="H65" s="976"/>
    </row>
    <row r="66" spans="1:8" ht="12.75" hidden="1" customHeight="1">
      <c r="A66" s="976"/>
      <c r="B66" s="976"/>
      <c r="C66" s="976"/>
      <c r="D66" s="976"/>
      <c r="E66" s="976"/>
      <c r="F66" s="976"/>
      <c r="G66" s="976"/>
      <c r="H66" s="976"/>
    </row>
    <row r="67" spans="1:8" ht="12.75" hidden="1" customHeight="1">
      <c r="A67" s="976"/>
      <c r="B67" s="976"/>
      <c r="C67" s="976"/>
      <c r="D67" s="976"/>
      <c r="E67" s="976"/>
      <c r="F67" s="976"/>
      <c r="G67" s="976"/>
      <c r="H67" s="976"/>
    </row>
    <row r="68" spans="1:8" ht="12.75" hidden="1" customHeight="1">
      <c r="A68" s="976"/>
      <c r="B68" s="976"/>
      <c r="C68" s="976"/>
      <c r="D68" s="976"/>
      <c r="E68" s="976"/>
      <c r="F68" s="976"/>
      <c r="G68" s="976"/>
      <c r="H68" s="976"/>
    </row>
    <row r="69" spans="1:8" ht="12.75" hidden="1" customHeight="1">
      <c r="A69" s="976"/>
      <c r="B69" s="976"/>
      <c r="C69" s="976"/>
      <c r="D69" s="976"/>
      <c r="E69" s="976"/>
      <c r="F69" s="976"/>
      <c r="G69" s="976"/>
      <c r="H69" s="976"/>
    </row>
  </sheetData>
  <sheetProtection password="C7A7" sheet="1" objects="1" scenarios="1"/>
  <protectedRanges>
    <protectedRange sqref="G43" name="Range4"/>
    <protectedRange sqref="G38" name="Range3"/>
    <protectedRange sqref="G31" name="Range2"/>
    <protectedRange sqref="G15" name="Range1"/>
  </protectedRanges>
  <phoneticPr fontId="0" type="noConversion"/>
  <hyperlinks>
    <hyperlink ref="B1" location="Home_to_School__includes_School_to_School" display="Home-to-School (includes School-to-School)"/>
    <hyperlink ref="C1" location="Board__Lodging_and_WEEKLY_TRANSPORTATION" display="Board, Lodging and WEEKLY TRANSPORTATION"/>
    <hyperlink ref="D1" location="Transportation_Safety_Program" display="Transportation Safety Program"/>
    <hyperlink ref="E1" location="Total_Transportation_Allocation" display="Total Transportation Allocation"/>
  </hyperlinks>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colBreaks count="1" manualBreakCount="1">
    <brk id="8"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156"/>
  <sheetViews>
    <sheetView topLeftCell="A25" zoomScaleNormal="100" workbookViewId="0">
      <selection activeCell="E37" sqref="E37"/>
    </sheetView>
  </sheetViews>
  <sheetFormatPr defaultColWidth="0" defaultRowHeight="12.75" customHeight="1" zeroHeight="1"/>
  <cols>
    <col min="1" max="2" width="14" style="688" customWidth="1"/>
    <col min="3" max="3" width="18.7109375" style="688" customWidth="1"/>
    <col min="4" max="4" width="12.42578125" style="688" customWidth="1"/>
    <col min="5" max="5" width="10.140625" style="688" customWidth="1"/>
    <col min="6" max="7" width="14" style="688" customWidth="1"/>
    <col min="8" max="8" width="17.28515625" style="688" customWidth="1"/>
    <col min="9" max="9" width="8.28515625" style="688" customWidth="1"/>
    <col min="10" max="10" width="14" style="688" customWidth="1"/>
    <col min="11" max="11" width="9.28515625" style="688" customWidth="1"/>
    <col min="12" max="16384" width="0" style="688" hidden="1"/>
  </cols>
  <sheetData>
    <row r="1" spans="1:11" ht="6" customHeight="1" thickBot="1">
      <c r="A1" s="2160" t="s">
        <v>2823</v>
      </c>
      <c r="B1" s="2137" t="s">
        <v>1062</v>
      </c>
      <c r="C1" s="2137"/>
      <c r="D1" s="2137" t="s">
        <v>37</v>
      </c>
      <c r="E1" s="2137" t="s">
        <v>881</v>
      </c>
      <c r="F1" s="2137" t="s">
        <v>2822</v>
      </c>
      <c r="G1" s="2137" t="s">
        <v>2004</v>
      </c>
      <c r="H1" s="2137" t="s">
        <v>1745</v>
      </c>
      <c r="I1" s="2137" t="s">
        <v>2443</v>
      </c>
      <c r="J1" s="2160"/>
      <c r="K1" s="2161"/>
    </row>
    <row r="2" spans="1:11" ht="18.75" thickBot="1">
      <c r="A2" s="43" t="s">
        <v>621</v>
      </c>
      <c r="B2" s="78"/>
      <c r="C2" s="78"/>
      <c r="D2" s="78"/>
      <c r="E2" s="78"/>
      <c r="F2" s="941" t="s">
        <v>163</v>
      </c>
      <c r="G2" s="941"/>
      <c r="H2" s="942" t="str">
        <f>'1 Summary'!G2</f>
        <v/>
      </c>
      <c r="I2" s="943"/>
      <c r="J2" s="944"/>
      <c r="K2" s="945"/>
    </row>
    <row r="3" spans="1:11" ht="16.5" thickBot="1">
      <c r="A3" s="104" t="s">
        <v>2451</v>
      </c>
      <c r="B3" s="78"/>
      <c r="C3" s="78"/>
      <c r="D3" s="78"/>
      <c r="E3" s="78"/>
      <c r="F3" s="941" t="s">
        <v>162</v>
      </c>
      <c r="G3" s="941"/>
      <c r="H3" s="946">
        <f>'1 Summary'!G3</f>
        <v>0</v>
      </c>
      <c r="I3" s="947"/>
      <c r="J3" s="814"/>
      <c r="K3" s="402"/>
    </row>
    <row r="4" spans="1:11" ht="15">
      <c r="A4" s="400"/>
      <c r="B4" s="78"/>
      <c r="C4" s="78"/>
      <c r="D4" s="78"/>
      <c r="E4" s="78"/>
      <c r="F4" s="941"/>
      <c r="G4" s="941"/>
      <c r="H4" s="78"/>
      <c r="I4" s="78"/>
      <c r="J4" s="78"/>
      <c r="K4" s="948"/>
    </row>
    <row r="5" spans="1:11" ht="15">
      <c r="A5" s="400"/>
      <c r="B5" s="78"/>
      <c r="C5" s="78"/>
      <c r="D5" s="78"/>
      <c r="E5" s="78"/>
      <c r="F5" s="941"/>
      <c r="G5" s="941"/>
      <c r="H5" s="78"/>
      <c r="I5" s="78"/>
      <c r="J5" s="949"/>
      <c r="K5" s="948"/>
    </row>
    <row r="6" spans="1:11" ht="15">
      <c r="A6" s="2027"/>
      <c r="B6" s="78"/>
      <c r="C6" s="78"/>
      <c r="D6" s="78"/>
      <c r="E6" s="78"/>
      <c r="F6" s="941"/>
      <c r="G6" s="941"/>
      <c r="H6" s="78"/>
      <c r="I6" s="78"/>
      <c r="J6" s="949"/>
      <c r="K6" s="948"/>
    </row>
    <row r="7" spans="1:11" ht="15.75">
      <c r="A7" s="2191">
        <v>10.1</v>
      </c>
      <c r="B7" s="2190" t="s">
        <v>2974</v>
      </c>
      <c r="C7" s="2190"/>
      <c r="D7" s="2190"/>
      <c r="E7" s="78"/>
      <c r="F7" s="2190"/>
      <c r="G7" s="2193"/>
      <c r="H7" s="2190"/>
      <c r="I7" s="78"/>
      <c r="J7" s="2194">
        <f>'Sch 13 Enrolment'!T54+'Sch 13 Enrolment'!V64</f>
        <v>0</v>
      </c>
      <c r="K7" s="2192">
        <v>10.1</v>
      </c>
    </row>
    <row r="8" spans="1:11" ht="15">
      <c r="A8" s="2027"/>
      <c r="B8" s="78"/>
      <c r="C8" s="78"/>
      <c r="D8" s="78"/>
      <c r="E8" s="78"/>
      <c r="F8" s="941"/>
      <c r="G8" s="941"/>
      <c r="H8" s="78"/>
      <c r="I8" s="78"/>
      <c r="J8" s="949"/>
      <c r="K8" s="948"/>
    </row>
    <row r="9" spans="1:11" ht="15.75">
      <c r="A9" s="104">
        <v>10.199999999999999</v>
      </c>
      <c r="B9" s="2196" t="s">
        <v>1062</v>
      </c>
      <c r="C9" s="78"/>
      <c r="D9" s="78"/>
      <c r="E9" s="78"/>
      <c r="F9" s="941"/>
      <c r="G9" s="941"/>
      <c r="H9" s="78"/>
      <c r="I9" s="78"/>
      <c r="J9" s="949"/>
      <c r="K9" s="2203">
        <f>+A9</f>
        <v>10.199999999999999</v>
      </c>
    </row>
    <row r="10" spans="1:11" ht="15.75">
      <c r="A10" s="104"/>
      <c r="B10" s="2196"/>
      <c r="C10" s="78"/>
      <c r="D10" s="78"/>
      <c r="E10" s="78"/>
      <c r="F10" s="2197"/>
      <c r="G10" s="2197"/>
      <c r="H10" s="78"/>
      <c r="I10" s="78"/>
      <c r="J10" s="949"/>
      <c r="K10" s="2198"/>
    </row>
    <row r="11" spans="1:11" ht="15.75">
      <c r="A11" s="2200" t="s">
        <v>2881</v>
      </c>
      <c r="B11" s="2199" t="s">
        <v>2975</v>
      </c>
      <c r="C11" s="78"/>
      <c r="D11" s="78"/>
      <c r="E11" s="78"/>
      <c r="F11" s="2197"/>
      <c r="G11" s="2197"/>
      <c r="H11" s="78"/>
      <c r="I11" s="2205">
        <v>915</v>
      </c>
      <c r="J11" s="2207">
        <f>IF($H$3=0,0,VLOOKUP($H$3,Tables!$A$5:$AN8,12,FALSE))</f>
        <v>0</v>
      </c>
      <c r="K11" s="2208" t="str">
        <f>+A11</f>
        <v>10.2.1</v>
      </c>
    </row>
    <row r="12" spans="1:11" ht="15.75">
      <c r="A12" s="2200" t="s">
        <v>2882</v>
      </c>
      <c r="B12" s="2199" t="s">
        <v>2976</v>
      </c>
      <c r="C12" s="78"/>
      <c r="D12" s="78"/>
      <c r="E12" s="78"/>
      <c r="F12" s="2197"/>
      <c r="G12" s="2197"/>
      <c r="H12" s="78"/>
      <c r="I12" s="2204"/>
      <c r="J12" s="2207">
        <f>IF($H$3=0,0,VLOOKUP($H$3,Tables!$A$5:$AN8,13,FALSE))</f>
        <v>0</v>
      </c>
      <c r="K12" s="2208" t="str">
        <f>+A12</f>
        <v>10.2.2</v>
      </c>
    </row>
    <row r="13" spans="1:11" ht="15.75">
      <c r="A13" s="2200" t="s">
        <v>2883</v>
      </c>
      <c r="B13" s="2199" t="s">
        <v>854</v>
      </c>
      <c r="C13" s="78"/>
      <c r="D13" s="78"/>
      <c r="E13" s="78"/>
      <c r="F13" s="2197"/>
      <c r="G13" s="2197"/>
      <c r="H13" s="78"/>
      <c r="I13" s="2204"/>
      <c r="J13" s="2206">
        <f>ROUND(IF(J11=0,0,IF(J7&lt;=100,B14*J11,IF(J7&lt;=300,J11*B15,IF(J7&gt;300,J11*B16,0)))),0)</f>
        <v>0</v>
      </c>
      <c r="K13" s="2208" t="str">
        <f>+A13</f>
        <v>10.2.3</v>
      </c>
    </row>
    <row r="14" spans="1:11" ht="15.75">
      <c r="A14" s="2200"/>
      <c r="B14" s="2189">
        <v>1500</v>
      </c>
      <c r="C14" s="78" t="s">
        <v>2197</v>
      </c>
      <c r="D14" s="78"/>
      <c r="E14" s="78"/>
      <c r="F14" s="2201"/>
      <c r="G14" s="2201"/>
      <c r="H14" s="78"/>
      <c r="I14" s="78"/>
      <c r="J14" s="78"/>
      <c r="K14" s="78"/>
    </row>
    <row r="15" spans="1:11" ht="15.75">
      <c r="A15" s="2200"/>
      <c r="B15" s="2189">
        <v>2000</v>
      </c>
      <c r="C15" s="78" t="s">
        <v>2198</v>
      </c>
      <c r="D15" s="78"/>
      <c r="E15" s="78"/>
      <c r="F15" s="2201"/>
      <c r="G15" s="2201"/>
      <c r="H15" s="78"/>
      <c r="I15" s="78"/>
      <c r="J15" s="949"/>
      <c r="K15" s="2202"/>
    </row>
    <row r="16" spans="1:11" ht="15">
      <c r="A16" s="2027"/>
      <c r="B16" s="2195">
        <v>3000</v>
      </c>
      <c r="C16" s="78" t="s">
        <v>930</v>
      </c>
      <c r="D16" s="78"/>
      <c r="E16" s="78"/>
      <c r="F16" s="941"/>
      <c r="G16" s="941"/>
      <c r="H16" s="78"/>
      <c r="I16" s="78"/>
      <c r="J16" s="949"/>
      <c r="K16" s="948"/>
    </row>
    <row r="17" spans="1:11" ht="15.75">
      <c r="A17" s="104"/>
      <c r="B17" s="78"/>
      <c r="C17" s="78"/>
      <c r="D17" s="78"/>
      <c r="E17" s="78"/>
      <c r="F17" s="901"/>
      <c r="G17" s="901"/>
      <c r="H17" s="886"/>
      <c r="I17" s="78"/>
      <c r="J17" s="78"/>
      <c r="K17" s="950"/>
    </row>
    <row r="18" spans="1:11" ht="15.75">
      <c r="A18" s="104" t="s">
        <v>2242</v>
      </c>
      <c r="B18" s="27" t="s">
        <v>37</v>
      </c>
      <c r="C18" s="27"/>
      <c r="D18" s="78"/>
      <c r="E18" s="78"/>
      <c r="F18" s="78"/>
      <c r="G18" s="78"/>
      <c r="H18" s="78"/>
      <c r="I18" s="338">
        <v>916</v>
      </c>
      <c r="J18" s="1913">
        <f>+J12+J13</f>
        <v>0</v>
      </c>
      <c r="K18" s="950" t="str">
        <f>A18</f>
        <v>10.2.4</v>
      </c>
    </row>
    <row r="19" spans="1:11" ht="15.75">
      <c r="A19" s="104"/>
      <c r="B19" s="78" t="s">
        <v>2906</v>
      </c>
      <c r="C19" s="27"/>
      <c r="D19" s="78"/>
      <c r="E19" s="78"/>
      <c r="F19" s="78"/>
      <c r="G19" s="78"/>
      <c r="H19" s="78"/>
      <c r="I19" s="2181"/>
      <c r="J19" s="2181"/>
      <c r="K19" s="950"/>
    </row>
    <row r="20" spans="1:11" ht="15.75">
      <c r="A20" s="104"/>
      <c r="B20" s="78"/>
      <c r="C20" s="78"/>
      <c r="D20" s="78"/>
      <c r="E20" s="78"/>
      <c r="F20" s="78"/>
      <c r="G20" s="78"/>
      <c r="H20" s="78"/>
      <c r="I20" s="78"/>
      <c r="J20" s="941"/>
      <c r="K20" s="950"/>
    </row>
    <row r="21" spans="1:11" ht="15.75">
      <c r="A21" s="104">
        <v>10.3</v>
      </c>
      <c r="B21" s="27" t="s">
        <v>881</v>
      </c>
      <c r="C21" s="27"/>
      <c r="D21" s="78"/>
      <c r="E21" s="78"/>
      <c r="F21" s="78"/>
      <c r="G21" s="78"/>
      <c r="H21" s="78"/>
      <c r="I21" s="78"/>
      <c r="J21" s="941"/>
      <c r="K21" s="950"/>
    </row>
    <row r="22" spans="1:11" ht="15.75">
      <c r="A22" s="104"/>
      <c r="B22" s="78"/>
      <c r="C22" s="78"/>
      <c r="D22" s="78"/>
      <c r="E22" s="78"/>
      <c r="F22" s="78"/>
      <c r="G22" s="78"/>
      <c r="H22" s="78"/>
      <c r="I22" s="78"/>
      <c r="J22" s="941"/>
      <c r="K22" s="950"/>
    </row>
    <row r="23" spans="1:11" ht="15.75">
      <c r="A23" s="104"/>
      <c r="B23" s="78" t="s">
        <v>2908</v>
      </c>
      <c r="C23" s="78"/>
      <c r="D23" s="2183">
        <f>IF($H$3=0,0,'GSN Benchmarks'!B398)</f>
        <v>0</v>
      </c>
      <c r="E23" s="78"/>
      <c r="F23" s="78"/>
      <c r="G23" s="78"/>
      <c r="H23" s="78"/>
      <c r="I23" s="78"/>
      <c r="J23" s="941"/>
      <c r="K23" s="950"/>
    </row>
    <row r="24" spans="1:11" ht="15.75">
      <c r="A24" s="104"/>
      <c r="B24" s="78"/>
      <c r="C24" s="78"/>
      <c r="D24" s="78"/>
      <c r="E24" s="78"/>
      <c r="F24" s="78"/>
      <c r="G24" s="78"/>
      <c r="H24" s="78"/>
      <c r="I24" s="78"/>
      <c r="J24" s="941"/>
      <c r="K24" s="950"/>
    </row>
    <row r="25" spans="1:11" ht="15.75">
      <c r="A25" s="104" t="s">
        <v>877</v>
      </c>
      <c r="B25" s="78" t="s">
        <v>2893</v>
      </c>
      <c r="C25" s="78"/>
      <c r="D25" s="78"/>
      <c r="E25" s="78"/>
      <c r="F25" s="78"/>
      <c r="G25" s="78"/>
      <c r="H25" s="959"/>
      <c r="I25" s="957"/>
      <c r="J25" s="953">
        <f>ROUND(D23*30%,0)</f>
        <v>0</v>
      </c>
      <c r="K25" s="950" t="str">
        <f>A25</f>
        <v>10.3.1</v>
      </c>
    </row>
    <row r="26" spans="1:11" ht="15.75">
      <c r="A26" s="104" t="s">
        <v>878</v>
      </c>
      <c r="B26" s="78" t="s">
        <v>2892</v>
      </c>
      <c r="C26" s="78"/>
      <c r="D26" s="78"/>
      <c r="E26" s="78"/>
      <c r="F26" s="78"/>
      <c r="G26" s="78"/>
      <c r="H26" s="339"/>
      <c r="I26" s="957"/>
      <c r="J26" s="953">
        <f>ROUND(J25/3,0)</f>
        <v>0</v>
      </c>
      <c r="K26" s="950" t="str">
        <f>A26</f>
        <v>10.3.2</v>
      </c>
    </row>
    <row r="27" spans="1:11" ht="15.75">
      <c r="A27" s="104" t="s">
        <v>879</v>
      </c>
      <c r="B27" s="955" t="s">
        <v>2884</v>
      </c>
      <c r="C27" s="955"/>
      <c r="D27" s="78"/>
      <c r="E27" s="78"/>
      <c r="F27" s="78"/>
      <c r="G27" s="78"/>
      <c r="H27" s="200"/>
      <c r="I27" s="957"/>
      <c r="J27" s="953">
        <f>IF(OR($H$3=79910,$H$3=0),0,J26)</f>
        <v>0</v>
      </c>
      <c r="K27" s="950" t="str">
        <f>A27</f>
        <v>10.3.3</v>
      </c>
    </row>
    <row r="28" spans="1:11" ht="15.75">
      <c r="A28" s="104" t="s">
        <v>2905</v>
      </c>
      <c r="B28" s="27" t="s">
        <v>880</v>
      </c>
      <c r="C28" s="27"/>
      <c r="D28" s="78"/>
      <c r="E28" s="78"/>
      <c r="F28" s="78"/>
      <c r="G28" s="78"/>
      <c r="H28" s="78"/>
      <c r="I28" s="338">
        <v>917</v>
      </c>
      <c r="J28" s="1913">
        <f>ROUND(SUM(J25:J27),0)</f>
        <v>0</v>
      </c>
      <c r="K28" s="967" t="str">
        <f>A28</f>
        <v>10.3.4</v>
      </c>
    </row>
    <row r="29" spans="1:11" ht="15.75">
      <c r="A29" s="535"/>
      <c r="B29" s="78" t="s">
        <v>2891</v>
      </c>
      <c r="C29" s="78"/>
      <c r="D29" s="78"/>
      <c r="E29" s="78"/>
      <c r="F29" s="78"/>
      <c r="G29" s="78"/>
      <c r="H29" s="78"/>
      <c r="I29" s="339"/>
      <c r="J29" s="863"/>
      <c r="K29" s="967"/>
    </row>
    <row r="30" spans="1:11" ht="15">
      <c r="A30" s="400"/>
      <c r="B30" s="78"/>
      <c r="C30" s="78"/>
      <c r="D30" s="78"/>
      <c r="E30" s="78"/>
      <c r="F30" s="78"/>
      <c r="G30" s="78"/>
      <c r="H30" s="78"/>
      <c r="I30" s="815"/>
      <c r="J30" s="956"/>
      <c r="K30" s="968"/>
    </row>
    <row r="31" spans="1:11" ht="15.75">
      <c r="A31" s="104"/>
      <c r="B31" s="27" t="s">
        <v>2886</v>
      </c>
      <c r="C31" s="27"/>
      <c r="D31" s="78"/>
      <c r="E31" s="78"/>
      <c r="F31" s="78"/>
      <c r="G31" s="78"/>
      <c r="H31" s="78"/>
      <c r="I31" s="815"/>
      <c r="J31" s="957"/>
      <c r="K31" s="967"/>
    </row>
    <row r="32" spans="1:11" ht="15.75">
      <c r="A32" s="104"/>
      <c r="B32" s="27"/>
      <c r="C32" s="27"/>
      <c r="D32" s="78"/>
      <c r="E32" s="78"/>
      <c r="F32" s="78"/>
      <c r="G32" s="78"/>
      <c r="H32" s="78"/>
      <c r="I32" s="815"/>
      <c r="J32" s="957"/>
      <c r="K32" s="967"/>
    </row>
    <row r="33" spans="1:11" ht="15.75">
      <c r="A33" s="104"/>
      <c r="B33" s="78" t="s">
        <v>2908</v>
      </c>
      <c r="C33" s="78"/>
      <c r="D33" s="2183">
        <f>IF($H$3=0,0,'GSN Benchmarks'!B399)</f>
        <v>0</v>
      </c>
      <c r="E33" s="78"/>
      <c r="F33" s="78"/>
      <c r="G33" s="78"/>
      <c r="H33" s="78"/>
      <c r="I33" s="815"/>
      <c r="J33" s="957"/>
      <c r="K33" s="967"/>
    </row>
    <row r="34" spans="1:11" ht="15.75">
      <c r="A34" s="104"/>
      <c r="B34" s="78" t="s">
        <v>2887</v>
      </c>
      <c r="C34" s="27"/>
      <c r="D34" s="2183">
        <f>IF($H$3=0,0,'GSN Benchmarks'!B400)</f>
        <v>0</v>
      </c>
      <c r="E34" s="78"/>
      <c r="F34" s="78"/>
      <c r="G34" s="78"/>
      <c r="H34" s="78"/>
      <c r="I34" s="815"/>
      <c r="J34" s="957"/>
      <c r="K34" s="967"/>
    </row>
    <row r="35" spans="1:11" ht="15.75">
      <c r="A35" s="104"/>
      <c r="B35" s="27"/>
      <c r="C35" s="27"/>
      <c r="D35" s="78"/>
      <c r="E35" s="78"/>
      <c r="F35" s="78"/>
      <c r="G35" s="78"/>
      <c r="H35" s="78"/>
      <c r="I35" s="815"/>
      <c r="J35" s="957"/>
      <c r="K35" s="967"/>
    </row>
    <row r="36" spans="1:11" ht="15.75">
      <c r="A36" s="535" t="s">
        <v>2890</v>
      </c>
      <c r="B36" s="78" t="s">
        <v>2895</v>
      </c>
      <c r="C36" s="78"/>
      <c r="D36" s="78"/>
      <c r="E36" s="78"/>
      <c r="F36" s="969"/>
      <c r="G36" s="969"/>
      <c r="H36" s="78"/>
      <c r="I36" s="815"/>
      <c r="J36" s="953">
        <f>ROUND(D33*2.6,0)</f>
        <v>0</v>
      </c>
      <c r="K36" s="967" t="str">
        <f>+A36</f>
        <v>10.4.1</v>
      </c>
    </row>
    <row r="37" spans="1:11" ht="15.75">
      <c r="A37" s="535" t="s">
        <v>2904</v>
      </c>
      <c r="B37" s="78" t="s">
        <v>2894</v>
      </c>
      <c r="C37" s="78"/>
      <c r="D37" s="78"/>
      <c r="E37" s="78"/>
      <c r="F37" s="969"/>
      <c r="G37" s="969"/>
      <c r="H37" s="971"/>
      <c r="I37" s="815"/>
      <c r="J37" s="953">
        <f>ROUND(D34/3,0)</f>
        <v>0</v>
      </c>
      <c r="K37" s="967" t="str">
        <f>+A37</f>
        <v>10.4.2</v>
      </c>
    </row>
    <row r="38" spans="1:11" ht="15.75">
      <c r="A38" s="535" t="s">
        <v>2903</v>
      </c>
      <c r="B38" s="27" t="s">
        <v>77</v>
      </c>
      <c r="C38" s="27"/>
      <c r="D38" s="78"/>
      <c r="E38" s="78"/>
      <c r="F38" s="78"/>
      <c r="G38" s="78"/>
      <c r="H38" s="901"/>
      <c r="I38" s="346">
        <v>918</v>
      </c>
      <c r="J38" s="1913">
        <f>ROUND(SUM(J36:J37),0)</f>
        <v>0</v>
      </c>
      <c r="K38" s="967" t="str">
        <f>+A38</f>
        <v>10.4.3</v>
      </c>
    </row>
    <row r="39" spans="1:11" ht="15.75">
      <c r="A39" s="535"/>
      <c r="B39" s="78" t="s">
        <v>3163</v>
      </c>
      <c r="C39" s="78"/>
      <c r="D39" s="78"/>
      <c r="E39" s="78"/>
      <c r="F39" s="78"/>
      <c r="G39" s="78"/>
      <c r="H39" s="901"/>
      <c r="I39" s="339"/>
      <c r="J39" s="863"/>
      <c r="K39" s="967"/>
    </row>
    <row r="40" spans="1:11" ht="15.75">
      <c r="A40" s="535"/>
      <c r="B40" s="78"/>
      <c r="C40" s="78"/>
      <c r="D40" s="78"/>
      <c r="E40" s="78"/>
      <c r="F40" s="200"/>
      <c r="G40" s="78"/>
      <c r="H40" s="901"/>
      <c r="I40" s="339"/>
      <c r="J40" s="974"/>
      <c r="K40" s="967"/>
    </row>
    <row r="41" spans="1:11" ht="15.75">
      <c r="A41" s="104">
        <v>10.5</v>
      </c>
      <c r="B41" s="27" t="s">
        <v>2004</v>
      </c>
      <c r="C41" s="27"/>
      <c r="D41" s="78"/>
      <c r="E41" s="78"/>
      <c r="F41" s="200"/>
      <c r="G41" s="78"/>
      <c r="H41" s="901"/>
      <c r="I41" s="339"/>
      <c r="J41" s="974"/>
      <c r="K41" s="967"/>
    </row>
    <row r="42" spans="1:11" ht="16.5" thickBot="1">
      <c r="A42" s="535"/>
      <c r="B42" s="78"/>
      <c r="C42" s="78"/>
      <c r="D42" s="78"/>
      <c r="E42" s="78"/>
      <c r="F42" s="200"/>
      <c r="G42" s="78"/>
      <c r="H42" s="901"/>
      <c r="I42" s="339"/>
      <c r="J42" s="974"/>
      <c r="K42" s="967"/>
    </row>
    <row r="43" spans="1:11" ht="16.5" thickBot="1">
      <c r="A43" s="535" t="s">
        <v>2896</v>
      </c>
      <c r="B43" s="78" t="s">
        <v>2005</v>
      </c>
      <c r="C43" s="78"/>
      <c r="D43" s="78"/>
      <c r="E43" s="78"/>
      <c r="F43" s="200"/>
      <c r="G43" s="78"/>
      <c r="H43" s="901"/>
      <c r="I43" s="339"/>
      <c r="J43" s="975">
        <f>IF(H3=0,0,500)</f>
        <v>0</v>
      </c>
      <c r="K43" s="967" t="str">
        <f>A43</f>
        <v>10.5.1</v>
      </c>
    </row>
    <row r="44" spans="1:11" ht="16.5" thickBot="1">
      <c r="A44" s="535"/>
      <c r="B44" s="78"/>
      <c r="C44" s="78"/>
      <c r="D44" s="78"/>
      <c r="E44" s="78"/>
      <c r="F44" s="1915"/>
      <c r="G44" s="78"/>
      <c r="H44" s="901"/>
      <c r="I44" s="339"/>
      <c r="J44" s="956"/>
      <c r="K44" s="967"/>
    </row>
    <row r="45" spans="1:11" ht="16.5" thickBot="1">
      <c r="A45" s="104">
        <v>10.6</v>
      </c>
      <c r="B45" s="27" t="s">
        <v>2872</v>
      </c>
      <c r="C45" s="27"/>
      <c r="D45" s="78"/>
      <c r="E45" s="78"/>
      <c r="F45" s="1915"/>
      <c r="G45" s="78"/>
      <c r="H45" s="901"/>
      <c r="I45" s="339"/>
      <c r="J45" s="975">
        <f>IF($H$3=0,0,VLOOKUP($H$3,Tables!$A$5:$BC$8,55,FALSE))</f>
        <v>0</v>
      </c>
      <c r="K45" s="1021">
        <f>A45</f>
        <v>10.6</v>
      </c>
    </row>
    <row r="46" spans="1:11" ht="16.5" thickBot="1">
      <c r="A46" s="535"/>
      <c r="B46" s="78"/>
      <c r="C46" s="78"/>
      <c r="D46" s="78"/>
      <c r="E46" s="78"/>
      <c r="F46" s="200"/>
      <c r="G46" s="78"/>
      <c r="H46" s="901"/>
      <c r="I46" s="339"/>
      <c r="J46" s="974"/>
      <c r="K46" s="967"/>
    </row>
    <row r="47" spans="1:11" ht="16.5" thickBot="1">
      <c r="A47" s="535" t="s">
        <v>2902</v>
      </c>
      <c r="B47" s="27" t="s">
        <v>2897</v>
      </c>
      <c r="C47" s="78"/>
      <c r="D47" s="78"/>
      <c r="E47" s="78"/>
      <c r="F47" s="1915"/>
      <c r="G47" s="78"/>
      <c r="H47" s="901"/>
      <c r="I47" s="339"/>
      <c r="J47" s="975">
        <f>IF($H$3=0,0,VLOOKUP($H$3,Tables!$A$5:$BD$8,56,FALSE))</f>
        <v>0</v>
      </c>
      <c r="K47" s="1021" t="str">
        <f>A47</f>
        <v>10.6.1</v>
      </c>
    </row>
    <row r="48" spans="1:11" ht="16.5" thickBot="1">
      <c r="A48" s="535"/>
      <c r="B48" s="78"/>
      <c r="C48" s="78"/>
      <c r="D48" s="78"/>
      <c r="E48" s="78"/>
      <c r="F48" s="1915"/>
      <c r="G48" s="78"/>
      <c r="H48" s="901"/>
      <c r="I48" s="339"/>
      <c r="J48" s="974"/>
      <c r="K48" s="967"/>
    </row>
    <row r="49" spans="1:11" ht="16.5" thickBot="1">
      <c r="A49" s="535" t="s">
        <v>3144</v>
      </c>
      <c r="B49" s="27" t="s">
        <v>3149</v>
      </c>
      <c r="C49" s="78"/>
      <c r="D49" s="78"/>
      <c r="E49" s="78"/>
      <c r="F49" s="1915"/>
      <c r="G49" s="78"/>
      <c r="H49" s="901"/>
      <c r="I49" s="2211"/>
      <c r="J49" s="975">
        <f>ROUND(IF($H$3=0,0,VLOOKUP($H$3,Tables!$A$5:$BJ$8,62,FALSE)),0)</f>
        <v>0</v>
      </c>
      <c r="K49" s="1021" t="str">
        <f>A49</f>
        <v>10.6.2</v>
      </c>
    </row>
    <row r="50" spans="1:11" ht="16.5" thickBot="1">
      <c r="A50" s="535"/>
      <c r="B50" s="78"/>
      <c r="C50" s="78"/>
      <c r="D50" s="78"/>
      <c r="E50" s="78"/>
      <c r="F50" s="1915"/>
      <c r="G50" s="78"/>
      <c r="H50" s="901"/>
      <c r="I50" s="2211"/>
      <c r="J50" s="974"/>
      <c r="K50" s="967"/>
    </row>
    <row r="51" spans="1:11" ht="16.5" thickBot="1">
      <c r="A51" s="104">
        <v>10.7</v>
      </c>
      <c r="B51" s="27" t="s">
        <v>1745</v>
      </c>
      <c r="C51" s="27"/>
      <c r="D51" s="78"/>
      <c r="E51" s="78"/>
      <c r="F51" s="78"/>
      <c r="G51" s="78"/>
      <c r="H51" s="78"/>
      <c r="I51" s="78"/>
      <c r="J51" s="975">
        <f>J18+J28+J38+J43+J45+J47+J49</f>
        <v>0</v>
      </c>
      <c r="K51" s="1021">
        <f>A51</f>
        <v>10.7</v>
      </c>
    </row>
    <row r="52" spans="1:11" ht="15.75">
      <c r="A52" s="535"/>
      <c r="B52" s="78" t="s">
        <v>3145</v>
      </c>
      <c r="C52" s="78"/>
      <c r="D52" s="78"/>
      <c r="E52" s="78"/>
      <c r="F52" s="78"/>
      <c r="G52" s="78"/>
      <c r="H52" s="901"/>
      <c r="I52" s="78"/>
      <c r="J52" s="27"/>
      <c r="K52" s="967"/>
    </row>
    <row r="53" spans="1:11" ht="16.5" thickBot="1">
      <c r="A53" s="535"/>
      <c r="B53" s="78"/>
      <c r="C53" s="78"/>
      <c r="D53" s="78"/>
      <c r="E53" s="78"/>
      <c r="F53" s="78"/>
      <c r="G53" s="78"/>
      <c r="H53" s="901"/>
      <c r="I53" s="78"/>
      <c r="J53" s="27"/>
      <c r="K53" s="967"/>
    </row>
    <row r="54" spans="1:11" ht="16.5" thickBot="1">
      <c r="A54" s="104">
        <v>10.8</v>
      </c>
      <c r="B54" s="27" t="s">
        <v>2443</v>
      </c>
      <c r="C54" s="27"/>
      <c r="D54" s="78"/>
      <c r="E54" s="78"/>
      <c r="F54" s="78"/>
      <c r="G54" s="78"/>
      <c r="H54" s="78"/>
      <c r="I54" s="78"/>
      <c r="J54" s="975">
        <f>IF($H$3=0,0,VLOOKUP($H$3,Tables!$A$5:$BA$8,52,FALSE))</f>
        <v>0</v>
      </c>
      <c r="K54" s="1021">
        <f>A54</f>
        <v>10.8</v>
      </c>
    </row>
    <row r="55" spans="1:11" ht="15.75">
      <c r="A55" s="535"/>
      <c r="B55" s="27"/>
      <c r="C55" s="27"/>
      <c r="D55" s="78"/>
      <c r="E55" s="78"/>
      <c r="F55" s="78"/>
      <c r="G55" s="78"/>
      <c r="H55" s="78"/>
      <c r="I55" s="78"/>
      <c r="J55" s="2181"/>
      <c r="K55" s="967"/>
    </row>
    <row r="56" spans="1:11" ht="15">
      <c r="A56" s="78"/>
      <c r="B56" s="78"/>
      <c r="C56" s="78"/>
      <c r="D56" s="78"/>
      <c r="E56" s="78"/>
      <c r="F56" s="78"/>
      <c r="G56" s="78"/>
      <c r="H56" s="78"/>
      <c r="I56" s="78"/>
      <c r="J56" s="78"/>
      <c r="K56" s="401"/>
    </row>
    <row r="57" spans="1:11" ht="14.25" hidden="1">
      <c r="A57" s="792"/>
      <c r="B57" s="792"/>
      <c r="C57" s="792"/>
      <c r="D57" s="792"/>
      <c r="E57" s="792"/>
      <c r="F57" s="792"/>
      <c r="G57" s="792"/>
      <c r="H57" s="792"/>
      <c r="I57" s="792"/>
      <c r="J57" s="792"/>
      <c r="K57" s="940"/>
    </row>
    <row r="58" spans="1:11" ht="14.25" hidden="1">
      <c r="A58" s="792"/>
      <c r="B58" s="792"/>
      <c r="C58" s="792"/>
      <c r="D58" s="792"/>
      <c r="E58" s="792"/>
      <c r="F58" s="792"/>
      <c r="G58" s="792"/>
      <c r="H58" s="792"/>
      <c r="I58" s="792"/>
      <c r="J58" s="792"/>
      <c r="K58" s="940"/>
    </row>
    <row r="59" spans="1:11" ht="12.75" hidden="1" customHeight="1">
      <c r="A59" s="792"/>
      <c r="B59" s="792"/>
      <c r="C59" s="792"/>
      <c r="D59" s="792"/>
      <c r="E59" s="792"/>
      <c r="F59" s="792"/>
      <c r="G59" s="792"/>
      <c r="H59" s="792"/>
      <c r="I59" s="792"/>
      <c r="J59" s="792"/>
      <c r="K59" s="940"/>
    </row>
    <row r="60" spans="1:11" ht="12.75" hidden="1" customHeight="1">
      <c r="A60" s="792"/>
      <c r="B60" s="792"/>
      <c r="C60" s="792"/>
      <c r="D60" s="792"/>
      <c r="E60" s="792"/>
      <c r="F60" s="792"/>
      <c r="G60" s="792"/>
      <c r="H60" s="792"/>
      <c r="I60" s="792"/>
      <c r="J60" s="792"/>
      <c r="K60" s="940"/>
    </row>
    <row r="61" spans="1:11" ht="12.75" hidden="1" customHeight="1">
      <c r="A61" s="792"/>
      <c r="B61" s="792"/>
      <c r="C61" s="792"/>
      <c r="D61" s="792"/>
      <c r="E61" s="792"/>
      <c r="F61" s="792"/>
      <c r="G61" s="792"/>
      <c r="H61" s="792"/>
      <c r="I61" s="792"/>
      <c r="J61" s="792"/>
      <c r="K61" s="940"/>
    </row>
    <row r="62" spans="1:11" ht="12.75" hidden="1" customHeight="1">
      <c r="A62" s="792"/>
      <c r="B62" s="792"/>
      <c r="C62" s="792"/>
      <c r="D62" s="792"/>
      <c r="E62" s="792"/>
      <c r="F62" s="792"/>
      <c r="G62" s="792"/>
      <c r="H62" s="792"/>
      <c r="I62" s="792"/>
      <c r="J62" s="792"/>
      <c r="K62" s="940"/>
    </row>
    <row r="63" spans="1:11" ht="12.75" hidden="1" customHeight="1">
      <c r="A63" s="792"/>
      <c r="B63" s="792"/>
      <c r="C63" s="792"/>
      <c r="D63" s="792"/>
      <c r="E63" s="792"/>
      <c r="F63" s="792"/>
      <c r="G63" s="792"/>
      <c r="H63" s="792"/>
      <c r="I63" s="792"/>
      <c r="J63" s="792"/>
      <c r="K63" s="940"/>
    </row>
    <row r="64" spans="1:11" ht="12.75" hidden="1" customHeight="1">
      <c r="A64" s="792"/>
      <c r="B64" s="792"/>
      <c r="C64" s="792"/>
      <c r="D64" s="792"/>
      <c r="E64" s="792"/>
      <c r="F64" s="792"/>
      <c r="G64" s="792"/>
      <c r="H64" s="792"/>
      <c r="I64" s="792"/>
      <c r="J64" s="792"/>
      <c r="K64" s="940"/>
    </row>
    <row r="65" spans="1:11" ht="12.75" hidden="1" customHeight="1">
      <c r="A65" s="792"/>
      <c r="B65" s="792"/>
      <c r="C65" s="792"/>
      <c r="D65" s="792"/>
      <c r="E65" s="792"/>
      <c r="F65" s="792"/>
      <c r="G65" s="792"/>
      <c r="H65" s="792"/>
      <c r="I65" s="792"/>
      <c r="J65" s="792"/>
      <c r="K65" s="940"/>
    </row>
    <row r="66" spans="1:11" ht="12.75" hidden="1" customHeight="1">
      <c r="A66" s="792"/>
      <c r="B66" s="792"/>
      <c r="C66" s="792"/>
      <c r="D66" s="792"/>
      <c r="E66" s="792"/>
      <c r="F66" s="792"/>
      <c r="G66" s="792"/>
      <c r="H66" s="792"/>
      <c r="I66" s="792"/>
      <c r="J66" s="792"/>
      <c r="K66" s="940"/>
    </row>
    <row r="67" spans="1:11" ht="12.75" hidden="1" customHeight="1">
      <c r="A67" s="792"/>
      <c r="B67" s="792"/>
      <c r="C67" s="792"/>
      <c r="D67" s="792"/>
      <c r="E67" s="792"/>
      <c r="F67" s="792"/>
      <c r="G67" s="792"/>
      <c r="H67" s="792"/>
      <c r="I67" s="792"/>
      <c r="J67" s="792"/>
      <c r="K67" s="940"/>
    </row>
    <row r="68" spans="1:11" ht="12.75" hidden="1" customHeight="1">
      <c r="A68" s="792"/>
      <c r="B68" s="792"/>
      <c r="C68" s="792"/>
      <c r="D68" s="792"/>
      <c r="E68" s="792"/>
      <c r="F68" s="792"/>
      <c r="G68" s="792"/>
      <c r="H68" s="792"/>
      <c r="I68" s="792"/>
      <c r="J68" s="792"/>
      <c r="K68" s="940"/>
    </row>
    <row r="69" spans="1:11" ht="12.75" hidden="1" customHeight="1">
      <c r="A69" s="792"/>
      <c r="B69" s="792"/>
      <c r="C69" s="792"/>
      <c r="D69" s="792"/>
      <c r="E69" s="792"/>
      <c r="F69" s="792"/>
      <c r="G69" s="792"/>
      <c r="H69" s="792"/>
      <c r="I69" s="792"/>
      <c r="J69" s="792"/>
      <c r="K69" s="940"/>
    </row>
    <row r="70" spans="1:11" ht="12.75" hidden="1" customHeight="1">
      <c r="A70" s="792"/>
      <c r="B70" s="792"/>
      <c r="C70" s="792"/>
      <c r="D70" s="792"/>
      <c r="E70" s="792"/>
      <c r="F70" s="792"/>
      <c r="G70" s="792"/>
      <c r="H70" s="792"/>
      <c r="I70" s="792"/>
      <c r="J70" s="792"/>
      <c r="K70" s="940"/>
    </row>
    <row r="71" spans="1:11" ht="12.75" hidden="1" customHeight="1">
      <c r="A71" s="792"/>
      <c r="B71" s="792"/>
      <c r="C71" s="792"/>
      <c r="D71" s="792"/>
      <c r="E71" s="792"/>
      <c r="F71" s="792"/>
      <c r="G71" s="792"/>
      <c r="H71" s="792"/>
      <c r="I71" s="792"/>
      <c r="J71" s="792"/>
      <c r="K71" s="940"/>
    </row>
    <row r="72" spans="1:11" ht="12.75" hidden="1" customHeight="1">
      <c r="A72" s="792"/>
      <c r="B72" s="792"/>
      <c r="C72" s="792"/>
      <c r="D72" s="792"/>
      <c r="E72" s="792"/>
      <c r="F72" s="792"/>
      <c r="G72" s="792"/>
      <c r="H72" s="792"/>
      <c r="I72" s="792"/>
      <c r="J72" s="792"/>
      <c r="K72" s="940"/>
    </row>
    <row r="73" spans="1:11" ht="12.75" hidden="1" customHeight="1">
      <c r="A73" s="42"/>
      <c r="B73" s="42"/>
      <c r="C73" s="42"/>
      <c r="D73" s="42"/>
      <c r="E73" s="42"/>
      <c r="F73" s="42"/>
      <c r="G73" s="42"/>
      <c r="H73" s="42"/>
      <c r="I73" s="42"/>
      <c r="J73" s="42"/>
      <c r="K73" s="687"/>
    </row>
    <row r="74" spans="1:11" ht="12.75" hidden="1" customHeight="1">
      <c r="A74" s="42"/>
      <c r="B74" s="42"/>
      <c r="C74" s="42"/>
      <c r="D74" s="42"/>
      <c r="E74" s="42"/>
      <c r="F74" s="42"/>
      <c r="G74" s="42"/>
      <c r="H74" s="42"/>
      <c r="I74" s="42"/>
      <c r="J74" s="42"/>
      <c r="K74" s="687"/>
    </row>
    <row r="75" spans="1:11" ht="12.75" hidden="1" customHeight="1">
      <c r="A75" s="42"/>
      <c r="B75" s="42"/>
      <c r="C75" s="42"/>
      <c r="D75" s="42"/>
      <c r="E75" s="42"/>
      <c r="F75" s="42"/>
      <c r="G75" s="42"/>
      <c r="H75" s="42"/>
      <c r="I75" s="42"/>
      <c r="J75" s="42"/>
      <c r="K75" s="687"/>
    </row>
    <row r="76" spans="1:11" ht="12.75" hidden="1" customHeight="1">
      <c r="A76" s="42"/>
      <c r="B76" s="42"/>
      <c r="C76" s="42"/>
      <c r="D76" s="42"/>
      <c r="E76" s="42"/>
      <c r="F76" s="42"/>
      <c r="G76" s="42"/>
      <c r="H76" s="42"/>
      <c r="I76" s="42"/>
      <c r="J76" s="42"/>
      <c r="K76" s="687"/>
    </row>
    <row r="77" spans="1:11" ht="12.75" hidden="1" customHeight="1">
      <c r="A77" s="42"/>
      <c r="B77" s="42"/>
      <c r="C77" s="42"/>
      <c r="D77" s="42"/>
      <c r="E77" s="42"/>
      <c r="F77" s="42"/>
      <c r="G77" s="42"/>
      <c r="H77" s="42"/>
      <c r="I77" s="42"/>
      <c r="J77" s="42"/>
      <c r="K77" s="687"/>
    </row>
    <row r="78" spans="1:11" ht="12.75" hidden="1" customHeight="1">
      <c r="A78" s="42"/>
      <c r="B78" s="42"/>
      <c r="C78" s="42"/>
      <c r="D78" s="42"/>
      <c r="E78" s="42"/>
      <c r="F78" s="42"/>
      <c r="G78" s="42"/>
      <c r="H78" s="42"/>
      <c r="I78" s="42"/>
      <c r="J78" s="42"/>
      <c r="K78" s="687"/>
    </row>
    <row r="79" spans="1:11" ht="12.75" hidden="1" customHeight="1">
      <c r="A79" s="42"/>
      <c r="B79" s="42"/>
      <c r="C79" s="42"/>
      <c r="D79" s="42"/>
      <c r="E79" s="42"/>
      <c r="F79" s="42"/>
      <c r="G79" s="42"/>
      <c r="H79" s="42"/>
      <c r="I79" s="42"/>
      <c r="J79" s="42"/>
      <c r="K79" s="687"/>
    </row>
    <row r="80" spans="1:11" ht="12.75" hidden="1" customHeight="1">
      <c r="A80" s="42"/>
      <c r="B80" s="42"/>
      <c r="C80" s="42"/>
      <c r="D80" s="42"/>
      <c r="E80" s="42"/>
      <c r="F80" s="42"/>
      <c r="G80" s="42"/>
      <c r="H80" s="42"/>
      <c r="I80" s="42"/>
      <c r="J80" s="42"/>
      <c r="K80" s="687"/>
    </row>
    <row r="81" spans="1:11" ht="12.75" hidden="1" customHeight="1">
      <c r="A81" s="42"/>
      <c r="B81" s="42"/>
      <c r="C81" s="42"/>
      <c r="D81" s="42"/>
      <c r="E81" s="42"/>
      <c r="F81" s="42"/>
      <c r="G81" s="42"/>
      <c r="H81" s="42"/>
      <c r="I81" s="42"/>
      <c r="J81" s="42"/>
      <c r="K81" s="687"/>
    </row>
    <row r="82" spans="1:11" ht="12.75" hidden="1" customHeight="1">
      <c r="A82" s="42"/>
      <c r="B82" s="42"/>
      <c r="C82" s="42"/>
      <c r="D82" s="42"/>
      <c r="E82" s="42"/>
      <c r="F82" s="42"/>
      <c r="G82" s="42"/>
      <c r="H82" s="42"/>
      <c r="I82" s="42"/>
      <c r="J82" s="42"/>
      <c r="K82" s="687"/>
    </row>
    <row r="83" spans="1:11" ht="12.75" hidden="1" customHeight="1">
      <c r="A83" s="42"/>
      <c r="B83" s="42"/>
      <c r="C83" s="42"/>
      <c r="D83" s="42"/>
      <c r="E83" s="42"/>
      <c r="F83" s="42"/>
      <c r="G83" s="42"/>
      <c r="H83" s="42"/>
      <c r="I83" s="42"/>
      <c r="J83" s="42"/>
      <c r="K83" s="687"/>
    </row>
    <row r="84" spans="1:11" ht="12.75" hidden="1" customHeight="1">
      <c r="A84" s="42"/>
      <c r="B84" s="42"/>
      <c r="C84" s="42"/>
      <c r="D84" s="42"/>
      <c r="E84" s="42"/>
      <c r="F84" s="42"/>
      <c r="G84" s="42"/>
      <c r="H84" s="42"/>
      <c r="I84" s="42"/>
      <c r="J84" s="42"/>
      <c r="K84" s="687"/>
    </row>
    <row r="85" spans="1:11" ht="12.75" hidden="1" customHeight="1">
      <c r="A85" s="42"/>
      <c r="B85" s="42"/>
      <c r="C85" s="42"/>
      <c r="D85" s="42"/>
      <c r="E85" s="42"/>
      <c r="F85" s="42"/>
      <c r="G85" s="42"/>
      <c r="H85" s="42"/>
      <c r="I85" s="42"/>
      <c r="J85" s="42"/>
      <c r="K85" s="687"/>
    </row>
    <row r="86" spans="1:11" ht="12.75" hidden="1" customHeight="1">
      <c r="A86" s="42"/>
      <c r="B86" s="42"/>
      <c r="C86" s="42"/>
      <c r="D86" s="42"/>
      <c r="E86" s="42"/>
      <c r="F86" s="42"/>
      <c r="G86" s="42"/>
      <c r="H86" s="42"/>
      <c r="I86" s="42"/>
      <c r="J86" s="42"/>
      <c r="K86" s="687"/>
    </row>
    <row r="87" spans="1:11" ht="12.75" hidden="1" customHeight="1">
      <c r="A87" s="42"/>
      <c r="B87" s="42"/>
      <c r="C87" s="42"/>
      <c r="D87" s="42"/>
      <c r="E87" s="42"/>
      <c r="F87" s="42"/>
      <c r="G87" s="42"/>
      <c r="H87" s="42"/>
      <c r="I87" s="42"/>
      <c r="J87" s="42"/>
      <c r="K87" s="687"/>
    </row>
    <row r="88" spans="1:11" ht="12.75" hidden="1" customHeight="1">
      <c r="A88" s="42"/>
      <c r="B88" s="42"/>
      <c r="C88" s="42"/>
      <c r="D88" s="42"/>
      <c r="E88" s="42"/>
      <c r="F88" s="42"/>
      <c r="G88" s="42"/>
      <c r="H88" s="42"/>
      <c r="I88" s="42"/>
      <c r="J88" s="42"/>
      <c r="K88" s="687"/>
    </row>
    <row r="89" spans="1:11" ht="12.75" hidden="1" customHeight="1">
      <c r="A89" s="42"/>
      <c r="B89" s="42"/>
      <c r="C89" s="42"/>
      <c r="D89" s="42"/>
      <c r="E89" s="42"/>
      <c r="F89" s="42"/>
      <c r="G89" s="42"/>
      <c r="H89" s="42"/>
      <c r="I89" s="42"/>
      <c r="J89" s="42"/>
      <c r="K89" s="687"/>
    </row>
    <row r="90" spans="1:11" ht="12.75" hidden="1" customHeight="1">
      <c r="A90" s="42"/>
      <c r="B90" s="42"/>
      <c r="C90" s="42"/>
      <c r="D90" s="42"/>
      <c r="E90" s="42"/>
      <c r="F90" s="42"/>
      <c r="G90" s="42"/>
      <c r="H90" s="42"/>
      <c r="I90" s="42"/>
      <c r="J90" s="42"/>
      <c r="K90" s="687"/>
    </row>
    <row r="91" spans="1:11" ht="12.75" hidden="1" customHeight="1">
      <c r="A91" s="42"/>
      <c r="B91" s="42"/>
      <c r="C91" s="42"/>
      <c r="D91" s="42"/>
      <c r="E91" s="42"/>
      <c r="F91" s="42"/>
      <c r="G91" s="42"/>
      <c r="H91" s="42"/>
      <c r="I91" s="42"/>
      <c r="J91" s="42"/>
      <c r="K91" s="687"/>
    </row>
    <row r="92" spans="1:11" ht="12.75" hidden="1" customHeight="1">
      <c r="A92" s="42"/>
      <c r="B92" s="42"/>
      <c r="C92" s="42"/>
      <c r="D92" s="42"/>
      <c r="E92" s="42"/>
      <c r="F92" s="42"/>
      <c r="G92" s="42"/>
      <c r="H92" s="42"/>
      <c r="I92" s="42"/>
      <c r="J92" s="42"/>
      <c r="K92" s="687"/>
    </row>
    <row r="93" spans="1:11" ht="12.75" hidden="1" customHeight="1">
      <c r="A93" s="42"/>
      <c r="B93" s="42"/>
      <c r="C93" s="42"/>
      <c r="D93" s="42"/>
      <c r="E93" s="42"/>
      <c r="F93" s="42"/>
      <c r="G93" s="42"/>
      <c r="H93" s="42"/>
      <c r="I93" s="42"/>
      <c r="J93" s="42"/>
      <c r="K93" s="687"/>
    </row>
    <row r="94" spans="1:11" ht="12.75" hidden="1" customHeight="1">
      <c r="A94" s="42"/>
      <c r="B94" s="42"/>
      <c r="C94" s="42"/>
      <c r="D94" s="42"/>
      <c r="E94" s="42"/>
      <c r="F94" s="42"/>
      <c r="G94" s="42"/>
      <c r="H94" s="42"/>
      <c r="I94" s="42"/>
      <c r="J94" s="42"/>
      <c r="K94" s="687"/>
    </row>
    <row r="95" spans="1:11" ht="12.75" hidden="1" customHeight="1">
      <c r="A95" s="42"/>
      <c r="B95" s="42"/>
      <c r="C95" s="42"/>
      <c r="D95" s="42"/>
      <c r="E95" s="42"/>
      <c r="F95" s="42"/>
      <c r="G95" s="42"/>
      <c r="H95" s="42"/>
      <c r="I95" s="42"/>
      <c r="J95" s="42"/>
      <c r="K95" s="687"/>
    </row>
    <row r="96" spans="1:11" ht="12.75" hidden="1" customHeight="1">
      <c r="A96" s="42"/>
      <c r="B96" s="42"/>
      <c r="C96" s="42"/>
      <c r="D96" s="42"/>
      <c r="E96" s="42"/>
      <c r="F96" s="42"/>
      <c r="G96" s="42"/>
      <c r="H96" s="42"/>
      <c r="I96" s="42"/>
      <c r="J96" s="42"/>
      <c r="K96" s="687"/>
    </row>
    <row r="97" spans="1:11" ht="12.75" hidden="1" customHeight="1">
      <c r="A97" s="42"/>
      <c r="B97" s="42"/>
      <c r="C97" s="42"/>
      <c r="D97" s="42"/>
      <c r="E97" s="42"/>
      <c r="F97" s="42"/>
      <c r="G97" s="42"/>
      <c r="H97" s="42"/>
      <c r="I97" s="42"/>
      <c r="J97" s="42"/>
      <c r="K97" s="687"/>
    </row>
    <row r="98" spans="1:11" ht="12.75" hidden="1" customHeight="1">
      <c r="A98" s="42"/>
      <c r="B98" s="42"/>
      <c r="C98" s="42"/>
      <c r="D98" s="42"/>
      <c r="E98" s="42"/>
      <c r="F98" s="42"/>
      <c r="G98" s="42"/>
      <c r="H98" s="42"/>
      <c r="I98" s="42"/>
      <c r="J98" s="42"/>
      <c r="K98" s="687"/>
    </row>
    <row r="99" spans="1:11" ht="12.75" hidden="1" customHeight="1">
      <c r="A99" s="42"/>
      <c r="B99" s="42"/>
      <c r="C99" s="42"/>
      <c r="D99" s="42"/>
      <c r="E99" s="42"/>
      <c r="F99" s="42"/>
      <c r="G99" s="42"/>
      <c r="H99" s="42"/>
      <c r="I99" s="42"/>
      <c r="J99" s="42"/>
      <c r="K99" s="687"/>
    </row>
    <row r="100" spans="1:11" ht="12.75" hidden="1" customHeight="1">
      <c r="A100" s="42"/>
      <c r="B100" s="42"/>
      <c r="C100" s="42"/>
      <c r="D100" s="42"/>
      <c r="E100" s="42"/>
      <c r="F100" s="42"/>
      <c r="G100" s="42"/>
      <c r="H100" s="42"/>
      <c r="I100" s="42"/>
      <c r="J100" s="42"/>
      <c r="K100" s="687"/>
    </row>
    <row r="101" spans="1:11" ht="12.75" hidden="1" customHeight="1">
      <c r="A101" s="42"/>
      <c r="B101" s="42"/>
      <c r="C101" s="42"/>
      <c r="D101" s="42"/>
      <c r="E101" s="42"/>
      <c r="F101" s="42"/>
      <c r="G101" s="42"/>
      <c r="H101" s="42"/>
      <c r="I101" s="42"/>
      <c r="J101" s="42"/>
      <c r="K101" s="687"/>
    </row>
    <row r="102" spans="1:11" ht="12.75" hidden="1" customHeight="1"/>
    <row r="103" spans="1:11" ht="12.75" hidden="1" customHeight="1"/>
    <row r="104" spans="1:11" ht="12.75" hidden="1" customHeight="1"/>
    <row r="105" spans="1:11" ht="12.75" hidden="1" customHeight="1"/>
    <row r="106" spans="1:11" ht="12.75" hidden="1" customHeight="1"/>
    <row r="107" spans="1:11" ht="12.75" hidden="1" customHeight="1"/>
    <row r="108" spans="1:11" ht="12.75" hidden="1" customHeight="1"/>
    <row r="109" spans="1:11" ht="12.75" hidden="1" customHeight="1"/>
    <row r="110" spans="1:11" ht="12.75" hidden="1" customHeight="1"/>
    <row r="111" spans="1:11" ht="12.75" hidden="1" customHeight="1"/>
    <row r="112" spans="1:11"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sheetData>
  <sheetProtection password="C7B7" sheet="1" objects="1" scenarios="1"/>
  <phoneticPr fontId="13" type="noConversion"/>
  <hyperlinks>
    <hyperlink ref="B1" location="Allocation_for_board_trustees__honoraria_and_expenses_and_for_pupil_representation" display="Allocation for board trustees' honoraria and expenses and for pupil representation:"/>
    <hyperlink ref="D1" location="Governance_allocation" display="Governance allocation"/>
    <hyperlink ref="E1" location="Allocation_for_Supervisory_Officers" display="Allocation for Supervisory Officers:"/>
    <hyperlink ref="F1" location="AllocationForSupervisoryOfficers2" display="Allocation for Supervisory Officers  2"/>
    <hyperlink ref="H1" location="Total_allocation_for_administration_and_governance" display="Total allocation for administration and governance"/>
    <hyperlink ref="G1" location="Parent_engagement_amount" display="Parent engagement amount"/>
    <hyperlink ref="I1" location="Trustees__Association_Fee" display="Trustees' Association Fee"/>
  </hyperlinks>
  <printOptions horizontalCentered="1"/>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448"/>
  <sheetViews>
    <sheetView topLeftCell="A49" zoomScaleNormal="100" workbookViewId="0">
      <selection activeCell="B51" sqref="B51"/>
    </sheetView>
  </sheetViews>
  <sheetFormatPr defaultColWidth="0" defaultRowHeight="12.75" customHeight="1" zeroHeight="1"/>
  <cols>
    <col min="1" max="1" width="12.7109375" style="976" customWidth="1"/>
    <col min="2" max="2" width="4.7109375" style="976" customWidth="1"/>
    <col min="3" max="3" width="9.140625" style="976" customWidth="1"/>
    <col min="4" max="4" width="66.28515625" style="976" customWidth="1"/>
    <col min="5" max="5" width="5.5703125" style="976" customWidth="1"/>
    <col min="6" max="6" width="8.140625" style="976" customWidth="1"/>
    <col min="7" max="7" width="16" style="976" customWidth="1"/>
    <col min="8" max="8" width="9.28515625" style="976" customWidth="1"/>
    <col min="9" max="9" width="15.7109375" style="976" customWidth="1"/>
    <col min="10" max="10" width="14" style="976" customWidth="1"/>
    <col min="11" max="16384" width="0" style="976" hidden="1"/>
  </cols>
  <sheetData>
    <row r="1" spans="1:10" ht="4.5" customHeight="1" thickBot="1">
      <c r="A1" s="2162" t="s">
        <v>2824</v>
      </c>
      <c r="B1" s="2137" t="s">
        <v>1289</v>
      </c>
      <c r="C1" s="2137" t="s">
        <v>1000</v>
      </c>
      <c r="D1" s="2137" t="s">
        <v>1078</v>
      </c>
      <c r="E1" s="2137" t="s">
        <v>72</v>
      </c>
      <c r="F1" s="2137" t="s">
        <v>1642</v>
      </c>
      <c r="G1" s="2137" t="s">
        <v>1658</v>
      </c>
      <c r="H1" s="78"/>
      <c r="I1" s="78"/>
      <c r="J1" s="814"/>
    </row>
    <row r="2" spans="1:10" ht="16.5" thickBot="1">
      <c r="A2" s="977" t="s">
        <v>621</v>
      </c>
      <c r="B2" s="78"/>
      <c r="C2" s="78"/>
      <c r="D2" s="78"/>
      <c r="E2" s="78"/>
      <c r="F2" s="941" t="s">
        <v>163</v>
      </c>
      <c r="G2" s="78"/>
      <c r="H2" s="978" t="str">
        <f>+'1 Summary'!G2</f>
        <v/>
      </c>
      <c r="I2" s="979"/>
      <c r="J2" s="947"/>
    </row>
    <row r="3" spans="1:10" ht="16.5" thickBot="1">
      <c r="A3" s="977" t="s">
        <v>1788</v>
      </c>
      <c r="B3" s="78"/>
      <c r="C3" s="78"/>
      <c r="D3" s="78"/>
      <c r="E3" s="78"/>
      <c r="F3" s="941" t="s">
        <v>162</v>
      </c>
      <c r="G3" s="78"/>
      <c r="H3" s="980">
        <f>+'1 Summary'!G3</f>
        <v>0</v>
      </c>
      <c r="I3" s="947"/>
      <c r="J3" s="814"/>
    </row>
    <row r="4" spans="1:10" ht="15">
      <c r="A4" s="981"/>
      <c r="B4" s="78"/>
      <c r="C4" s="78"/>
      <c r="D4" s="78"/>
      <c r="E4" s="78"/>
      <c r="F4" s="941"/>
      <c r="G4" s="982"/>
      <c r="H4" s="982"/>
      <c r="I4" s="401"/>
      <c r="J4" s="814"/>
    </row>
    <row r="5" spans="1:10" ht="15">
      <c r="A5" s="981"/>
      <c r="B5" s="78"/>
      <c r="C5" s="78"/>
      <c r="D5" s="78"/>
      <c r="E5" s="78"/>
      <c r="F5" s="941"/>
      <c r="G5" s="982"/>
      <c r="H5" s="982"/>
      <c r="I5" s="983"/>
      <c r="J5" s="814"/>
    </row>
    <row r="6" spans="1:10" ht="15.75">
      <c r="A6" s="984" t="s">
        <v>1789</v>
      </c>
      <c r="B6" s="27" t="s">
        <v>1975</v>
      </c>
      <c r="C6" s="78"/>
      <c r="D6" s="78"/>
      <c r="E6" s="78"/>
      <c r="F6" s="78"/>
      <c r="G6" s="78"/>
      <c r="H6" s="78"/>
      <c r="I6" s="401"/>
      <c r="J6" s="814"/>
    </row>
    <row r="7" spans="1:10" ht="15.75">
      <c r="A7" s="984"/>
      <c r="B7" s="78"/>
      <c r="C7" s="78"/>
      <c r="D7" s="78"/>
      <c r="E7" s="78"/>
      <c r="F7" s="78"/>
      <c r="G7" s="78"/>
      <c r="H7" s="78"/>
      <c r="I7" s="401"/>
      <c r="J7" s="814"/>
    </row>
    <row r="8" spans="1:10" ht="15.75">
      <c r="A8" s="985"/>
      <c r="B8" s="27" t="s">
        <v>1976</v>
      </c>
      <c r="C8" s="901"/>
      <c r="D8" s="901"/>
      <c r="E8" s="901"/>
      <c r="F8" s="901"/>
      <c r="G8" s="901" t="s">
        <v>416</v>
      </c>
      <c r="H8" s="78"/>
      <c r="I8" s="401"/>
      <c r="J8" s="814"/>
    </row>
    <row r="9" spans="1:10" ht="15">
      <c r="A9" s="985"/>
      <c r="B9" s="78"/>
      <c r="C9" s="901"/>
      <c r="D9" s="901"/>
      <c r="E9" s="901"/>
      <c r="F9" s="78"/>
      <c r="G9" s="78"/>
      <c r="H9" s="78"/>
      <c r="I9" s="401"/>
      <c r="J9" s="814"/>
    </row>
    <row r="10" spans="1:10" ht="15.75">
      <c r="A10" s="986">
        <v>11.1</v>
      </c>
      <c r="B10" s="78" t="s">
        <v>2977</v>
      </c>
      <c r="C10" s="901"/>
      <c r="D10" s="901"/>
      <c r="E10" s="901"/>
      <c r="F10" s="901"/>
      <c r="G10" s="632"/>
      <c r="H10" s="314">
        <v>919</v>
      </c>
      <c r="I10" s="987">
        <f>IF($H$3=15148,0,IF($H$3=0,0,VLOOKUP($H$3,Tables!$A$5:$Z$8,16,FALSE)))</f>
        <v>0</v>
      </c>
      <c r="J10" s="988">
        <v>11.1</v>
      </c>
    </row>
    <row r="11" spans="1:10" ht="15.75">
      <c r="A11" s="986"/>
      <c r="B11" s="989"/>
      <c r="C11" s="78"/>
      <c r="D11" s="78"/>
      <c r="E11" s="78"/>
      <c r="F11" s="78"/>
      <c r="G11" s="901"/>
      <c r="H11" s="990"/>
      <c r="I11" s="991"/>
      <c r="J11" s="988"/>
    </row>
    <row r="12" spans="1:10" ht="15.75">
      <c r="A12" s="986">
        <v>11.2</v>
      </c>
      <c r="B12" s="78" t="str">
        <f>"Elementary allocation for school operations (Line 11.1 x $"&amp;G12&amp;")"</f>
        <v>Elementary allocation for school operations (Line 11.1 x $83.93)</v>
      </c>
      <c r="C12" s="78"/>
      <c r="D12" s="78"/>
      <c r="E12" s="78"/>
      <c r="F12" s="78"/>
      <c r="G12" s="972">
        <f>'GSN Benchmarks'!B311</f>
        <v>83.93</v>
      </c>
      <c r="H12" s="78"/>
      <c r="I12" s="992">
        <f>ROUND(IF(I10=0,0,I10*G12),0)</f>
        <v>0</v>
      </c>
      <c r="J12" s="988">
        <f>A12</f>
        <v>11.2</v>
      </c>
    </row>
    <row r="13" spans="1:10" ht="15.75">
      <c r="A13" s="986"/>
      <c r="B13" s="901"/>
      <c r="C13" s="78"/>
      <c r="D13" s="78"/>
      <c r="E13" s="78"/>
      <c r="F13" s="78"/>
      <c r="G13" s="78"/>
      <c r="H13" s="901"/>
      <c r="I13" s="968"/>
      <c r="J13" s="988"/>
    </row>
    <row r="14" spans="1:10" ht="15.75">
      <c r="A14" s="986"/>
      <c r="B14" s="27" t="s">
        <v>947</v>
      </c>
      <c r="C14" s="78"/>
      <c r="D14" s="78"/>
      <c r="E14" s="78"/>
      <c r="F14" s="78"/>
      <c r="G14" s="78"/>
      <c r="H14" s="901"/>
      <c r="I14" s="968"/>
      <c r="J14" s="988"/>
    </row>
    <row r="15" spans="1:10" ht="15.75">
      <c r="A15" s="986"/>
      <c r="B15" s="78"/>
      <c r="C15" s="78"/>
      <c r="D15" s="78"/>
      <c r="E15" s="78"/>
      <c r="F15" s="78"/>
      <c r="G15" s="78"/>
      <c r="H15" s="901"/>
      <c r="I15" s="968"/>
      <c r="J15" s="988"/>
    </row>
    <row r="16" spans="1:10" ht="15.75">
      <c r="A16" s="986">
        <v>11.3</v>
      </c>
      <c r="B16" s="78" t="s">
        <v>2978</v>
      </c>
      <c r="C16" s="78"/>
      <c r="D16" s="78"/>
      <c r="E16" s="78"/>
      <c r="F16" s="78"/>
      <c r="G16" s="78"/>
      <c r="H16" s="314">
        <v>923</v>
      </c>
      <c r="I16" s="960">
        <f>IF(H3=15148,IF($H$3=0,0,VLOOKUP($H$3,Tables!$A$5:$Z$8,16,FALSE)),0)</f>
        <v>0</v>
      </c>
      <c r="J16" s="988">
        <v>11.3</v>
      </c>
    </row>
    <row r="17" spans="1:10" ht="15.75">
      <c r="A17" s="986"/>
      <c r="B17" s="993"/>
      <c r="C17" s="78"/>
      <c r="D17" s="78"/>
      <c r="E17" s="78"/>
      <c r="F17" s="78"/>
      <c r="G17" s="901"/>
      <c r="H17" s="78"/>
      <c r="I17" s="991"/>
      <c r="J17" s="988"/>
    </row>
    <row r="18" spans="1:10" ht="15.75">
      <c r="A18" s="986">
        <v>11.4</v>
      </c>
      <c r="B18" s="78" t="str">
        <f>"Secondary allocation for school operations (Line 11.3 x $"&amp;G18&amp;")"</f>
        <v>Secondary allocation for school operations (Line 11.3 x $83.93)</v>
      </c>
      <c r="C18" s="78"/>
      <c r="D18" s="78"/>
      <c r="E18" s="78"/>
      <c r="F18" s="78"/>
      <c r="G18" s="972">
        <f>'GSN Benchmarks'!B312</f>
        <v>83.93</v>
      </c>
      <c r="H18" s="78"/>
      <c r="I18" s="992">
        <f>ROUND(IF(I16=0,0,I16*G18),0)</f>
        <v>0</v>
      </c>
      <c r="J18" s="988">
        <f>A18</f>
        <v>11.4</v>
      </c>
    </row>
    <row r="19" spans="1:10" ht="6.95" customHeight="1">
      <c r="A19" s="986"/>
      <c r="B19" s="78"/>
      <c r="C19" s="78"/>
      <c r="D19" s="78"/>
      <c r="E19" s="78"/>
      <c r="F19" s="78"/>
      <c r="G19" s="78"/>
      <c r="H19" s="78"/>
      <c r="I19" s="994"/>
      <c r="J19" s="988"/>
    </row>
    <row r="20" spans="1:10" ht="6.95" customHeight="1">
      <c r="A20" s="986"/>
      <c r="B20" s="27"/>
      <c r="C20" s="78"/>
      <c r="D20" s="78"/>
      <c r="E20" s="78"/>
      <c r="F20" s="78"/>
      <c r="G20" s="78"/>
      <c r="H20" s="78"/>
      <c r="I20" s="994"/>
      <c r="J20" s="988"/>
    </row>
    <row r="21" spans="1:10" ht="6.95" customHeight="1">
      <c r="A21" s="986"/>
      <c r="B21" s="27"/>
      <c r="C21" s="78"/>
      <c r="D21" s="78"/>
      <c r="E21" s="78"/>
      <c r="F21" s="78"/>
      <c r="G21" s="78"/>
      <c r="H21" s="78"/>
      <c r="I21" s="994"/>
      <c r="J21" s="988"/>
    </row>
    <row r="22" spans="1:10" ht="15.75">
      <c r="A22" s="986"/>
      <c r="B22" s="27" t="s">
        <v>1078</v>
      </c>
      <c r="C22" s="78"/>
      <c r="D22" s="78"/>
      <c r="E22" s="78"/>
      <c r="F22" s="78"/>
      <c r="G22" s="78"/>
      <c r="H22" s="78"/>
      <c r="I22" s="994"/>
      <c r="J22" s="988"/>
    </row>
    <row r="23" spans="1:10" ht="15.75">
      <c r="A23" s="986"/>
      <c r="B23" s="27"/>
      <c r="C23" s="78"/>
      <c r="D23" s="78"/>
      <c r="E23" s="78"/>
      <c r="F23" s="78"/>
      <c r="G23" s="78"/>
      <c r="H23" s="78"/>
      <c r="I23" s="994"/>
      <c r="J23" s="988"/>
    </row>
    <row r="24" spans="1:10" ht="15.75">
      <c r="A24" s="986">
        <v>11.5</v>
      </c>
      <c r="B24" s="78" t="s">
        <v>183</v>
      </c>
      <c r="C24" s="78"/>
      <c r="D24" s="78"/>
      <c r="E24" s="78"/>
      <c r="F24" s="78"/>
      <c r="G24" s="78"/>
      <c r="H24" s="78"/>
      <c r="I24" s="995">
        <f>'Sch 12 ConEd Summer'!E32+'Sch 12 ConEd Summer'!E33</f>
        <v>0</v>
      </c>
      <c r="J24" s="988">
        <f>A24</f>
        <v>11.5</v>
      </c>
    </row>
    <row r="25" spans="1:10" ht="15.75">
      <c r="A25" s="986"/>
      <c r="B25" s="78"/>
      <c r="C25" s="78"/>
      <c r="D25" s="78"/>
      <c r="E25" s="78"/>
      <c r="F25" s="78"/>
      <c r="G25" s="78"/>
      <c r="H25" s="78"/>
      <c r="I25" s="78"/>
      <c r="J25" s="988"/>
    </row>
    <row r="26" spans="1:10" ht="15.75">
      <c r="A26" s="986">
        <v>11.6</v>
      </c>
      <c r="B26" s="78" t="s">
        <v>184</v>
      </c>
      <c r="C26" s="78"/>
      <c r="D26" s="78"/>
      <c r="E26" s="78"/>
      <c r="F26" s="78"/>
      <c r="G26" s="901"/>
      <c r="H26" s="78"/>
      <c r="I26" s="996"/>
      <c r="J26" s="988"/>
    </row>
    <row r="27" spans="1:10" ht="15.75">
      <c r="A27" s="986"/>
      <c r="B27" s="399" t="str">
        <f>"(Line 11.5 X 9.29 square metres X $"&amp;G27&amp;")"</f>
        <v>(Line 11.5 X 9.29 square metres X $83.93)</v>
      </c>
      <c r="C27" s="78"/>
      <c r="D27" s="78"/>
      <c r="E27" s="78"/>
      <c r="F27" s="78"/>
      <c r="G27" s="972">
        <f>G12</f>
        <v>83.93</v>
      </c>
      <c r="H27" s="78"/>
      <c r="I27" s="997">
        <f>ROUND(I24*9.29*G27,0)</f>
        <v>0</v>
      </c>
      <c r="J27" s="988">
        <f>A26</f>
        <v>11.6</v>
      </c>
    </row>
    <row r="28" spans="1:10" ht="15.75">
      <c r="A28" s="986"/>
      <c r="B28" s="399"/>
      <c r="C28" s="78"/>
      <c r="D28" s="78"/>
      <c r="E28" s="78"/>
      <c r="F28" s="78"/>
      <c r="G28" s="972"/>
      <c r="H28" s="78"/>
      <c r="I28" s="998"/>
      <c r="J28" s="988"/>
    </row>
    <row r="29" spans="1:10" ht="12.75" customHeight="1">
      <c r="A29" s="986"/>
      <c r="B29" s="78"/>
      <c r="C29" s="78"/>
      <c r="D29" s="78"/>
      <c r="E29" s="78"/>
      <c r="F29" s="78"/>
      <c r="G29" s="78"/>
      <c r="H29" s="78"/>
      <c r="I29" s="994"/>
      <c r="J29" s="988"/>
    </row>
    <row r="30" spans="1:10" ht="15.75">
      <c r="A30" s="986">
        <v>11.8</v>
      </c>
      <c r="B30" s="27" t="s">
        <v>71</v>
      </c>
      <c r="C30" s="27"/>
      <c r="D30" s="986"/>
      <c r="E30" s="27"/>
      <c r="F30" s="27"/>
      <c r="G30" s="27"/>
      <c r="H30" s="999"/>
      <c r="I30" s="1397">
        <f>+I12+I18+I27</f>
        <v>0</v>
      </c>
      <c r="J30" s="988">
        <f>A30</f>
        <v>11.8</v>
      </c>
    </row>
    <row r="31" spans="1:10" ht="15.75">
      <c r="A31" s="986"/>
      <c r="B31" s="1247" t="s">
        <v>2381</v>
      </c>
      <c r="C31" s="27"/>
      <c r="D31" s="986"/>
      <c r="E31" s="27"/>
      <c r="F31" s="27"/>
      <c r="G31" s="27"/>
      <c r="H31" s="339"/>
      <c r="I31" s="1398"/>
      <c r="J31" s="988"/>
    </row>
    <row r="32" spans="1:10" ht="15.75">
      <c r="A32" s="986"/>
      <c r="B32" s="399"/>
      <c r="C32" s="78"/>
      <c r="D32" s="986"/>
      <c r="E32" s="78"/>
      <c r="F32" s="78"/>
      <c r="G32" s="78"/>
      <c r="H32" s="339"/>
      <c r="I32" s="1001"/>
      <c r="J32" s="988"/>
    </row>
    <row r="33" spans="1:10" ht="15.75">
      <c r="A33" s="986"/>
      <c r="B33" s="78"/>
      <c r="C33" s="78"/>
      <c r="D33" s="986"/>
      <c r="E33" s="78"/>
      <c r="F33" s="78"/>
      <c r="G33" s="78"/>
      <c r="H33" s="339"/>
      <c r="I33" s="1001"/>
      <c r="J33" s="988"/>
    </row>
    <row r="34" spans="1:10" ht="15.75">
      <c r="A34" s="984" t="s">
        <v>1440</v>
      </c>
      <c r="B34" s="27" t="s">
        <v>72</v>
      </c>
      <c r="C34" s="78"/>
      <c r="D34" s="986"/>
      <c r="E34" s="78"/>
      <c r="F34" s="78"/>
      <c r="G34" s="78"/>
      <c r="H34" s="339"/>
      <c r="I34" s="1001"/>
      <c r="J34" s="988"/>
    </row>
    <row r="35" spans="1:10" ht="12.75" customHeight="1">
      <c r="A35" s="986"/>
      <c r="B35" s="78"/>
      <c r="C35" s="78"/>
      <c r="D35" s="986"/>
      <c r="E35" s="78"/>
      <c r="F35" s="78"/>
      <c r="G35" s="78"/>
      <c r="H35" s="339"/>
      <c r="I35" s="1002"/>
      <c r="J35" s="988"/>
    </row>
    <row r="36" spans="1:10" ht="12.75" customHeight="1">
      <c r="A36" s="1003" t="s">
        <v>213</v>
      </c>
      <c r="B36" s="78" t="s">
        <v>1995</v>
      </c>
      <c r="C36" s="78"/>
      <c r="D36" s="78"/>
      <c r="E36" s="78"/>
      <c r="F36" s="78"/>
      <c r="G36" s="78"/>
      <c r="H36" s="78"/>
      <c r="I36" s="954">
        <f>IF('1 Summary'!$G$3="",0,1)</f>
        <v>0</v>
      </c>
      <c r="J36" s="988" t="str">
        <f>A36</f>
        <v>11.9</v>
      </c>
    </row>
    <row r="37" spans="1:10" ht="12.75" customHeight="1">
      <c r="A37" s="986"/>
      <c r="B37" s="78"/>
      <c r="C37" s="78"/>
      <c r="D37" s="78"/>
      <c r="E37" s="78"/>
      <c r="F37" s="78"/>
      <c r="G37" s="78"/>
      <c r="H37" s="78"/>
      <c r="I37" s="968"/>
      <c r="J37" s="988"/>
    </row>
    <row r="38" spans="1:10" ht="12.75" customHeight="1">
      <c r="A38" s="986" t="s">
        <v>214</v>
      </c>
      <c r="B38" s="78" t="s">
        <v>414</v>
      </c>
      <c r="C38" s="78"/>
      <c r="D38" s="78"/>
      <c r="E38" s="78"/>
      <c r="F38" s="78"/>
      <c r="G38" s="78"/>
      <c r="H38" s="78"/>
      <c r="I38" s="1004">
        <f>IF(H3=15148,0,'Sch 13 Enrolment'!V70)</f>
        <v>0</v>
      </c>
      <c r="J38" s="988" t="str">
        <f>A38</f>
        <v>11.10.1</v>
      </c>
    </row>
    <row r="39" spans="1:10" ht="12.75" customHeight="1">
      <c r="A39" s="986"/>
      <c r="B39" s="78"/>
      <c r="C39" s="78"/>
      <c r="D39" s="78"/>
      <c r="E39" s="78"/>
      <c r="F39" s="78"/>
      <c r="G39" s="78"/>
      <c r="H39" s="78"/>
      <c r="I39" s="968"/>
      <c r="J39" s="988" t="s">
        <v>789</v>
      </c>
    </row>
    <row r="40" spans="1:10" ht="12.75" customHeight="1">
      <c r="A40" s="986" t="s">
        <v>215</v>
      </c>
      <c r="B40" s="78" t="s">
        <v>415</v>
      </c>
      <c r="C40" s="78"/>
      <c r="D40" s="78"/>
      <c r="E40" s="78"/>
      <c r="F40" s="78"/>
      <c r="G40" s="78"/>
      <c r="H40" s="78"/>
      <c r="I40" s="1004">
        <f>IF(H3=15148,'Sch 13 Enrolment'!V70,0)</f>
        <v>0</v>
      </c>
      <c r="J40" s="988" t="str">
        <f>A40</f>
        <v>11.10.2</v>
      </c>
    </row>
    <row r="41" spans="1:10" ht="15.75">
      <c r="A41" s="986"/>
      <c r="B41" s="78"/>
      <c r="C41" s="1006"/>
      <c r="D41" s="1006"/>
      <c r="E41" s="78"/>
      <c r="F41" s="1005" t="s">
        <v>1187</v>
      </c>
      <c r="G41" s="1005" t="s">
        <v>851</v>
      </c>
      <c r="H41" s="78"/>
      <c r="I41" s="1009"/>
      <c r="J41" s="988"/>
    </row>
    <row r="42" spans="1:10" ht="15.75">
      <c r="A42" s="986" t="s">
        <v>1111</v>
      </c>
      <c r="B42" s="78" t="s">
        <v>2676</v>
      </c>
      <c r="C42" s="1006"/>
      <c r="D42" s="1006"/>
      <c r="E42" s="78"/>
      <c r="F42" s="901">
        <f>'GSN Benchmarks'!B322</f>
        <v>7.59</v>
      </c>
      <c r="G42" s="1007">
        <f>'GSN Benchmarks'!B308</f>
        <v>9.6999999999999993</v>
      </c>
      <c r="H42" s="314">
        <v>929</v>
      </c>
      <c r="I42" s="1008">
        <f>ROUND(IF(I38=0,0,I38*F42*G42),0)</f>
        <v>0</v>
      </c>
      <c r="J42" s="988" t="str">
        <f>A42</f>
        <v>11.11.1</v>
      </c>
    </row>
    <row r="43" spans="1:10" ht="15.75">
      <c r="A43" s="986"/>
      <c r="B43" s="78"/>
      <c r="C43" s="1006"/>
      <c r="D43" s="1006"/>
      <c r="E43" s="78"/>
      <c r="F43" s="901"/>
      <c r="G43" s="901"/>
      <c r="H43" s="901"/>
      <c r="I43" s="968"/>
      <c r="J43" s="988"/>
    </row>
    <row r="44" spans="1:10" ht="15.75">
      <c r="A44" s="986" t="s">
        <v>1112</v>
      </c>
      <c r="B44" s="78" t="s">
        <v>2677</v>
      </c>
      <c r="C44" s="1006"/>
      <c r="D44" s="1006"/>
      <c r="E44" s="78"/>
      <c r="F44" s="901">
        <f>'GSN Benchmarks'!B324</f>
        <v>11.38</v>
      </c>
      <c r="G44" s="1007">
        <f>'GSN Benchmarks'!B309</f>
        <v>12.07</v>
      </c>
      <c r="H44" s="314">
        <v>932</v>
      </c>
      <c r="I44" s="1008">
        <f>ROUND(IF(I40=0,0,I40*F44*G44),0)</f>
        <v>0</v>
      </c>
      <c r="J44" s="988" t="str">
        <f>A44</f>
        <v>11.11.2</v>
      </c>
    </row>
    <row r="45" spans="1:10" ht="15.75">
      <c r="A45" s="986"/>
      <c r="B45" s="78"/>
      <c r="C45" s="78"/>
      <c r="D45" s="78"/>
      <c r="E45" s="78"/>
      <c r="F45" s="78"/>
      <c r="G45" s="1007"/>
      <c r="H45" s="78"/>
      <c r="I45" s="1010"/>
      <c r="J45" s="988"/>
    </row>
    <row r="46" spans="1:10" ht="15.75">
      <c r="A46" s="1011" t="s">
        <v>216</v>
      </c>
      <c r="B46" s="78" t="s">
        <v>1657</v>
      </c>
      <c r="C46" s="78"/>
      <c r="D46" s="78"/>
      <c r="E46" s="78"/>
      <c r="F46" s="78"/>
      <c r="G46" s="78"/>
      <c r="H46" s="314">
        <v>933</v>
      </c>
      <c r="I46" s="1008">
        <f>IF(I36=0,0,'GSN Benchmarks'!D326)</f>
        <v>0</v>
      </c>
      <c r="J46" s="988" t="str">
        <f>A46</f>
        <v>11.12</v>
      </c>
    </row>
    <row r="47" spans="1:10" ht="15.75">
      <c r="A47" s="986"/>
      <c r="B47" s="78"/>
      <c r="C47" s="78"/>
      <c r="D47" s="78"/>
      <c r="E47" s="78"/>
      <c r="F47" s="78"/>
      <c r="G47" s="78"/>
      <c r="H47" s="1012"/>
      <c r="I47" s="1009"/>
      <c r="J47" s="988"/>
    </row>
    <row r="48" spans="1:10" ht="15.75">
      <c r="A48" s="986">
        <v>11.13</v>
      </c>
      <c r="B48" s="78" t="s">
        <v>1649</v>
      </c>
      <c r="C48" s="78"/>
      <c r="D48" s="78"/>
      <c r="E48" s="78"/>
      <c r="F48" s="901">
        <f>+F44</f>
        <v>11.38</v>
      </c>
      <c r="G48" s="1007">
        <f>'GSN Benchmarks'!B308</f>
        <v>9.6999999999999993</v>
      </c>
      <c r="H48" s="339"/>
      <c r="I48" s="1008">
        <f>ROUND(I24*F48*G48,0)</f>
        <v>0</v>
      </c>
      <c r="J48" s="988">
        <f>A48</f>
        <v>11.13</v>
      </c>
    </row>
    <row r="49" spans="1:10" ht="15.75">
      <c r="A49" s="986"/>
      <c r="B49" s="78" t="s">
        <v>2678</v>
      </c>
      <c r="C49" s="78"/>
      <c r="D49" s="78"/>
      <c r="E49" s="78"/>
      <c r="F49" s="78"/>
      <c r="G49" s="78"/>
      <c r="H49" s="339"/>
      <c r="I49" s="1009"/>
      <c r="J49" s="988" t="s">
        <v>789</v>
      </c>
    </row>
    <row r="50" spans="1:10" ht="6.95" customHeight="1">
      <c r="A50" s="986"/>
      <c r="B50" s="78"/>
      <c r="C50" s="78"/>
      <c r="D50" s="78"/>
      <c r="E50" s="78"/>
      <c r="F50" s="78"/>
      <c r="G50" s="78"/>
      <c r="H50" s="339"/>
      <c r="I50" s="1009"/>
      <c r="J50" s="988" t="s">
        <v>789</v>
      </c>
    </row>
    <row r="51" spans="1:10" ht="16.5" customHeight="1">
      <c r="A51" s="986" t="s">
        <v>3199</v>
      </c>
      <c r="B51" s="78" t="s">
        <v>3201</v>
      </c>
      <c r="C51" s="78"/>
      <c r="D51" s="78"/>
      <c r="E51" s="78"/>
      <c r="F51" s="78"/>
      <c r="G51" s="78"/>
      <c r="H51" s="2392"/>
      <c r="I51" s="1008">
        <f>ROUND(IF($H$3=0,0,VLOOKUP($H$3,Tables!$A$5:$BP$8,67,FALSE)),0)</f>
        <v>0</v>
      </c>
      <c r="J51" s="988" t="str">
        <f t="shared" ref="J51:J53" si="0">A51</f>
        <v>11.13.1</v>
      </c>
    </row>
    <row r="52" spans="1:10" ht="16.5" customHeight="1">
      <c r="A52" s="986"/>
      <c r="B52" s="78"/>
      <c r="C52" s="78"/>
      <c r="D52" s="78"/>
      <c r="E52" s="78"/>
      <c r="F52" s="78"/>
      <c r="G52" s="78"/>
      <c r="H52" s="2392"/>
      <c r="I52" s="1009"/>
      <c r="J52" s="988" t="s">
        <v>789</v>
      </c>
    </row>
    <row r="53" spans="1:10" ht="16.5" customHeight="1">
      <c r="A53" s="986" t="s">
        <v>3200</v>
      </c>
      <c r="B53" s="78" t="s">
        <v>3202</v>
      </c>
      <c r="C53" s="78"/>
      <c r="D53" s="78"/>
      <c r="E53" s="78"/>
      <c r="F53" s="78"/>
      <c r="G53" s="78"/>
      <c r="H53" s="2392"/>
      <c r="I53" s="1008">
        <f>ROUND(IF($H$3=0,0,VLOOKUP($H$3,Tables!$A$5:$BP$8,68,FALSE)),0)</f>
        <v>0</v>
      </c>
      <c r="J53" s="988" t="str">
        <f t="shared" si="0"/>
        <v>11.13.2</v>
      </c>
    </row>
    <row r="54" spans="1:10" ht="16.5" customHeight="1">
      <c r="A54" s="986"/>
      <c r="B54" s="78"/>
      <c r="C54" s="78"/>
      <c r="D54" s="78"/>
      <c r="E54" s="78"/>
      <c r="F54" s="78"/>
      <c r="G54" s="78"/>
      <c r="H54" s="2392"/>
      <c r="I54" s="1009"/>
      <c r="J54" s="988" t="s">
        <v>789</v>
      </c>
    </row>
    <row r="55" spans="1:10" ht="6.95" customHeight="1">
      <c r="A55" s="986"/>
      <c r="B55" s="27"/>
      <c r="C55" s="78"/>
      <c r="D55" s="78"/>
      <c r="E55" s="78"/>
      <c r="F55" s="78"/>
      <c r="G55" s="78"/>
      <c r="H55" s="78"/>
      <c r="I55" s="1013"/>
      <c r="J55" s="988"/>
    </row>
    <row r="56" spans="1:10" ht="15.75">
      <c r="A56" s="986">
        <v>11.14</v>
      </c>
      <c r="B56" s="27" t="s">
        <v>564</v>
      </c>
      <c r="C56" s="27"/>
      <c r="D56" s="27"/>
      <c r="E56" s="27"/>
      <c r="F56" s="27"/>
      <c r="G56" s="27"/>
      <c r="H56" s="339"/>
      <c r="I56" s="1396">
        <f>I42+I44+I46+I48+I51+I53</f>
        <v>0</v>
      </c>
      <c r="J56" s="988">
        <f>A56</f>
        <v>11.14</v>
      </c>
    </row>
    <row r="57" spans="1:10" ht="15.75">
      <c r="A57" s="986"/>
      <c r="B57" s="1247" t="s">
        <v>3205</v>
      </c>
      <c r="C57" s="27"/>
      <c r="D57" s="27"/>
      <c r="E57" s="27"/>
      <c r="F57" s="27"/>
      <c r="G57" s="27"/>
      <c r="H57" s="339"/>
      <c r="I57" s="27"/>
      <c r="J57" s="988"/>
    </row>
    <row r="58" spans="1:10" ht="15.75">
      <c r="A58" s="986"/>
      <c r="B58" s="78"/>
      <c r="C58" s="78"/>
      <c r="D58" s="78"/>
      <c r="E58" s="78"/>
      <c r="F58" s="78"/>
      <c r="G58" s="78"/>
      <c r="H58" s="339"/>
      <c r="I58" s="78"/>
      <c r="J58" s="988"/>
    </row>
    <row r="59" spans="1:10" ht="29.25" customHeight="1">
      <c r="A59" s="984" t="s">
        <v>1439</v>
      </c>
      <c r="B59" s="27" t="s">
        <v>1642</v>
      </c>
      <c r="C59" s="78"/>
      <c r="D59" s="78"/>
      <c r="E59" s="78"/>
      <c r="F59" s="78"/>
      <c r="G59" s="78"/>
      <c r="H59" s="200"/>
      <c r="I59" s="994"/>
      <c r="J59" s="988"/>
    </row>
    <row r="60" spans="1:10" ht="15.75">
      <c r="A60" s="986">
        <v>11.15</v>
      </c>
      <c r="B60" s="78" t="s">
        <v>760</v>
      </c>
      <c r="C60" s="78"/>
      <c r="D60" s="78"/>
      <c r="E60" s="78"/>
      <c r="F60" s="314" t="s">
        <v>940</v>
      </c>
      <c r="G60" s="1014"/>
      <c r="H60" s="200"/>
      <c r="I60" s="994"/>
      <c r="J60" s="988"/>
    </row>
    <row r="61" spans="1:10" ht="15.75">
      <c r="A61" s="986">
        <v>11.16</v>
      </c>
      <c r="B61" s="78" t="s">
        <v>800</v>
      </c>
      <c r="C61" s="78"/>
      <c r="D61" s="78"/>
      <c r="E61" s="78"/>
      <c r="F61" s="314" t="s">
        <v>941</v>
      </c>
      <c r="G61" s="1014"/>
      <c r="H61" s="200"/>
      <c r="I61" s="994"/>
      <c r="J61" s="988"/>
    </row>
    <row r="62" spans="1:10" ht="15.75">
      <c r="A62" s="986">
        <v>11.17</v>
      </c>
      <c r="B62" s="78" t="s">
        <v>1613</v>
      </c>
      <c r="C62" s="78"/>
      <c r="D62" s="78"/>
      <c r="E62" s="78"/>
      <c r="F62" s="78"/>
      <c r="G62" s="78"/>
      <c r="H62" s="200"/>
      <c r="I62" s="1000">
        <f>ROUND(+G60+G61,0)</f>
        <v>0</v>
      </c>
      <c r="J62" s="1015">
        <f>A62</f>
        <v>11.17</v>
      </c>
    </row>
    <row r="63" spans="1:10" ht="9" customHeight="1">
      <c r="A63" s="986"/>
      <c r="B63" s="78"/>
      <c r="C63" s="78"/>
      <c r="D63" s="78"/>
      <c r="E63" s="78"/>
      <c r="F63" s="78"/>
      <c r="G63" s="78"/>
      <c r="H63" s="339"/>
      <c r="I63" s="78"/>
      <c r="J63" s="988"/>
    </row>
    <row r="64" spans="1:10" ht="9" customHeight="1">
      <c r="A64" s="986"/>
      <c r="B64" s="78"/>
      <c r="C64" s="78"/>
      <c r="D64" s="78"/>
      <c r="E64" s="78"/>
      <c r="F64" s="78"/>
      <c r="G64" s="78"/>
      <c r="H64" s="339"/>
      <c r="I64" s="78"/>
      <c r="J64" s="988"/>
    </row>
    <row r="65" spans="1:10" ht="15" customHeight="1">
      <c r="A65" s="986" t="s">
        <v>1658</v>
      </c>
      <c r="B65" s="78"/>
      <c r="C65" s="78"/>
      <c r="D65" s="78"/>
      <c r="E65" s="78"/>
      <c r="F65" s="78"/>
      <c r="G65" s="78"/>
      <c r="H65" s="339"/>
      <c r="I65" s="78"/>
      <c r="J65" s="988"/>
    </row>
    <row r="66" spans="1:10" ht="12.75" hidden="1" customHeight="1">
      <c r="A66" s="814"/>
      <c r="B66" s="78"/>
      <c r="C66" s="78"/>
      <c r="D66" s="78"/>
      <c r="E66" s="78"/>
      <c r="F66" s="78"/>
      <c r="G66" s="78"/>
      <c r="H66" s="78"/>
      <c r="I66" s="78"/>
      <c r="J66" s="814"/>
    </row>
    <row r="67" spans="1:10" ht="12.75" hidden="1" customHeight="1"/>
    <row r="68" spans="1:10" ht="12.75" hidden="1" customHeight="1"/>
    <row r="69" spans="1:10" ht="12.75" hidden="1" customHeight="1"/>
    <row r="70" spans="1:10" ht="12.75" hidden="1" customHeight="1"/>
    <row r="71" spans="1:10" ht="12.75" hidden="1" customHeight="1"/>
    <row r="72" spans="1:10" ht="12.75" hidden="1" customHeight="1"/>
    <row r="73" spans="1:10" ht="12.75" hidden="1" customHeight="1"/>
    <row r="74" spans="1:10" ht="12.75" hidden="1" customHeight="1"/>
    <row r="75" spans="1:10" ht="12.75" hidden="1" customHeight="1"/>
    <row r="76" spans="1:10" ht="12.75" hidden="1" customHeight="1"/>
    <row r="77" spans="1:10" ht="12.75" hidden="1" customHeight="1"/>
    <row r="78" spans="1:10" ht="12.75" hidden="1" customHeight="1"/>
    <row r="79" spans="1:10" ht="12.75" hidden="1" customHeight="1"/>
    <row r="80" spans="1:1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sheetData>
  <sheetProtection password="C7B7" sheet="1" objects="1" scenarios="1"/>
  <protectedRanges>
    <protectedRange sqref="G60:G61" name="Range1"/>
  </protectedRanges>
  <phoneticPr fontId="13" type="noConversion"/>
  <hyperlinks>
    <hyperlink ref="B1" location="Elementary" display="Elementary"/>
    <hyperlink ref="C1" location="Secondary" display="Secondary"/>
    <hyperlink ref="D1" location="Literacy_and_numeracy_component_of_school_operations" display="Literacy and numeracy component of school operations"/>
    <hyperlink ref="E1" location="ALLOCATION_FOR_SCHOOL_RENEWAL" display="ALLOCATION FOR SCHOOL RENEWAL"/>
    <hyperlink ref="F1" location="Contract_Leases" display="Contract Leases"/>
    <hyperlink ref="G1" location="Note___Conversion_Factor___1_Sq_Ft___0.092903_Sq_M" display="Note:  Conversion Factor - 1 Sq Ft = 0.092903 Sq M"/>
  </hyperlinks>
  <printOptions horizontalCentered="1"/>
  <pageMargins left="0" right="0" top="1" bottom="1" header="0.5" footer="0.5"/>
  <pageSetup scale="65" orientation="portrait" r:id="rId1"/>
  <headerFooter alignWithMargins="0">
    <oddFooter>&amp;L&amp;D,&amp;" ,Regular" &amp;T
&amp;CPage &amp;P of &amp;N&amp;R2015/16 School Authority Estimates
&amp;A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I155"/>
  <sheetViews>
    <sheetView showGridLines="0" topLeftCell="A4" zoomScaleNormal="100" workbookViewId="0">
      <selection activeCell="H11" sqref="H11"/>
    </sheetView>
  </sheetViews>
  <sheetFormatPr defaultColWidth="0" defaultRowHeight="15" zeroHeight="1"/>
  <cols>
    <col min="1" max="1" width="12.28515625" style="976" customWidth="1"/>
    <col min="2" max="2" width="78.140625" style="976" hidden="1" customWidth="1"/>
    <col min="3" max="3" width="60" style="976" customWidth="1"/>
    <col min="4" max="8" width="12.7109375" style="976" customWidth="1"/>
    <col min="9" max="9" width="9.140625" style="976" customWidth="1"/>
    <col min="10" max="16384" width="0" style="976" hidden="1"/>
  </cols>
  <sheetData>
    <row r="1" spans="1:9" ht="12.75" customHeight="1" thickBot="1">
      <c r="A1" s="2159" t="s">
        <v>2825</v>
      </c>
      <c r="B1" s="78"/>
      <c r="C1" s="78"/>
      <c r="D1" s="78"/>
      <c r="E1" s="78"/>
      <c r="F1" s="78"/>
      <c r="G1" s="78"/>
      <c r="H1" s="78"/>
      <c r="I1" s="78"/>
    </row>
    <row r="2" spans="1:9" ht="15.75" thickBot="1">
      <c r="A2" s="78"/>
      <c r="B2" s="78"/>
      <c r="C2" s="78"/>
      <c r="D2" s="78"/>
      <c r="E2" s="1214" t="s">
        <v>163</v>
      </c>
      <c r="F2" s="958"/>
      <c r="G2" s="936" t="str">
        <f>'1 Summary'!G2</f>
        <v/>
      </c>
      <c r="H2" s="1215"/>
      <c r="I2" s="1216"/>
    </row>
    <row r="3" spans="1:9" ht="18.75" thickBot="1">
      <c r="A3" s="6" t="s">
        <v>621</v>
      </c>
      <c r="B3" s="104"/>
      <c r="C3" s="78"/>
      <c r="D3" s="78"/>
      <c r="E3" s="1214" t="s">
        <v>162</v>
      </c>
      <c r="F3" s="958"/>
      <c r="G3" s="851">
        <f>'1 Summary'!G3</f>
        <v>0</v>
      </c>
      <c r="H3" s="1217"/>
      <c r="I3" s="1218"/>
    </row>
    <row r="4" spans="1:9" ht="15.75">
      <c r="A4" s="104"/>
      <c r="B4" s="104"/>
      <c r="C4" s="78"/>
      <c r="D4" s="958"/>
      <c r="E4" s="958"/>
      <c r="F4" s="958"/>
      <c r="G4" s="958"/>
      <c r="H4" s="958"/>
      <c r="I4" s="958"/>
    </row>
    <row r="5" spans="1:9" ht="15.75">
      <c r="A5" s="27" t="s">
        <v>2033</v>
      </c>
      <c r="B5" s="27"/>
      <c r="C5" s="27"/>
      <c r="D5" s="219"/>
      <c r="E5" s="219"/>
      <c r="F5" s="219"/>
      <c r="G5" s="219"/>
      <c r="H5" s="958"/>
      <c r="I5" s="958"/>
    </row>
    <row r="6" spans="1:9" ht="15.75">
      <c r="A6" s="27"/>
      <c r="B6" s="27" t="s">
        <v>1446</v>
      </c>
      <c r="C6" s="27"/>
      <c r="D6" s="219"/>
      <c r="E6" s="219"/>
      <c r="F6" s="219"/>
      <c r="G6" s="219"/>
      <c r="H6" s="219"/>
      <c r="I6" s="219"/>
    </row>
    <row r="7" spans="1:9" ht="15.75">
      <c r="A7" s="27"/>
      <c r="B7" s="27"/>
      <c r="C7" s="27"/>
      <c r="D7" s="219"/>
      <c r="E7" s="219"/>
      <c r="F7" s="219"/>
      <c r="G7" s="219"/>
      <c r="H7" s="219"/>
      <c r="I7" s="219"/>
    </row>
    <row r="8" spans="1:9" ht="15.75">
      <c r="A8" s="27"/>
      <c r="B8" s="27"/>
      <c r="C8" s="27"/>
      <c r="D8" s="2084"/>
      <c r="E8" s="1219"/>
      <c r="F8" s="2084"/>
      <c r="G8" s="219"/>
      <c r="H8" s="2084"/>
      <c r="I8" s="219"/>
    </row>
    <row r="9" spans="1:9" ht="15.75">
      <c r="A9" s="27"/>
      <c r="B9" s="27"/>
      <c r="C9" s="27"/>
      <c r="D9" s="2084"/>
      <c r="E9" s="1219"/>
      <c r="F9" s="2084"/>
      <c r="G9" s="219"/>
      <c r="H9" s="2084"/>
      <c r="I9" s="219"/>
    </row>
    <row r="10" spans="1:9" ht="15.75">
      <c r="A10" s="27"/>
      <c r="B10" s="27"/>
      <c r="C10" s="27"/>
      <c r="D10" s="219"/>
      <c r="E10" s="219"/>
      <c r="F10" s="219"/>
      <c r="G10" s="219"/>
      <c r="H10" s="1053"/>
      <c r="I10" s="1053"/>
    </row>
    <row r="11" spans="1:9" ht="15.75">
      <c r="A11" s="104" t="s">
        <v>2143</v>
      </c>
      <c r="B11" s="27" t="s">
        <v>2463</v>
      </c>
      <c r="C11" s="78" t="s">
        <v>1081</v>
      </c>
      <c r="D11" s="1226"/>
      <c r="E11" s="1222"/>
      <c r="F11" s="219"/>
      <c r="G11" s="958"/>
      <c r="H11" s="1000">
        <f>IF($G$3=0,0,VLOOKUP($G$3,Tables!$A$5:$Z$8,20,FALSE))</f>
        <v>0</v>
      </c>
      <c r="I11" s="223"/>
    </row>
    <row r="12" spans="1:9" ht="15.75">
      <c r="A12" s="1164"/>
      <c r="B12" s="27"/>
      <c r="C12" s="78" t="s">
        <v>2979</v>
      </c>
      <c r="D12" s="27"/>
      <c r="E12" s="27"/>
      <c r="F12" s="219"/>
      <c r="G12" s="27"/>
      <c r="H12" s="1220"/>
      <c r="I12" s="27"/>
    </row>
    <row r="13" spans="1:9" ht="15.75">
      <c r="A13" s="104"/>
      <c r="B13" s="27"/>
      <c r="C13" s="400"/>
      <c r="D13" s="1222"/>
      <c r="E13" s="1222"/>
      <c r="F13" s="1222"/>
      <c r="G13" s="219"/>
      <c r="H13" s="27"/>
      <c r="I13" s="1020"/>
    </row>
    <row r="14" spans="1:9" ht="15.75">
      <c r="A14" s="104"/>
      <c r="B14" s="1229"/>
      <c r="C14" s="400"/>
      <c r="D14" s="958"/>
      <c r="E14" s="958"/>
      <c r="F14" s="219"/>
      <c r="G14" s="219"/>
      <c r="H14" s="219"/>
      <c r="I14" s="219"/>
    </row>
    <row r="15" spans="1:9" ht="15.75">
      <c r="A15" s="104"/>
      <c r="B15" s="1229"/>
      <c r="C15" s="400"/>
      <c r="D15" s="958"/>
      <c r="E15" s="958"/>
      <c r="F15" s="219"/>
      <c r="G15" s="219"/>
      <c r="H15" s="1230"/>
      <c r="I15" s="219"/>
    </row>
    <row r="16" spans="1:9" ht="15.75">
      <c r="A16" s="104" t="s">
        <v>2144</v>
      </c>
      <c r="B16" s="1229"/>
      <c r="C16" s="27" t="s">
        <v>2142</v>
      </c>
      <c r="D16" s="1242"/>
      <c r="E16" s="958"/>
      <c r="F16" s="1242"/>
      <c r="G16" s="219"/>
      <c r="H16" s="1232">
        <f>H11</f>
        <v>0</v>
      </c>
      <c r="I16" s="1020" t="str">
        <f>+A16</f>
        <v>11.85.5</v>
      </c>
    </row>
    <row r="17" spans="1:9" ht="15.75">
      <c r="A17" s="1231"/>
      <c r="B17" s="1229"/>
      <c r="C17" s="400"/>
      <c r="D17" s="78"/>
      <c r="E17" s="958"/>
      <c r="F17" s="78"/>
      <c r="G17" s="219"/>
      <c r="H17" s="1230"/>
      <c r="I17" s="219"/>
    </row>
    <row r="18" spans="1:9" ht="15.75">
      <c r="A18" s="1231"/>
      <c r="B18" s="1229"/>
      <c r="C18" s="400"/>
      <c r="D18" s="78"/>
      <c r="E18" s="958"/>
      <c r="F18" s="78"/>
      <c r="G18" s="219"/>
      <c r="H18" s="1230"/>
      <c r="I18" s="219"/>
    </row>
    <row r="19" spans="1:9" ht="15.75">
      <c r="A19" s="1231"/>
      <c r="B19" s="1229"/>
      <c r="C19" s="400"/>
      <c r="D19" s="78"/>
      <c r="E19" s="958"/>
      <c r="F19" s="78"/>
      <c r="G19" s="219"/>
      <c r="H19" s="1230"/>
      <c r="I19" s="219"/>
    </row>
    <row r="20" spans="1:9" ht="15.75">
      <c r="A20" s="1231"/>
      <c r="B20" s="1229"/>
      <c r="C20" s="400"/>
      <c r="D20" s="78"/>
      <c r="E20" s="958"/>
      <c r="F20" s="78"/>
      <c r="G20" s="219"/>
      <c r="H20" s="1230"/>
      <c r="I20" s="219"/>
    </row>
    <row r="21" spans="1:9" ht="15.75">
      <c r="A21" s="1231"/>
      <c r="B21" s="1229"/>
      <c r="C21" s="400"/>
      <c r="D21" s="78"/>
      <c r="E21" s="958"/>
      <c r="F21" s="78"/>
      <c r="G21" s="219"/>
      <c r="H21" s="1230"/>
      <c r="I21" s="219"/>
    </row>
    <row r="22" spans="1:9" ht="15.75">
      <c r="A22" s="1231"/>
      <c r="B22" s="1229"/>
      <c r="C22" s="219"/>
      <c r="D22" s="78"/>
      <c r="E22" s="1242"/>
      <c r="F22" s="78"/>
      <c r="G22" s="219"/>
      <c r="H22" s="1243"/>
      <c r="I22" s="1241"/>
    </row>
    <row r="23" spans="1:9" hidden="1">
      <c r="A23" s="79"/>
      <c r="B23" s="79"/>
      <c r="C23" s="79"/>
      <c r="D23" s="79"/>
      <c r="E23" s="79"/>
      <c r="F23" s="79"/>
      <c r="G23" s="79"/>
      <c r="H23" s="79"/>
      <c r="I23" s="79"/>
    </row>
    <row r="24" spans="1:9" hidden="1">
      <c r="A24" s="79"/>
      <c r="B24" s="79"/>
      <c r="C24" s="79"/>
      <c r="D24" s="79"/>
      <c r="E24" s="79"/>
      <c r="F24" s="79"/>
      <c r="G24" s="79" t="s">
        <v>1448</v>
      </c>
      <c r="H24" s="79"/>
      <c r="I24" s="79"/>
    </row>
    <row r="25" spans="1:9" hidden="1">
      <c r="A25" s="79"/>
      <c r="B25" s="79"/>
      <c r="C25" s="79"/>
      <c r="D25" s="79"/>
      <c r="E25" s="79"/>
      <c r="F25" s="79"/>
      <c r="G25" s="79" t="s">
        <v>1447</v>
      </c>
      <c r="H25" s="79"/>
      <c r="I25" s="79"/>
    </row>
    <row r="26" spans="1:9" hidden="1">
      <c r="A26" s="79"/>
      <c r="B26" s="79"/>
      <c r="C26" s="79"/>
      <c r="D26" s="79"/>
      <c r="E26" s="79"/>
      <c r="F26" s="79"/>
      <c r="G26" s="79"/>
      <c r="H26" s="79"/>
      <c r="I26" s="79"/>
    </row>
    <row r="27" spans="1:9" hidden="1">
      <c r="A27" s="79"/>
      <c r="B27" s="79"/>
      <c r="C27" s="79"/>
      <c r="D27" s="79"/>
      <c r="E27" s="79"/>
      <c r="F27" s="79"/>
      <c r="G27" s="79"/>
      <c r="H27" s="79"/>
      <c r="I27" s="79"/>
    </row>
    <row r="28" spans="1:9" hidden="1">
      <c r="A28" s="79"/>
      <c r="B28" s="79"/>
      <c r="C28" s="79"/>
      <c r="D28" s="79"/>
      <c r="E28" s="79"/>
      <c r="F28" s="79"/>
      <c r="G28" s="79"/>
      <c r="H28" s="79"/>
      <c r="I28" s="79"/>
    </row>
    <row r="29" spans="1:9" hidden="1">
      <c r="A29" s="79"/>
      <c r="B29" s="79"/>
      <c r="C29" s="79"/>
      <c r="D29" s="79"/>
      <c r="E29" s="79"/>
      <c r="F29" s="79"/>
      <c r="G29" s="79"/>
      <c r="H29" s="79"/>
      <c r="I29" s="79"/>
    </row>
    <row r="30" spans="1:9" hidden="1">
      <c r="A30" s="79"/>
      <c r="B30" s="79"/>
      <c r="C30" s="79"/>
      <c r="D30" s="79"/>
      <c r="E30" s="79"/>
      <c r="F30" s="79"/>
      <c r="G30" s="79"/>
      <c r="H30" s="79"/>
      <c r="I30" s="79"/>
    </row>
    <row r="31" spans="1:9" hidden="1">
      <c r="A31" s="79"/>
      <c r="B31" s="79"/>
      <c r="C31" s="79"/>
      <c r="D31" s="79"/>
      <c r="E31" s="79"/>
      <c r="F31" s="79"/>
      <c r="G31" s="79"/>
      <c r="H31" s="79"/>
      <c r="I31" s="79"/>
    </row>
    <row r="32" spans="1:9" hidden="1">
      <c r="A32" s="79"/>
      <c r="B32" s="79"/>
      <c r="C32" s="79"/>
      <c r="D32" s="79"/>
      <c r="E32" s="79"/>
      <c r="F32" s="79"/>
      <c r="G32" s="79"/>
      <c r="H32" s="79"/>
      <c r="I32" s="79"/>
    </row>
    <row r="33" spans="1:9" hidden="1">
      <c r="A33" s="79"/>
      <c r="B33" s="79"/>
      <c r="C33" s="79"/>
      <c r="D33" s="79"/>
      <c r="E33" s="79"/>
      <c r="F33" s="79"/>
      <c r="G33" s="79"/>
      <c r="H33" s="79"/>
      <c r="I33" s="79"/>
    </row>
    <row r="34" spans="1:9" hidden="1">
      <c r="A34" s="79"/>
      <c r="B34" s="79"/>
      <c r="C34" s="79"/>
      <c r="D34" s="79"/>
      <c r="E34" s="79"/>
      <c r="F34" s="79"/>
      <c r="G34" s="79"/>
      <c r="H34" s="79"/>
      <c r="I34" s="79"/>
    </row>
    <row r="35" spans="1:9" hidden="1">
      <c r="A35" s="79"/>
      <c r="B35" s="79"/>
      <c r="C35" s="79"/>
      <c r="D35" s="79"/>
      <c r="E35" s="79"/>
      <c r="F35" s="79"/>
      <c r="G35" s="79"/>
      <c r="H35" s="79"/>
      <c r="I35" s="79"/>
    </row>
    <row r="36" spans="1:9" hidden="1">
      <c r="A36" s="79"/>
      <c r="B36" s="79"/>
      <c r="C36" s="79"/>
      <c r="D36" s="79"/>
      <c r="E36" s="79"/>
      <c r="F36" s="79"/>
      <c r="G36" s="79"/>
      <c r="H36" s="79"/>
      <c r="I36" s="79"/>
    </row>
    <row r="37" spans="1:9" hidden="1">
      <c r="A37" s="79"/>
      <c r="B37" s="79"/>
      <c r="C37" s="79"/>
      <c r="D37" s="79"/>
      <c r="E37" s="79"/>
      <c r="F37" s="79"/>
      <c r="G37" s="79"/>
      <c r="H37" s="79"/>
      <c r="I37" s="79"/>
    </row>
    <row r="38" spans="1:9" hidden="1">
      <c r="A38" s="79"/>
      <c r="B38" s="79"/>
      <c r="C38" s="79"/>
      <c r="D38" s="79"/>
      <c r="E38" s="79"/>
      <c r="F38" s="79"/>
      <c r="G38" s="79"/>
      <c r="H38" s="79"/>
      <c r="I38" s="79"/>
    </row>
    <row r="39" spans="1:9" hidden="1">
      <c r="A39" s="79"/>
      <c r="B39" s="79"/>
      <c r="C39" s="79"/>
      <c r="D39" s="79"/>
      <c r="E39" s="79"/>
      <c r="F39" s="79"/>
      <c r="G39" s="79"/>
      <c r="H39" s="79"/>
      <c r="I39" s="79"/>
    </row>
    <row r="40" spans="1:9" hidden="1">
      <c r="A40" s="79"/>
      <c r="B40" s="79"/>
      <c r="C40" s="79"/>
      <c r="D40" s="79"/>
      <c r="E40" s="79"/>
      <c r="F40" s="79"/>
      <c r="G40" s="79"/>
      <c r="H40" s="79"/>
      <c r="I40" s="79"/>
    </row>
    <row r="41" spans="1:9" hidden="1">
      <c r="A41" s="79"/>
      <c r="B41" s="79"/>
      <c r="C41" s="79"/>
      <c r="D41" s="79"/>
      <c r="E41" s="79"/>
      <c r="F41" s="79"/>
      <c r="G41" s="79"/>
      <c r="H41" s="79"/>
      <c r="I41" s="79"/>
    </row>
    <row r="42" spans="1:9" hidden="1">
      <c r="A42" s="79"/>
      <c r="B42" s="79"/>
      <c r="C42" s="79"/>
      <c r="D42" s="79"/>
      <c r="E42" s="79"/>
      <c r="F42" s="79"/>
      <c r="G42" s="79"/>
      <c r="H42" s="79"/>
      <c r="I42" s="79"/>
    </row>
    <row r="43" spans="1:9" hidden="1">
      <c r="A43" s="79"/>
      <c r="B43" s="79"/>
      <c r="C43" s="79"/>
      <c r="D43" s="79"/>
      <c r="E43" s="79"/>
      <c r="F43" s="79"/>
      <c r="G43" s="79"/>
      <c r="H43" s="79"/>
      <c r="I43" s="79"/>
    </row>
    <row r="44" spans="1:9" hidden="1">
      <c r="A44" s="79"/>
      <c r="B44" s="79"/>
      <c r="C44" s="79"/>
      <c r="D44" s="79"/>
      <c r="E44" s="79"/>
      <c r="F44" s="79"/>
      <c r="G44" s="79"/>
      <c r="H44" s="79"/>
      <c r="I44" s="79"/>
    </row>
    <row r="45" spans="1:9" hidden="1">
      <c r="A45" s="79"/>
      <c r="B45" s="79"/>
      <c r="C45" s="79"/>
      <c r="D45" s="79"/>
      <c r="E45" s="79"/>
      <c r="F45" s="79"/>
      <c r="G45" s="79"/>
      <c r="H45" s="79"/>
      <c r="I45" s="79"/>
    </row>
    <row r="46" spans="1:9" hidden="1">
      <c r="A46" s="79"/>
      <c r="B46" s="79"/>
      <c r="C46" s="79"/>
      <c r="D46" s="79"/>
      <c r="E46" s="79"/>
      <c r="F46" s="79"/>
      <c r="G46" s="79"/>
      <c r="H46" s="79"/>
      <c r="I46" s="79"/>
    </row>
    <row r="47" spans="1:9" hidden="1">
      <c r="A47" s="79"/>
      <c r="B47" s="79"/>
      <c r="C47" s="79"/>
      <c r="D47" s="79"/>
      <c r="E47" s="79"/>
      <c r="F47" s="79"/>
      <c r="G47" s="79"/>
      <c r="H47" s="79"/>
      <c r="I47" s="79"/>
    </row>
    <row r="48" spans="1:9" hidden="1">
      <c r="A48" s="79"/>
      <c r="B48" s="79"/>
      <c r="C48" s="79"/>
      <c r="D48" s="79"/>
      <c r="E48" s="79"/>
      <c r="F48" s="79"/>
      <c r="G48" s="79"/>
      <c r="H48" s="79"/>
      <c r="I48" s="79"/>
    </row>
    <row r="49" spans="1:9" hidden="1">
      <c r="A49" s="79"/>
      <c r="B49" s="79"/>
      <c r="C49" s="79"/>
      <c r="D49" s="79"/>
      <c r="E49" s="79"/>
      <c r="F49" s="79"/>
      <c r="G49" s="79"/>
      <c r="H49" s="79"/>
      <c r="I49" s="79"/>
    </row>
    <row r="50" spans="1:9" hidden="1">
      <c r="A50" s="79"/>
      <c r="B50" s="79"/>
      <c r="C50" s="79"/>
      <c r="D50" s="79"/>
      <c r="E50" s="79"/>
      <c r="F50" s="79"/>
      <c r="G50" s="79"/>
      <c r="H50" s="79"/>
      <c r="I50" s="79"/>
    </row>
    <row r="51" spans="1:9" hidden="1">
      <c r="A51" s="79"/>
      <c r="B51" s="79"/>
      <c r="C51" s="79"/>
      <c r="D51" s="79"/>
      <c r="E51" s="79"/>
      <c r="F51" s="79"/>
      <c r="G51" s="79"/>
      <c r="H51" s="79"/>
      <c r="I51" s="79"/>
    </row>
    <row r="52" spans="1:9" hidden="1">
      <c r="A52" s="79"/>
      <c r="B52" s="79"/>
      <c r="C52" s="79"/>
      <c r="D52" s="79"/>
      <c r="E52" s="79"/>
      <c r="F52" s="79"/>
      <c r="G52" s="79"/>
      <c r="H52" s="79"/>
      <c r="I52" s="79"/>
    </row>
    <row r="53" spans="1:9" hidden="1">
      <c r="A53" s="79"/>
      <c r="B53" s="79"/>
      <c r="C53" s="79"/>
      <c r="D53" s="79"/>
      <c r="E53" s="79"/>
      <c r="F53" s="79"/>
      <c r="G53" s="79"/>
      <c r="H53" s="79"/>
      <c r="I53" s="79"/>
    </row>
    <row r="54" spans="1:9" hidden="1">
      <c r="A54" s="79"/>
      <c r="B54" s="79"/>
      <c r="C54" s="79"/>
      <c r="D54" s="79"/>
      <c r="E54" s="79"/>
      <c r="F54" s="79"/>
      <c r="G54" s="79"/>
      <c r="H54" s="79"/>
      <c r="I54" s="79"/>
    </row>
    <row r="55" spans="1:9" hidden="1">
      <c r="A55" s="79"/>
      <c r="B55" s="79"/>
      <c r="C55" s="79"/>
      <c r="D55" s="79"/>
      <c r="E55" s="79"/>
      <c r="F55" s="79"/>
      <c r="G55" s="79"/>
      <c r="H55" s="79"/>
      <c r="I55" s="79"/>
    </row>
    <row r="56" spans="1:9" hidden="1">
      <c r="A56" s="79"/>
      <c r="B56" s="79"/>
      <c r="C56" s="79"/>
      <c r="D56" s="79"/>
      <c r="E56" s="79"/>
      <c r="F56" s="79"/>
      <c r="G56" s="79"/>
      <c r="H56" s="79"/>
      <c r="I56" s="79"/>
    </row>
    <row r="57" spans="1:9" hidden="1">
      <c r="A57" s="79"/>
      <c r="B57" s="79"/>
      <c r="C57" s="79"/>
      <c r="D57" s="79"/>
      <c r="E57" s="79"/>
      <c r="F57" s="79"/>
      <c r="G57" s="79"/>
      <c r="H57" s="79"/>
      <c r="I57" s="79"/>
    </row>
    <row r="58" spans="1:9" hidden="1">
      <c r="A58" s="79"/>
      <c r="B58" s="79"/>
      <c r="C58" s="79"/>
      <c r="D58" s="79"/>
      <c r="E58" s="79"/>
      <c r="F58" s="79"/>
      <c r="G58" s="79"/>
      <c r="H58" s="79"/>
      <c r="I58" s="79"/>
    </row>
    <row r="59" spans="1:9" hidden="1">
      <c r="A59" s="79"/>
      <c r="B59" s="79"/>
      <c r="C59" s="79"/>
      <c r="D59" s="79"/>
      <c r="E59" s="79"/>
      <c r="F59" s="79"/>
      <c r="G59" s="79"/>
      <c r="H59" s="79"/>
      <c r="I59" s="79"/>
    </row>
    <row r="60" spans="1:9" hidden="1">
      <c r="A60" s="79"/>
      <c r="B60" s="79"/>
      <c r="C60" s="79"/>
      <c r="D60" s="79"/>
      <c r="E60" s="79"/>
      <c r="F60" s="79"/>
      <c r="G60" s="79"/>
      <c r="H60" s="79"/>
      <c r="I60" s="79"/>
    </row>
    <row r="61" spans="1:9" hidden="1">
      <c r="A61" s="79"/>
      <c r="B61" s="79"/>
      <c r="C61" s="79"/>
      <c r="D61" s="79"/>
      <c r="E61" s="79"/>
      <c r="F61" s="79"/>
      <c r="G61" s="79"/>
      <c r="H61" s="79"/>
      <c r="I61" s="79"/>
    </row>
    <row r="62" spans="1:9" hidden="1">
      <c r="A62" s="79"/>
      <c r="B62" s="79"/>
      <c r="C62" s="79"/>
      <c r="D62" s="79"/>
      <c r="E62" s="79"/>
      <c r="F62" s="79"/>
      <c r="G62" s="79"/>
      <c r="H62" s="79"/>
      <c r="I62" s="79"/>
    </row>
    <row r="63" spans="1:9" hidden="1">
      <c r="A63" s="79"/>
      <c r="B63" s="79"/>
      <c r="C63" s="79"/>
      <c r="D63" s="79"/>
      <c r="E63" s="79"/>
      <c r="F63" s="79"/>
      <c r="G63" s="79"/>
      <c r="H63" s="79"/>
      <c r="I63" s="79"/>
    </row>
    <row r="64" spans="1:9" hidden="1">
      <c r="A64" s="79"/>
      <c r="B64" s="79"/>
      <c r="C64" s="79"/>
      <c r="D64" s="79"/>
      <c r="E64" s="79"/>
      <c r="F64" s="79"/>
      <c r="G64" s="79"/>
      <c r="H64" s="79"/>
      <c r="I64" s="79"/>
    </row>
    <row r="65" spans="1:9" hidden="1">
      <c r="A65" s="79"/>
      <c r="B65" s="79"/>
      <c r="C65" s="79"/>
      <c r="D65" s="79"/>
      <c r="E65" s="79"/>
      <c r="F65" s="79"/>
      <c r="G65" s="79"/>
      <c r="H65" s="79"/>
      <c r="I65" s="79"/>
    </row>
    <row r="66" spans="1:9" hidden="1">
      <c r="A66" s="79"/>
      <c r="B66" s="79"/>
      <c r="C66" s="79"/>
      <c r="D66" s="79"/>
      <c r="E66" s="79"/>
      <c r="F66" s="79"/>
      <c r="G66" s="79"/>
      <c r="H66" s="79"/>
      <c r="I66" s="79"/>
    </row>
    <row r="67" spans="1:9" hidden="1">
      <c r="A67" s="79"/>
      <c r="B67" s="79"/>
      <c r="C67" s="79"/>
      <c r="D67" s="79"/>
      <c r="E67" s="79"/>
      <c r="F67" s="79"/>
      <c r="G67" s="79"/>
      <c r="H67" s="79"/>
      <c r="I67" s="79"/>
    </row>
    <row r="68" spans="1:9" hidden="1">
      <c r="A68" s="79"/>
      <c r="B68" s="79"/>
      <c r="C68" s="79"/>
      <c r="D68" s="79"/>
      <c r="E68" s="79"/>
      <c r="F68" s="79"/>
      <c r="G68" s="79"/>
      <c r="H68" s="79"/>
      <c r="I68" s="79"/>
    </row>
    <row r="69" spans="1:9" hidden="1">
      <c r="A69" s="79"/>
      <c r="B69" s="79"/>
      <c r="C69" s="79"/>
      <c r="D69" s="79"/>
      <c r="E69" s="79"/>
      <c r="F69" s="79"/>
      <c r="G69" s="79"/>
      <c r="H69" s="79"/>
      <c r="I69" s="79"/>
    </row>
    <row r="70" spans="1:9" hidden="1">
      <c r="A70" s="79"/>
      <c r="B70" s="79"/>
      <c r="C70" s="79"/>
      <c r="D70" s="79"/>
      <c r="E70" s="79"/>
      <c r="F70" s="79"/>
      <c r="G70" s="79"/>
      <c r="H70" s="79"/>
      <c r="I70" s="79"/>
    </row>
    <row r="71" spans="1:9" hidden="1">
      <c r="A71" s="79"/>
      <c r="B71" s="79"/>
      <c r="C71" s="79"/>
      <c r="D71" s="79"/>
      <c r="E71" s="79"/>
      <c r="F71" s="79"/>
      <c r="G71" s="79"/>
      <c r="H71" s="79"/>
      <c r="I71" s="79"/>
    </row>
    <row r="72" spans="1:9" hidden="1">
      <c r="A72" s="79"/>
      <c r="B72" s="79"/>
      <c r="C72" s="79"/>
      <c r="D72" s="79"/>
      <c r="E72" s="79"/>
      <c r="F72" s="79"/>
      <c r="G72" s="79"/>
      <c r="H72" s="79"/>
      <c r="I72" s="79"/>
    </row>
    <row r="73" spans="1:9" hidden="1">
      <c r="A73" s="79"/>
      <c r="B73" s="79"/>
      <c r="C73" s="79"/>
      <c r="D73" s="79"/>
      <c r="E73" s="79"/>
      <c r="F73" s="79"/>
      <c r="G73" s="79"/>
      <c r="H73" s="79"/>
      <c r="I73" s="79"/>
    </row>
    <row r="74" spans="1:9" hidden="1">
      <c r="A74" s="79"/>
      <c r="B74" s="79"/>
      <c r="C74" s="79"/>
      <c r="D74" s="79"/>
      <c r="E74" s="79"/>
      <c r="F74" s="79"/>
      <c r="G74" s="79"/>
      <c r="H74" s="79"/>
      <c r="I74" s="79"/>
    </row>
    <row r="75" spans="1:9" hidden="1">
      <c r="A75" s="79"/>
      <c r="B75" s="79"/>
      <c r="C75" s="79"/>
      <c r="D75" s="79"/>
      <c r="E75" s="79"/>
      <c r="F75" s="79"/>
      <c r="G75" s="79"/>
      <c r="H75" s="79"/>
      <c r="I75" s="79"/>
    </row>
    <row r="76" spans="1:9" hidden="1">
      <c r="A76" s="79"/>
      <c r="B76" s="79"/>
      <c r="C76" s="79"/>
      <c r="D76" s="79"/>
      <c r="E76" s="79"/>
      <c r="F76" s="79"/>
      <c r="G76" s="79"/>
      <c r="H76" s="79"/>
      <c r="I76" s="79"/>
    </row>
    <row r="77" spans="1:9" hidden="1">
      <c r="A77" s="79"/>
      <c r="B77" s="79"/>
      <c r="C77" s="79"/>
      <c r="D77" s="79"/>
      <c r="E77" s="79"/>
      <c r="F77" s="79"/>
      <c r="G77" s="79"/>
      <c r="H77" s="79"/>
      <c r="I77" s="79"/>
    </row>
    <row r="78" spans="1:9" hidden="1">
      <c r="A78" s="79"/>
      <c r="B78" s="79"/>
      <c r="C78" s="79"/>
      <c r="D78" s="79"/>
      <c r="E78" s="79"/>
      <c r="F78" s="79"/>
      <c r="G78" s="79"/>
      <c r="H78" s="79"/>
      <c r="I78" s="79"/>
    </row>
    <row r="79" spans="1:9" hidden="1">
      <c r="A79" s="79"/>
      <c r="B79" s="79"/>
      <c r="C79" s="79"/>
      <c r="D79" s="79"/>
      <c r="E79" s="79"/>
      <c r="F79" s="79"/>
      <c r="G79" s="79"/>
      <c r="H79" s="79"/>
      <c r="I79" s="79"/>
    </row>
    <row r="80" spans="1:9" hidden="1">
      <c r="A80" s="79"/>
      <c r="B80" s="79"/>
      <c r="C80" s="79"/>
      <c r="D80" s="79"/>
      <c r="E80" s="79"/>
      <c r="F80" s="79"/>
      <c r="G80" s="79"/>
      <c r="H80" s="79"/>
      <c r="I80" s="79"/>
    </row>
    <row r="81" spans="1:9" hidden="1">
      <c r="A81" s="79"/>
      <c r="B81" s="79"/>
      <c r="C81" s="79"/>
      <c r="D81" s="79"/>
      <c r="E81" s="79"/>
      <c r="F81" s="79"/>
      <c r="G81" s="79"/>
      <c r="H81" s="79"/>
      <c r="I81" s="79"/>
    </row>
    <row r="82" spans="1:9" hidden="1">
      <c r="A82" s="79"/>
      <c r="B82" s="79"/>
      <c r="C82" s="79"/>
      <c r="D82" s="79"/>
      <c r="E82" s="79"/>
      <c r="F82" s="79"/>
      <c r="G82" s="79"/>
      <c r="H82" s="79"/>
      <c r="I82" s="79"/>
    </row>
    <row r="83" spans="1:9" hidden="1">
      <c r="A83" s="79"/>
      <c r="B83" s="79"/>
      <c r="C83" s="79"/>
      <c r="D83" s="79"/>
      <c r="E83" s="79"/>
      <c r="F83" s="79"/>
      <c r="G83" s="79"/>
      <c r="H83" s="79"/>
      <c r="I83" s="79"/>
    </row>
    <row r="84" spans="1:9" hidden="1">
      <c r="A84" s="79"/>
      <c r="B84" s="79"/>
      <c r="C84" s="79"/>
      <c r="D84" s="79"/>
      <c r="E84" s="79"/>
      <c r="F84" s="79"/>
      <c r="G84" s="79"/>
      <c r="H84" s="79"/>
      <c r="I84" s="79"/>
    </row>
    <row r="85" spans="1:9" hidden="1">
      <c r="A85" s="79"/>
      <c r="B85" s="79"/>
      <c r="C85" s="79"/>
      <c r="D85" s="79"/>
      <c r="E85" s="79"/>
      <c r="F85" s="79"/>
      <c r="G85" s="79"/>
      <c r="H85" s="79"/>
      <c r="I85" s="79"/>
    </row>
    <row r="86" spans="1:9" hidden="1">
      <c r="A86" s="79"/>
      <c r="B86" s="79"/>
      <c r="C86" s="79"/>
      <c r="D86" s="79"/>
      <c r="E86" s="79"/>
      <c r="F86" s="79"/>
      <c r="G86" s="79"/>
      <c r="H86" s="79"/>
      <c r="I86" s="79"/>
    </row>
    <row r="87" spans="1:9" hidden="1">
      <c r="A87" s="79"/>
      <c r="B87" s="79"/>
      <c r="C87" s="79"/>
      <c r="D87" s="79"/>
      <c r="E87" s="79"/>
      <c r="F87" s="79"/>
      <c r="G87" s="79"/>
      <c r="H87" s="79"/>
      <c r="I87" s="79"/>
    </row>
    <row r="88" spans="1:9" hidden="1">
      <c r="A88" s="79"/>
      <c r="B88" s="79"/>
      <c r="C88" s="79"/>
      <c r="D88" s="79"/>
      <c r="E88" s="79"/>
      <c r="F88" s="79"/>
      <c r="G88" s="79"/>
      <c r="H88" s="79"/>
      <c r="I88" s="79"/>
    </row>
    <row r="89" spans="1:9" hidden="1">
      <c r="A89" s="79"/>
      <c r="B89" s="79"/>
      <c r="C89" s="79"/>
      <c r="D89" s="79"/>
      <c r="E89" s="79"/>
      <c r="F89" s="79"/>
      <c r="G89" s="79"/>
      <c r="H89" s="79"/>
      <c r="I89" s="79"/>
    </row>
    <row r="90" spans="1:9" hidden="1">
      <c r="A90" s="79"/>
      <c r="B90" s="79"/>
      <c r="C90" s="79"/>
      <c r="D90" s="79"/>
      <c r="E90" s="79"/>
      <c r="F90" s="79"/>
      <c r="G90" s="79"/>
      <c r="H90" s="79"/>
      <c r="I90" s="79"/>
    </row>
    <row r="91" spans="1:9" hidden="1">
      <c r="A91" s="79"/>
      <c r="B91" s="79"/>
      <c r="C91" s="79"/>
      <c r="D91" s="79"/>
      <c r="E91" s="79"/>
      <c r="F91" s="79"/>
      <c r="G91" s="79"/>
      <c r="H91" s="79"/>
      <c r="I91" s="79"/>
    </row>
    <row r="92" spans="1:9" hidden="1">
      <c r="A92" s="79"/>
      <c r="B92" s="79"/>
      <c r="C92" s="79"/>
      <c r="D92" s="79"/>
      <c r="E92" s="79"/>
      <c r="F92" s="79"/>
      <c r="G92" s="79"/>
      <c r="H92" s="79"/>
      <c r="I92" s="79"/>
    </row>
    <row r="93" spans="1:9" hidden="1">
      <c r="A93" s="79"/>
      <c r="B93" s="79"/>
      <c r="C93" s="79"/>
      <c r="D93" s="79"/>
      <c r="E93" s="79"/>
      <c r="F93" s="79"/>
      <c r="G93" s="79"/>
      <c r="H93" s="79"/>
      <c r="I93" s="79"/>
    </row>
    <row r="94" spans="1:9" hidden="1">
      <c r="A94" s="79"/>
      <c r="B94" s="79"/>
      <c r="C94" s="79"/>
      <c r="D94" s="79"/>
      <c r="E94" s="79"/>
      <c r="F94" s="79"/>
      <c r="G94" s="79"/>
      <c r="H94" s="79"/>
      <c r="I94" s="79"/>
    </row>
    <row r="95" spans="1:9" hidden="1">
      <c r="A95" s="79"/>
      <c r="B95" s="79"/>
      <c r="C95" s="79"/>
      <c r="D95" s="79"/>
      <c r="E95" s="79"/>
      <c r="F95" s="79"/>
      <c r="G95" s="79"/>
      <c r="H95" s="79"/>
      <c r="I95" s="79"/>
    </row>
    <row r="96" spans="1:9" hidden="1">
      <c r="A96" s="79"/>
      <c r="B96" s="79"/>
      <c r="C96" s="79"/>
      <c r="D96" s="79"/>
      <c r="E96" s="79"/>
      <c r="F96" s="79"/>
      <c r="G96" s="79"/>
      <c r="H96" s="79"/>
      <c r="I96" s="79"/>
    </row>
    <row r="97" spans="1:9" hidden="1">
      <c r="A97" s="79"/>
      <c r="B97" s="79"/>
      <c r="C97" s="79"/>
      <c r="D97" s="79"/>
      <c r="E97" s="79"/>
      <c r="F97" s="79"/>
      <c r="G97" s="79"/>
      <c r="H97" s="79"/>
      <c r="I97" s="79"/>
    </row>
    <row r="98" spans="1:9" hidden="1">
      <c r="A98" s="79"/>
      <c r="B98" s="79"/>
      <c r="C98" s="79"/>
      <c r="D98" s="79"/>
      <c r="E98" s="79"/>
      <c r="F98" s="79"/>
      <c r="G98" s="79"/>
      <c r="H98" s="79"/>
      <c r="I98" s="79"/>
    </row>
    <row r="99" spans="1:9" hidden="1">
      <c r="A99" s="79"/>
      <c r="B99" s="79"/>
      <c r="C99" s="79"/>
      <c r="D99" s="79"/>
      <c r="E99" s="79"/>
      <c r="F99" s="79"/>
      <c r="G99" s="79"/>
      <c r="H99" s="79"/>
      <c r="I99" s="79"/>
    </row>
    <row r="100" spans="1:9" hidden="1">
      <c r="A100" s="79"/>
      <c r="B100" s="79"/>
      <c r="C100" s="79"/>
      <c r="D100" s="79"/>
      <c r="E100" s="79"/>
      <c r="F100" s="79"/>
      <c r="G100" s="79"/>
      <c r="H100" s="79"/>
      <c r="I100" s="79"/>
    </row>
    <row r="101" spans="1:9" hidden="1">
      <c r="A101" s="79"/>
      <c r="B101" s="79"/>
      <c r="C101" s="79"/>
      <c r="D101" s="79"/>
      <c r="E101" s="79"/>
      <c r="F101" s="79"/>
      <c r="G101" s="79"/>
      <c r="H101" s="79"/>
      <c r="I101" s="79"/>
    </row>
    <row r="102" spans="1:9" hidden="1">
      <c r="A102" s="79"/>
      <c r="B102" s="79"/>
      <c r="C102" s="79"/>
      <c r="D102" s="79"/>
      <c r="E102" s="79"/>
      <c r="F102" s="79"/>
      <c r="G102" s="79"/>
      <c r="H102" s="79"/>
      <c r="I102" s="79"/>
    </row>
    <row r="103" spans="1:9" hidden="1">
      <c r="A103" s="79"/>
      <c r="B103" s="79"/>
      <c r="C103" s="79"/>
      <c r="D103" s="79"/>
      <c r="E103" s="79"/>
      <c r="F103" s="79"/>
      <c r="G103" s="79"/>
      <c r="H103" s="79"/>
      <c r="I103" s="79"/>
    </row>
    <row r="104" spans="1:9" hidden="1">
      <c r="A104" s="79"/>
      <c r="B104" s="79"/>
      <c r="C104" s="79"/>
      <c r="D104" s="79"/>
      <c r="E104" s="79"/>
      <c r="F104" s="79"/>
      <c r="G104" s="79"/>
      <c r="H104" s="79"/>
      <c r="I104" s="79"/>
    </row>
    <row r="105" spans="1:9" hidden="1">
      <c r="A105" s="79"/>
      <c r="B105" s="79"/>
      <c r="C105" s="79"/>
      <c r="D105" s="79"/>
      <c r="E105" s="79"/>
      <c r="F105" s="79"/>
      <c r="G105" s="79"/>
      <c r="H105" s="79"/>
      <c r="I105" s="79"/>
    </row>
    <row r="106" spans="1:9" hidden="1">
      <c r="A106" s="79"/>
      <c r="B106" s="79"/>
      <c r="C106" s="79"/>
      <c r="D106" s="79"/>
      <c r="E106" s="79"/>
      <c r="F106" s="79"/>
      <c r="G106" s="79"/>
      <c r="H106" s="79"/>
      <c r="I106" s="79"/>
    </row>
    <row r="107" spans="1:9" hidden="1">
      <c r="A107" s="79"/>
      <c r="B107" s="79"/>
      <c r="C107" s="79"/>
      <c r="D107" s="79"/>
      <c r="E107" s="79"/>
      <c r="F107" s="79"/>
      <c r="G107" s="79"/>
      <c r="H107" s="79"/>
      <c r="I107" s="79"/>
    </row>
    <row r="108" spans="1:9" hidden="1">
      <c r="A108" s="79"/>
      <c r="B108" s="79"/>
      <c r="C108" s="79"/>
      <c r="D108" s="79"/>
      <c r="E108" s="79"/>
      <c r="F108" s="79"/>
      <c r="G108" s="79"/>
      <c r="H108" s="79"/>
      <c r="I108" s="79"/>
    </row>
    <row r="109" spans="1:9" hidden="1">
      <c r="A109" s="79"/>
      <c r="B109" s="79"/>
      <c r="C109" s="79"/>
      <c r="D109" s="79"/>
      <c r="E109" s="79"/>
      <c r="F109" s="79"/>
      <c r="G109" s="79"/>
      <c r="H109" s="79"/>
      <c r="I109" s="79"/>
    </row>
    <row r="110" spans="1:9" hidden="1">
      <c r="A110" s="79"/>
      <c r="B110" s="79"/>
      <c r="C110" s="79"/>
      <c r="D110" s="79"/>
      <c r="E110" s="79"/>
      <c r="F110" s="79"/>
      <c r="G110" s="79"/>
      <c r="H110" s="79"/>
      <c r="I110" s="79"/>
    </row>
    <row r="111" spans="1:9" hidden="1">
      <c r="A111" s="79"/>
      <c r="B111" s="79"/>
      <c r="C111" s="79"/>
      <c r="D111" s="79"/>
      <c r="E111" s="79"/>
      <c r="F111" s="79"/>
      <c r="G111" s="79"/>
      <c r="H111" s="79"/>
      <c r="I111" s="79"/>
    </row>
    <row r="112" spans="1:9" hidden="1">
      <c r="A112" s="79"/>
      <c r="B112" s="79"/>
      <c r="C112" s="79"/>
      <c r="D112" s="79"/>
      <c r="E112" s="79"/>
      <c r="F112" s="79"/>
      <c r="G112" s="79"/>
      <c r="H112" s="79"/>
      <c r="I112" s="79"/>
    </row>
    <row r="113" spans="1:9" hidden="1">
      <c r="A113" s="79"/>
      <c r="B113" s="79"/>
      <c r="C113" s="79"/>
      <c r="D113" s="79"/>
      <c r="E113" s="79"/>
      <c r="F113" s="79"/>
      <c r="G113" s="79"/>
      <c r="H113" s="79"/>
      <c r="I113" s="79"/>
    </row>
    <row r="114" spans="1:9" hidden="1">
      <c r="A114" s="79"/>
      <c r="B114" s="79"/>
      <c r="C114" s="79"/>
      <c r="D114" s="79"/>
      <c r="E114" s="79"/>
      <c r="F114" s="79"/>
      <c r="G114" s="79"/>
      <c r="H114" s="79"/>
      <c r="I114" s="79"/>
    </row>
    <row r="115" spans="1:9" hidden="1">
      <c r="A115" s="79"/>
      <c r="B115" s="79"/>
      <c r="C115" s="79"/>
      <c r="D115" s="79"/>
      <c r="E115" s="79"/>
      <c r="F115" s="79"/>
      <c r="G115" s="79"/>
      <c r="H115" s="79"/>
      <c r="I115" s="79"/>
    </row>
    <row r="116" spans="1:9" hidden="1">
      <c r="A116" s="79"/>
      <c r="B116" s="79"/>
      <c r="C116" s="79"/>
      <c r="D116" s="79"/>
      <c r="E116" s="79"/>
      <c r="F116" s="79"/>
      <c r="G116" s="79"/>
      <c r="H116" s="79"/>
      <c r="I116" s="79"/>
    </row>
    <row r="117" spans="1:9" hidden="1">
      <c r="A117" s="79"/>
      <c r="B117" s="79"/>
      <c r="C117" s="79"/>
      <c r="D117" s="79"/>
      <c r="E117" s="79"/>
      <c r="F117" s="79"/>
      <c r="G117" s="79"/>
      <c r="H117" s="79"/>
      <c r="I117" s="79"/>
    </row>
    <row r="118" spans="1:9" hidden="1">
      <c r="A118" s="79"/>
      <c r="B118" s="79"/>
      <c r="C118" s="79"/>
      <c r="D118" s="79"/>
      <c r="E118" s="79"/>
      <c r="F118" s="79"/>
      <c r="G118" s="79"/>
      <c r="H118" s="79"/>
      <c r="I118" s="79"/>
    </row>
    <row r="119" spans="1:9" hidden="1">
      <c r="A119" s="79"/>
      <c r="B119" s="79"/>
      <c r="C119" s="79"/>
      <c r="D119" s="79"/>
      <c r="E119" s="79"/>
      <c r="F119" s="79"/>
      <c r="G119" s="79"/>
      <c r="H119" s="79"/>
      <c r="I119" s="79"/>
    </row>
    <row r="120" spans="1:9" hidden="1">
      <c r="A120" s="79"/>
      <c r="B120" s="79"/>
      <c r="C120" s="79"/>
      <c r="D120" s="79"/>
      <c r="E120" s="79"/>
      <c r="F120" s="79"/>
      <c r="G120" s="79"/>
      <c r="H120" s="79"/>
      <c r="I120" s="79"/>
    </row>
    <row r="121" spans="1:9" hidden="1">
      <c r="A121" s="79"/>
      <c r="B121" s="79"/>
      <c r="C121" s="79"/>
      <c r="D121" s="79"/>
      <c r="E121" s="79"/>
      <c r="F121" s="79"/>
      <c r="G121" s="79"/>
      <c r="H121" s="79"/>
      <c r="I121" s="79"/>
    </row>
    <row r="122" spans="1:9" hidden="1">
      <c r="A122" s="79"/>
      <c r="B122" s="79"/>
      <c r="C122" s="79"/>
      <c r="D122" s="79"/>
      <c r="E122" s="79"/>
      <c r="F122" s="79"/>
      <c r="G122" s="79"/>
      <c r="H122" s="79"/>
      <c r="I122" s="79"/>
    </row>
    <row r="123" spans="1:9" hidden="1">
      <c r="A123" s="79"/>
      <c r="B123" s="79"/>
      <c r="C123" s="79"/>
      <c r="D123" s="79"/>
      <c r="E123" s="79"/>
      <c r="F123" s="79"/>
      <c r="G123" s="79"/>
      <c r="H123" s="79"/>
      <c r="I123" s="79"/>
    </row>
    <row r="124" spans="1:9" hidden="1">
      <c r="A124" s="79"/>
      <c r="B124" s="79"/>
      <c r="C124" s="79"/>
      <c r="D124" s="79"/>
      <c r="E124" s="79"/>
      <c r="F124" s="79"/>
      <c r="G124" s="79"/>
      <c r="H124" s="79"/>
      <c r="I124" s="79"/>
    </row>
    <row r="125" spans="1:9" hidden="1">
      <c r="A125" s="79"/>
      <c r="B125" s="79"/>
      <c r="C125" s="79"/>
      <c r="D125" s="79"/>
      <c r="E125" s="79"/>
      <c r="F125" s="79"/>
      <c r="G125" s="79"/>
      <c r="H125" s="79"/>
      <c r="I125" s="79"/>
    </row>
    <row r="126" spans="1:9" hidden="1">
      <c r="A126" s="79"/>
      <c r="B126" s="79"/>
      <c r="C126" s="79"/>
      <c r="D126" s="79"/>
      <c r="E126" s="79"/>
      <c r="F126" s="79"/>
      <c r="G126" s="79"/>
      <c r="H126" s="79"/>
      <c r="I126" s="79"/>
    </row>
    <row r="127" spans="1:9" hidden="1">
      <c r="A127" s="79"/>
      <c r="B127" s="79"/>
      <c r="C127" s="79"/>
      <c r="D127" s="79"/>
      <c r="E127" s="79"/>
      <c r="F127" s="79"/>
      <c r="G127" s="79"/>
      <c r="H127" s="79"/>
      <c r="I127" s="79"/>
    </row>
    <row r="128" spans="1:9" hidden="1">
      <c r="A128" s="79"/>
      <c r="B128" s="79"/>
      <c r="C128" s="79"/>
      <c r="D128" s="79"/>
      <c r="E128" s="79"/>
      <c r="F128" s="79"/>
      <c r="G128" s="79"/>
      <c r="H128" s="79"/>
      <c r="I128" s="79"/>
    </row>
    <row r="129" spans="1:9" hidden="1">
      <c r="A129" s="79"/>
      <c r="B129" s="79"/>
      <c r="C129" s="79"/>
      <c r="D129" s="79"/>
      <c r="E129" s="79"/>
      <c r="F129" s="79"/>
      <c r="G129" s="79"/>
      <c r="H129" s="79"/>
      <c r="I129" s="79"/>
    </row>
    <row r="130" spans="1:9" hidden="1">
      <c r="A130" s="79"/>
      <c r="B130" s="79"/>
      <c r="C130" s="79"/>
      <c r="D130" s="79"/>
      <c r="E130" s="79"/>
      <c r="F130" s="79"/>
      <c r="G130" s="79"/>
      <c r="H130" s="79"/>
      <c r="I130" s="79"/>
    </row>
    <row r="131" spans="1:9" hidden="1">
      <c r="A131" s="79"/>
      <c r="B131" s="79"/>
      <c r="C131" s="79"/>
      <c r="D131" s="79"/>
      <c r="E131" s="79"/>
      <c r="F131" s="79"/>
      <c r="G131" s="79"/>
      <c r="H131" s="79"/>
      <c r="I131" s="79"/>
    </row>
    <row r="132" spans="1:9" hidden="1">
      <c r="A132" s="79"/>
      <c r="B132" s="79"/>
      <c r="C132" s="79"/>
      <c r="D132" s="79"/>
      <c r="E132" s="79"/>
      <c r="F132" s="79"/>
      <c r="G132" s="79"/>
      <c r="H132" s="79"/>
      <c r="I132" s="79"/>
    </row>
    <row r="133" spans="1:9" hidden="1">
      <c r="A133" s="79"/>
      <c r="B133" s="79"/>
      <c r="C133" s="79"/>
      <c r="D133" s="79"/>
      <c r="E133" s="79"/>
      <c r="F133" s="79"/>
      <c r="G133" s="79"/>
      <c r="H133" s="79"/>
      <c r="I133" s="79"/>
    </row>
    <row r="134" spans="1:9" hidden="1">
      <c r="A134" s="79"/>
      <c r="B134" s="79"/>
      <c r="C134" s="79"/>
      <c r="D134" s="79"/>
      <c r="E134" s="79"/>
      <c r="F134" s="79"/>
      <c r="G134" s="79"/>
      <c r="H134" s="79"/>
      <c r="I134" s="79"/>
    </row>
    <row r="135" spans="1:9" hidden="1">
      <c r="A135" s="79"/>
      <c r="B135" s="79"/>
      <c r="C135" s="79"/>
      <c r="D135" s="79"/>
      <c r="E135" s="79"/>
      <c r="F135" s="79"/>
      <c r="G135" s="79"/>
      <c r="H135" s="79"/>
      <c r="I135" s="79"/>
    </row>
    <row r="136" spans="1:9" hidden="1">
      <c r="A136" s="79"/>
      <c r="B136" s="79"/>
      <c r="C136" s="79"/>
      <c r="D136" s="79"/>
      <c r="E136" s="79"/>
      <c r="F136" s="79"/>
      <c r="G136" s="79"/>
      <c r="H136" s="79"/>
      <c r="I136" s="79"/>
    </row>
    <row r="137" spans="1:9" hidden="1">
      <c r="A137" s="79"/>
      <c r="B137" s="79"/>
      <c r="C137" s="79"/>
      <c r="D137" s="79"/>
      <c r="E137" s="79"/>
      <c r="F137" s="79"/>
      <c r="G137" s="79"/>
      <c r="H137" s="79"/>
      <c r="I137" s="79"/>
    </row>
    <row r="138" spans="1:9" hidden="1">
      <c r="A138" s="79"/>
      <c r="B138" s="79"/>
      <c r="C138" s="79"/>
      <c r="D138" s="79"/>
      <c r="E138" s="79"/>
      <c r="F138" s="79"/>
      <c r="G138" s="79"/>
      <c r="H138" s="79"/>
      <c r="I138" s="79"/>
    </row>
    <row r="139" spans="1:9" hidden="1">
      <c r="A139" s="79"/>
      <c r="B139" s="79"/>
      <c r="C139" s="79"/>
      <c r="D139" s="79"/>
      <c r="E139" s="79"/>
      <c r="F139" s="79"/>
      <c r="G139" s="79"/>
      <c r="H139" s="79"/>
      <c r="I139" s="79"/>
    </row>
    <row r="140" spans="1:9" hidden="1">
      <c r="A140" s="79"/>
      <c r="B140" s="79"/>
      <c r="C140" s="79"/>
      <c r="D140" s="79"/>
      <c r="E140" s="79"/>
      <c r="F140" s="79"/>
      <c r="G140" s="79"/>
      <c r="H140" s="79"/>
      <c r="I140" s="79"/>
    </row>
    <row r="141" spans="1:9" hidden="1">
      <c r="A141" s="79"/>
      <c r="B141" s="79"/>
      <c r="C141" s="79"/>
      <c r="D141" s="79"/>
      <c r="E141" s="79"/>
      <c r="F141" s="79"/>
      <c r="G141" s="79"/>
      <c r="H141" s="79"/>
      <c r="I141" s="79"/>
    </row>
    <row r="142" spans="1:9" hidden="1">
      <c r="A142" s="79"/>
      <c r="B142" s="79"/>
      <c r="C142" s="79"/>
      <c r="D142" s="79"/>
      <c r="E142" s="79"/>
      <c r="F142" s="79"/>
      <c r="G142" s="79"/>
      <c r="H142" s="79"/>
      <c r="I142" s="79"/>
    </row>
    <row r="143" spans="1:9" hidden="1">
      <c r="A143" s="79"/>
      <c r="B143" s="79"/>
      <c r="C143" s="79"/>
      <c r="D143" s="79"/>
      <c r="E143" s="79"/>
      <c r="F143" s="79"/>
      <c r="G143" s="79"/>
      <c r="H143" s="79"/>
      <c r="I143" s="79"/>
    </row>
    <row r="144" spans="1:9" hidden="1">
      <c r="A144" s="79"/>
      <c r="B144" s="79"/>
      <c r="C144" s="79"/>
      <c r="D144" s="79"/>
      <c r="E144" s="79"/>
      <c r="F144" s="79"/>
      <c r="G144" s="79"/>
      <c r="H144" s="79"/>
      <c r="I144" s="79"/>
    </row>
    <row r="145" spans="1:9" hidden="1">
      <c r="A145" s="79"/>
      <c r="B145" s="79"/>
      <c r="C145" s="79"/>
      <c r="D145" s="79"/>
      <c r="E145" s="79"/>
      <c r="F145" s="79"/>
      <c r="G145" s="79"/>
      <c r="H145" s="79"/>
      <c r="I145" s="79"/>
    </row>
    <row r="146" spans="1:9" hidden="1">
      <c r="A146" s="79"/>
      <c r="B146" s="79"/>
      <c r="C146" s="79"/>
      <c r="D146" s="79"/>
      <c r="E146" s="79"/>
      <c r="F146" s="79"/>
      <c r="G146" s="79"/>
      <c r="H146" s="79"/>
      <c r="I146" s="79"/>
    </row>
    <row r="147" spans="1:9" hidden="1">
      <c r="A147" s="79"/>
      <c r="B147" s="79"/>
      <c r="C147" s="79"/>
      <c r="D147" s="79"/>
      <c r="E147" s="79"/>
      <c r="F147" s="79"/>
      <c r="G147" s="79"/>
      <c r="H147" s="79"/>
      <c r="I147" s="79"/>
    </row>
    <row r="148" spans="1:9">
      <c r="A148" s="78"/>
      <c r="B148" s="78"/>
      <c r="C148" s="78"/>
      <c r="D148" s="78"/>
      <c r="E148" s="78"/>
      <c r="F148" s="78"/>
      <c r="G148" s="78"/>
      <c r="H148" s="78"/>
      <c r="I148" s="78"/>
    </row>
    <row r="149" spans="1:9">
      <c r="A149" s="78"/>
      <c r="B149" s="78"/>
      <c r="C149" s="78"/>
      <c r="D149" s="78"/>
      <c r="E149" s="78"/>
      <c r="F149" s="78"/>
      <c r="G149" s="78"/>
      <c r="H149" s="78"/>
      <c r="I149" s="78"/>
    </row>
    <row r="150" spans="1:9">
      <c r="A150" s="78"/>
      <c r="B150" s="78"/>
      <c r="C150" s="78"/>
      <c r="D150" s="78"/>
      <c r="E150" s="78"/>
      <c r="F150" s="78"/>
      <c r="G150" s="78"/>
      <c r="H150" s="78"/>
      <c r="I150" s="78"/>
    </row>
    <row r="151" spans="1:9">
      <c r="A151" s="78"/>
      <c r="B151" s="78"/>
      <c r="C151" s="78"/>
      <c r="D151" s="78"/>
      <c r="E151" s="78"/>
      <c r="F151" s="78"/>
      <c r="G151" s="78"/>
      <c r="H151" s="78"/>
      <c r="I151" s="78"/>
    </row>
    <row r="152" spans="1:9">
      <c r="A152" s="78"/>
      <c r="B152" s="78"/>
      <c r="C152" s="78"/>
      <c r="D152" s="78"/>
      <c r="E152" s="78"/>
      <c r="F152" s="78"/>
      <c r="G152" s="78"/>
      <c r="H152" s="78"/>
      <c r="I152" s="78"/>
    </row>
    <row r="153" spans="1:9">
      <c r="A153" s="78"/>
      <c r="B153" s="78"/>
      <c r="C153" s="78"/>
      <c r="D153" s="78"/>
      <c r="E153" s="78"/>
      <c r="F153" s="78"/>
      <c r="G153" s="78"/>
      <c r="H153" s="78"/>
      <c r="I153" s="78"/>
    </row>
    <row r="154" spans="1:9">
      <c r="A154" s="78"/>
      <c r="B154" s="78"/>
      <c r="C154" s="78"/>
      <c r="D154" s="78"/>
      <c r="E154" s="78"/>
      <c r="F154" s="78"/>
      <c r="G154" s="78"/>
      <c r="H154" s="78"/>
      <c r="I154" s="78"/>
    </row>
    <row r="155" spans="1:9">
      <c r="A155" s="78"/>
      <c r="B155" s="78"/>
      <c r="C155" s="78"/>
      <c r="D155" s="78"/>
      <c r="E155" s="78"/>
      <c r="F155" s="78"/>
      <c r="G155" s="78"/>
      <c r="H155" s="78"/>
      <c r="I155" s="78"/>
    </row>
  </sheetData>
  <sheetProtection password="C7B7" sheet="1" objects="1" scenarios="1"/>
  <phoneticPr fontId="13"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42"/>
  <sheetViews>
    <sheetView topLeftCell="A7" zoomScale="75" zoomScaleNormal="75" workbookViewId="0">
      <selection activeCell="E23" sqref="E23"/>
    </sheetView>
  </sheetViews>
  <sheetFormatPr defaultColWidth="0" defaultRowHeight="12.75" customHeight="1" zeroHeight="1"/>
  <cols>
    <col min="1" max="1" width="8" style="976" customWidth="1"/>
    <col min="2" max="2" width="45.7109375" style="976" customWidth="1"/>
    <col min="3" max="3" width="4.140625" style="976" customWidth="1"/>
    <col min="4" max="4" width="10.5703125" style="976" customWidth="1"/>
    <col min="5" max="5" width="15.5703125" style="976" customWidth="1"/>
    <col min="6" max="6" width="12.7109375" style="976" customWidth="1"/>
    <col min="7" max="7" width="8.5703125" style="976" bestFit="1" customWidth="1"/>
    <col min="8" max="8" width="15" style="976" customWidth="1"/>
    <col min="9" max="9" width="8.28515625" style="976" customWidth="1"/>
    <col min="10" max="10" width="15.7109375" style="976" customWidth="1"/>
    <col min="11" max="11" width="10.28515625" style="976" customWidth="1"/>
    <col min="12" max="16384" width="0" style="976" hidden="1"/>
  </cols>
  <sheetData>
    <row r="1" spans="1:11" ht="4.5" customHeight="1" thickBot="1">
      <c r="A1" s="2159" t="s">
        <v>2826</v>
      </c>
      <c r="B1" s="78"/>
      <c r="C1" s="78"/>
      <c r="D1" s="78"/>
      <c r="E1" s="78"/>
      <c r="F1" s="78"/>
      <c r="G1" s="78"/>
      <c r="H1" s="78"/>
      <c r="I1" s="78"/>
      <c r="J1" s="78"/>
      <c r="K1" s="78"/>
    </row>
    <row r="2" spans="1:11" ht="18.75" thickBot="1">
      <c r="A2" s="43" t="s">
        <v>621</v>
      </c>
      <c r="B2" s="78"/>
      <c r="C2" s="78"/>
      <c r="D2" s="78"/>
      <c r="E2" s="941" t="s">
        <v>163</v>
      </c>
      <c r="F2" s="78"/>
      <c r="G2" s="941"/>
      <c r="H2" s="978" t="str">
        <f>+'1 Summary'!G2</f>
        <v/>
      </c>
      <c r="I2" s="1016"/>
      <c r="J2" s="1017"/>
      <c r="K2" s="1018"/>
    </row>
    <row r="3" spans="1:11" ht="16.5" thickBot="1">
      <c r="A3" s="104" t="s">
        <v>855</v>
      </c>
      <c r="B3" s="78"/>
      <c r="C3" s="78"/>
      <c r="D3" s="78"/>
      <c r="E3" s="941" t="s">
        <v>162</v>
      </c>
      <c r="F3" s="78"/>
      <c r="G3" s="1019"/>
      <c r="H3" s="980">
        <f>+'1 Summary'!G3</f>
        <v>0</v>
      </c>
      <c r="I3" s="863"/>
      <c r="J3" s="1009"/>
      <c r="K3" s="1020"/>
    </row>
    <row r="4" spans="1:11" ht="15.75">
      <c r="A4" s="400"/>
      <c r="B4" s="78"/>
      <c r="C4" s="78"/>
      <c r="D4" s="78"/>
      <c r="E4" s="78"/>
      <c r="F4" s="941"/>
      <c r="G4" s="941"/>
      <c r="H4" s="982"/>
      <c r="I4" s="982"/>
      <c r="J4" s="983"/>
      <c r="K4" s="1021"/>
    </row>
    <row r="5" spans="1:11" ht="15.75">
      <c r="A5" s="400"/>
      <c r="B5" s="78"/>
      <c r="C5" s="78"/>
      <c r="D5" s="78"/>
      <c r="E5" s="78"/>
      <c r="F5" s="941"/>
      <c r="G5" s="941"/>
      <c r="H5" s="982"/>
      <c r="I5" s="982"/>
      <c r="J5" s="983"/>
      <c r="K5" s="1022"/>
    </row>
    <row r="6" spans="1:11" ht="15.75">
      <c r="A6" s="78"/>
      <c r="B6" s="78"/>
      <c r="C6" s="78"/>
      <c r="D6" s="78"/>
      <c r="E6" s="78"/>
      <c r="F6" s="78"/>
      <c r="G6" s="78"/>
      <c r="H6" s="78"/>
      <c r="I6" s="78"/>
      <c r="J6" s="983"/>
      <c r="K6" s="1021"/>
    </row>
    <row r="7" spans="1:11" ht="15.75">
      <c r="A7" s="104">
        <v>12.1</v>
      </c>
      <c r="B7" s="632" t="s">
        <v>2980</v>
      </c>
      <c r="C7" s="632"/>
      <c r="D7" s="632"/>
      <c r="E7" s="632"/>
      <c r="F7" s="78"/>
      <c r="G7" s="78"/>
      <c r="H7" s="78"/>
      <c r="I7" s="314" t="s">
        <v>942</v>
      </c>
      <c r="J7" s="1008">
        <f>ROUND(H25+H26,0)</f>
        <v>0</v>
      </c>
      <c r="K7" s="1021">
        <f>A7</f>
        <v>12.1</v>
      </c>
    </row>
    <row r="8" spans="1:11" ht="15.75">
      <c r="A8" s="104"/>
      <c r="B8" s="632"/>
      <c r="C8" s="632"/>
      <c r="D8" s="632"/>
      <c r="E8" s="632"/>
      <c r="F8" s="78"/>
      <c r="G8" s="78"/>
      <c r="H8" s="78"/>
      <c r="I8" s="78"/>
      <c r="J8" s="983"/>
      <c r="K8" s="1021"/>
    </row>
    <row r="9" spans="1:11" ht="15.75">
      <c r="A9" s="104">
        <v>12.2</v>
      </c>
      <c r="B9" s="86" t="s">
        <v>1277</v>
      </c>
      <c r="C9" s="632"/>
      <c r="D9" s="632"/>
      <c r="E9" s="632"/>
      <c r="F9" s="78"/>
      <c r="G9" s="78"/>
      <c r="H9" s="78"/>
      <c r="I9" s="314" t="s">
        <v>469</v>
      </c>
      <c r="J9" s="1008">
        <f>ROUND(J7*800,0)</f>
        <v>0</v>
      </c>
      <c r="K9" s="1021">
        <f>A9</f>
        <v>12.2</v>
      </c>
    </row>
    <row r="10" spans="1:11" ht="15.75">
      <c r="A10" s="104"/>
      <c r="B10" s="632" t="s">
        <v>1752</v>
      </c>
      <c r="C10" s="632"/>
      <c r="D10" s="632"/>
      <c r="E10" s="78"/>
      <c r="F10" s="78"/>
      <c r="G10" s="78"/>
      <c r="H10" s="78"/>
      <c r="I10" s="78"/>
      <c r="J10" s="78"/>
      <c r="K10" s="78"/>
    </row>
    <row r="11" spans="1:11" ht="15.75">
      <c r="A11" s="104"/>
      <c r="B11" s="632"/>
      <c r="C11" s="632"/>
      <c r="D11" s="632"/>
      <c r="E11" s="78"/>
      <c r="F11" s="78"/>
      <c r="G11" s="78"/>
      <c r="H11" s="78"/>
      <c r="I11" s="78"/>
      <c r="J11" s="78"/>
      <c r="K11" s="78"/>
    </row>
    <row r="12" spans="1:11" ht="15.75">
      <c r="A12" s="104" t="s">
        <v>1278</v>
      </c>
      <c r="B12" s="632" t="s">
        <v>1116</v>
      </c>
      <c r="C12" s="632"/>
      <c r="D12" s="632"/>
      <c r="E12" s="78"/>
      <c r="F12" s="78"/>
      <c r="G12" s="78"/>
      <c r="H12" s="78"/>
      <c r="I12" s="78"/>
      <c r="J12" s="960">
        <f>IF($H$3=0,0,VLOOKUP($H$3,Tables!$A$5:$Z$8,15,FALSE))</f>
        <v>0</v>
      </c>
      <c r="K12" s="1021" t="str">
        <f>A12</f>
        <v>12.3.1</v>
      </c>
    </row>
    <row r="13" spans="1:11" ht="15.75">
      <c r="A13" s="104"/>
      <c r="B13" s="632"/>
      <c r="C13" s="632"/>
      <c r="D13" s="632"/>
      <c r="E13" s="78"/>
      <c r="F13" s="78"/>
      <c r="G13" s="78"/>
      <c r="H13" s="78"/>
      <c r="I13" s="78"/>
      <c r="J13" s="78"/>
      <c r="K13" s="78"/>
    </row>
    <row r="14" spans="1:11" ht="15.75">
      <c r="A14" s="104" t="s">
        <v>2199</v>
      </c>
      <c r="B14" s="86" t="s">
        <v>1276</v>
      </c>
      <c r="C14" s="632"/>
      <c r="D14" s="632"/>
      <c r="E14" s="78"/>
      <c r="F14" s="78"/>
      <c r="G14" s="78"/>
      <c r="H14" s="78"/>
      <c r="I14" s="78"/>
      <c r="J14" s="909">
        <f>ROUND(IF(J12=0,0,J9*(J12-1)),0)</f>
        <v>0</v>
      </c>
      <c r="K14" s="1021" t="str">
        <f>A14</f>
        <v>12.3.2</v>
      </c>
    </row>
    <row r="15" spans="1:11" ht="15.75">
      <c r="A15" s="104"/>
      <c r="B15" s="632" t="s">
        <v>1753</v>
      </c>
      <c r="C15" s="632"/>
      <c r="D15" s="632"/>
      <c r="E15" s="78"/>
      <c r="F15" s="78"/>
      <c r="G15" s="78"/>
      <c r="H15" s="78"/>
      <c r="I15" s="78"/>
      <c r="J15" s="78"/>
      <c r="K15" s="78"/>
    </row>
    <row r="16" spans="1:11" ht="15.75">
      <c r="A16" s="104"/>
      <c r="B16" s="632"/>
      <c r="C16" s="632"/>
      <c r="D16" s="632"/>
      <c r="E16" s="78"/>
      <c r="F16" s="78"/>
      <c r="G16" s="78"/>
      <c r="H16" s="78"/>
      <c r="I16" s="78"/>
      <c r="J16" s="78"/>
      <c r="K16" s="78"/>
    </row>
    <row r="17" spans="1:11" ht="15.75">
      <c r="A17" s="104">
        <v>12.4</v>
      </c>
      <c r="B17" s="86" t="s">
        <v>1505</v>
      </c>
      <c r="C17" s="632"/>
      <c r="D17" s="632"/>
      <c r="E17" s="78"/>
      <c r="F17" s="78"/>
      <c r="G17" s="78"/>
      <c r="H17" s="78"/>
      <c r="I17" s="78"/>
      <c r="J17" s="1399">
        <f>+J9+J14</f>
        <v>0</v>
      </c>
      <c r="K17" s="1021">
        <v>12.4</v>
      </c>
    </row>
    <row r="18" spans="1:11" ht="15.75">
      <c r="A18" s="104"/>
      <c r="B18" s="399" t="s">
        <v>1041</v>
      </c>
      <c r="C18" s="632"/>
      <c r="D18" s="632"/>
      <c r="E18" s="78"/>
      <c r="F18" s="78"/>
      <c r="G18" s="78"/>
      <c r="H18" s="78"/>
      <c r="I18" s="78"/>
      <c r="J18" s="1024"/>
      <c r="K18" s="1021"/>
    </row>
    <row r="19" spans="1:11" ht="15.75">
      <c r="A19" s="104"/>
      <c r="B19" s="399"/>
      <c r="C19" s="632"/>
      <c r="D19" s="632"/>
      <c r="E19" s="78"/>
      <c r="F19" s="78"/>
      <c r="G19" s="78"/>
      <c r="H19" s="78"/>
      <c r="I19" s="78"/>
      <c r="J19" s="1024"/>
      <c r="K19" s="1021"/>
    </row>
    <row r="20" spans="1:11" ht="15.75">
      <c r="A20" s="104"/>
      <c r="B20" s="632"/>
      <c r="C20" s="632"/>
      <c r="D20" s="632"/>
      <c r="E20" s="78"/>
      <c r="F20" s="78"/>
      <c r="G20" s="78"/>
      <c r="H20" s="78"/>
      <c r="I20" s="78"/>
      <c r="J20" s="78"/>
      <c r="K20" s="78"/>
    </row>
    <row r="21" spans="1:11" ht="15.75">
      <c r="A21" s="104"/>
      <c r="B21" s="86" t="s">
        <v>1996</v>
      </c>
      <c r="C21" s="632"/>
      <c r="D21" s="632"/>
      <c r="E21" s="78"/>
      <c r="F21" s="78"/>
      <c r="G21" s="78"/>
      <c r="H21" s="78"/>
      <c r="I21" s="78"/>
      <c r="J21" s="78"/>
      <c r="K21" s="78"/>
    </row>
    <row r="22" spans="1:11" ht="12.75" customHeight="1">
      <c r="A22" s="104"/>
      <c r="B22" s="86"/>
      <c r="C22" s="632"/>
      <c r="D22" s="78"/>
      <c r="E22" s="2029" t="s">
        <v>2747</v>
      </c>
      <c r="F22" s="78"/>
      <c r="G22" s="78"/>
      <c r="H22" s="2029" t="s">
        <v>2747</v>
      </c>
      <c r="I22" s="78"/>
      <c r="J22" s="78"/>
      <c r="K22" s="78"/>
    </row>
    <row r="23" spans="1:11" ht="15.75">
      <c r="A23" s="104"/>
      <c r="B23" s="86"/>
      <c r="C23" s="632"/>
      <c r="D23" s="78"/>
      <c r="E23" s="2029" t="s">
        <v>2748</v>
      </c>
      <c r="F23" s="78"/>
      <c r="G23" s="78"/>
      <c r="H23" s="2029" t="s">
        <v>2748</v>
      </c>
      <c r="I23" s="78"/>
      <c r="J23" s="78"/>
      <c r="K23" s="78"/>
    </row>
    <row r="24" spans="1:11" ht="15.75">
      <c r="A24" s="104"/>
      <c r="B24" s="86" t="s">
        <v>1614</v>
      </c>
      <c r="C24" s="632"/>
      <c r="D24" s="78"/>
      <c r="E24" s="2024" t="s">
        <v>2697</v>
      </c>
      <c r="F24" s="78"/>
      <c r="G24" s="78"/>
      <c r="H24" s="2024" t="s">
        <v>2917</v>
      </c>
      <c r="I24" s="78"/>
      <c r="J24" s="78"/>
      <c r="K24" s="78"/>
    </row>
    <row r="25" spans="1:11" ht="15.75">
      <c r="A25" s="1021" t="s">
        <v>161</v>
      </c>
      <c r="B25" s="632" t="s">
        <v>1997</v>
      </c>
      <c r="C25" s="632"/>
      <c r="D25" s="78"/>
      <c r="E25" s="1025"/>
      <c r="F25" s="78"/>
      <c r="G25" s="314" t="s">
        <v>1290</v>
      </c>
      <c r="H25" s="1025"/>
      <c r="I25" s="78"/>
      <c r="J25" s="78"/>
      <c r="K25" s="78"/>
    </row>
    <row r="26" spans="1:11" ht="15.75">
      <c r="A26" s="1021" t="s">
        <v>1824</v>
      </c>
      <c r="B26" s="632" t="s">
        <v>2000</v>
      </c>
      <c r="C26" s="632"/>
      <c r="D26" s="78"/>
      <c r="E26" s="1025"/>
      <c r="F26" s="78"/>
      <c r="G26" s="314" t="s">
        <v>1291</v>
      </c>
      <c r="H26" s="1025"/>
      <c r="I26" s="78"/>
      <c r="J26" s="78"/>
      <c r="K26" s="78"/>
    </row>
    <row r="27" spans="1:11" ht="15.75">
      <c r="A27" s="1021"/>
      <c r="B27" s="86" t="s">
        <v>270</v>
      </c>
      <c r="C27" s="632"/>
      <c r="D27" s="78"/>
      <c r="E27" s="1025"/>
      <c r="F27" s="78"/>
      <c r="G27" s="314"/>
      <c r="H27" s="1025"/>
      <c r="I27" s="78"/>
      <c r="J27" s="78"/>
      <c r="K27" s="78"/>
    </row>
    <row r="28" spans="1:11" ht="15.75">
      <c r="A28" s="1021" t="s">
        <v>1825</v>
      </c>
      <c r="B28" s="632" t="s">
        <v>1998</v>
      </c>
      <c r="C28" s="632"/>
      <c r="D28" s="78"/>
      <c r="E28" s="1025"/>
      <c r="F28" s="78"/>
      <c r="G28" s="314" t="s">
        <v>1292</v>
      </c>
      <c r="H28" s="1025"/>
      <c r="I28" s="78"/>
      <c r="J28" s="78"/>
      <c r="K28" s="78"/>
    </row>
    <row r="29" spans="1:11" ht="15.75">
      <c r="A29" s="1021" t="s">
        <v>1095</v>
      </c>
      <c r="B29" s="632" t="s">
        <v>2154</v>
      </c>
      <c r="C29" s="632"/>
      <c r="D29" s="78"/>
      <c r="E29" s="1025"/>
      <c r="F29" s="78"/>
      <c r="G29" s="314" t="s">
        <v>1293</v>
      </c>
      <c r="H29" s="1025"/>
      <c r="I29" s="78"/>
      <c r="J29" s="78"/>
      <c r="K29" s="78"/>
    </row>
    <row r="30" spans="1:11" ht="15.75">
      <c r="A30" s="1021" t="s">
        <v>1096</v>
      </c>
      <c r="B30" s="632" t="s">
        <v>1860</v>
      </c>
      <c r="C30" s="632"/>
      <c r="D30" s="78"/>
      <c r="E30" s="1025"/>
      <c r="F30" s="78"/>
      <c r="G30" s="314" t="s">
        <v>1294</v>
      </c>
      <c r="H30" s="1025"/>
      <c r="I30" s="78"/>
      <c r="J30" s="78"/>
      <c r="K30" s="78"/>
    </row>
    <row r="31" spans="1:11" ht="15.75">
      <c r="A31" s="1021" t="s">
        <v>932</v>
      </c>
      <c r="B31" s="632" t="s">
        <v>1999</v>
      </c>
      <c r="C31" s="632"/>
      <c r="D31" s="78"/>
      <c r="E31" s="1025"/>
      <c r="F31" s="78"/>
      <c r="G31" s="314" t="s">
        <v>1295</v>
      </c>
      <c r="H31" s="1025"/>
      <c r="I31" s="78"/>
      <c r="J31" s="78"/>
      <c r="K31" s="78"/>
    </row>
    <row r="32" spans="1:11" ht="15.75">
      <c r="A32" s="1021"/>
      <c r="B32" s="632" t="s">
        <v>2001</v>
      </c>
      <c r="C32" s="632"/>
      <c r="D32" s="78"/>
      <c r="E32" s="1026"/>
      <c r="F32" s="78"/>
      <c r="G32" s="78"/>
      <c r="H32" s="1027"/>
      <c r="I32" s="78"/>
      <c r="J32" s="78"/>
      <c r="K32" s="78"/>
    </row>
    <row r="33" spans="1:11" ht="15.75">
      <c r="A33" s="1021" t="s">
        <v>933</v>
      </c>
      <c r="B33" s="1028"/>
      <c r="C33" s="632"/>
      <c r="D33" s="78"/>
      <c r="E33" s="1025"/>
      <c r="F33" s="78"/>
      <c r="G33" s="314" t="s">
        <v>1296</v>
      </c>
      <c r="H33" s="1025"/>
      <c r="I33" s="78"/>
      <c r="J33" s="78"/>
      <c r="K33" s="78"/>
    </row>
    <row r="34" spans="1:11" ht="15.75">
      <c r="A34" s="1021" t="s">
        <v>934</v>
      </c>
      <c r="B34" s="1028"/>
      <c r="C34" s="632"/>
      <c r="D34" s="78"/>
      <c r="E34" s="1025"/>
      <c r="F34" s="78"/>
      <c r="G34" s="314" t="s">
        <v>1297</v>
      </c>
      <c r="H34" s="1025"/>
      <c r="I34" s="78"/>
      <c r="J34" s="78"/>
      <c r="K34" s="78"/>
    </row>
    <row r="35" spans="1:11" ht="15.75">
      <c r="A35" s="104"/>
      <c r="B35" s="632"/>
      <c r="C35" s="632"/>
      <c r="D35" s="78"/>
      <c r="E35" s="1027"/>
      <c r="F35" s="78"/>
      <c r="G35" s="78"/>
      <c r="H35" s="1027"/>
      <c r="I35" s="78"/>
      <c r="J35" s="78"/>
      <c r="K35" s="78"/>
    </row>
    <row r="36" spans="1:11" ht="15.75">
      <c r="A36" s="104"/>
      <c r="B36" s="86" t="s">
        <v>882</v>
      </c>
      <c r="C36" s="632"/>
      <c r="D36" s="78"/>
      <c r="E36" s="1029">
        <f>ROUND(SUM(E25:E34),0)</f>
        <v>0</v>
      </c>
      <c r="F36" s="78"/>
      <c r="G36" s="78"/>
      <c r="H36" s="1029">
        <f>ROUND(SUM(H25:H34),0)</f>
        <v>0</v>
      </c>
      <c r="I36" s="78"/>
      <c r="J36" s="78"/>
      <c r="K36" s="78"/>
    </row>
    <row r="37" spans="1:11" ht="15.75">
      <c r="A37" s="104"/>
      <c r="B37" s="632"/>
      <c r="C37" s="632"/>
      <c r="D37" s="632"/>
      <c r="E37" s="78"/>
      <c r="F37" s="78"/>
      <c r="G37" s="78"/>
      <c r="H37" s="78"/>
      <c r="I37" s="78"/>
      <c r="J37" s="78"/>
      <c r="K37" s="78"/>
    </row>
    <row r="38" spans="1:11" ht="15.75">
      <c r="A38" s="104"/>
      <c r="B38" s="632"/>
      <c r="C38" s="632"/>
      <c r="D38" s="632"/>
      <c r="E38" s="78"/>
      <c r="F38" s="78"/>
      <c r="G38" s="78"/>
      <c r="H38" s="78"/>
      <c r="I38" s="78"/>
      <c r="J38" s="78"/>
      <c r="K38" s="78"/>
    </row>
    <row r="39" spans="1:11" ht="15.75">
      <c r="A39" s="104"/>
      <c r="B39" s="632"/>
      <c r="C39" s="632"/>
      <c r="D39" s="632"/>
      <c r="E39" s="78"/>
      <c r="F39" s="78"/>
      <c r="G39" s="78"/>
      <c r="H39" s="78"/>
      <c r="I39" s="78"/>
      <c r="J39" s="78"/>
      <c r="K39" s="78"/>
    </row>
    <row r="40" spans="1:11" ht="15.75">
      <c r="A40" s="104"/>
      <c r="B40" s="632"/>
      <c r="C40" s="632"/>
      <c r="D40" s="632"/>
      <c r="E40" s="78"/>
      <c r="F40" s="78"/>
      <c r="G40" s="78"/>
      <c r="H40" s="78"/>
      <c r="I40" s="78"/>
      <c r="J40" s="78"/>
      <c r="K40" s="78"/>
    </row>
    <row r="41" spans="1:11" ht="15.75">
      <c r="A41" s="104"/>
      <c r="B41" s="632"/>
      <c r="C41" s="632"/>
      <c r="D41" s="632"/>
      <c r="E41" s="78"/>
      <c r="F41" s="78"/>
      <c r="G41" s="78"/>
      <c r="H41" s="78"/>
      <c r="I41" s="78"/>
      <c r="J41" s="78"/>
      <c r="K41" s="78"/>
    </row>
    <row r="42" spans="1:11" ht="15.75">
      <c r="A42" s="104"/>
      <c r="B42" s="632"/>
      <c r="C42" s="632"/>
      <c r="D42" s="632"/>
      <c r="E42" s="78"/>
      <c r="F42" s="78"/>
      <c r="G42" s="78"/>
      <c r="H42" s="78"/>
      <c r="I42" s="78"/>
      <c r="J42" s="78"/>
      <c r="K42" s="78"/>
    </row>
  </sheetData>
  <sheetProtection password="C7B7" sheet="1" objects="1" scenarios="1"/>
  <protectedRanges>
    <protectedRange sqref="B33:B34" name="Range5"/>
    <protectedRange sqref="H33:H34" name="Range4"/>
    <protectedRange sqref="E33:E34" name="Range3"/>
    <protectedRange sqref="H25:H31" name="Range2"/>
    <protectedRange sqref="E25:E31" name="Range1"/>
  </protectedRanges>
  <phoneticPr fontId="13"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81"/>
  <sheetViews>
    <sheetView zoomScale="75" zoomScaleNormal="75" workbookViewId="0">
      <selection activeCell="D6" sqref="D6"/>
    </sheetView>
  </sheetViews>
  <sheetFormatPr defaultColWidth="0" defaultRowHeight="15" zeroHeight="1"/>
  <cols>
    <col min="1" max="1" width="8.28515625" style="976" customWidth="1"/>
    <col min="2" max="2" width="1.5703125" style="976" customWidth="1"/>
    <col min="3" max="3" width="9.140625" style="976" customWidth="1"/>
    <col min="4" max="4" width="43.7109375" style="976" customWidth="1"/>
    <col min="5" max="5" width="5.7109375" style="976" customWidth="1"/>
    <col min="6" max="6" width="16.7109375" style="976" customWidth="1"/>
    <col min="7" max="7" width="12.42578125" style="976" customWidth="1"/>
    <col min="8" max="8" width="13" style="976" customWidth="1"/>
    <col min="9" max="9" width="3.140625" style="976" customWidth="1"/>
    <col min="10" max="10" width="6.7109375" style="976" customWidth="1"/>
    <col min="11" max="11" width="1.28515625" style="976" customWidth="1"/>
    <col min="12" max="16384" width="0" style="976" hidden="1"/>
  </cols>
  <sheetData>
    <row r="1" spans="1:11" ht="6.75" customHeight="1" thickBot="1">
      <c r="A1" s="2159" t="s">
        <v>2828</v>
      </c>
      <c r="B1" s="78"/>
      <c r="C1" s="78"/>
      <c r="D1" s="78"/>
      <c r="E1" s="78"/>
      <c r="F1" s="78"/>
      <c r="G1" s="78"/>
      <c r="H1" s="78"/>
      <c r="I1" s="78"/>
      <c r="J1" s="400"/>
      <c r="K1" s="78"/>
    </row>
    <row r="2" spans="1:11" ht="16.5" thickBot="1">
      <c r="A2" s="27" t="s">
        <v>621</v>
      </c>
      <c r="B2" s="78"/>
      <c r="C2" s="78"/>
      <c r="D2" s="78"/>
      <c r="E2" s="941" t="s">
        <v>163</v>
      </c>
      <c r="F2" s="78"/>
      <c r="G2" s="936" t="str">
        <f>'1 Summary'!G2</f>
        <v/>
      </c>
      <c r="H2" s="943"/>
      <c r="I2" s="943"/>
      <c r="J2" s="1400"/>
      <c r="K2" s="78"/>
    </row>
    <row r="3" spans="1:11" ht="16.5" thickBot="1">
      <c r="A3" s="27" t="s">
        <v>94</v>
      </c>
      <c r="B3" s="78"/>
      <c r="C3" s="78"/>
      <c r="D3" s="78"/>
      <c r="E3" s="941" t="s">
        <v>162</v>
      </c>
      <c r="F3" s="78"/>
      <c r="G3" s="980">
        <f>'1 Summary'!G3</f>
        <v>0</v>
      </c>
      <c r="H3" s="78"/>
      <c r="I3" s="78"/>
      <c r="J3" s="1401"/>
      <c r="K3" s="78"/>
    </row>
    <row r="4" spans="1:11" ht="15.75">
      <c r="A4" s="78"/>
      <c r="B4" s="27"/>
      <c r="C4" s="78"/>
      <c r="D4" s="78"/>
      <c r="E4" s="78"/>
      <c r="F4" s="1402"/>
      <c r="G4" s="78"/>
      <c r="H4" s="78"/>
      <c r="I4" s="78"/>
      <c r="J4" s="1401"/>
      <c r="K4" s="78"/>
    </row>
    <row r="5" spans="1:11" ht="15.75">
      <c r="A5" s="104"/>
      <c r="B5" s="78"/>
      <c r="C5" s="78"/>
      <c r="D5" s="78"/>
      <c r="E5" s="78"/>
      <c r="F5" s="901"/>
      <c r="G5" s="78"/>
      <c r="H5" s="1403"/>
      <c r="I5" s="1403"/>
      <c r="J5" s="104"/>
      <c r="K5" s="78"/>
    </row>
    <row r="6" spans="1:11" ht="15.75">
      <c r="A6" s="104">
        <v>13.1</v>
      </c>
      <c r="B6" s="27" t="s">
        <v>2452</v>
      </c>
      <c r="C6" s="78"/>
      <c r="D6" s="78"/>
      <c r="E6" s="78"/>
      <c r="F6" s="1264"/>
      <c r="G6" s="1051" t="s">
        <v>1298</v>
      </c>
      <c r="H6" s="953">
        <f>IF($G$3=0,0,VLOOKUP($G$3,Tables!$A$5:$Z$8,21,FALSE))</f>
        <v>0</v>
      </c>
      <c r="I6" s="974"/>
      <c r="J6" s="104">
        <f>+A6</f>
        <v>13.1</v>
      </c>
      <c r="K6" s="78"/>
    </row>
    <row r="7" spans="1:11" ht="15.75">
      <c r="A7" s="104"/>
      <c r="B7" s="78"/>
      <c r="C7" s="78" t="s">
        <v>2981</v>
      </c>
      <c r="D7" s="78"/>
      <c r="E7" s="78"/>
      <c r="F7" s="78"/>
      <c r="G7" s="78"/>
      <c r="H7" s="1137"/>
      <c r="I7" s="1137"/>
      <c r="J7" s="104"/>
      <c r="K7" s="78"/>
    </row>
    <row r="8" spans="1:11" ht="15.75">
      <c r="A8" s="104"/>
      <c r="B8" s="78"/>
      <c r="C8" s="78"/>
      <c r="D8" s="78"/>
      <c r="E8" s="78"/>
      <c r="F8" s="78"/>
      <c r="G8" s="1404"/>
      <c r="H8" s="1138"/>
      <c r="I8" s="1138"/>
      <c r="J8" s="104"/>
      <c r="K8" s="78"/>
    </row>
    <row r="9" spans="1:11" ht="15.75">
      <c r="A9" s="104">
        <v>13.2</v>
      </c>
      <c r="B9" s="27" t="s">
        <v>1305</v>
      </c>
      <c r="C9" s="78"/>
      <c r="D9" s="78"/>
      <c r="E9" s="78"/>
      <c r="F9" s="78"/>
      <c r="G9" s="78"/>
      <c r="H9" s="1138"/>
      <c r="I9" s="1138"/>
      <c r="J9" s="104"/>
      <c r="K9" s="78"/>
    </row>
    <row r="10" spans="1:11" ht="15.75">
      <c r="A10" s="104"/>
      <c r="B10" s="78"/>
      <c r="C10" s="78"/>
      <c r="D10" s="78"/>
      <c r="E10" s="78"/>
      <c r="F10" s="78"/>
      <c r="G10" s="78"/>
      <c r="H10" s="1138"/>
      <c r="I10" s="1138"/>
      <c r="J10" s="104"/>
      <c r="K10" s="78"/>
    </row>
    <row r="11" spans="1:11" ht="15.75" customHeight="1">
      <c r="A11" s="104" t="s">
        <v>1021</v>
      </c>
      <c r="B11" s="969" t="s">
        <v>231</v>
      </c>
      <c r="C11" s="2041"/>
      <c r="D11" s="2041"/>
      <c r="E11" s="2041"/>
      <c r="F11" s="78"/>
      <c r="G11" s="78"/>
      <c r="H11" s="1004">
        <f>'Sch 12 ConEd Summer'!E32+'Sch 12 ConEd Summer'!E33</f>
        <v>0</v>
      </c>
      <c r="I11" s="1138"/>
      <c r="J11" s="104" t="str">
        <f>A11</f>
        <v>13.2.1</v>
      </c>
      <c r="K11" s="78"/>
    </row>
    <row r="12" spans="1:11" ht="15.75">
      <c r="A12" s="104"/>
      <c r="B12" s="2041"/>
      <c r="C12" s="2041"/>
      <c r="D12" s="2041"/>
      <c r="E12" s="2041"/>
      <c r="F12" s="78"/>
      <c r="G12" s="78"/>
      <c r="H12" s="1138"/>
      <c r="I12" s="1138"/>
      <c r="J12" s="104"/>
      <c r="K12" s="78"/>
    </row>
    <row r="13" spans="1:11" ht="12.75" customHeight="1">
      <c r="A13" s="104" t="s">
        <v>1022</v>
      </c>
      <c r="B13" s="969" t="s">
        <v>2752</v>
      </c>
      <c r="C13" s="2041"/>
      <c r="D13" s="2041"/>
      <c r="E13" s="2041"/>
      <c r="F13" s="78"/>
      <c r="G13" s="78"/>
      <c r="H13" s="1004">
        <f>+'Sch 12 ConEd Summer'!E19</f>
        <v>0</v>
      </c>
      <c r="I13" s="1137"/>
      <c r="J13" s="104" t="str">
        <f>A13</f>
        <v>13.2.2</v>
      </c>
      <c r="K13" s="78"/>
    </row>
    <row r="14" spans="1:11" ht="15.75">
      <c r="A14" s="104"/>
      <c r="B14" s="969" t="s">
        <v>2753</v>
      </c>
      <c r="C14" s="2041"/>
      <c r="D14" s="2041"/>
      <c r="E14" s="2041"/>
      <c r="F14" s="78"/>
      <c r="G14" s="78"/>
      <c r="H14" s="1138"/>
      <c r="I14" s="1138"/>
      <c r="J14" s="104"/>
      <c r="K14" s="78"/>
    </row>
    <row r="15" spans="1:11" ht="15.75" customHeight="1">
      <c r="A15" s="104" t="s">
        <v>1023</v>
      </c>
      <c r="B15" s="122" t="s">
        <v>2749</v>
      </c>
      <c r="C15" s="2030"/>
      <c r="D15" s="2030"/>
      <c r="E15" s="2030"/>
      <c r="F15" s="78"/>
      <c r="G15" s="78"/>
      <c r="H15" s="1004">
        <f>+'Sch 12 ConEd Summer'!E20+'Sch 12 ConEd Summer'!E21</f>
        <v>0</v>
      </c>
      <c r="I15" s="1137"/>
      <c r="J15" s="104" t="str">
        <f>A15</f>
        <v>13.2.3</v>
      </c>
      <c r="K15" s="78"/>
    </row>
    <row r="16" spans="1:11" ht="15.75">
      <c r="A16" s="104"/>
      <c r="B16" s="122" t="s">
        <v>2750</v>
      </c>
      <c r="C16" s="2030"/>
      <c r="D16" s="2030"/>
      <c r="E16" s="2030"/>
      <c r="F16" s="78"/>
      <c r="G16" s="78"/>
      <c r="H16" s="1138"/>
      <c r="I16" s="1138"/>
      <c r="J16" s="104"/>
      <c r="K16" s="78"/>
    </row>
    <row r="17" spans="1:11" ht="15.75">
      <c r="A17" s="104"/>
      <c r="B17" s="122" t="s">
        <v>2751</v>
      </c>
      <c r="C17" s="2030"/>
      <c r="D17" s="2030"/>
      <c r="E17" s="2030"/>
      <c r="F17" s="78"/>
      <c r="G17" s="78"/>
      <c r="H17" s="1138"/>
      <c r="I17" s="1138"/>
      <c r="J17" s="104"/>
      <c r="K17" s="78"/>
    </row>
    <row r="18" spans="1:11" ht="15.75">
      <c r="A18" s="104"/>
      <c r="B18" s="2030"/>
      <c r="C18" s="2030"/>
      <c r="D18" s="2030"/>
      <c r="E18" s="2030"/>
      <c r="F18" s="1005" t="s">
        <v>1187</v>
      </c>
      <c r="G18" s="78"/>
      <c r="H18" s="1138"/>
      <c r="I18" s="1138"/>
      <c r="J18" s="104"/>
      <c r="K18" s="78"/>
    </row>
    <row r="19" spans="1:11" ht="15.75">
      <c r="A19" s="104"/>
      <c r="B19" s="78"/>
      <c r="C19" s="78"/>
      <c r="D19" s="78"/>
      <c r="E19" s="78"/>
      <c r="F19" s="901"/>
      <c r="G19" s="78"/>
      <c r="H19" s="1138"/>
      <c r="I19" s="1138"/>
      <c r="J19" s="104"/>
      <c r="K19" s="78"/>
    </row>
    <row r="20" spans="1:11" ht="15.75">
      <c r="A20" s="104" t="s">
        <v>1871</v>
      </c>
      <c r="B20" s="78" t="s">
        <v>1853</v>
      </c>
      <c r="C20" s="78"/>
      <c r="D20" s="78"/>
      <c r="E20" s="78"/>
      <c r="F20" s="1405">
        <f>'GSN Benchmarks'!B244</f>
        <v>6657</v>
      </c>
      <c r="G20" s="314" t="s">
        <v>1299</v>
      </c>
      <c r="H20" s="964">
        <f>ROUND((H11+H13+H15)*F20,0)</f>
        <v>0</v>
      </c>
      <c r="I20" s="1138"/>
      <c r="J20" s="104" t="str">
        <f>A20</f>
        <v>13.2.4</v>
      </c>
      <c r="K20" s="78"/>
    </row>
    <row r="21" spans="1:11" ht="15.75">
      <c r="A21" s="104"/>
      <c r="B21" s="78" t="s">
        <v>1854</v>
      </c>
      <c r="C21" s="78"/>
      <c r="D21" s="78"/>
      <c r="E21" s="78"/>
      <c r="F21" s="78"/>
      <c r="G21" s="1404"/>
      <c r="H21" s="1137"/>
      <c r="I21" s="1137"/>
      <c r="J21" s="104"/>
      <c r="K21" s="78"/>
    </row>
    <row r="22" spans="1:11" ht="15.75">
      <c r="A22" s="104"/>
      <c r="B22" s="78"/>
      <c r="C22" s="78"/>
      <c r="D22" s="78"/>
      <c r="E22" s="78"/>
      <c r="F22" s="78"/>
      <c r="G22" s="78"/>
      <c r="H22" s="1137"/>
      <c r="I22" s="1137"/>
      <c r="J22" s="104"/>
      <c r="K22" s="78"/>
    </row>
    <row r="23" spans="1:11" ht="15.75">
      <c r="A23" s="104">
        <v>13.3</v>
      </c>
      <c r="B23" s="27" t="s">
        <v>2474</v>
      </c>
      <c r="C23" s="27"/>
      <c r="D23" s="78"/>
      <c r="E23" s="78"/>
      <c r="F23" s="78"/>
      <c r="G23" s="78"/>
      <c r="H23" s="1137"/>
      <c r="I23" s="1137"/>
      <c r="J23" s="104"/>
      <c r="K23" s="78"/>
    </row>
    <row r="24" spans="1:11" ht="15.75">
      <c r="A24" s="104"/>
      <c r="B24" s="78"/>
      <c r="C24" s="78"/>
      <c r="D24" s="78"/>
      <c r="E24" s="78"/>
      <c r="F24" s="78"/>
      <c r="G24" s="78"/>
      <c r="H24" s="1137"/>
      <c r="I24" s="1137"/>
      <c r="J24" s="104"/>
      <c r="K24" s="78"/>
    </row>
    <row r="25" spans="1:11" ht="15.75">
      <c r="A25" s="104" t="s">
        <v>52</v>
      </c>
      <c r="B25" s="78" t="s">
        <v>1615</v>
      </c>
      <c r="C25" s="78"/>
      <c r="D25" s="78"/>
      <c r="E25" s="78"/>
      <c r="F25" s="200"/>
      <c r="G25" s="78"/>
      <c r="H25" s="1137"/>
      <c r="I25" s="1137"/>
      <c r="J25" s="104"/>
      <c r="K25" s="78"/>
    </row>
    <row r="26" spans="1:11" ht="15.75">
      <c r="A26" s="104"/>
      <c r="B26" s="78"/>
      <c r="C26" s="78"/>
      <c r="D26" s="78"/>
      <c r="E26" s="78"/>
      <c r="F26" s="200"/>
      <c r="G26" s="78"/>
      <c r="H26" s="1137"/>
      <c r="I26" s="1137"/>
      <c r="J26" s="104"/>
      <c r="K26" s="78"/>
    </row>
    <row r="27" spans="1:11" ht="15.75">
      <c r="A27" s="104" t="s">
        <v>53</v>
      </c>
      <c r="B27" s="1135" t="s">
        <v>1579</v>
      </c>
      <c r="C27" s="1136" t="s">
        <v>2982</v>
      </c>
      <c r="D27" s="78"/>
      <c r="E27" s="78"/>
      <c r="F27" s="200"/>
      <c r="G27" s="78"/>
      <c r="H27" s="953">
        <f>IF($G$3=0,0,VLOOKUP($G$3,Tables!$A$5:$AN$8,22,FALSE))</f>
        <v>0</v>
      </c>
      <c r="I27" s="1137"/>
      <c r="J27" s="104" t="str">
        <f>A27:A28</f>
        <v>13.3.2</v>
      </c>
      <c r="K27" s="78"/>
    </row>
    <row r="28" spans="1:11" ht="15.75">
      <c r="A28" s="104"/>
      <c r="B28" s="1135"/>
      <c r="C28" s="1136"/>
      <c r="D28" s="78"/>
      <c r="E28" s="78"/>
      <c r="F28" s="200"/>
      <c r="G28" s="78"/>
      <c r="H28" s="1138"/>
      <c r="I28" s="1137"/>
      <c r="J28" s="104"/>
      <c r="K28" s="78"/>
    </row>
    <row r="29" spans="1:11" ht="15.75">
      <c r="A29" s="104" t="s">
        <v>54</v>
      </c>
      <c r="B29" s="1135"/>
      <c r="C29" s="1136" t="s">
        <v>2983</v>
      </c>
      <c r="D29" s="78"/>
      <c r="E29" s="78"/>
      <c r="F29" s="200"/>
      <c r="G29" s="78"/>
      <c r="H29" s="953">
        <f>IF($G$3=0,0,VLOOKUP($G$3,Tables!$A$5:$AN$8,23,FALSE))</f>
        <v>0</v>
      </c>
      <c r="I29" s="1137"/>
      <c r="J29" s="104" t="str">
        <f>A29:A30</f>
        <v>13.3.3</v>
      </c>
      <c r="K29" s="78"/>
    </row>
    <row r="30" spans="1:11" ht="15.75">
      <c r="A30" s="104"/>
      <c r="B30" s="78"/>
      <c r="C30" s="1136"/>
      <c r="D30" s="78"/>
      <c r="E30" s="78"/>
      <c r="F30" s="78"/>
      <c r="G30" s="78"/>
      <c r="H30" s="1138"/>
      <c r="I30" s="1137"/>
      <c r="J30" s="104"/>
      <c r="K30" s="78"/>
    </row>
    <row r="31" spans="1:11" ht="15.75">
      <c r="A31" s="104" t="s">
        <v>1872</v>
      </c>
      <c r="B31" s="1135"/>
      <c r="C31" s="1136" t="s">
        <v>289</v>
      </c>
      <c r="D31" s="78"/>
      <c r="E31" s="78"/>
      <c r="F31" s="200"/>
      <c r="G31" s="78"/>
      <c r="H31" s="1406"/>
      <c r="I31" s="1137"/>
      <c r="J31" s="104" t="str">
        <f>A31:A32</f>
        <v>13.3.4</v>
      </c>
      <c r="K31" s="78"/>
    </row>
    <row r="32" spans="1:11" ht="15.75">
      <c r="A32" s="104"/>
      <c r="B32" s="78"/>
      <c r="C32" s="1136"/>
      <c r="D32" s="78"/>
      <c r="E32" s="78"/>
      <c r="F32" s="78"/>
      <c r="G32" s="78"/>
      <c r="H32" s="1138"/>
      <c r="I32" s="1137"/>
      <c r="J32" s="104"/>
      <c r="K32" s="78"/>
    </row>
    <row r="33" spans="1:11" ht="15.75">
      <c r="A33" s="104" t="s">
        <v>1873</v>
      </c>
      <c r="B33" s="1135"/>
      <c r="C33" s="1136" t="s">
        <v>618</v>
      </c>
      <c r="D33" s="78"/>
      <c r="E33" s="78"/>
      <c r="F33" s="200"/>
      <c r="G33" s="78"/>
      <c r="H33" s="1407">
        <f>IF(H31=0,0,MIN(H29,H31))</f>
        <v>0</v>
      </c>
      <c r="I33" s="1137"/>
      <c r="J33" s="104" t="str">
        <f>A33:A34</f>
        <v>13.3.5</v>
      </c>
      <c r="K33" s="78"/>
    </row>
    <row r="34" spans="1:11" ht="15.75">
      <c r="A34" s="104"/>
      <c r="B34" s="78"/>
      <c r="C34" s="78"/>
      <c r="D34" s="78"/>
      <c r="E34" s="78"/>
      <c r="F34" s="78"/>
      <c r="G34" s="78"/>
      <c r="H34" s="1138"/>
      <c r="I34" s="1137"/>
      <c r="J34" s="104"/>
      <c r="K34" s="78"/>
    </row>
    <row r="35" spans="1:11" ht="15.75">
      <c r="A35" s="104" t="s">
        <v>1874</v>
      </c>
      <c r="B35" s="78" t="s">
        <v>2984</v>
      </c>
      <c r="C35" s="78"/>
      <c r="D35" s="78"/>
      <c r="E35" s="78"/>
      <c r="F35" s="200"/>
      <c r="G35" s="78"/>
      <c r="H35" s="953">
        <f>IF($G$3=0,0,VLOOKUP($G$3,Tables!$A$5:$Z$8,24,FALSE))</f>
        <v>0</v>
      </c>
      <c r="I35" s="1137"/>
      <c r="J35" s="104" t="str">
        <f>A35:A35</f>
        <v>13.3.6</v>
      </c>
      <c r="K35" s="78"/>
    </row>
    <row r="36" spans="1:11" ht="15.75">
      <c r="A36" s="104"/>
      <c r="B36" s="78"/>
      <c r="C36" s="78"/>
      <c r="D36" s="78"/>
      <c r="E36" s="78"/>
      <c r="F36" s="200"/>
      <c r="G36" s="78"/>
      <c r="H36" s="974"/>
      <c r="I36" s="1137"/>
      <c r="J36" s="104"/>
      <c r="K36" s="78"/>
    </row>
    <row r="37" spans="1:11" ht="15.75">
      <c r="A37" s="104" t="s">
        <v>1875</v>
      </c>
      <c r="B37" s="78" t="s">
        <v>2476</v>
      </c>
      <c r="C37" s="78"/>
      <c r="D37" s="78"/>
      <c r="E37" s="78"/>
      <c r="F37" s="200"/>
      <c r="G37" s="78"/>
      <c r="H37" s="953">
        <f>IF($G$3=0,0,VLOOKUP($G$3,Tables!$A$5:$AP$8,41,FALSE))</f>
        <v>0</v>
      </c>
      <c r="I37" s="1137"/>
      <c r="J37" s="104" t="str">
        <f>A37:A37</f>
        <v>13.3.7</v>
      </c>
      <c r="K37" s="78"/>
    </row>
    <row r="38" spans="1:11" ht="15.75">
      <c r="A38" s="104"/>
      <c r="B38" s="78" t="s">
        <v>2985</v>
      </c>
      <c r="C38" s="78"/>
      <c r="D38" s="78"/>
      <c r="E38" s="78"/>
      <c r="F38" s="78"/>
      <c r="G38" s="78"/>
      <c r="H38" s="1138"/>
      <c r="I38" s="1137"/>
      <c r="J38" s="104"/>
      <c r="K38" s="78"/>
    </row>
    <row r="39" spans="1:11" ht="15.75">
      <c r="A39" s="104"/>
      <c r="B39" s="78"/>
      <c r="C39" s="78"/>
      <c r="D39" s="78"/>
      <c r="E39" s="78"/>
      <c r="F39" s="78"/>
      <c r="G39" s="78"/>
      <c r="H39" s="1138"/>
      <c r="I39" s="1137"/>
      <c r="J39" s="104"/>
      <c r="K39" s="78"/>
    </row>
    <row r="40" spans="1:11" ht="15.75">
      <c r="A40" s="104" t="s">
        <v>1005</v>
      </c>
      <c r="B40" s="78" t="s">
        <v>269</v>
      </c>
      <c r="C40" s="78"/>
      <c r="D40" s="78"/>
      <c r="E40" s="78"/>
      <c r="F40" s="78"/>
      <c r="G40" s="78"/>
      <c r="H40" s="964">
        <f>ROUND(H27+H33+H35+H37,0)</f>
        <v>0</v>
      </c>
      <c r="I40" s="1137"/>
      <c r="J40" s="104" t="str">
        <f>A40:A78</f>
        <v>13.3.8</v>
      </c>
      <c r="K40" s="78"/>
    </row>
    <row r="41" spans="1:11" ht="15.75">
      <c r="A41" s="104"/>
      <c r="B41" s="400" t="s">
        <v>1177</v>
      </c>
      <c r="C41" s="78"/>
      <c r="D41" s="78"/>
      <c r="E41" s="78"/>
      <c r="F41" s="78"/>
      <c r="G41" s="78"/>
      <c r="H41" s="1137"/>
      <c r="I41" s="1137"/>
      <c r="J41" s="104"/>
      <c r="K41" s="78"/>
    </row>
    <row r="42" spans="1:11" ht="15.75">
      <c r="A42" s="104"/>
      <c r="B42" s="958"/>
      <c r="C42" s="958"/>
      <c r="D42" s="78"/>
      <c r="E42" s="78"/>
      <c r="F42" s="78"/>
      <c r="G42" s="78"/>
      <c r="H42" s="1137"/>
      <c r="I42" s="1137"/>
      <c r="J42" s="104"/>
      <c r="K42" s="78"/>
    </row>
    <row r="43" spans="1:11" ht="15.75">
      <c r="A43" s="104"/>
      <c r="B43" s="958"/>
      <c r="C43" s="958"/>
      <c r="D43" s="78"/>
      <c r="E43" s="78"/>
      <c r="F43" s="78"/>
      <c r="G43" s="78"/>
      <c r="H43" s="1137"/>
      <c r="I43" s="1137"/>
      <c r="J43" s="104"/>
      <c r="K43" s="78"/>
    </row>
    <row r="44" spans="1:11" ht="15.75">
      <c r="A44" s="104">
        <v>13.4</v>
      </c>
      <c r="B44" s="27" t="s">
        <v>2475</v>
      </c>
      <c r="C44" s="78"/>
      <c r="D44" s="78"/>
      <c r="E44" s="78"/>
      <c r="F44" s="78"/>
      <c r="G44" s="78"/>
      <c r="H44" s="1137"/>
      <c r="I44" s="1137"/>
      <c r="J44" s="104"/>
      <c r="K44" s="78"/>
    </row>
    <row r="45" spans="1:11" ht="15.75">
      <c r="A45" s="104"/>
      <c r="B45" s="78"/>
      <c r="C45" s="78"/>
      <c r="D45" s="78"/>
      <c r="E45" s="78"/>
      <c r="F45" s="78"/>
      <c r="G45" s="78"/>
      <c r="H45" s="1137"/>
      <c r="I45" s="1137"/>
      <c r="J45" s="104"/>
      <c r="K45" s="78"/>
    </row>
    <row r="46" spans="1:11" ht="15.75">
      <c r="A46" s="104" t="s">
        <v>1934</v>
      </c>
      <c r="B46" s="78" t="s">
        <v>2986</v>
      </c>
      <c r="C46" s="78"/>
      <c r="D46" s="78"/>
      <c r="E46" s="78"/>
      <c r="F46" s="78"/>
      <c r="G46" s="78"/>
      <c r="H46" s="964">
        <f>IF($G$3=0,0,VLOOKUP($G$3,Tables!$A$5:$AN$8,34,FALSE))</f>
        <v>0</v>
      </c>
      <c r="I46" s="1137"/>
      <c r="J46" s="104" t="str">
        <f>A46</f>
        <v>13.4.1</v>
      </c>
      <c r="K46" s="78"/>
    </row>
    <row r="47" spans="1:11" ht="15.75">
      <c r="A47" s="104"/>
      <c r="B47" s="78"/>
      <c r="C47" s="78"/>
      <c r="D47" s="78"/>
      <c r="E47" s="78"/>
      <c r="F47" s="78"/>
      <c r="G47" s="78"/>
      <c r="H47" s="1137"/>
      <c r="I47" s="1137"/>
      <c r="J47" s="104"/>
      <c r="K47" s="78"/>
    </row>
    <row r="48" spans="1:11" ht="15.75">
      <c r="A48" s="104" t="s">
        <v>1935</v>
      </c>
      <c r="B48" s="1264"/>
      <c r="C48" s="1136" t="s">
        <v>2987</v>
      </c>
      <c r="D48" s="78"/>
      <c r="E48" s="200"/>
      <c r="F48" s="78"/>
      <c r="G48" s="974"/>
      <c r="H48" s="953">
        <f>IF($G$3=0,0,VLOOKUP($G$3,Tables!$A$5:$AN$8,36,FALSE))</f>
        <v>0</v>
      </c>
      <c r="I48" s="1137"/>
      <c r="J48" s="104" t="str">
        <f>A48</f>
        <v>13.4.2</v>
      </c>
      <c r="K48" s="78"/>
    </row>
    <row r="49" spans="1:11" ht="15.75">
      <c r="A49" s="104"/>
      <c r="B49" s="1264"/>
      <c r="C49" s="1136"/>
      <c r="D49" s="78"/>
      <c r="E49" s="200"/>
      <c r="F49" s="78"/>
      <c r="G49" s="1138"/>
      <c r="H49" s="1138"/>
      <c r="I49" s="1137"/>
      <c r="J49" s="104"/>
      <c r="K49" s="78"/>
    </row>
    <row r="50" spans="1:11" ht="15.75">
      <c r="A50" s="104" t="s">
        <v>1936</v>
      </c>
      <c r="B50" s="1264"/>
      <c r="C50" s="1136" t="s">
        <v>2988</v>
      </c>
      <c r="D50" s="78"/>
      <c r="E50" s="200"/>
      <c r="F50" s="78"/>
      <c r="G50" s="974"/>
      <c r="H50" s="953">
        <f>IF($G$3=0,0,VLOOKUP($G$3,Tables!$A$5:$AN8,35,FALSE))</f>
        <v>0</v>
      </c>
      <c r="I50" s="1137"/>
      <c r="J50" s="104" t="str">
        <f>A50</f>
        <v>13.4.3</v>
      </c>
      <c r="K50" s="78"/>
    </row>
    <row r="51" spans="1:11" ht="15.75">
      <c r="A51" s="104"/>
      <c r="B51" s="1264"/>
      <c r="C51" s="1136"/>
      <c r="D51" s="78"/>
      <c r="E51" s="78"/>
      <c r="F51" s="78"/>
      <c r="G51" s="1138"/>
      <c r="H51" s="1138"/>
      <c r="I51" s="1137"/>
      <c r="J51" s="104"/>
      <c r="K51" s="78"/>
    </row>
    <row r="52" spans="1:11" ht="15.75">
      <c r="A52" s="104" t="s">
        <v>1937</v>
      </c>
      <c r="B52" s="1264"/>
      <c r="C52" s="1136" t="s">
        <v>289</v>
      </c>
      <c r="D52" s="78"/>
      <c r="E52" s="200"/>
      <c r="F52" s="78"/>
      <c r="G52" s="1408"/>
      <c r="H52" s="1406"/>
      <c r="I52" s="1137"/>
      <c r="J52" s="104" t="str">
        <f>A52</f>
        <v>13.4.4</v>
      </c>
      <c r="K52" s="78"/>
    </row>
    <row r="53" spans="1:11" ht="15.75">
      <c r="A53" s="104"/>
      <c r="B53" s="1264"/>
      <c r="C53" s="1136"/>
      <c r="D53" s="78"/>
      <c r="E53" s="78"/>
      <c r="F53" s="78"/>
      <c r="G53" s="1138"/>
      <c r="H53" s="1138"/>
      <c r="I53" s="1137"/>
      <c r="J53" s="104"/>
      <c r="K53" s="78"/>
    </row>
    <row r="54" spans="1:11" ht="15.75">
      <c r="A54" s="104" t="s">
        <v>1938</v>
      </c>
      <c r="B54" s="1264"/>
      <c r="C54" s="1136" t="s">
        <v>618</v>
      </c>
      <c r="D54" s="78"/>
      <c r="E54" s="200"/>
      <c r="F54" s="78"/>
      <c r="G54" s="1408"/>
      <c r="H54" s="953">
        <f>IF(H52=0,0,MIN(H50,H52))</f>
        <v>0</v>
      </c>
      <c r="I54" s="1137"/>
      <c r="J54" s="104" t="str">
        <f>A54</f>
        <v>13.4.5</v>
      </c>
      <c r="K54" s="78"/>
    </row>
    <row r="55" spans="1:11" ht="15.75">
      <c r="A55" s="104"/>
      <c r="B55" s="78"/>
      <c r="C55" s="78"/>
      <c r="D55" s="78"/>
      <c r="E55" s="78"/>
      <c r="F55" s="78"/>
      <c r="G55" s="200"/>
      <c r="H55" s="1137"/>
      <c r="I55" s="1137"/>
      <c r="J55" s="104"/>
      <c r="K55" s="78"/>
    </row>
    <row r="56" spans="1:11" ht="15.75">
      <c r="A56" s="104" t="s">
        <v>1939</v>
      </c>
      <c r="B56" s="78" t="s">
        <v>1933</v>
      </c>
      <c r="C56" s="78"/>
      <c r="D56" s="78"/>
      <c r="E56" s="78"/>
      <c r="F56" s="78"/>
      <c r="G56" s="200"/>
      <c r="H56" s="964">
        <f>ROUND(H54+H48+H46,0)</f>
        <v>0</v>
      </c>
      <c r="I56" s="1137"/>
      <c r="J56" s="104" t="str">
        <f>A56</f>
        <v>13.4.6</v>
      </c>
      <c r="K56" s="78"/>
    </row>
    <row r="57" spans="1:11" ht="15.75">
      <c r="A57" s="104"/>
      <c r="B57" s="400" t="s">
        <v>1940</v>
      </c>
      <c r="C57" s="78"/>
      <c r="D57" s="78"/>
      <c r="E57" s="78"/>
      <c r="F57" s="78"/>
      <c r="G57" s="78"/>
      <c r="H57" s="1137"/>
      <c r="I57" s="1137"/>
      <c r="J57" s="104"/>
      <c r="K57" s="78"/>
    </row>
    <row r="58" spans="1:11" ht="15.75">
      <c r="A58" s="104"/>
      <c r="B58" s="78"/>
      <c r="C58" s="78"/>
      <c r="D58" s="78"/>
      <c r="E58" s="78"/>
      <c r="F58" s="78"/>
      <c r="G58" s="78"/>
      <c r="H58" s="1137"/>
      <c r="I58" s="1137"/>
      <c r="J58" s="104"/>
      <c r="K58" s="78"/>
    </row>
    <row r="59" spans="1:11" ht="15.75">
      <c r="A59" s="104">
        <v>13.5</v>
      </c>
      <c r="B59" s="27" t="s">
        <v>1941</v>
      </c>
      <c r="C59" s="78"/>
      <c r="D59" s="78"/>
      <c r="E59" s="78"/>
      <c r="F59" s="78"/>
      <c r="G59" s="78"/>
      <c r="H59" s="1409">
        <f>IF(G3=0,0,2000)</f>
        <v>0</v>
      </c>
      <c r="I59" s="1137"/>
      <c r="J59" s="104">
        <f>A59</f>
        <v>13.5</v>
      </c>
      <c r="K59" s="78"/>
    </row>
    <row r="60" spans="1:11" ht="15.75">
      <c r="A60" s="104"/>
      <c r="B60" s="78"/>
      <c r="C60" s="78"/>
      <c r="D60" s="78"/>
      <c r="E60" s="78"/>
      <c r="F60" s="78"/>
      <c r="G60" s="78"/>
      <c r="H60" s="1175"/>
      <c r="I60" s="1137"/>
      <c r="J60" s="104"/>
      <c r="K60" s="78"/>
    </row>
    <row r="61" spans="1:11" ht="15.75">
      <c r="A61" s="104">
        <v>13.6</v>
      </c>
      <c r="B61" s="27" t="s">
        <v>2989</v>
      </c>
      <c r="C61" s="78"/>
      <c r="D61" s="78"/>
      <c r="E61" s="78"/>
      <c r="F61" s="78"/>
      <c r="G61" s="78"/>
      <c r="H61" s="964">
        <f>IF($G$3=0,0,VLOOKUP($G$3,Tables!$A$5:$AN$8,40,FALSE))</f>
        <v>0</v>
      </c>
      <c r="I61" s="1137"/>
      <c r="J61" s="104">
        <f>A61</f>
        <v>13.6</v>
      </c>
      <c r="K61" s="78"/>
    </row>
    <row r="62" spans="1:11" ht="15.75">
      <c r="A62" s="104"/>
      <c r="B62" s="78"/>
      <c r="C62" s="78"/>
      <c r="D62" s="78"/>
      <c r="E62" s="78"/>
      <c r="F62" s="78"/>
      <c r="G62" s="78"/>
      <c r="H62" s="1137"/>
      <c r="I62" s="1137"/>
      <c r="J62" s="104"/>
      <c r="K62" s="78"/>
    </row>
    <row r="63" spans="1:11" ht="15.75">
      <c r="A63" s="104">
        <v>13.7</v>
      </c>
      <c r="B63" s="27" t="s">
        <v>2315</v>
      </c>
      <c r="C63" s="78"/>
      <c r="D63" s="78"/>
      <c r="E63" s="78"/>
      <c r="F63" s="78"/>
      <c r="G63" s="78"/>
      <c r="H63" s="964">
        <f>IF($G$3=0,0,VLOOKUP($G$3,Tables!$A$5:$AY$8,51,FALSE))</f>
        <v>0</v>
      </c>
      <c r="I63" s="1137"/>
      <c r="J63" s="104">
        <f>A63</f>
        <v>13.7</v>
      </c>
      <c r="K63" s="78"/>
    </row>
    <row r="64" spans="1:11" ht="15.75">
      <c r="A64" s="104"/>
      <c r="B64" s="78"/>
      <c r="C64" s="78"/>
      <c r="D64" s="78"/>
      <c r="E64" s="78"/>
      <c r="F64" s="78"/>
      <c r="G64" s="78"/>
      <c r="H64" s="1137"/>
      <c r="I64" s="1137"/>
      <c r="J64" s="104"/>
      <c r="K64" s="78"/>
    </row>
    <row r="65" spans="1:11" ht="15.75">
      <c r="A65" s="104">
        <v>13.8</v>
      </c>
      <c r="B65" s="27" t="s">
        <v>2875</v>
      </c>
      <c r="C65" s="78"/>
      <c r="D65" s="78"/>
      <c r="E65" s="78"/>
      <c r="F65" s="78"/>
      <c r="G65" s="78"/>
      <c r="H65" s="964">
        <f>ROUND('GSN Benchmarks'!B393+'GSN Benchmarks'!B394*'Sch 13 Enrolment'!V70,0)</f>
        <v>5000</v>
      </c>
      <c r="I65" s="1137"/>
      <c r="J65" s="104">
        <f>A65</f>
        <v>13.8</v>
      </c>
      <c r="K65" s="78"/>
    </row>
    <row r="66" spans="1:11" ht="15.75">
      <c r="A66" s="104"/>
      <c r="B66" s="1134" t="str">
        <f>"….$"&amp;'GSN Benchmarks'!B393&amp;" + "&amp;'GSN Benchmarks'!B394&amp;" x Total Day School ADE"</f>
        <v>….$5000 + 8.51 x Total Day School ADE</v>
      </c>
      <c r="C66" s="78"/>
      <c r="D66" s="78"/>
      <c r="E66" s="78"/>
      <c r="F66" s="78"/>
      <c r="G66" s="78"/>
      <c r="H66" s="1138"/>
      <c r="I66" s="1137"/>
      <c r="J66" s="104"/>
      <c r="K66" s="78"/>
    </row>
    <row r="67" spans="1:11" ht="15.75">
      <c r="A67" s="104"/>
      <c r="B67" s="1134"/>
      <c r="C67" s="78"/>
      <c r="D67" s="78"/>
      <c r="E67" s="78"/>
      <c r="F67" s="78"/>
      <c r="G67" s="78"/>
      <c r="H67" s="1138"/>
      <c r="I67" s="1137"/>
      <c r="J67" s="104"/>
      <c r="K67" s="78"/>
    </row>
    <row r="68" spans="1:11" ht="15.75">
      <c r="A68" s="104">
        <v>13.9</v>
      </c>
      <c r="B68" s="27" t="s">
        <v>2899</v>
      </c>
      <c r="C68" s="78"/>
      <c r="D68" s="78"/>
      <c r="E68" s="78"/>
      <c r="F68" s="78"/>
      <c r="G68" s="78"/>
      <c r="H68" s="964">
        <f>IF($G$3=0,0,VLOOKUP($G$3,Tables!$A$5:$BE$8,57,FALSE))</f>
        <v>0</v>
      </c>
      <c r="I68" s="1137"/>
      <c r="J68" s="104">
        <f>A68</f>
        <v>13.9</v>
      </c>
      <c r="K68" s="78"/>
    </row>
    <row r="69" spans="1:11" ht="15.75">
      <c r="A69" s="104"/>
      <c r="B69" s="1134" t="s">
        <v>2901</v>
      </c>
      <c r="C69" s="78"/>
      <c r="D69" s="78"/>
      <c r="E69" s="78"/>
      <c r="F69" s="78"/>
      <c r="G69" s="78"/>
      <c r="H69" s="1138"/>
      <c r="I69" s="1137"/>
      <c r="J69" s="104"/>
      <c r="K69" s="78"/>
    </row>
    <row r="70" spans="1:11" ht="15.75">
      <c r="A70" s="104"/>
      <c r="B70" s="78"/>
      <c r="C70" s="78"/>
      <c r="D70" s="78"/>
      <c r="E70" s="78"/>
      <c r="F70" s="78"/>
      <c r="G70" s="78"/>
      <c r="H70" s="1137"/>
      <c r="I70" s="1137"/>
      <c r="J70" s="104"/>
      <c r="K70" s="78"/>
    </row>
    <row r="71" spans="1:11" ht="15.75">
      <c r="A71" s="1164" t="s">
        <v>2900</v>
      </c>
      <c r="B71" s="27" t="s">
        <v>3148</v>
      </c>
      <c r="C71" s="78"/>
      <c r="D71" s="78"/>
      <c r="E71" s="78"/>
      <c r="F71" s="78"/>
      <c r="G71" s="78"/>
      <c r="H71" s="964">
        <f>ROUND(IF($G$3=0,0,VLOOKUP($G$3,Tables!$A$5:$BI$8,61,FALSE)),0)</f>
        <v>0</v>
      </c>
      <c r="I71" s="1137"/>
      <c r="J71" s="104" t="str">
        <f>A71</f>
        <v>13.10</v>
      </c>
      <c r="K71" s="78"/>
    </row>
    <row r="72" spans="1:11" ht="15.75">
      <c r="A72" s="104"/>
      <c r="B72" s="1134" t="s">
        <v>789</v>
      </c>
      <c r="C72" s="78"/>
      <c r="D72" s="78"/>
      <c r="E72" s="78"/>
      <c r="F72" s="78"/>
      <c r="G72" s="78"/>
      <c r="H72" s="1138"/>
      <c r="I72" s="1137"/>
      <c r="J72" s="104"/>
      <c r="K72" s="78"/>
    </row>
    <row r="73" spans="1:11" ht="15.75">
      <c r="A73" s="104"/>
      <c r="B73" s="78"/>
      <c r="C73" s="78"/>
      <c r="D73" s="78"/>
      <c r="E73" s="78"/>
      <c r="F73" s="78"/>
      <c r="G73" s="78"/>
      <c r="H73" s="1137"/>
      <c r="I73" s="1137"/>
      <c r="J73" s="104"/>
      <c r="K73" s="78"/>
    </row>
    <row r="74" spans="1:11" ht="15.75">
      <c r="A74" s="1164">
        <v>13.11</v>
      </c>
      <c r="B74" s="27" t="s">
        <v>2109</v>
      </c>
      <c r="C74" s="78"/>
      <c r="D74" s="78"/>
      <c r="E74" s="78"/>
      <c r="F74" s="78"/>
      <c r="G74" s="78"/>
      <c r="H74" s="2188">
        <f>ROUND(H6+H20+H40+H56+H59+H61+H63+H65+H68+H71,0)</f>
        <v>5000</v>
      </c>
      <c r="I74" s="1410"/>
      <c r="J74" s="104">
        <f>A74</f>
        <v>13.11</v>
      </c>
      <c r="K74" s="78"/>
    </row>
    <row r="75" spans="1:11">
      <c r="A75" s="78"/>
      <c r="B75" s="400" t="s">
        <v>3147</v>
      </c>
      <c r="C75" s="958"/>
      <c r="D75" s="78"/>
      <c r="E75" s="78"/>
      <c r="F75" s="78"/>
      <c r="G75" s="78"/>
      <c r="H75" s="78"/>
      <c r="I75" s="78"/>
      <c r="J75" s="400"/>
      <c r="K75" s="78"/>
    </row>
    <row r="76" spans="1:11">
      <c r="A76" s="78"/>
      <c r="B76" s="78"/>
      <c r="C76" s="78"/>
      <c r="D76" s="78"/>
      <c r="E76" s="78"/>
      <c r="F76" s="78"/>
      <c r="G76" s="78"/>
      <c r="H76" s="78"/>
      <c r="I76" s="78"/>
      <c r="J76" s="400"/>
      <c r="K76" s="78"/>
    </row>
    <row r="77" spans="1:11">
      <c r="A77" s="78"/>
      <c r="B77" s="78"/>
      <c r="C77" s="78"/>
      <c r="D77" s="78"/>
      <c r="E77" s="78"/>
      <c r="F77" s="78"/>
      <c r="G77" s="78"/>
      <c r="H77" s="78"/>
      <c r="I77" s="78"/>
      <c r="J77" s="400"/>
      <c r="K77" s="78"/>
    </row>
    <row r="78" spans="1:11" ht="63">
      <c r="A78" s="27" t="s">
        <v>1578</v>
      </c>
      <c r="B78" s="78"/>
      <c r="C78" s="2094" t="s">
        <v>2317</v>
      </c>
      <c r="D78" s="2093"/>
      <c r="E78" s="2093"/>
      <c r="F78" s="2093"/>
      <c r="G78" s="2093"/>
      <c r="H78" s="2093"/>
      <c r="I78" s="78"/>
      <c r="J78" s="400"/>
      <c r="K78" s="78"/>
    </row>
    <row r="79" spans="1:11" ht="14.25" customHeight="1">
      <c r="A79" s="27"/>
      <c r="B79" s="78"/>
      <c r="C79" s="2030"/>
      <c r="D79" s="2030"/>
      <c r="E79" s="2030"/>
      <c r="F79" s="2030"/>
      <c r="G79" s="2030"/>
      <c r="H79" s="2030"/>
      <c r="I79" s="78"/>
      <c r="J79" s="400"/>
      <c r="K79" s="78"/>
    </row>
    <row r="80" spans="1:11">
      <c r="A80" s="78"/>
      <c r="B80" s="78"/>
      <c r="C80" s="78"/>
      <c r="D80" s="78"/>
      <c r="E80" s="78"/>
      <c r="F80" s="78"/>
      <c r="G80" s="78"/>
      <c r="H80" s="78"/>
      <c r="I80" s="78"/>
      <c r="J80" s="400"/>
      <c r="K80" s="78"/>
    </row>
    <row r="81" hidden="1"/>
  </sheetData>
  <sheetProtection password="C7B7" sheet="1" objects="1" scenarios="1"/>
  <protectedRanges>
    <protectedRange sqref="H52" name="Range2"/>
    <protectedRange sqref="H31" name="Range1"/>
  </protectedRanges>
  <phoneticPr fontId="13" type="noConversion"/>
  <printOptions horizontalCentered="1"/>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84"/>
  <sheetViews>
    <sheetView topLeftCell="A48" zoomScaleNormal="100" workbookViewId="0">
      <selection activeCell="A14" sqref="A14"/>
    </sheetView>
  </sheetViews>
  <sheetFormatPr defaultColWidth="0" defaultRowHeight="12.75" customHeight="1" zeroHeight="1"/>
  <cols>
    <col min="1" max="1" width="7.7109375" style="976" customWidth="1"/>
    <col min="2" max="2" width="6.7109375" style="976" customWidth="1"/>
    <col min="3" max="3" width="50.7109375" style="976" customWidth="1"/>
    <col min="4" max="4" width="2.7109375" style="976" customWidth="1"/>
    <col min="5" max="5" width="14.85546875" style="976" customWidth="1"/>
    <col min="6" max="7" width="6.7109375" style="976" customWidth="1"/>
    <col min="8" max="8" width="18" style="976" bestFit="1" customWidth="1"/>
    <col min="9" max="9" width="8.28515625" style="976" bestFit="1" customWidth="1"/>
    <col min="10" max="10" width="15.42578125" style="976" customWidth="1"/>
    <col min="11" max="11" width="1.7109375" style="976" customWidth="1"/>
    <col min="12" max="12" width="7.7109375" style="976" customWidth="1"/>
    <col min="13" max="13" width="2.7109375" style="976" customWidth="1"/>
    <col min="14" max="16384" width="4.28515625" style="976" hidden="1"/>
  </cols>
  <sheetData>
    <row r="1" spans="1:13" ht="6.75" customHeight="1">
      <c r="A1" s="2159" t="s">
        <v>2829</v>
      </c>
      <c r="B1" s="78"/>
      <c r="C1" s="78"/>
      <c r="D1" s="78"/>
      <c r="E1" s="78"/>
      <c r="F1" s="78"/>
      <c r="G1" s="78"/>
      <c r="H1" s="78"/>
      <c r="I1" s="78"/>
      <c r="J1" s="78"/>
      <c r="K1" s="78"/>
      <c r="L1" s="78"/>
      <c r="M1" s="78"/>
    </row>
    <row r="2" spans="1:13" ht="18.75" thickBot="1">
      <c r="A2" s="43" t="s">
        <v>622</v>
      </c>
      <c r="B2" s="104"/>
      <c r="C2" s="78"/>
      <c r="D2" s="78"/>
      <c r="E2" s="78"/>
      <c r="F2" s="78"/>
      <c r="G2" s="78"/>
      <c r="H2" s="78"/>
      <c r="I2" s="78"/>
      <c r="J2" s="78"/>
      <c r="K2" s="78"/>
      <c r="L2" s="78"/>
      <c r="M2" s="1248"/>
    </row>
    <row r="3" spans="1:13" ht="18.75" thickBot="1">
      <c r="A3" s="43" t="s">
        <v>1432</v>
      </c>
      <c r="B3" s="104"/>
      <c r="C3" s="78"/>
      <c r="D3" s="78"/>
      <c r="E3" s="941" t="s">
        <v>163</v>
      </c>
      <c r="F3" s="941"/>
      <c r="G3" s="78"/>
      <c r="H3" s="978" t="str">
        <f>+'1 Summary'!G2</f>
        <v/>
      </c>
      <c r="I3" s="1016"/>
      <c r="J3" s="943"/>
      <c r="K3" s="944"/>
      <c r="L3" s="78"/>
      <c r="M3" s="863"/>
    </row>
    <row r="4" spans="1:13" ht="16.5" thickBot="1">
      <c r="A4" s="400"/>
      <c r="B4" s="104"/>
      <c r="C4" s="78"/>
      <c r="D4" s="78"/>
      <c r="E4" s="941" t="s">
        <v>162</v>
      </c>
      <c r="F4" s="941"/>
      <c r="G4" s="78"/>
      <c r="H4" s="980">
        <f>+'1 Summary'!G3</f>
        <v>0</v>
      </c>
      <c r="I4" s="863"/>
      <c r="J4" s="78"/>
      <c r="K4" s="78"/>
      <c r="L4" s="78"/>
      <c r="M4" s="863"/>
    </row>
    <row r="5" spans="1:13" ht="14.25" customHeight="1">
      <c r="A5" s="104"/>
      <c r="B5" s="104"/>
      <c r="C5" s="78"/>
      <c r="D5" s="78"/>
      <c r="E5" s="78"/>
      <c r="F5" s="941"/>
      <c r="G5" s="78"/>
      <c r="H5" s="947"/>
      <c r="I5" s="863"/>
      <c r="J5" s="78"/>
      <c r="K5" s="78"/>
      <c r="L5" s="78"/>
      <c r="M5" s="863"/>
    </row>
    <row r="6" spans="1:13" ht="15.75">
      <c r="A6" s="1072" t="s">
        <v>2754</v>
      </c>
      <c r="B6" s="104"/>
      <c r="C6" s="78"/>
      <c r="D6" s="78"/>
      <c r="E6" s="78"/>
      <c r="F6" s="941"/>
      <c r="G6" s="78"/>
      <c r="H6" s="947"/>
      <c r="I6" s="863"/>
      <c r="J6" s="78"/>
      <c r="K6" s="78"/>
      <c r="L6" s="78"/>
      <c r="M6" s="863"/>
    </row>
    <row r="7" spans="1:13" ht="15.75">
      <c r="A7" s="122" t="s">
        <v>2755</v>
      </c>
      <c r="B7" s="104"/>
      <c r="C7" s="78"/>
      <c r="D7" s="78"/>
      <c r="E7" s="78"/>
      <c r="F7" s="941"/>
      <c r="G7" s="78"/>
      <c r="H7" s="947"/>
      <c r="I7" s="863"/>
      <c r="J7" s="78"/>
      <c r="K7" s="78"/>
      <c r="L7" s="78"/>
      <c r="M7" s="863"/>
    </row>
    <row r="8" spans="1:13" ht="15.75">
      <c r="A8" s="1072" t="s">
        <v>2756</v>
      </c>
      <c r="B8" s="104"/>
      <c r="C8" s="78"/>
      <c r="D8" s="78"/>
      <c r="E8" s="78"/>
      <c r="F8" s="941"/>
      <c r="G8" s="78"/>
      <c r="H8" s="947"/>
      <c r="I8" s="863"/>
      <c r="J8" s="78"/>
      <c r="K8" s="78"/>
      <c r="L8" s="78"/>
      <c r="M8" s="863"/>
    </row>
    <row r="9" spans="1:13" ht="15.75">
      <c r="A9" s="122" t="s">
        <v>2757</v>
      </c>
      <c r="B9" s="104"/>
      <c r="C9" s="78"/>
      <c r="D9" s="78"/>
      <c r="E9" s="78"/>
      <c r="F9" s="941"/>
      <c r="G9" s="78"/>
      <c r="H9" s="947"/>
      <c r="I9" s="863"/>
      <c r="J9" s="78"/>
      <c r="K9" s="78"/>
      <c r="L9" s="78"/>
      <c r="M9" s="863"/>
    </row>
    <row r="10" spans="1:13" ht="15.75">
      <c r="A10" s="1072" t="s">
        <v>2758</v>
      </c>
      <c r="B10" s="104"/>
      <c r="C10" s="78"/>
      <c r="D10" s="78"/>
      <c r="E10" s="78"/>
      <c r="F10" s="941"/>
      <c r="G10" s="78"/>
      <c r="H10" s="947"/>
      <c r="I10" s="863"/>
      <c r="J10" s="78"/>
      <c r="K10" s="78"/>
      <c r="L10" s="78"/>
      <c r="M10" s="863"/>
    </row>
    <row r="11" spans="1:13" ht="15.75">
      <c r="A11" s="122" t="s">
        <v>2759</v>
      </c>
      <c r="B11" s="104"/>
      <c r="C11" s="78"/>
      <c r="D11" s="78"/>
      <c r="E11" s="78"/>
      <c r="F11" s="941"/>
      <c r="G11" s="78"/>
      <c r="H11" s="947"/>
      <c r="I11" s="863"/>
      <c r="J11" s="78"/>
      <c r="K11" s="78"/>
      <c r="L11" s="78"/>
      <c r="M11" s="863"/>
    </row>
    <row r="12" spans="1:13" ht="15.75">
      <c r="A12" s="122" t="s">
        <v>2760</v>
      </c>
      <c r="B12" s="104"/>
      <c r="C12" s="78"/>
      <c r="D12" s="78"/>
      <c r="E12" s="78"/>
      <c r="F12" s="941"/>
      <c r="G12" s="78"/>
      <c r="H12" s="947"/>
      <c r="I12" s="863"/>
      <c r="J12" s="78"/>
      <c r="K12" s="78"/>
      <c r="L12" s="78"/>
      <c r="M12" s="863"/>
    </row>
    <row r="13" spans="1:13" ht="15.75">
      <c r="A13" s="1072" t="s">
        <v>3125</v>
      </c>
      <c r="B13" s="1072"/>
      <c r="C13" s="1072"/>
      <c r="D13" s="1072"/>
      <c r="E13" s="1072"/>
      <c r="F13" s="1072"/>
      <c r="G13" s="1072"/>
      <c r="H13" s="1072"/>
      <c r="I13" s="1072"/>
      <c r="J13" s="1072"/>
      <c r="K13" s="1072"/>
      <c r="L13" s="78"/>
      <c r="M13" s="863"/>
    </row>
    <row r="14" spans="1:13" ht="15">
      <c r="A14" s="2027" t="s">
        <v>2761</v>
      </c>
      <c r="B14" s="400"/>
      <c r="C14" s="886"/>
      <c r="D14" s="78"/>
      <c r="E14" s="78"/>
      <c r="F14" s="941"/>
      <c r="G14" s="78"/>
      <c r="H14" s="947"/>
      <c r="I14" s="863"/>
      <c r="J14" s="78"/>
      <c r="K14" s="78"/>
      <c r="L14" s="78"/>
      <c r="M14" s="863"/>
    </row>
    <row r="15" spans="1:13" ht="12.75" customHeight="1">
      <c r="A15" s="400"/>
      <c r="B15" s="400"/>
      <c r="C15" s="886"/>
      <c r="D15" s="78"/>
      <c r="E15" s="78"/>
      <c r="F15" s="941"/>
      <c r="G15" s="78"/>
      <c r="H15" s="947"/>
      <c r="I15" s="863"/>
      <c r="J15" s="78"/>
      <c r="K15" s="78"/>
      <c r="L15" s="78"/>
      <c r="M15" s="863"/>
    </row>
    <row r="16" spans="1:13" ht="14.25" customHeight="1">
      <c r="A16" s="400"/>
      <c r="B16" s="104"/>
      <c r="C16" s="400"/>
      <c r="D16" s="78"/>
      <c r="E16" s="400"/>
      <c r="F16" s="400"/>
      <c r="G16" s="78"/>
      <c r="H16" s="1411" t="s">
        <v>284</v>
      </c>
      <c r="I16" s="1198"/>
      <c r="J16" s="1412" t="s">
        <v>755</v>
      </c>
      <c r="K16" s="1198"/>
      <c r="L16" s="1198"/>
      <c r="M16" s="863"/>
    </row>
    <row r="17" spans="1:13" ht="31.5">
      <c r="A17" s="104">
        <v>15.1</v>
      </c>
      <c r="B17" s="104"/>
      <c r="C17" s="905" t="s">
        <v>2075</v>
      </c>
      <c r="D17" s="78"/>
      <c r="E17" s="1413" t="s">
        <v>1755</v>
      </c>
      <c r="F17" s="901"/>
      <c r="G17" s="78"/>
      <c r="H17" s="1413" t="s">
        <v>2030</v>
      </c>
      <c r="I17" s="27"/>
      <c r="J17" s="1413" t="s">
        <v>756</v>
      </c>
      <c r="K17" s="941"/>
      <c r="L17" s="1414" t="s">
        <v>757</v>
      </c>
      <c r="M17" s="863"/>
    </row>
    <row r="18" spans="1:13" ht="15" customHeight="1">
      <c r="A18" s="104"/>
      <c r="B18" s="314">
        <v>935</v>
      </c>
      <c r="C18" s="1281"/>
      <c r="D18" s="78"/>
      <c r="E18" s="1415"/>
      <c r="F18" s="78"/>
      <c r="G18" s="314">
        <v>946</v>
      </c>
      <c r="H18" s="1416">
        <v>0</v>
      </c>
      <c r="I18" s="1417"/>
      <c r="J18" s="1418">
        <f t="shared" ref="J18:J28" si="0">IF(E18="",0,IF(H18="",E18,MIN(E18,H18)))</f>
        <v>0</v>
      </c>
      <c r="K18" s="941"/>
      <c r="L18" s="78"/>
      <c r="M18" s="863"/>
    </row>
    <row r="19" spans="1:13" ht="15" customHeight="1">
      <c r="A19" s="104"/>
      <c r="B19" s="314">
        <v>936</v>
      </c>
      <c r="C19" s="1281"/>
      <c r="D19" s="78"/>
      <c r="E19" s="1415"/>
      <c r="F19" s="78"/>
      <c r="G19" s="314">
        <v>947</v>
      </c>
      <c r="H19" s="1416">
        <v>0</v>
      </c>
      <c r="I19" s="1419"/>
      <c r="J19" s="1418">
        <f t="shared" si="0"/>
        <v>0</v>
      </c>
      <c r="K19" s="941"/>
      <c r="L19" s="863"/>
      <c r="M19" s="863"/>
    </row>
    <row r="20" spans="1:13" ht="15" customHeight="1">
      <c r="A20" s="104"/>
      <c r="B20" s="314">
        <v>937</v>
      </c>
      <c r="C20" s="1281"/>
      <c r="D20" s="78"/>
      <c r="E20" s="1415"/>
      <c r="F20" s="78"/>
      <c r="G20" s="314">
        <v>948</v>
      </c>
      <c r="H20" s="1416">
        <v>0</v>
      </c>
      <c r="I20" s="1419"/>
      <c r="J20" s="1418">
        <f t="shared" si="0"/>
        <v>0</v>
      </c>
      <c r="K20" s="941"/>
      <c r="L20" s="863"/>
      <c r="M20" s="863"/>
    </row>
    <row r="21" spans="1:13" ht="15" customHeight="1">
      <c r="A21" s="104"/>
      <c r="B21" s="314">
        <v>938</v>
      </c>
      <c r="C21" s="1281"/>
      <c r="D21" s="78"/>
      <c r="E21" s="1415"/>
      <c r="F21" s="78"/>
      <c r="G21" s="314">
        <v>949</v>
      </c>
      <c r="H21" s="1416">
        <v>0</v>
      </c>
      <c r="I21" s="1419"/>
      <c r="J21" s="1418">
        <f t="shared" si="0"/>
        <v>0</v>
      </c>
      <c r="K21" s="941"/>
      <c r="L21" s="863"/>
      <c r="M21" s="863"/>
    </row>
    <row r="22" spans="1:13" ht="15" customHeight="1">
      <c r="A22" s="104"/>
      <c r="B22" s="314">
        <v>939</v>
      </c>
      <c r="C22" s="1281"/>
      <c r="D22" s="78"/>
      <c r="E22" s="1415"/>
      <c r="F22" s="78"/>
      <c r="G22" s="314">
        <v>950</v>
      </c>
      <c r="H22" s="1416">
        <v>0</v>
      </c>
      <c r="I22" s="1419"/>
      <c r="J22" s="1418">
        <f t="shared" si="0"/>
        <v>0</v>
      </c>
      <c r="K22" s="941"/>
      <c r="L22" s="863"/>
      <c r="M22" s="863"/>
    </row>
    <row r="23" spans="1:13" ht="15.75">
      <c r="A23" s="104"/>
      <c r="B23" s="314">
        <v>940</v>
      </c>
      <c r="C23" s="1281"/>
      <c r="D23" s="78"/>
      <c r="E23" s="1415"/>
      <c r="F23" s="78"/>
      <c r="G23" s="314">
        <v>951</v>
      </c>
      <c r="H23" s="1416">
        <v>0</v>
      </c>
      <c r="I23" s="1419"/>
      <c r="J23" s="1418">
        <f t="shared" si="0"/>
        <v>0</v>
      </c>
      <c r="K23" s="941"/>
      <c r="L23" s="863"/>
      <c r="M23" s="982"/>
    </row>
    <row r="24" spans="1:13" ht="15.75">
      <c r="A24" s="961"/>
      <c r="B24" s="314"/>
      <c r="C24" s="1281"/>
      <c r="D24" s="78"/>
      <c r="E24" s="1415"/>
      <c r="F24" s="78"/>
      <c r="G24" s="314"/>
      <c r="H24" s="1416">
        <v>0</v>
      </c>
      <c r="I24" s="1419"/>
      <c r="J24" s="1418">
        <f t="shared" si="0"/>
        <v>0</v>
      </c>
      <c r="K24" s="941"/>
      <c r="L24" s="982"/>
      <c r="M24" s="1420"/>
    </row>
    <row r="25" spans="1:13" ht="15.75">
      <c r="A25" s="1421"/>
      <c r="B25" s="314"/>
      <c r="C25" s="1281"/>
      <c r="D25" s="78"/>
      <c r="E25" s="1415"/>
      <c r="F25" s="78"/>
      <c r="G25" s="314"/>
      <c r="H25" s="1416">
        <v>0</v>
      </c>
      <c r="I25" s="1419"/>
      <c r="J25" s="1418">
        <f t="shared" si="0"/>
        <v>0</v>
      </c>
      <c r="K25" s="1134"/>
      <c r="L25" s="1001"/>
      <c r="M25" s="1422"/>
    </row>
    <row r="26" spans="1:13" ht="15.75">
      <c r="A26" s="961"/>
      <c r="B26" s="314"/>
      <c r="C26" s="1281"/>
      <c r="D26" s="78"/>
      <c r="E26" s="1415"/>
      <c r="F26" s="78"/>
      <c r="G26" s="314"/>
      <c r="H26" s="1416">
        <v>0</v>
      </c>
      <c r="I26" s="1419"/>
      <c r="J26" s="1418">
        <f t="shared" si="0"/>
        <v>0</v>
      </c>
      <c r="K26" s="1134"/>
      <c r="L26" s="991"/>
      <c r="M26" s="1420"/>
    </row>
    <row r="27" spans="1:13" ht="15.75">
      <c r="A27" s="961"/>
      <c r="B27" s="314"/>
      <c r="C27" s="1281"/>
      <c r="D27" s="78"/>
      <c r="E27" s="1415"/>
      <c r="F27" s="78"/>
      <c r="G27" s="314"/>
      <c r="H27" s="1416">
        <v>0</v>
      </c>
      <c r="I27" s="1419"/>
      <c r="J27" s="1418">
        <f t="shared" si="0"/>
        <v>0</v>
      </c>
      <c r="K27" s="1134"/>
      <c r="L27" s="1134"/>
      <c r="M27" s="1420"/>
    </row>
    <row r="28" spans="1:13" ht="15.75">
      <c r="A28" s="961"/>
      <c r="B28" s="314"/>
      <c r="C28" s="1281"/>
      <c r="D28" s="78"/>
      <c r="E28" s="1415"/>
      <c r="F28" s="78"/>
      <c r="G28" s="314"/>
      <c r="H28" s="1416">
        <v>0</v>
      </c>
      <c r="I28" s="1419"/>
      <c r="J28" s="1418">
        <f t="shared" si="0"/>
        <v>0</v>
      </c>
      <c r="K28" s="1134"/>
      <c r="L28" s="1134"/>
      <c r="M28" s="1420"/>
    </row>
    <row r="29" spans="1:13" ht="15.75">
      <c r="A29" s="961"/>
      <c r="B29" s="1198"/>
      <c r="C29" s="1238"/>
      <c r="D29" s="78"/>
      <c r="E29" s="1270"/>
      <c r="F29" s="78"/>
      <c r="G29" s="78"/>
      <c r="H29" s="78"/>
      <c r="I29" s="1419"/>
      <c r="J29" s="78"/>
      <c r="K29" s="1134"/>
      <c r="L29" s="1423"/>
      <c r="M29" s="1420"/>
    </row>
    <row r="30" spans="1:13" ht="15.75">
      <c r="A30" s="104" t="s">
        <v>758</v>
      </c>
      <c r="B30" s="1198" t="s">
        <v>1494</v>
      </c>
      <c r="C30" s="1238"/>
      <c r="D30" s="1238"/>
      <c r="E30" s="78"/>
      <c r="F30" s="1270"/>
      <c r="G30" s="886"/>
      <c r="H30" s="1270"/>
      <c r="I30" s="314" t="s">
        <v>1404</v>
      </c>
      <c r="J30" s="1424">
        <f>ROUND(SUM(J18:J28),0)</f>
        <v>0</v>
      </c>
      <c r="K30" s="1134"/>
      <c r="L30" s="963" t="str">
        <f>A30</f>
        <v>15.1.1</v>
      </c>
      <c r="M30" s="1420"/>
    </row>
    <row r="31" spans="1:13" ht="15.75">
      <c r="A31" s="961"/>
      <c r="B31" s="1198"/>
      <c r="C31" s="1238"/>
      <c r="D31" s="1238"/>
      <c r="E31" s="78"/>
      <c r="F31" s="1270"/>
      <c r="G31" s="886"/>
      <c r="H31" s="1270"/>
      <c r="I31" s="1270"/>
      <c r="J31" s="1419"/>
      <c r="K31" s="1134"/>
      <c r="L31" s="963"/>
      <c r="M31" s="1420"/>
    </row>
    <row r="32" spans="1:13" ht="15.75" hidden="1">
      <c r="A32" s="1425" t="s">
        <v>759</v>
      </c>
      <c r="B32" s="1426" t="s">
        <v>2477</v>
      </c>
      <c r="C32" s="1427"/>
      <c r="D32" s="1427"/>
      <c r="E32" s="1428"/>
      <c r="F32" s="1429"/>
      <c r="G32" s="1430"/>
      <c r="H32" s="1429"/>
      <c r="I32" s="1429"/>
      <c r="J32" s="1431"/>
      <c r="K32" s="1432"/>
      <c r="L32" s="1433" t="str">
        <f>A32</f>
        <v>15.1.2</v>
      </c>
      <c r="M32" s="1420"/>
    </row>
    <row r="33" spans="1:13" ht="15.75" hidden="1">
      <c r="A33" s="961"/>
      <c r="B33" s="1198"/>
      <c r="C33" s="1238"/>
      <c r="D33" s="1238"/>
      <c r="E33" s="78"/>
      <c r="F33" s="1270"/>
      <c r="G33" s="886"/>
      <c r="H33" s="1270"/>
      <c r="I33" s="1270"/>
      <c r="J33" s="1419"/>
      <c r="K33" s="1134"/>
      <c r="L33" s="963"/>
      <c r="M33" s="1420"/>
    </row>
    <row r="34" spans="1:13" ht="15.75" hidden="1">
      <c r="A34" s="1425" t="s">
        <v>1684</v>
      </c>
      <c r="B34" s="1426" t="s">
        <v>1495</v>
      </c>
      <c r="C34" s="1427"/>
      <c r="D34" s="1427"/>
      <c r="E34" s="1428"/>
      <c r="F34" s="1429"/>
      <c r="G34" s="1430"/>
      <c r="H34" s="1429"/>
      <c r="I34" s="1429"/>
      <c r="J34" s="1431"/>
      <c r="K34" s="1432"/>
      <c r="L34" s="1433" t="str">
        <f>A34</f>
        <v>15.1.3</v>
      </c>
      <c r="M34" s="1420"/>
    </row>
    <row r="35" spans="1:13" ht="15.75" hidden="1">
      <c r="A35" s="104"/>
      <c r="B35" s="1198"/>
      <c r="C35" s="1238"/>
      <c r="D35" s="1238"/>
      <c r="E35" s="78"/>
      <c r="F35" s="1270"/>
      <c r="G35" s="886"/>
      <c r="H35" s="1270"/>
      <c r="I35" s="1270"/>
      <c r="J35" s="1419"/>
      <c r="K35" s="1134"/>
      <c r="L35" s="963"/>
      <c r="M35" s="1420"/>
    </row>
    <row r="36" spans="1:13" ht="15.75">
      <c r="A36" s="104" t="s">
        <v>759</v>
      </c>
      <c r="B36" s="1198" t="s">
        <v>2478</v>
      </c>
      <c r="C36" s="1238"/>
      <c r="D36" s="1238"/>
      <c r="E36" s="78"/>
      <c r="F36" s="1270"/>
      <c r="G36" s="886"/>
      <c r="H36" s="1270"/>
      <c r="I36" s="314" t="s">
        <v>1335</v>
      </c>
      <c r="J36" s="1434"/>
      <c r="K36" s="1134"/>
      <c r="L36" s="963" t="str">
        <f>A36</f>
        <v>15.1.2</v>
      </c>
      <c r="M36" s="1420"/>
    </row>
    <row r="37" spans="1:13" ht="15.75">
      <c r="A37" s="961"/>
      <c r="B37" s="1198"/>
      <c r="C37" s="1238"/>
      <c r="D37" s="1238"/>
      <c r="E37" s="78"/>
      <c r="F37" s="1270"/>
      <c r="G37" s="886"/>
      <c r="H37" s="1270"/>
      <c r="I37" s="1270"/>
      <c r="J37" s="1419"/>
      <c r="K37" s="1134"/>
      <c r="L37" s="963"/>
      <c r="M37" s="1420"/>
    </row>
    <row r="38" spans="1:13" ht="15.75">
      <c r="A38" s="104" t="s">
        <v>1684</v>
      </c>
      <c r="B38" s="961" t="s">
        <v>883</v>
      </c>
      <c r="C38" s="1238"/>
      <c r="D38" s="1238"/>
      <c r="E38" s="78"/>
      <c r="F38" s="1270"/>
      <c r="G38" s="886"/>
      <c r="H38" s="1270"/>
      <c r="I38" s="314" t="s">
        <v>1336</v>
      </c>
      <c r="J38" s="1444">
        <f>ROUND(IF(J30-J36&lt;0,0,J30-J36),0)</f>
        <v>0</v>
      </c>
      <c r="K38" s="1134"/>
      <c r="L38" s="963" t="str">
        <f>A38</f>
        <v>15.1.3</v>
      </c>
      <c r="M38" s="1420"/>
    </row>
    <row r="39" spans="1:13" ht="15.75">
      <c r="A39" s="104"/>
      <c r="B39" s="1198" t="s">
        <v>1270</v>
      </c>
      <c r="C39" s="1238"/>
      <c r="D39" s="1238"/>
      <c r="E39" s="78"/>
      <c r="F39" s="1270"/>
      <c r="G39" s="886"/>
      <c r="H39" s="1270"/>
      <c r="I39" s="1270"/>
      <c r="J39" s="1270"/>
      <c r="K39" s="1134"/>
      <c r="L39" s="963"/>
      <c r="M39" s="1420"/>
    </row>
    <row r="40" spans="1:13" ht="15.75">
      <c r="A40" s="104"/>
      <c r="B40" s="1198"/>
      <c r="C40" s="1238"/>
      <c r="D40" s="1238"/>
      <c r="E40" s="78"/>
      <c r="F40" s="1270"/>
      <c r="G40" s="886"/>
      <c r="H40" s="1270"/>
      <c r="I40" s="1270"/>
      <c r="J40" s="1270"/>
      <c r="K40" s="1134"/>
      <c r="L40" s="963"/>
      <c r="M40" s="1420"/>
    </row>
    <row r="41" spans="1:13" ht="15.75">
      <c r="A41" s="104"/>
      <c r="B41" s="1198"/>
      <c r="C41" s="1238"/>
      <c r="D41" s="78"/>
      <c r="E41" s="1270"/>
      <c r="F41" s="78"/>
      <c r="G41" s="886"/>
      <c r="H41" s="1270"/>
      <c r="I41" s="1270"/>
      <c r="J41" s="1270"/>
      <c r="K41" s="1134"/>
      <c r="L41" s="963"/>
      <c r="M41" s="1420"/>
    </row>
    <row r="42" spans="1:13" ht="15.75">
      <c r="A42" s="961"/>
      <c r="B42" s="1198"/>
      <c r="C42" s="78"/>
      <c r="D42" s="78"/>
      <c r="E42" s="400"/>
      <c r="F42" s="400"/>
      <c r="G42" s="78"/>
      <c r="H42" s="1411" t="s">
        <v>284</v>
      </c>
      <c r="I42" s="1198"/>
      <c r="J42" s="1412" t="s">
        <v>755</v>
      </c>
      <c r="K42" s="1134"/>
      <c r="L42" s="1134"/>
      <c r="M42" s="1420"/>
    </row>
    <row r="43" spans="1:13" ht="31.5">
      <c r="A43" s="963">
        <v>15.2</v>
      </c>
      <c r="B43" s="1435"/>
      <c r="C43" s="1436" t="s">
        <v>2074</v>
      </c>
      <c r="D43" s="78"/>
      <c r="E43" s="1413" t="s">
        <v>1755</v>
      </c>
      <c r="F43" s="901"/>
      <c r="G43" s="78"/>
      <c r="H43" s="1413" t="s">
        <v>2030</v>
      </c>
      <c r="I43" s="27"/>
      <c r="J43" s="1413" t="s">
        <v>756</v>
      </c>
      <c r="K43" s="1134"/>
      <c r="L43" s="1437" t="s">
        <v>1685</v>
      </c>
      <c r="M43" s="1420"/>
    </row>
    <row r="44" spans="1:13" ht="12.75" customHeight="1">
      <c r="A44" s="961"/>
      <c r="B44" s="314">
        <v>941</v>
      </c>
      <c r="C44" s="1281"/>
      <c r="D44" s="78"/>
      <c r="E44" s="1415"/>
      <c r="F44" s="78"/>
      <c r="G44" s="314">
        <v>952</v>
      </c>
      <c r="H44" s="1416">
        <v>0</v>
      </c>
      <c r="I44" s="1419"/>
      <c r="J44" s="1418">
        <f>IF(E44="",0,IF(H44="",E44,MIN(E44,H44)))</f>
        <v>0</v>
      </c>
      <c r="K44" s="1134"/>
      <c r="L44" s="1134"/>
      <c r="M44" s="1420"/>
    </row>
    <row r="45" spans="1:13" ht="15.75">
      <c r="A45" s="965"/>
      <c r="B45" s="314">
        <v>942</v>
      </c>
      <c r="C45" s="1281"/>
      <c r="D45" s="78"/>
      <c r="E45" s="1415"/>
      <c r="F45" s="78"/>
      <c r="G45" s="314">
        <v>953</v>
      </c>
      <c r="H45" s="1416">
        <v>0</v>
      </c>
      <c r="I45" s="1419"/>
      <c r="J45" s="1418">
        <f t="shared" ref="J45:J50" si="1">IF(E45="",0,IF(H45="",E45,MIN(E45,H45)))</f>
        <v>0</v>
      </c>
      <c r="K45" s="1134"/>
      <c r="L45" s="1134"/>
      <c r="M45" s="1420"/>
    </row>
    <row r="46" spans="1:13" ht="15.75">
      <c r="A46" s="961"/>
      <c r="B46" s="314">
        <v>943</v>
      </c>
      <c r="C46" s="1281"/>
      <c r="D46" s="78"/>
      <c r="E46" s="1415"/>
      <c r="F46" s="78"/>
      <c r="G46" s="314">
        <v>954</v>
      </c>
      <c r="H46" s="1416">
        <v>0</v>
      </c>
      <c r="I46" s="1419"/>
      <c r="J46" s="1418">
        <f t="shared" si="1"/>
        <v>0</v>
      </c>
      <c r="K46" s="1134"/>
      <c r="L46" s="1134"/>
      <c r="M46" s="1420"/>
    </row>
    <row r="47" spans="1:13" ht="15.75">
      <c r="A47" s="965"/>
      <c r="B47" s="314">
        <v>944</v>
      </c>
      <c r="C47" s="1438"/>
      <c r="D47" s="78"/>
      <c r="E47" s="1439"/>
      <c r="F47" s="78"/>
      <c r="G47" s="314">
        <v>955</v>
      </c>
      <c r="H47" s="1440">
        <v>0</v>
      </c>
      <c r="I47" s="1419"/>
      <c r="J47" s="1418">
        <f t="shared" si="1"/>
        <v>0</v>
      </c>
      <c r="K47" s="1134"/>
      <c r="L47" s="1134"/>
      <c r="M47" s="1420"/>
    </row>
    <row r="48" spans="1:13" ht="15.75">
      <c r="A48" s="961"/>
      <c r="B48" s="314">
        <v>945</v>
      </c>
      <c r="C48" s="1438"/>
      <c r="D48" s="78"/>
      <c r="E48" s="1439"/>
      <c r="F48" s="78"/>
      <c r="G48" s="314">
        <v>956</v>
      </c>
      <c r="H48" s="1440">
        <v>0</v>
      </c>
      <c r="I48" s="1419"/>
      <c r="J48" s="1418">
        <f t="shared" si="1"/>
        <v>0</v>
      </c>
      <c r="K48" s="1134"/>
      <c r="L48" s="1134"/>
      <c r="M48" s="1420"/>
    </row>
    <row r="49" spans="1:13" ht="15.75">
      <c r="A49" s="961"/>
      <c r="B49" s="314"/>
      <c r="C49" s="1438"/>
      <c r="D49" s="78"/>
      <c r="E49" s="1439"/>
      <c r="F49" s="78"/>
      <c r="G49" s="314"/>
      <c r="H49" s="1440">
        <v>0</v>
      </c>
      <c r="I49" s="1419"/>
      <c r="J49" s="1418">
        <f t="shared" si="1"/>
        <v>0</v>
      </c>
      <c r="K49" s="1134"/>
      <c r="L49" s="1134"/>
      <c r="M49" s="1420"/>
    </row>
    <row r="50" spans="1:13" ht="15.75">
      <c r="A50" s="965"/>
      <c r="B50" s="314"/>
      <c r="C50" s="1438"/>
      <c r="D50" s="78"/>
      <c r="E50" s="1439"/>
      <c r="F50" s="78"/>
      <c r="G50" s="314"/>
      <c r="H50" s="1440">
        <v>0</v>
      </c>
      <c r="I50" s="1419"/>
      <c r="J50" s="1418">
        <f t="shared" si="1"/>
        <v>0</v>
      </c>
      <c r="K50" s="1134"/>
      <c r="L50" s="1423"/>
      <c r="M50" s="1420"/>
    </row>
    <row r="51" spans="1:13" ht="15.75">
      <c r="A51" s="965"/>
      <c r="B51" s="965"/>
      <c r="C51" s="1238"/>
      <c r="D51" s="78"/>
      <c r="E51" s="78"/>
      <c r="F51" s="78"/>
      <c r="G51" s="78"/>
      <c r="H51" s="78"/>
      <c r="I51" s="78"/>
      <c r="J51" s="78"/>
      <c r="K51" s="78"/>
      <c r="L51" s="78"/>
      <c r="M51" s="1420"/>
    </row>
    <row r="52" spans="1:13" ht="15.75">
      <c r="A52" s="104" t="s">
        <v>271</v>
      </c>
      <c r="B52" s="1198" t="s">
        <v>1493</v>
      </c>
      <c r="C52" s="1238"/>
      <c r="D52" s="1270"/>
      <c r="E52" s="78"/>
      <c r="F52" s="1270"/>
      <c r="G52" s="886"/>
      <c r="H52" s="1270"/>
      <c r="I52" s="314" t="s">
        <v>1337</v>
      </c>
      <c r="J52" s="1424">
        <f>ROUND(SUM(J44:J50),0)</f>
        <v>0</v>
      </c>
      <c r="K52" s="1134"/>
      <c r="L52" s="963" t="str">
        <f>A52</f>
        <v>15.2.1</v>
      </c>
      <c r="M52" s="1420"/>
    </row>
    <row r="53" spans="1:13" ht="15.75">
      <c r="A53" s="965"/>
      <c r="B53" s="1198"/>
      <c r="C53" s="1238"/>
      <c r="D53" s="1270"/>
      <c r="E53" s="78"/>
      <c r="F53" s="1270"/>
      <c r="G53" s="886"/>
      <c r="H53" s="1270"/>
      <c r="I53" s="1270"/>
      <c r="J53" s="1419"/>
      <c r="K53" s="1134"/>
      <c r="L53" s="963"/>
      <c r="M53" s="1420"/>
    </row>
    <row r="54" spans="1:13" ht="15.75" hidden="1">
      <c r="A54" s="1425" t="s">
        <v>272</v>
      </c>
      <c r="B54" s="1426" t="s">
        <v>2479</v>
      </c>
      <c r="C54" s="1427"/>
      <c r="D54" s="1427"/>
      <c r="E54" s="1428"/>
      <c r="F54" s="1429"/>
      <c r="G54" s="1430"/>
      <c r="H54" s="1429"/>
      <c r="I54" s="1429"/>
      <c r="J54" s="1431"/>
      <c r="K54" s="1432"/>
      <c r="L54" s="1433" t="str">
        <f>A54</f>
        <v>15.2.2</v>
      </c>
      <c r="M54" s="1420"/>
    </row>
    <row r="55" spans="1:13" ht="15.75" hidden="1">
      <c r="A55" s="961"/>
      <c r="B55" s="1198"/>
      <c r="C55" s="1238"/>
      <c r="D55" s="1238"/>
      <c r="E55" s="78"/>
      <c r="F55" s="1270"/>
      <c r="G55" s="886"/>
      <c r="H55" s="1270"/>
      <c r="I55" s="1270"/>
      <c r="J55" s="1419"/>
      <c r="K55" s="1134"/>
      <c r="L55" s="963"/>
      <c r="M55" s="1420"/>
    </row>
    <row r="56" spans="1:13" ht="15.75" hidden="1">
      <c r="A56" s="1425" t="s">
        <v>273</v>
      </c>
      <c r="B56" s="1426" t="s">
        <v>1496</v>
      </c>
      <c r="C56" s="1427"/>
      <c r="D56" s="1427"/>
      <c r="E56" s="1428"/>
      <c r="F56" s="1429"/>
      <c r="G56" s="1430"/>
      <c r="H56" s="1429"/>
      <c r="I56" s="1429"/>
      <c r="J56" s="1431"/>
      <c r="K56" s="1432"/>
      <c r="L56" s="1433" t="str">
        <f>A56</f>
        <v>15.2.3</v>
      </c>
      <c r="M56" s="1420"/>
    </row>
    <row r="57" spans="1:13" ht="15.75" hidden="1">
      <c r="A57" s="104"/>
      <c r="B57" s="1198"/>
      <c r="C57" s="1238"/>
      <c r="D57" s="1238"/>
      <c r="E57" s="78"/>
      <c r="F57" s="1270"/>
      <c r="G57" s="886"/>
      <c r="H57" s="1270"/>
      <c r="I57" s="1270"/>
      <c r="J57" s="1419"/>
      <c r="K57" s="1134"/>
      <c r="L57" s="963"/>
      <c r="M57" s="1420"/>
    </row>
    <row r="58" spans="1:13" ht="15.75">
      <c r="A58" s="104" t="s">
        <v>272</v>
      </c>
      <c r="B58" s="1198" t="s">
        <v>2480</v>
      </c>
      <c r="C58" s="1238"/>
      <c r="D58" s="1238"/>
      <c r="E58" s="78"/>
      <c r="F58" s="1270"/>
      <c r="G58" s="886"/>
      <c r="H58" s="1270"/>
      <c r="I58" s="314" t="s">
        <v>1338</v>
      </c>
      <c r="J58" s="1434"/>
      <c r="K58" s="1134"/>
      <c r="L58" s="963" t="str">
        <f>A58</f>
        <v>15.2.2</v>
      </c>
      <c r="M58" s="1420"/>
    </row>
    <row r="59" spans="1:13" ht="15.75">
      <c r="A59" s="961"/>
      <c r="B59" s="1198"/>
      <c r="C59" s="1238"/>
      <c r="D59" s="1238"/>
      <c r="E59" s="78"/>
      <c r="F59" s="1270"/>
      <c r="G59" s="886"/>
      <c r="H59" s="1270"/>
      <c r="I59" s="1270"/>
      <c r="J59" s="1419"/>
      <c r="K59" s="1134"/>
      <c r="L59" s="963"/>
      <c r="M59" s="1420"/>
    </row>
    <row r="60" spans="1:13" ht="15.75">
      <c r="A60" s="104" t="s">
        <v>273</v>
      </c>
      <c r="B60" s="961" t="s">
        <v>1706</v>
      </c>
      <c r="C60" s="1238"/>
      <c r="D60" s="1238"/>
      <c r="E60" s="78"/>
      <c r="F60" s="1270"/>
      <c r="G60" s="886"/>
      <c r="H60" s="1270"/>
      <c r="I60" s="314" t="s">
        <v>1339</v>
      </c>
      <c r="J60" s="1424">
        <f>ROUND(IF(J52-J58&lt;0,0,J52-J58),0)</f>
        <v>0</v>
      </c>
      <c r="K60" s="1134"/>
      <c r="L60" s="963" t="str">
        <f>A60</f>
        <v>15.2.3</v>
      </c>
      <c r="M60" s="1420"/>
    </row>
    <row r="61" spans="1:13" ht="15.75">
      <c r="A61" s="965"/>
      <c r="B61" s="1198" t="s">
        <v>1271</v>
      </c>
      <c r="C61" s="1238"/>
      <c r="D61" s="1238"/>
      <c r="E61" s="78"/>
      <c r="F61" s="78"/>
      <c r="G61" s="1134"/>
      <c r="H61" s="1134"/>
      <c r="I61" s="1238"/>
      <c r="J61" s="1134"/>
      <c r="K61" s="1134"/>
      <c r="L61" s="1134"/>
      <c r="M61" s="1420"/>
    </row>
    <row r="62" spans="1:13" ht="15.75">
      <c r="A62" s="965"/>
      <c r="B62" s="1441"/>
      <c r="C62" s="1238"/>
      <c r="D62" s="1238"/>
      <c r="E62" s="78"/>
      <c r="F62" s="78"/>
      <c r="G62" s="1134"/>
      <c r="H62" s="1134"/>
      <c r="I62" s="1238"/>
      <c r="J62" s="1134"/>
      <c r="K62" s="1134"/>
      <c r="L62" s="1134"/>
      <c r="M62" s="1420"/>
    </row>
    <row r="63" spans="1:13" ht="31.5">
      <c r="A63" s="963">
        <v>15.3</v>
      </c>
      <c r="B63" s="1435"/>
      <c r="C63" s="1436" t="s">
        <v>250</v>
      </c>
      <c r="D63" s="78"/>
      <c r="E63" s="1413" t="s">
        <v>1755</v>
      </c>
      <c r="F63" s="901"/>
      <c r="G63" s="78"/>
      <c r="H63" s="1413" t="s">
        <v>2030</v>
      </c>
      <c r="I63" s="27"/>
      <c r="J63" s="1413" t="s">
        <v>756</v>
      </c>
      <c r="K63" s="1134"/>
      <c r="L63" s="1442">
        <f>+A63</f>
        <v>15.3</v>
      </c>
      <c r="M63" s="1420"/>
    </row>
    <row r="64" spans="1:13" ht="15.75">
      <c r="A64" s="961"/>
      <c r="B64" s="314"/>
      <c r="C64" s="1281"/>
      <c r="D64" s="78"/>
      <c r="E64" s="1415"/>
      <c r="F64" s="78"/>
      <c r="G64" s="314"/>
      <c r="H64" s="1416">
        <f>IF($H$4=0,0,VLOOKUP($H$4,Tables!$A$5:$AP$8,42,FALSE))</f>
        <v>0</v>
      </c>
      <c r="I64" s="1419"/>
      <c r="J64" s="1418">
        <f>IF($E$64="",0,IF($H$64="",$E$64,MIN($E$64,$H$64)))</f>
        <v>0</v>
      </c>
      <c r="K64" s="1134"/>
      <c r="L64" s="1134"/>
      <c r="M64" s="1420"/>
    </row>
    <row r="65" spans="1:13" ht="15.75">
      <c r="A65" s="965"/>
      <c r="B65" s="314"/>
      <c r="C65" s="1281"/>
      <c r="D65" s="78"/>
      <c r="E65" s="1415"/>
      <c r="F65" s="78"/>
      <c r="G65" s="314"/>
      <c r="H65" s="1416"/>
      <c r="I65" s="1419"/>
      <c r="J65" s="1418">
        <f>IF($E$65="",0,IF($H$65="",$E$65,MIN($E$65,$H$65)))</f>
        <v>0</v>
      </c>
      <c r="K65" s="1134"/>
      <c r="L65" s="1134"/>
      <c r="M65" s="1420"/>
    </row>
    <row r="66" spans="1:13" ht="15.75">
      <c r="A66" s="965"/>
      <c r="B66" s="1441"/>
      <c r="C66" s="1238"/>
      <c r="D66" s="1238"/>
      <c r="E66" s="78"/>
      <c r="F66" s="78"/>
      <c r="G66" s="1134"/>
      <c r="H66" s="1134"/>
      <c r="I66" s="1238"/>
      <c r="J66" s="1134"/>
      <c r="K66" s="1134"/>
      <c r="L66" s="1134"/>
      <c r="M66" s="1420"/>
    </row>
    <row r="67" spans="1:13" ht="15.75">
      <c r="A67" s="104" t="s">
        <v>249</v>
      </c>
      <c r="B67" s="1198" t="s">
        <v>833</v>
      </c>
      <c r="C67" s="1238"/>
      <c r="D67" s="1270"/>
      <c r="E67" s="78"/>
      <c r="F67" s="1270"/>
      <c r="G67" s="886"/>
      <c r="H67" s="1270"/>
      <c r="I67" s="1443"/>
      <c r="J67" s="1424">
        <f>ROUND(J64+J65,0)</f>
        <v>0</v>
      </c>
      <c r="K67" s="1134"/>
      <c r="L67" s="963" t="str">
        <f>A67</f>
        <v>15.3.1</v>
      </c>
      <c r="M67" s="1420"/>
    </row>
    <row r="68" spans="1:13" ht="15.75">
      <c r="A68" s="965"/>
      <c r="B68" s="1198"/>
      <c r="C68" s="1238"/>
      <c r="D68" s="1238"/>
      <c r="E68" s="78"/>
      <c r="F68" s="78"/>
      <c r="G68" s="1134"/>
      <c r="H68" s="1134"/>
      <c r="I68" s="1238"/>
      <c r="J68" s="1134"/>
      <c r="K68" s="1134"/>
      <c r="L68" s="1134"/>
      <c r="M68" s="1420"/>
    </row>
    <row r="69" spans="1:13" ht="15.75">
      <c r="A69" s="104" t="s">
        <v>834</v>
      </c>
      <c r="B69" s="1198" t="s">
        <v>2480</v>
      </c>
      <c r="C69" s="1238"/>
      <c r="D69" s="1238"/>
      <c r="E69" s="78"/>
      <c r="F69" s="1270"/>
      <c r="G69" s="886"/>
      <c r="H69" s="1270"/>
      <c r="I69" s="1443"/>
      <c r="J69" s="1434"/>
      <c r="K69" s="1134"/>
      <c r="L69" s="963" t="str">
        <f>A69</f>
        <v>15.3.2</v>
      </c>
      <c r="M69" s="1420"/>
    </row>
    <row r="70" spans="1:13" ht="15.75">
      <c r="A70" s="965"/>
      <c r="B70" s="1198"/>
      <c r="C70" s="1238"/>
      <c r="D70" s="1238"/>
      <c r="E70" s="78"/>
      <c r="F70" s="78"/>
      <c r="G70" s="1134"/>
      <c r="H70" s="1134"/>
      <c r="I70" s="1238"/>
      <c r="J70" s="1134"/>
      <c r="K70" s="1134"/>
      <c r="L70" s="1134"/>
      <c r="M70" s="1420"/>
    </row>
    <row r="71" spans="1:13" ht="15.75">
      <c r="A71" s="104" t="s">
        <v>835</v>
      </c>
      <c r="B71" s="961" t="s">
        <v>2481</v>
      </c>
      <c r="C71" s="1238"/>
      <c r="D71" s="1238"/>
      <c r="E71" s="78"/>
      <c r="F71" s="1270"/>
      <c r="G71" s="886"/>
      <c r="H71" s="1270"/>
      <c r="I71" s="1443"/>
      <c r="J71" s="1444">
        <f>ROUND(J67-J69,0)</f>
        <v>0</v>
      </c>
      <c r="K71" s="1134"/>
      <c r="L71" s="963" t="str">
        <f>A71</f>
        <v>15.3.3</v>
      </c>
      <c r="M71" s="1420"/>
    </row>
    <row r="72" spans="1:13" ht="15.75">
      <c r="A72" s="965"/>
      <c r="B72" s="965"/>
      <c r="C72" s="1238"/>
      <c r="D72" s="78"/>
      <c r="E72" s="78"/>
      <c r="F72" s="78"/>
      <c r="G72" s="1134"/>
      <c r="H72" s="1134"/>
      <c r="I72" s="1238"/>
      <c r="J72" s="1134"/>
      <c r="K72" s="1134"/>
      <c r="L72" s="1134"/>
      <c r="M72" s="1420"/>
    </row>
    <row r="73" spans="1:13" ht="15.75">
      <c r="A73" s="200"/>
      <c r="B73" s="1198" t="s">
        <v>1272</v>
      </c>
      <c r="C73" s="1198"/>
      <c r="D73" s="78"/>
      <c r="E73" s="78"/>
      <c r="F73" s="78"/>
      <c r="G73" s="1134"/>
      <c r="H73" s="1134"/>
      <c r="I73" s="1238"/>
      <c r="J73" s="1134"/>
      <c r="K73" s="1134"/>
      <c r="L73" s="1134"/>
      <c r="M73" s="1422"/>
    </row>
    <row r="74" spans="1:13" ht="15.75">
      <c r="A74" s="961"/>
      <c r="B74" s="2095"/>
      <c r="C74" s="2096"/>
      <c r="D74" s="2096"/>
      <c r="E74" s="2096"/>
      <c r="F74" s="2096"/>
      <c r="G74" s="2096"/>
      <c r="H74" s="2096"/>
      <c r="I74" s="2096"/>
      <c r="J74" s="2097"/>
      <c r="K74" s="1134"/>
      <c r="L74" s="200"/>
      <c r="M74" s="1422"/>
    </row>
    <row r="75" spans="1:13" ht="15.75" hidden="1">
      <c r="A75" s="961"/>
      <c r="B75" s="2098"/>
      <c r="C75" s="2031"/>
      <c r="D75" s="2031"/>
      <c r="E75" s="2031"/>
      <c r="F75" s="2031"/>
      <c r="G75" s="2031"/>
      <c r="H75" s="2031"/>
      <c r="I75" s="2032"/>
      <c r="J75" s="1134"/>
      <c r="K75" s="1134"/>
      <c r="L75" s="1134"/>
      <c r="M75" s="1422"/>
    </row>
    <row r="76" spans="1:13" ht="15.75" hidden="1">
      <c r="A76" s="961"/>
      <c r="B76" s="2098"/>
      <c r="C76" s="2031"/>
      <c r="D76" s="2031"/>
      <c r="E76" s="2031"/>
      <c r="F76" s="2031"/>
      <c r="G76" s="2031"/>
      <c r="H76" s="2031"/>
      <c r="I76" s="2032"/>
      <c r="J76" s="1134"/>
      <c r="K76" s="1134"/>
      <c r="L76" s="1134"/>
      <c r="M76" s="1422"/>
    </row>
    <row r="77" spans="1:13" ht="15.75" hidden="1">
      <c r="A77" s="961"/>
      <c r="B77" s="2098"/>
      <c r="C77" s="2031"/>
      <c r="D77" s="2031"/>
      <c r="E77" s="2031"/>
      <c r="F77" s="2031"/>
      <c r="G77" s="2031"/>
      <c r="H77" s="2031"/>
      <c r="I77" s="2032"/>
      <c r="J77" s="1134"/>
      <c r="K77" s="1134"/>
      <c r="L77" s="339"/>
      <c r="M77" s="1420"/>
    </row>
    <row r="78" spans="1:13" ht="15.75" hidden="1">
      <c r="A78" s="961"/>
      <c r="B78" s="2098"/>
      <c r="C78" s="2031"/>
      <c r="D78" s="2031"/>
      <c r="E78" s="2031"/>
      <c r="F78" s="2031"/>
      <c r="G78" s="2031"/>
      <c r="H78" s="2031"/>
      <c r="I78" s="2032"/>
      <c r="J78" s="1134"/>
      <c r="K78" s="1134"/>
      <c r="L78" s="1134"/>
      <c r="M78" s="1422"/>
    </row>
    <row r="79" spans="1:13" ht="15.75" hidden="1">
      <c r="A79" s="961"/>
      <c r="B79" s="2098"/>
      <c r="C79" s="2031"/>
      <c r="D79" s="2031"/>
      <c r="E79" s="2031"/>
      <c r="F79" s="2031"/>
      <c r="G79" s="2031"/>
      <c r="H79" s="2031"/>
      <c r="I79" s="2032"/>
      <c r="J79" s="1134"/>
      <c r="K79" s="1134"/>
      <c r="L79" s="1134"/>
      <c r="M79" s="1422"/>
    </row>
    <row r="80" spans="1:13" ht="15.75" hidden="1">
      <c r="A80" s="961"/>
      <c r="B80" s="2098"/>
      <c r="C80" s="2031"/>
      <c r="D80" s="2031"/>
      <c r="E80" s="2031"/>
      <c r="F80" s="2031"/>
      <c r="G80" s="2031"/>
      <c r="H80" s="2031"/>
      <c r="I80" s="2032"/>
      <c r="J80" s="1134"/>
      <c r="K80" s="1134"/>
      <c r="L80" s="339"/>
      <c r="M80" s="1420"/>
    </row>
    <row r="81" spans="1:13" ht="15.75" hidden="1">
      <c r="A81" s="961"/>
      <c r="B81" s="2098"/>
      <c r="C81" s="2031"/>
      <c r="D81" s="2031"/>
      <c r="E81" s="2031"/>
      <c r="F81" s="2031"/>
      <c r="G81" s="2031"/>
      <c r="H81" s="2031"/>
      <c r="I81" s="2032"/>
      <c r="J81" s="1134"/>
      <c r="K81" s="1134"/>
      <c r="L81" s="1134"/>
      <c r="M81" s="1422"/>
    </row>
    <row r="82" spans="1:13" ht="15.75" hidden="1">
      <c r="A82" s="961"/>
      <c r="B82" s="2098"/>
      <c r="C82" s="2031"/>
      <c r="D82" s="2031"/>
      <c r="E82" s="2031"/>
      <c r="F82" s="2031"/>
      <c r="G82" s="2031"/>
      <c r="H82" s="2031"/>
      <c r="I82" s="2032"/>
      <c r="J82" s="1134"/>
      <c r="K82" s="1134"/>
      <c r="L82" s="1134"/>
      <c r="M82" s="1422"/>
    </row>
    <row r="83" spans="1:13" ht="15.75">
      <c r="A83" s="961"/>
      <c r="B83" s="1198"/>
      <c r="C83" s="1134"/>
      <c r="D83" s="1134"/>
      <c r="E83" s="1134"/>
      <c r="F83" s="1134"/>
      <c r="G83" s="1134"/>
      <c r="H83" s="1134"/>
      <c r="I83" s="1134"/>
      <c r="J83" s="1134"/>
      <c r="K83" s="1134"/>
      <c r="L83" s="1134"/>
      <c r="M83" s="1422"/>
    </row>
    <row r="84" spans="1:13" ht="12.75" customHeight="1">
      <c r="A84" s="78"/>
      <c r="B84" s="78"/>
      <c r="C84" s="78"/>
      <c r="D84" s="78"/>
      <c r="E84" s="78"/>
      <c r="F84" s="78"/>
      <c r="G84" s="78"/>
      <c r="H84" s="78"/>
      <c r="I84" s="78"/>
      <c r="J84" s="78"/>
      <c r="K84" s="78"/>
      <c r="L84" s="78"/>
      <c r="M84" s="78"/>
    </row>
  </sheetData>
  <sheetProtection password="C7B7" sheet="1" objects="1" scenarios="1"/>
  <protectedRanges>
    <protectedRange sqref="B74:J74" name="Range10"/>
    <protectedRange sqref="C18:C28" name="Range1"/>
    <protectedRange sqref="E18:E28 E44" name="Range2"/>
    <protectedRange sqref="J36" name="Range3"/>
    <protectedRange sqref="C44:C50" name="Range4"/>
    <protectedRange sqref="E45:E50" name="Range5"/>
    <protectedRange sqref="J58" name="Range6"/>
    <protectedRange sqref="C64:C65" name="Range7"/>
    <protectedRange sqref="E64:E65" name="Range8"/>
    <protectedRange sqref="J69" name="Range9"/>
  </protectedRanges>
  <phoneticPr fontId="13" type="noConversion"/>
  <printOptions horizontalCentered="1"/>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XFD214"/>
  <sheetViews>
    <sheetView zoomScale="75" zoomScaleNormal="75" zoomScaleSheetLayoutView="75" workbookViewId="0">
      <selection activeCell="H13" sqref="H13"/>
    </sheetView>
  </sheetViews>
  <sheetFormatPr defaultColWidth="0" defaultRowHeight="12.75" zeroHeight="1"/>
  <cols>
    <col min="1" max="1" width="9.85546875" customWidth="1"/>
    <col min="2" max="2" width="12" customWidth="1"/>
    <col min="3" max="3" width="62.7109375" customWidth="1"/>
    <col min="4" max="4" width="19.5703125" customWidth="1"/>
    <col min="5" max="5" width="12" customWidth="1"/>
    <col min="6" max="6" width="22.42578125" customWidth="1"/>
    <col min="7" max="7" width="13.5703125" customWidth="1"/>
    <col min="8" max="8" width="18.7109375" customWidth="1"/>
    <col min="9" max="9" width="14.7109375" customWidth="1"/>
    <col min="10" max="10" width="15.5703125" customWidth="1"/>
    <col min="11" max="11" width="12" hidden="1" customWidth="1"/>
    <col min="12" max="12" width="14.28515625" hidden="1" customWidth="1"/>
    <col min="13" max="13" width="11.42578125" hidden="1" customWidth="1"/>
    <col min="14" max="14" width="9.140625" hidden="1" customWidth="1"/>
  </cols>
  <sheetData>
    <row r="1" spans="1:14" ht="15.75" thickBot="1">
      <c r="A1" s="2153" t="s">
        <v>2830</v>
      </c>
      <c r="B1" s="196"/>
      <c r="C1" s="196"/>
      <c r="D1" s="196"/>
      <c r="E1" s="196"/>
      <c r="F1" s="196"/>
      <c r="G1" s="196"/>
      <c r="H1" s="196"/>
      <c r="I1" s="196"/>
      <c r="J1" s="196"/>
      <c r="K1" s="196"/>
      <c r="L1" s="196"/>
      <c r="M1" s="196"/>
      <c r="N1" s="196"/>
    </row>
    <row r="2" spans="1:14" ht="15.75" thickBot="1">
      <c r="A2" s="196"/>
      <c r="B2" s="196"/>
      <c r="C2" s="196"/>
      <c r="D2" s="941" t="s">
        <v>163</v>
      </c>
      <c r="E2" s="78"/>
      <c r="F2" s="1445" t="str">
        <f>'1 Summary'!G2</f>
        <v/>
      </c>
      <c r="G2" s="45"/>
      <c r="H2" s="196"/>
      <c r="I2" s="196"/>
      <c r="J2" s="196"/>
      <c r="K2" s="196"/>
      <c r="L2" s="196"/>
      <c r="M2" s="196"/>
      <c r="N2" s="196"/>
    </row>
    <row r="3" spans="1:14" ht="18.75" thickBot="1">
      <c r="A3" s="43" t="s">
        <v>622</v>
      </c>
      <c r="B3" s="196"/>
      <c r="C3" s="196"/>
      <c r="D3" s="941" t="s">
        <v>162</v>
      </c>
      <c r="E3" s="78"/>
      <c r="F3" s="2184">
        <f>'1 Summary'!G3</f>
        <v>0</v>
      </c>
      <c r="G3" s="23"/>
      <c r="H3" s="196"/>
      <c r="I3" s="196"/>
      <c r="J3" s="196"/>
      <c r="K3" s="196"/>
      <c r="L3" s="196"/>
      <c r="M3" s="196"/>
      <c r="N3" s="196"/>
    </row>
    <row r="4" spans="1:14" ht="18.75" customHeight="1">
      <c r="A4" s="2100" t="s">
        <v>1201</v>
      </c>
      <c r="B4" s="2099"/>
      <c r="C4" s="2099"/>
      <c r="D4" s="2099"/>
      <c r="E4" s="2099"/>
      <c r="F4" s="2099"/>
      <c r="G4" s="2099"/>
      <c r="H4" s="2099"/>
      <c r="I4" s="2099"/>
      <c r="J4" s="2099"/>
      <c r="K4" s="2099"/>
      <c r="L4" s="2099"/>
      <c r="M4" s="196"/>
      <c r="N4" s="196"/>
    </row>
    <row r="5" spans="1:14" ht="15.75">
      <c r="A5" s="512"/>
      <c r="B5" s="512"/>
      <c r="C5" s="512"/>
      <c r="D5" s="512"/>
      <c r="E5" s="512"/>
      <c r="F5" s="1880" t="s">
        <v>1286</v>
      </c>
      <c r="G5" s="534"/>
      <c r="H5" s="1880" t="s">
        <v>1287</v>
      </c>
      <c r="I5" s="534"/>
      <c r="J5" s="1880" t="s">
        <v>1288</v>
      </c>
      <c r="K5" s="196"/>
      <c r="L5" s="196"/>
      <c r="M5" s="196"/>
      <c r="N5" s="196"/>
    </row>
    <row r="6" spans="1:14" ht="15.75">
      <c r="A6" s="512"/>
      <c r="B6" s="512"/>
      <c r="C6" s="512"/>
      <c r="D6" s="512"/>
      <c r="E6" s="512"/>
      <c r="F6" s="1880" t="s">
        <v>738</v>
      </c>
      <c r="G6" s="534"/>
      <c r="H6" s="1880" t="s">
        <v>640</v>
      </c>
      <c r="I6" s="534"/>
      <c r="J6" s="534"/>
      <c r="K6" s="196"/>
      <c r="L6" s="196"/>
      <c r="M6" s="196"/>
      <c r="N6" s="196"/>
    </row>
    <row r="7" spans="1:14" ht="15.75">
      <c r="A7" s="514">
        <v>16.100000000000001</v>
      </c>
      <c r="B7" s="324" t="s">
        <v>641</v>
      </c>
      <c r="C7" s="1883"/>
      <c r="D7" s="512"/>
      <c r="E7" s="512"/>
      <c r="F7" s="1880" t="s">
        <v>2697</v>
      </c>
      <c r="G7" s="534"/>
      <c r="H7" s="1880" t="s">
        <v>2917</v>
      </c>
      <c r="I7" s="534"/>
      <c r="J7" s="534"/>
      <c r="K7" s="196"/>
      <c r="L7" s="196"/>
      <c r="M7" s="196"/>
      <c r="N7" s="196"/>
    </row>
    <row r="8" spans="1:14" ht="20.25">
      <c r="A8" s="196"/>
      <c r="B8" s="301"/>
      <c r="C8" s="515"/>
      <c r="D8" s="516"/>
      <c r="E8" s="512"/>
      <c r="F8" s="517"/>
      <c r="G8" s="512"/>
      <c r="H8" s="518"/>
      <c r="I8" s="512"/>
      <c r="J8" s="512"/>
      <c r="K8" s="196"/>
      <c r="L8" s="196"/>
      <c r="M8" s="196"/>
      <c r="N8" s="196"/>
    </row>
    <row r="9" spans="1:14" ht="15">
      <c r="A9" s="514" t="s">
        <v>974</v>
      </c>
      <c r="B9" s="324" t="s">
        <v>232</v>
      </c>
      <c r="C9" s="1883"/>
      <c r="D9" s="512"/>
      <c r="E9" s="512"/>
      <c r="F9" s="1098" t="s">
        <v>789</v>
      </c>
      <c r="G9" s="512"/>
      <c r="H9" s="512"/>
      <c r="I9" s="512"/>
      <c r="J9" s="512"/>
      <c r="K9" s="196"/>
      <c r="L9" s="196"/>
      <c r="M9" s="196"/>
      <c r="N9" s="196"/>
    </row>
    <row r="10" spans="1:14" ht="15">
      <c r="A10" s="512"/>
      <c r="B10" s="680" t="s">
        <v>1462</v>
      </c>
      <c r="C10" s="631"/>
      <c r="D10" s="512"/>
      <c r="E10" s="512"/>
      <c r="F10" s="519">
        <f>I43</f>
        <v>0</v>
      </c>
      <c r="G10" s="512"/>
      <c r="H10" s="519">
        <f>ROUND('1.1 Pupil Foundation'!H29*0.13,0)</f>
        <v>0</v>
      </c>
      <c r="I10" s="512"/>
      <c r="J10" s="512"/>
      <c r="K10" s="196"/>
      <c r="L10" s="196"/>
      <c r="M10" s="196"/>
      <c r="N10" s="196"/>
    </row>
    <row r="11" spans="1:14" ht="15">
      <c r="A11" s="514" t="s">
        <v>975</v>
      </c>
      <c r="B11" s="324" t="s">
        <v>1463</v>
      </c>
      <c r="C11" s="514"/>
      <c r="D11" s="512"/>
      <c r="E11" s="512"/>
      <c r="F11" s="519">
        <f>I50</f>
        <v>0</v>
      </c>
      <c r="G11" s="512"/>
      <c r="H11" s="519">
        <f>ROUND('2 Special Ed'!T15,0)</f>
        <v>0</v>
      </c>
      <c r="I11" s="512"/>
      <c r="J11" s="512"/>
      <c r="K11" s="196"/>
      <c r="L11" s="196"/>
      <c r="M11" s="196"/>
      <c r="N11" s="196"/>
    </row>
    <row r="12" spans="1:14" ht="15">
      <c r="A12" s="514" t="s">
        <v>856</v>
      </c>
      <c r="B12" s="680" t="s">
        <v>3240</v>
      </c>
      <c r="C12" s="680"/>
      <c r="D12" s="512"/>
      <c r="E12" s="512"/>
      <c r="F12" s="519">
        <f>I88</f>
        <v>0</v>
      </c>
      <c r="G12" s="512"/>
      <c r="H12" s="520">
        <f>ROUND('5 Remote and Rural'!J12+'5 Remote and Rural'!J24,0)</f>
        <v>0</v>
      </c>
      <c r="I12" s="512"/>
      <c r="J12" s="512"/>
      <c r="K12" s="196"/>
      <c r="L12" s="196"/>
      <c r="M12" s="196"/>
      <c r="N12" s="196"/>
    </row>
    <row r="13" spans="1:14" ht="15">
      <c r="A13" s="2383" t="s">
        <v>3183</v>
      </c>
      <c r="B13" s="2384" t="s">
        <v>3184</v>
      </c>
      <c r="C13" s="2379"/>
      <c r="D13" s="2380"/>
      <c r="E13" s="2380"/>
      <c r="F13" s="2381">
        <f>H105</f>
        <v>0</v>
      </c>
      <c r="G13" s="2380"/>
      <c r="H13" s="2382">
        <f>'10 Admin and Governance'!J18</f>
        <v>0</v>
      </c>
      <c r="I13" s="1884"/>
      <c r="J13" s="1884"/>
      <c r="K13" s="196"/>
      <c r="L13" s="196"/>
      <c r="M13" s="196"/>
      <c r="N13" s="196"/>
    </row>
    <row r="14" spans="1:14" ht="15.75">
      <c r="A14" s="514" t="s">
        <v>976</v>
      </c>
      <c r="B14" s="324" t="s">
        <v>1001</v>
      </c>
      <c r="C14" s="514"/>
      <c r="D14" s="512"/>
      <c r="E14" s="512"/>
      <c r="F14" s="1896">
        <f>SUM(F10:F13)</f>
        <v>0</v>
      </c>
      <c r="G14" s="512"/>
      <c r="H14" s="1896">
        <f>SUM(H10:H13)</f>
        <v>0</v>
      </c>
      <c r="I14" s="512"/>
      <c r="J14" s="512"/>
      <c r="K14" s="196"/>
      <c r="L14" s="196"/>
      <c r="M14" s="196"/>
      <c r="N14" s="196"/>
    </row>
    <row r="15" spans="1:14" ht="15">
      <c r="A15" s="512"/>
      <c r="B15" s="307"/>
      <c r="C15" s="512"/>
      <c r="D15" s="512"/>
      <c r="E15" s="512"/>
      <c r="F15" s="318"/>
      <c r="G15" s="512"/>
      <c r="H15" s="512"/>
      <c r="I15" s="512"/>
      <c r="J15" s="512"/>
      <c r="K15" s="196"/>
      <c r="L15" s="196"/>
      <c r="M15" s="196"/>
      <c r="N15" s="196"/>
    </row>
    <row r="16" spans="1:14" ht="15">
      <c r="A16" s="514" t="s">
        <v>977</v>
      </c>
      <c r="B16" s="324" t="s">
        <v>1466</v>
      </c>
      <c r="C16" s="514"/>
      <c r="D16" s="512"/>
      <c r="E16" s="512"/>
      <c r="F16" s="521">
        <f>I41</f>
        <v>0</v>
      </c>
      <c r="G16" s="512"/>
      <c r="H16" s="522">
        <f>'Sch 13 Enrolment'!V70</f>
        <v>0</v>
      </c>
      <c r="I16" s="512"/>
      <c r="J16" s="512"/>
      <c r="K16" s="196"/>
      <c r="L16" s="196"/>
      <c r="M16" s="196"/>
      <c r="N16" s="196"/>
    </row>
    <row r="17" spans="1:14" ht="15">
      <c r="A17" s="512"/>
      <c r="B17" s="680" t="s">
        <v>2991</v>
      </c>
      <c r="C17" s="631"/>
      <c r="D17" s="512"/>
      <c r="E17" s="512"/>
      <c r="F17" s="196"/>
      <c r="G17" s="196"/>
      <c r="H17" s="196"/>
      <c r="I17" s="512"/>
      <c r="J17" s="512"/>
      <c r="K17" s="196"/>
      <c r="L17" s="196"/>
      <c r="M17" s="196"/>
      <c r="N17" s="196"/>
    </row>
    <row r="18" spans="1:14" ht="15.75">
      <c r="A18" s="512"/>
      <c r="B18" s="307"/>
      <c r="C18" s="512"/>
      <c r="D18" s="512"/>
      <c r="E18" s="512"/>
      <c r="F18" s="1880"/>
      <c r="G18" s="534"/>
      <c r="H18" s="1880"/>
      <c r="I18" s="534"/>
      <c r="J18" s="1880"/>
      <c r="K18" s="196"/>
      <c r="L18" s="196"/>
      <c r="M18" s="196"/>
      <c r="N18" s="196"/>
    </row>
    <row r="19" spans="1:14" ht="15">
      <c r="A19" s="514">
        <v>16.399999999999999</v>
      </c>
      <c r="B19" s="680" t="s">
        <v>1467</v>
      </c>
      <c r="C19" s="514"/>
      <c r="D19" s="512"/>
      <c r="E19" s="512"/>
      <c r="F19" s="514"/>
      <c r="G19" s="512"/>
      <c r="H19" s="514"/>
      <c r="I19" s="512"/>
      <c r="J19" s="517"/>
      <c r="K19" s="196"/>
      <c r="L19" s="196"/>
      <c r="M19" s="196"/>
      <c r="N19" s="196"/>
    </row>
    <row r="20" spans="1:14" ht="15.75">
      <c r="A20" s="512"/>
      <c r="B20" s="324" t="s">
        <v>730</v>
      </c>
      <c r="C20" s="514"/>
      <c r="D20" s="512"/>
      <c r="E20" s="512"/>
      <c r="F20" s="514"/>
      <c r="G20" s="1884"/>
      <c r="H20" s="514"/>
      <c r="I20" s="523"/>
      <c r="J20" s="1889">
        <f>ROUND(IF(F16-H16&lt;=0,0,F14-H14),0)</f>
        <v>0</v>
      </c>
      <c r="K20" s="196"/>
      <c r="L20" s="196"/>
      <c r="M20" s="196"/>
      <c r="N20" s="196"/>
    </row>
    <row r="21" spans="1:14" ht="15">
      <c r="A21" s="512"/>
      <c r="B21" s="307"/>
      <c r="C21" s="512"/>
      <c r="D21" s="512"/>
      <c r="E21" s="512"/>
      <c r="F21" s="512"/>
      <c r="G21" s="512"/>
      <c r="H21" s="512"/>
      <c r="I21" s="512"/>
      <c r="J21" s="512"/>
      <c r="K21" s="196"/>
      <c r="L21" s="196"/>
      <c r="M21" s="196"/>
      <c r="N21" s="196"/>
    </row>
    <row r="22" spans="1:14" ht="15">
      <c r="A22" s="514">
        <v>16.5</v>
      </c>
      <c r="B22" s="324" t="s">
        <v>625</v>
      </c>
      <c r="C22" s="514"/>
      <c r="D22" s="512"/>
      <c r="E22" s="512"/>
      <c r="F22" s="512"/>
      <c r="G22" s="512"/>
      <c r="H22" s="512"/>
      <c r="I22" s="512"/>
      <c r="J22" s="512"/>
      <c r="K22" s="196"/>
      <c r="L22" s="196"/>
      <c r="M22" s="196"/>
      <c r="N22" s="196"/>
    </row>
    <row r="23" spans="1:14" ht="15">
      <c r="A23" s="514" t="s">
        <v>663</v>
      </c>
      <c r="B23" s="680" t="s">
        <v>2990</v>
      </c>
      <c r="C23" s="631"/>
      <c r="D23" s="512"/>
      <c r="E23" s="512"/>
      <c r="F23" s="1884"/>
      <c r="G23" s="305"/>
      <c r="H23" s="525"/>
      <c r="I23" s="305"/>
      <c r="J23" s="524">
        <f>IF($F$3=0,0,VLOOKUP($F$3,Tables!$A$5:$AN8,27,FALSE))</f>
        <v>0</v>
      </c>
      <c r="K23" s="196"/>
      <c r="L23" s="196"/>
      <c r="M23" s="196"/>
      <c r="N23" s="196"/>
    </row>
    <row r="24" spans="1:14" ht="15">
      <c r="A24" s="512"/>
      <c r="B24" s="680" t="s">
        <v>2992</v>
      </c>
      <c r="C24" s="631"/>
      <c r="D24" s="512"/>
      <c r="E24" s="512"/>
      <c r="F24" s="512"/>
      <c r="G24" s="512"/>
      <c r="H24" s="512"/>
      <c r="I24" s="512"/>
      <c r="J24" s="512"/>
      <c r="K24" s="512"/>
      <c r="L24" s="512"/>
      <c r="M24" s="196"/>
      <c r="N24" s="196"/>
    </row>
    <row r="25" spans="1:14" ht="15">
      <c r="A25" s="512"/>
      <c r="B25" s="307"/>
      <c r="C25" s="512"/>
      <c r="D25" s="512"/>
      <c r="E25" s="512"/>
      <c r="F25" s="512"/>
      <c r="G25" s="1884"/>
      <c r="H25" s="512"/>
      <c r="I25" s="512"/>
      <c r="J25" s="512"/>
      <c r="K25" s="512"/>
      <c r="L25" s="512"/>
      <c r="M25" s="196"/>
      <c r="N25" s="196"/>
    </row>
    <row r="26" spans="1:14" ht="15.75">
      <c r="A26" s="514" t="s">
        <v>838</v>
      </c>
      <c r="B26" s="680" t="s">
        <v>2993</v>
      </c>
      <c r="C26" s="1883"/>
      <c r="D26" s="512"/>
      <c r="E26" s="512"/>
      <c r="F26" s="1906"/>
      <c r="G26" s="1884"/>
      <c r="H26" s="1884"/>
      <c r="I26" s="512"/>
      <c r="J26" s="683">
        <f>ROUND(J23*25%,0)</f>
        <v>0</v>
      </c>
      <c r="K26" s="512"/>
      <c r="L26" s="1884"/>
      <c r="M26" s="196"/>
      <c r="N26" s="196"/>
    </row>
    <row r="27" spans="1:14" ht="15.75">
      <c r="A27" s="514"/>
      <c r="B27" s="680" t="s">
        <v>2994</v>
      </c>
      <c r="C27" s="1887"/>
      <c r="D27" s="1884"/>
      <c r="E27" s="1884"/>
      <c r="F27" s="1906"/>
      <c r="G27" s="1884"/>
      <c r="H27" s="1884"/>
      <c r="I27" s="1884"/>
      <c r="J27" s="1907"/>
      <c r="K27" s="1884"/>
      <c r="L27" s="1884"/>
      <c r="M27" s="196"/>
      <c r="N27" s="196"/>
    </row>
    <row r="28" spans="1:14" ht="15.75">
      <c r="A28" s="512"/>
      <c r="B28" s="307"/>
      <c r="C28" s="512"/>
      <c r="D28" s="512"/>
      <c r="E28" s="512"/>
      <c r="F28" s="1886" t="s">
        <v>789</v>
      </c>
      <c r="G28" s="512"/>
      <c r="H28" s="1884"/>
      <c r="I28" s="512"/>
      <c r="J28" s="512"/>
      <c r="K28" s="512"/>
      <c r="L28" s="1884"/>
      <c r="M28" s="196"/>
      <c r="N28" s="196"/>
    </row>
    <row r="29" spans="1:14" ht="15">
      <c r="A29" s="1895"/>
      <c r="B29" s="1892"/>
      <c r="C29" s="1895"/>
      <c r="D29" s="1895"/>
      <c r="E29" s="1895"/>
      <c r="F29" s="1895"/>
      <c r="G29" s="1895"/>
      <c r="H29" s="1895"/>
      <c r="I29" s="1895"/>
      <c r="J29" s="1895"/>
      <c r="K29" s="1884"/>
      <c r="L29" s="1884"/>
      <c r="M29" s="196"/>
      <c r="N29" s="196"/>
    </row>
    <row r="30" spans="1:14" s="263" customFormat="1" ht="15.75">
      <c r="A30" s="679">
        <v>16.600000000000001</v>
      </c>
      <c r="B30" s="530" t="s">
        <v>978</v>
      </c>
      <c r="C30" s="679"/>
      <c r="D30" s="534"/>
      <c r="E30" s="534"/>
      <c r="F30" s="534"/>
      <c r="G30" s="534"/>
      <c r="H30" s="534"/>
      <c r="I30" s="534"/>
      <c r="J30" s="1896">
        <f>ROUND(J20+J26,0)</f>
        <v>0</v>
      </c>
      <c r="K30" s="534"/>
      <c r="L30" s="1884"/>
      <c r="M30" s="27"/>
      <c r="N30" s="27"/>
    </row>
    <row r="31" spans="1:14" s="263" customFormat="1" ht="15.75">
      <c r="A31" s="534"/>
      <c r="B31" s="530" t="s">
        <v>2865</v>
      </c>
      <c r="C31" s="679"/>
      <c r="D31" s="534"/>
      <c r="E31" s="534"/>
      <c r="F31" s="534"/>
      <c r="G31" s="534"/>
      <c r="H31" s="534"/>
      <c r="I31" s="534"/>
      <c r="J31" s="534"/>
      <c r="K31" s="534"/>
      <c r="L31" s="1884"/>
      <c r="M31" s="27"/>
      <c r="N31" s="27"/>
    </row>
    <row r="32" spans="1:14" ht="15">
      <c r="A32" s="512"/>
      <c r="B32" s="512"/>
      <c r="C32" s="512"/>
      <c r="D32" s="512"/>
      <c r="E32" s="512"/>
      <c r="F32" s="512"/>
      <c r="G32" s="512"/>
      <c r="H32" s="512"/>
      <c r="I32" s="512"/>
      <c r="J32" s="512"/>
      <c r="K32" s="512"/>
      <c r="L32" s="512"/>
      <c r="M32" s="196"/>
      <c r="N32" s="196"/>
    </row>
    <row r="33" spans="1:16384" ht="15.75">
      <c r="A33" s="679" t="s">
        <v>789</v>
      </c>
      <c r="B33" s="530" t="s">
        <v>2995</v>
      </c>
      <c r="C33" s="1884"/>
      <c r="D33" s="512"/>
      <c r="E33" s="512"/>
      <c r="F33" s="512"/>
      <c r="G33" s="512"/>
      <c r="H33" s="512"/>
      <c r="I33" s="512"/>
      <c r="J33" s="512"/>
      <c r="K33" s="512"/>
      <c r="L33" s="512"/>
      <c r="M33" s="196"/>
      <c r="N33" s="196"/>
    </row>
    <row r="34" spans="1:16384" ht="15">
      <c r="A34" s="1884"/>
      <c r="B34" s="1884"/>
      <c r="C34" s="1884"/>
      <c r="D34" s="1884"/>
      <c r="E34" s="1884"/>
      <c r="F34" s="1884"/>
      <c r="G34" s="1884"/>
      <c r="H34" s="1884"/>
      <c r="I34" s="1884"/>
      <c r="J34" s="1884"/>
      <c r="K34" s="1884"/>
      <c r="L34" s="1884"/>
      <c r="M34" s="1884"/>
      <c r="N34" s="1884"/>
      <c r="O34" s="1884"/>
      <c r="P34" s="1884"/>
      <c r="Q34" s="1884"/>
      <c r="R34" s="1884"/>
      <c r="S34" s="1884"/>
      <c r="T34" s="1884"/>
      <c r="U34" s="1884"/>
      <c r="V34" s="1884"/>
      <c r="W34" s="1884"/>
      <c r="X34" s="1884"/>
      <c r="Y34" s="1884"/>
      <c r="Z34" s="1884"/>
      <c r="AA34" s="1884"/>
      <c r="AB34" s="1884"/>
      <c r="AC34" s="1884"/>
      <c r="AD34" s="1884"/>
      <c r="AE34" s="1884"/>
      <c r="AF34" s="1884"/>
      <c r="AG34" s="1884"/>
      <c r="AH34" s="1884"/>
      <c r="AI34" s="1884"/>
      <c r="AJ34" s="1884"/>
      <c r="AK34" s="1884"/>
      <c r="AL34" s="1884"/>
      <c r="AM34" s="1884"/>
      <c r="AN34" s="1884"/>
      <c r="AO34" s="1884"/>
      <c r="AP34" s="1884"/>
      <c r="AQ34" s="1884"/>
      <c r="AR34" s="1884"/>
      <c r="AS34" s="1884"/>
      <c r="AT34" s="1884"/>
      <c r="AU34" s="1884"/>
      <c r="AV34" s="1884"/>
      <c r="AW34" s="1884"/>
      <c r="AX34" s="1884"/>
      <c r="AY34" s="1884"/>
      <c r="AZ34" s="1884"/>
      <c r="BA34" s="1884"/>
      <c r="BB34" s="1884"/>
      <c r="BC34" s="1884"/>
      <c r="BD34" s="1884"/>
      <c r="BE34" s="1884"/>
      <c r="BF34" s="1884"/>
      <c r="BG34" s="1884"/>
      <c r="BH34" s="1884"/>
      <c r="BI34" s="1884"/>
      <c r="BJ34" s="1884"/>
      <c r="BK34" s="1884"/>
      <c r="BL34" s="1884"/>
      <c r="BM34" s="1884"/>
      <c r="BN34" s="1884"/>
      <c r="BO34" s="1884"/>
      <c r="BP34" s="1884"/>
      <c r="BQ34" s="1884"/>
      <c r="BR34" s="1884"/>
      <c r="BS34" s="1884"/>
      <c r="BT34" s="1884"/>
      <c r="BU34" s="1884"/>
      <c r="BV34" s="1884"/>
      <c r="BW34" s="1884"/>
      <c r="BX34" s="1884"/>
      <c r="BY34" s="1884"/>
      <c r="BZ34" s="1884"/>
      <c r="CA34" s="1884"/>
      <c r="CB34" s="1884"/>
      <c r="CC34" s="1884"/>
      <c r="CD34" s="1884"/>
      <c r="CE34" s="1884"/>
      <c r="CF34" s="1884"/>
      <c r="CG34" s="1884"/>
      <c r="CH34" s="1884"/>
      <c r="CI34" s="1884"/>
      <c r="CJ34" s="1884"/>
      <c r="CK34" s="1884"/>
      <c r="CL34" s="1884"/>
      <c r="CM34" s="1884"/>
      <c r="CN34" s="1884"/>
      <c r="CO34" s="1884"/>
      <c r="CP34" s="1884"/>
      <c r="CQ34" s="1884"/>
      <c r="CR34" s="1884"/>
      <c r="CS34" s="1884"/>
      <c r="CT34" s="1884"/>
      <c r="CU34" s="1884"/>
      <c r="CV34" s="1884"/>
      <c r="CW34" s="1884"/>
      <c r="CX34" s="1884"/>
      <c r="CY34" s="1884"/>
      <c r="CZ34" s="1884"/>
      <c r="DA34" s="1884"/>
      <c r="DB34" s="1884"/>
      <c r="DC34" s="1884"/>
      <c r="DD34" s="1884"/>
      <c r="DE34" s="1884"/>
      <c r="DF34" s="1884"/>
      <c r="DG34" s="1884"/>
      <c r="DH34" s="1884"/>
      <c r="DI34" s="1884"/>
      <c r="DJ34" s="1884"/>
      <c r="DK34" s="1884"/>
      <c r="DL34" s="1884"/>
      <c r="DM34" s="1884"/>
      <c r="DN34" s="1884"/>
      <c r="DO34" s="1884"/>
      <c r="DP34" s="1884"/>
      <c r="DQ34" s="1884"/>
      <c r="DR34" s="1884"/>
      <c r="DS34" s="1884"/>
      <c r="DT34" s="1884"/>
      <c r="DU34" s="1884"/>
      <c r="DV34" s="1884"/>
      <c r="DW34" s="1884"/>
      <c r="DX34" s="1884"/>
      <c r="DY34" s="1884"/>
      <c r="DZ34" s="1884"/>
      <c r="EA34" s="1884"/>
      <c r="EB34" s="1884"/>
      <c r="EC34" s="1884"/>
      <c r="ED34" s="1884"/>
      <c r="EE34" s="1884"/>
      <c r="EF34" s="1884"/>
      <c r="EG34" s="1884"/>
      <c r="EH34" s="1884"/>
      <c r="EI34" s="1884"/>
      <c r="EJ34" s="1884"/>
      <c r="EK34" s="1884"/>
      <c r="EL34" s="1884"/>
      <c r="EM34" s="1884"/>
      <c r="EN34" s="1884"/>
      <c r="EO34" s="1884"/>
      <c r="EP34" s="1884"/>
      <c r="EQ34" s="1884"/>
      <c r="ER34" s="1884"/>
      <c r="ES34" s="1884"/>
      <c r="ET34" s="1884"/>
      <c r="EU34" s="1884"/>
      <c r="EV34" s="1884"/>
      <c r="EW34" s="1884"/>
      <c r="EX34" s="1884"/>
      <c r="EY34" s="1884"/>
      <c r="EZ34" s="1884"/>
      <c r="FA34" s="1884"/>
      <c r="FB34" s="1884"/>
      <c r="FC34" s="1884"/>
      <c r="FD34" s="1884"/>
      <c r="FE34" s="1884"/>
      <c r="FF34" s="1884"/>
      <c r="FG34" s="1884"/>
      <c r="FH34" s="1884"/>
      <c r="FI34" s="1884"/>
      <c r="FJ34" s="1884"/>
      <c r="FK34" s="1884"/>
      <c r="FL34" s="1884"/>
      <c r="FM34" s="1884"/>
      <c r="FN34" s="1884"/>
      <c r="FO34" s="1884"/>
      <c r="FP34" s="1884"/>
      <c r="FQ34" s="1884"/>
      <c r="FR34" s="1884"/>
      <c r="FS34" s="1884"/>
      <c r="FT34" s="1884"/>
      <c r="FU34" s="1884"/>
      <c r="FV34" s="1884"/>
      <c r="FW34" s="1884"/>
      <c r="FX34" s="1884"/>
      <c r="FY34" s="1884"/>
      <c r="FZ34" s="1884"/>
      <c r="GA34" s="1884"/>
      <c r="GB34" s="1884"/>
      <c r="GC34" s="1884"/>
      <c r="GD34" s="1884"/>
      <c r="GE34" s="1884"/>
      <c r="GF34" s="1884"/>
      <c r="GG34" s="1884"/>
      <c r="GH34" s="1884"/>
      <c r="GI34" s="1884"/>
      <c r="GJ34" s="1884"/>
      <c r="GK34" s="1884"/>
      <c r="GL34" s="1884"/>
      <c r="GM34" s="1884"/>
      <c r="GN34" s="1884"/>
      <c r="GO34" s="1884"/>
      <c r="GP34" s="1884"/>
      <c r="GQ34" s="1884"/>
      <c r="GR34" s="1884"/>
      <c r="GS34" s="1884"/>
      <c r="GT34" s="1884"/>
      <c r="GU34" s="1884"/>
      <c r="GV34" s="1884"/>
      <c r="GW34" s="1884"/>
      <c r="GX34" s="1884"/>
      <c r="GY34" s="1884"/>
      <c r="GZ34" s="1884"/>
      <c r="HA34" s="1884"/>
      <c r="HB34" s="1884"/>
      <c r="HC34" s="1884"/>
      <c r="HD34" s="1884"/>
      <c r="HE34" s="1884"/>
      <c r="HF34" s="1884"/>
      <c r="HG34" s="1884"/>
      <c r="HH34" s="1884"/>
      <c r="HI34" s="1884"/>
      <c r="HJ34" s="1884"/>
      <c r="HK34" s="1884"/>
      <c r="HL34" s="1884"/>
      <c r="HM34" s="1884"/>
      <c r="HN34" s="1884"/>
      <c r="HO34" s="1884"/>
      <c r="HP34" s="1884"/>
      <c r="HQ34" s="1884"/>
      <c r="HR34" s="1884"/>
      <c r="HS34" s="1884"/>
      <c r="HT34" s="1884"/>
      <c r="HU34" s="1884"/>
      <c r="HV34" s="1884"/>
      <c r="HW34" s="1884"/>
      <c r="HX34" s="1884"/>
      <c r="HY34" s="1884"/>
      <c r="HZ34" s="1884"/>
      <c r="IA34" s="1884"/>
      <c r="IB34" s="1884"/>
      <c r="IC34" s="1884"/>
      <c r="ID34" s="1884"/>
      <c r="IE34" s="1884"/>
      <c r="IF34" s="1884"/>
      <c r="IG34" s="1884"/>
      <c r="IH34" s="1884"/>
      <c r="II34" s="1884"/>
      <c r="IJ34" s="1884"/>
      <c r="IK34" s="1884"/>
      <c r="IL34" s="1884"/>
      <c r="IM34" s="1884"/>
      <c r="IN34" s="1884"/>
      <c r="IO34" s="1884"/>
      <c r="IP34" s="1884"/>
      <c r="IQ34" s="1884"/>
      <c r="IR34" s="1884"/>
      <c r="IS34" s="1884"/>
      <c r="IT34" s="1884"/>
      <c r="IU34" s="1884"/>
      <c r="IV34" s="1884"/>
      <c r="IW34" s="1884"/>
      <c r="IX34" s="1884"/>
      <c r="IY34" s="1884"/>
      <c r="IZ34" s="1884"/>
      <c r="JA34" s="1884"/>
      <c r="JB34" s="1884"/>
      <c r="JC34" s="1884"/>
      <c r="JD34" s="1884"/>
      <c r="JE34" s="1884"/>
      <c r="JF34" s="1884"/>
      <c r="JG34" s="1884"/>
      <c r="JH34" s="1884"/>
      <c r="JI34" s="1884"/>
      <c r="JJ34" s="1884"/>
      <c r="JK34" s="1884"/>
      <c r="JL34" s="1884"/>
      <c r="JM34" s="1884"/>
      <c r="JN34" s="1884"/>
      <c r="JO34" s="1884"/>
      <c r="JP34" s="1884"/>
      <c r="JQ34" s="1884"/>
      <c r="JR34" s="1884"/>
      <c r="JS34" s="1884"/>
      <c r="JT34" s="1884"/>
      <c r="JU34" s="1884"/>
      <c r="JV34" s="1884"/>
      <c r="JW34" s="1884"/>
      <c r="JX34" s="1884"/>
      <c r="JY34" s="1884"/>
      <c r="JZ34" s="1884"/>
      <c r="KA34" s="1884"/>
      <c r="KB34" s="1884"/>
      <c r="KC34" s="1884"/>
      <c r="KD34" s="1884"/>
      <c r="KE34" s="1884"/>
      <c r="KF34" s="1884"/>
      <c r="KG34" s="1884"/>
      <c r="KH34" s="1884"/>
      <c r="KI34" s="1884"/>
      <c r="KJ34" s="1884"/>
      <c r="KK34" s="1884"/>
      <c r="KL34" s="1884"/>
      <c r="KM34" s="1884"/>
      <c r="KN34" s="1884"/>
      <c r="KO34" s="1884"/>
      <c r="KP34" s="1884"/>
      <c r="KQ34" s="1884"/>
      <c r="KR34" s="1884"/>
      <c r="KS34" s="1884"/>
      <c r="KT34" s="1884"/>
      <c r="KU34" s="1884"/>
      <c r="KV34" s="1884"/>
      <c r="KW34" s="1884"/>
      <c r="KX34" s="1884"/>
      <c r="KY34" s="1884"/>
      <c r="KZ34" s="1884"/>
      <c r="LA34" s="1884"/>
      <c r="LB34" s="1884"/>
      <c r="LC34" s="1884"/>
      <c r="LD34" s="1884"/>
      <c r="LE34" s="1884"/>
      <c r="LF34" s="1884"/>
      <c r="LG34" s="1884"/>
      <c r="LH34" s="1884"/>
      <c r="LI34" s="1884"/>
      <c r="LJ34" s="1884"/>
      <c r="LK34" s="1884"/>
      <c r="LL34" s="1884"/>
      <c r="LM34" s="1884"/>
      <c r="LN34" s="1884"/>
      <c r="LO34" s="1884"/>
      <c r="LP34" s="1884"/>
      <c r="LQ34" s="1884"/>
      <c r="LR34" s="1884"/>
      <c r="LS34" s="1884"/>
      <c r="LT34" s="1884"/>
      <c r="LU34" s="1884"/>
      <c r="LV34" s="1884"/>
      <c r="LW34" s="1884"/>
      <c r="LX34" s="1884"/>
      <c r="LY34" s="1884"/>
      <c r="LZ34" s="1884"/>
      <c r="MA34" s="1884"/>
      <c r="MB34" s="1884"/>
      <c r="MC34" s="1884"/>
      <c r="MD34" s="1884"/>
      <c r="ME34" s="1884"/>
      <c r="MF34" s="1884"/>
      <c r="MG34" s="1884"/>
      <c r="MH34" s="1884"/>
      <c r="MI34" s="1884"/>
      <c r="MJ34" s="1884"/>
      <c r="MK34" s="1884"/>
      <c r="ML34" s="1884"/>
      <c r="MM34" s="1884"/>
      <c r="MN34" s="1884"/>
      <c r="MO34" s="1884"/>
      <c r="MP34" s="1884"/>
      <c r="MQ34" s="1884"/>
      <c r="MR34" s="1884"/>
      <c r="MS34" s="1884"/>
      <c r="MT34" s="1884"/>
      <c r="MU34" s="1884"/>
      <c r="MV34" s="1884"/>
      <c r="MW34" s="1884"/>
      <c r="MX34" s="1884"/>
      <c r="MY34" s="1884"/>
      <c r="MZ34" s="1884"/>
      <c r="NA34" s="1884"/>
      <c r="NB34" s="1884"/>
      <c r="NC34" s="1884"/>
      <c r="ND34" s="1884"/>
      <c r="NE34" s="1884"/>
      <c r="NF34" s="1884"/>
      <c r="NG34" s="1884"/>
      <c r="NH34" s="1884"/>
      <c r="NI34" s="1884"/>
      <c r="NJ34" s="1884"/>
      <c r="NK34" s="1884"/>
      <c r="NL34" s="1884"/>
      <c r="NM34" s="1884"/>
      <c r="NN34" s="1884"/>
      <c r="NO34" s="1884"/>
      <c r="NP34" s="1884"/>
      <c r="NQ34" s="1884"/>
      <c r="NR34" s="1884"/>
      <c r="NS34" s="1884"/>
      <c r="NT34" s="1884"/>
      <c r="NU34" s="1884"/>
      <c r="NV34" s="1884"/>
      <c r="NW34" s="1884"/>
      <c r="NX34" s="1884"/>
      <c r="NY34" s="1884"/>
      <c r="NZ34" s="1884"/>
      <c r="OA34" s="1884"/>
      <c r="OB34" s="1884"/>
      <c r="OC34" s="1884"/>
      <c r="OD34" s="1884"/>
      <c r="OE34" s="1884"/>
      <c r="OF34" s="1884"/>
      <c r="OG34" s="1884"/>
      <c r="OH34" s="1884"/>
      <c r="OI34" s="1884"/>
      <c r="OJ34" s="1884"/>
      <c r="OK34" s="1884"/>
      <c r="OL34" s="1884"/>
      <c r="OM34" s="1884"/>
      <c r="ON34" s="1884"/>
      <c r="OO34" s="1884"/>
      <c r="OP34" s="1884"/>
      <c r="OQ34" s="1884"/>
      <c r="OR34" s="1884"/>
      <c r="OS34" s="1884"/>
      <c r="OT34" s="1884"/>
      <c r="OU34" s="1884"/>
      <c r="OV34" s="1884"/>
      <c r="OW34" s="1884"/>
      <c r="OX34" s="1884"/>
      <c r="OY34" s="1884"/>
      <c r="OZ34" s="1884"/>
      <c r="PA34" s="1884"/>
      <c r="PB34" s="1884"/>
      <c r="PC34" s="1884"/>
      <c r="PD34" s="1884"/>
      <c r="PE34" s="1884"/>
      <c r="PF34" s="1884"/>
      <c r="PG34" s="1884"/>
      <c r="PH34" s="1884"/>
      <c r="PI34" s="1884"/>
      <c r="PJ34" s="1884"/>
      <c r="PK34" s="1884"/>
      <c r="PL34" s="1884"/>
      <c r="PM34" s="1884"/>
      <c r="PN34" s="1884"/>
      <c r="PO34" s="1884"/>
      <c r="PP34" s="1884"/>
      <c r="PQ34" s="1884"/>
      <c r="PR34" s="1884"/>
      <c r="PS34" s="1884"/>
      <c r="PT34" s="1884"/>
      <c r="PU34" s="1884"/>
      <c r="PV34" s="1884"/>
      <c r="PW34" s="1884"/>
      <c r="PX34" s="1884"/>
      <c r="PY34" s="1884"/>
      <c r="PZ34" s="1884"/>
      <c r="QA34" s="1884"/>
      <c r="QB34" s="1884"/>
      <c r="QC34" s="1884"/>
      <c r="QD34" s="1884"/>
      <c r="QE34" s="1884"/>
      <c r="QF34" s="1884"/>
      <c r="QG34" s="1884"/>
      <c r="QH34" s="1884"/>
      <c r="QI34" s="1884"/>
      <c r="QJ34" s="1884"/>
      <c r="QK34" s="1884"/>
      <c r="QL34" s="1884"/>
      <c r="QM34" s="1884"/>
      <c r="QN34" s="1884"/>
      <c r="QO34" s="1884"/>
      <c r="QP34" s="1884"/>
      <c r="QQ34" s="1884"/>
      <c r="QR34" s="1884"/>
      <c r="QS34" s="1884"/>
      <c r="QT34" s="1884"/>
      <c r="QU34" s="1884"/>
      <c r="QV34" s="1884"/>
      <c r="QW34" s="1884"/>
      <c r="QX34" s="1884"/>
      <c r="QY34" s="1884"/>
      <c r="QZ34" s="1884"/>
      <c r="RA34" s="1884"/>
      <c r="RB34" s="1884"/>
      <c r="RC34" s="1884"/>
      <c r="RD34" s="1884"/>
      <c r="RE34" s="1884"/>
      <c r="RF34" s="1884"/>
      <c r="RG34" s="1884"/>
      <c r="RH34" s="1884"/>
      <c r="RI34" s="1884"/>
      <c r="RJ34" s="1884"/>
      <c r="RK34" s="1884"/>
      <c r="RL34" s="1884"/>
      <c r="RM34" s="1884"/>
      <c r="RN34" s="1884"/>
      <c r="RO34" s="1884"/>
      <c r="RP34" s="1884"/>
      <c r="RQ34" s="1884"/>
      <c r="RR34" s="1884"/>
      <c r="RS34" s="1884"/>
      <c r="RT34" s="1884"/>
      <c r="RU34" s="1884"/>
      <c r="RV34" s="1884"/>
      <c r="RW34" s="1884"/>
      <c r="RX34" s="1884"/>
      <c r="RY34" s="1884"/>
      <c r="RZ34" s="1884"/>
      <c r="SA34" s="1884"/>
      <c r="SB34" s="1884"/>
      <c r="SC34" s="1884"/>
      <c r="SD34" s="1884"/>
      <c r="SE34" s="1884"/>
      <c r="SF34" s="1884"/>
      <c r="SG34" s="1884"/>
      <c r="SH34" s="1884"/>
      <c r="SI34" s="1884"/>
      <c r="SJ34" s="1884"/>
      <c r="SK34" s="1884"/>
      <c r="SL34" s="1884"/>
      <c r="SM34" s="1884"/>
      <c r="SN34" s="1884"/>
      <c r="SO34" s="1884"/>
      <c r="SP34" s="1884"/>
      <c r="SQ34" s="1884"/>
      <c r="SR34" s="1884"/>
      <c r="SS34" s="1884"/>
      <c r="ST34" s="1884"/>
      <c r="SU34" s="1884"/>
      <c r="SV34" s="1884"/>
      <c r="SW34" s="1884"/>
      <c r="SX34" s="1884"/>
      <c r="SY34" s="1884"/>
      <c r="SZ34" s="1884"/>
      <c r="TA34" s="1884"/>
      <c r="TB34" s="1884"/>
      <c r="TC34" s="1884"/>
      <c r="TD34" s="1884"/>
      <c r="TE34" s="1884"/>
      <c r="TF34" s="1884"/>
      <c r="TG34" s="1884"/>
      <c r="TH34" s="1884"/>
      <c r="TI34" s="1884"/>
      <c r="TJ34" s="1884"/>
      <c r="TK34" s="1884"/>
      <c r="TL34" s="1884"/>
      <c r="TM34" s="1884"/>
      <c r="TN34" s="1884"/>
      <c r="TO34" s="1884"/>
      <c r="TP34" s="1884"/>
      <c r="TQ34" s="1884"/>
      <c r="TR34" s="1884"/>
      <c r="TS34" s="1884"/>
      <c r="TT34" s="1884"/>
      <c r="TU34" s="1884"/>
      <c r="TV34" s="1884"/>
      <c r="TW34" s="1884"/>
      <c r="TX34" s="1884"/>
      <c r="TY34" s="1884"/>
      <c r="TZ34" s="1884"/>
      <c r="UA34" s="1884"/>
      <c r="UB34" s="1884"/>
      <c r="UC34" s="1884"/>
      <c r="UD34" s="1884"/>
      <c r="UE34" s="1884"/>
      <c r="UF34" s="1884"/>
      <c r="UG34" s="1884"/>
      <c r="UH34" s="1884"/>
      <c r="UI34" s="1884"/>
      <c r="UJ34" s="1884"/>
      <c r="UK34" s="1884"/>
      <c r="UL34" s="1884"/>
      <c r="UM34" s="1884"/>
      <c r="UN34" s="1884"/>
      <c r="UO34" s="1884"/>
      <c r="UP34" s="1884"/>
      <c r="UQ34" s="1884"/>
      <c r="UR34" s="1884"/>
      <c r="US34" s="1884"/>
      <c r="UT34" s="1884"/>
      <c r="UU34" s="1884"/>
      <c r="UV34" s="1884"/>
      <c r="UW34" s="1884"/>
      <c r="UX34" s="1884"/>
      <c r="UY34" s="1884"/>
      <c r="UZ34" s="1884"/>
      <c r="VA34" s="1884"/>
      <c r="VB34" s="1884"/>
      <c r="VC34" s="1884"/>
      <c r="VD34" s="1884"/>
      <c r="VE34" s="1884"/>
      <c r="VF34" s="1884"/>
      <c r="VG34" s="1884"/>
      <c r="VH34" s="1884"/>
      <c r="VI34" s="1884"/>
      <c r="VJ34" s="1884"/>
      <c r="VK34" s="1884"/>
      <c r="VL34" s="1884"/>
      <c r="VM34" s="1884"/>
      <c r="VN34" s="1884"/>
      <c r="VO34" s="1884"/>
      <c r="VP34" s="1884"/>
      <c r="VQ34" s="1884"/>
      <c r="VR34" s="1884"/>
      <c r="VS34" s="1884"/>
      <c r="VT34" s="1884"/>
      <c r="VU34" s="1884"/>
      <c r="VV34" s="1884"/>
      <c r="VW34" s="1884"/>
      <c r="VX34" s="1884"/>
      <c r="VY34" s="1884"/>
      <c r="VZ34" s="1884"/>
      <c r="WA34" s="1884"/>
      <c r="WB34" s="1884"/>
      <c r="WC34" s="1884"/>
      <c r="WD34" s="1884"/>
      <c r="WE34" s="1884"/>
      <c r="WF34" s="1884"/>
      <c r="WG34" s="1884"/>
      <c r="WH34" s="1884"/>
      <c r="WI34" s="1884"/>
      <c r="WJ34" s="1884"/>
      <c r="WK34" s="1884"/>
      <c r="WL34" s="1884"/>
      <c r="WM34" s="1884"/>
      <c r="WN34" s="1884"/>
      <c r="WO34" s="1884"/>
      <c r="WP34" s="1884"/>
      <c r="WQ34" s="1884"/>
      <c r="WR34" s="1884"/>
      <c r="WS34" s="1884"/>
      <c r="WT34" s="1884"/>
      <c r="WU34" s="1884"/>
      <c r="WV34" s="1884"/>
      <c r="WW34" s="1884"/>
      <c r="WX34" s="1884"/>
      <c r="WY34" s="1884"/>
      <c r="WZ34" s="1884"/>
      <c r="XA34" s="1884"/>
      <c r="XB34" s="1884"/>
      <c r="XC34" s="1884"/>
      <c r="XD34" s="1884"/>
      <c r="XE34" s="1884"/>
      <c r="XF34" s="1884"/>
      <c r="XG34" s="1884"/>
      <c r="XH34" s="1884"/>
      <c r="XI34" s="1884"/>
      <c r="XJ34" s="1884"/>
      <c r="XK34" s="1884"/>
      <c r="XL34" s="1884"/>
      <c r="XM34" s="1884"/>
      <c r="XN34" s="1884"/>
      <c r="XO34" s="1884"/>
      <c r="XP34" s="1884"/>
      <c r="XQ34" s="1884"/>
      <c r="XR34" s="1884"/>
      <c r="XS34" s="1884"/>
      <c r="XT34" s="1884"/>
      <c r="XU34" s="1884"/>
      <c r="XV34" s="1884"/>
      <c r="XW34" s="1884"/>
      <c r="XX34" s="1884"/>
      <c r="XY34" s="1884"/>
      <c r="XZ34" s="1884"/>
      <c r="YA34" s="1884"/>
      <c r="YB34" s="1884"/>
      <c r="YC34" s="1884"/>
      <c r="YD34" s="1884"/>
      <c r="YE34" s="1884"/>
      <c r="YF34" s="1884"/>
      <c r="YG34" s="1884"/>
      <c r="YH34" s="1884"/>
      <c r="YI34" s="1884"/>
      <c r="YJ34" s="1884"/>
      <c r="YK34" s="1884"/>
      <c r="YL34" s="1884"/>
      <c r="YM34" s="1884"/>
      <c r="YN34" s="1884"/>
      <c r="YO34" s="1884"/>
      <c r="YP34" s="1884"/>
      <c r="YQ34" s="1884"/>
      <c r="YR34" s="1884"/>
      <c r="YS34" s="1884"/>
      <c r="YT34" s="1884"/>
      <c r="YU34" s="1884"/>
      <c r="YV34" s="1884"/>
      <c r="YW34" s="1884"/>
      <c r="YX34" s="1884"/>
      <c r="YY34" s="1884"/>
      <c r="YZ34" s="1884"/>
      <c r="ZA34" s="1884"/>
      <c r="ZB34" s="1884"/>
      <c r="ZC34" s="1884"/>
      <c r="ZD34" s="1884"/>
      <c r="ZE34" s="1884"/>
      <c r="ZF34" s="1884"/>
      <c r="ZG34" s="1884"/>
      <c r="ZH34" s="1884"/>
      <c r="ZI34" s="1884"/>
      <c r="ZJ34" s="1884"/>
      <c r="ZK34" s="1884"/>
      <c r="ZL34" s="1884"/>
      <c r="ZM34" s="1884"/>
      <c r="ZN34" s="1884"/>
      <c r="ZO34" s="1884"/>
      <c r="ZP34" s="1884"/>
      <c r="ZQ34" s="1884"/>
      <c r="ZR34" s="1884"/>
      <c r="ZS34" s="1884"/>
      <c r="ZT34" s="1884"/>
      <c r="ZU34" s="1884"/>
      <c r="ZV34" s="1884"/>
      <c r="ZW34" s="1884"/>
      <c r="ZX34" s="1884"/>
      <c r="ZY34" s="1884"/>
      <c r="ZZ34" s="1884"/>
      <c r="AAA34" s="1884"/>
      <c r="AAB34" s="1884"/>
      <c r="AAC34" s="1884"/>
      <c r="AAD34" s="1884"/>
      <c r="AAE34" s="1884"/>
      <c r="AAF34" s="1884"/>
      <c r="AAG34" s="1884"/>
      <c r="AAH34" s="1884"/>
      <c r="AAI34" s="1884"/>
      <c r="AAJ34" s="1884"/>
      <c r="AAK34" s="1884"/>
      <c r="AAL34" s="1884"/>
      <c r="AAM34" s="1884"/>
      <c r="AAN34" s="1884"/>
      <c r="AAO34" s="1884"/>
      <c r="AAP34" s="1884"/>
      <c r="AAQ34" s="1884"/>
      <c r="AAR34" s="1884"/>
      <c r="AAS34" s="1884"/>
      <c r="AAT34" s="1884"/>
      <c r="AAU34" s="1884"/>
      <c r="AAV34" s="1884"/>
      <c r="AAW34" s="1884"/>
      <c r="AAX34" s="1884"/>
      <c r="AAY34" s="1884"/>
      <c r="AAZ34" s="1884"/>
      <c r="ABA34" s="1884"/>
      <c r="ABB34" s="1884"/>
      <c r="ABC34" s="1884"/>
      <c r="ABD34" s="1884"/>
      <c r="ABE34" s="1884"/>
      <c r="ABF34" s="1884"/>
      <c r="ABG34" s="1884"/>
      <c r="ABH34" s="1884"/>
      <c r="ABI34" s="1884"/>
      <c r="ABJ34" s="1884"/>
      <c r="ABK34" s="1884"/>
      <c r="ABL34" s="1884"/>
      <c r="ABM34" s="1884"/>
      <c r="ABN34" s="1884"/>
      <c r="ABO34" s="1884"/>
      <c r="ABP34" s="1884"/>
      <c r="ABQ34" s="1884"/>
      <c r="ABR34" s="1884"/>
      <c r="ABS34" s="1884"/>
      <c r="ABT34" s="1884"/>
      <c r="ABU34" s="1884"/>
      <c r="ABV34" s="1884"/>
      <c r="ABW34" s="1884"/>
      <c r="ABX34" s="1884"/>
      <c r="ABY34" s="1884"/>
      <c r="ABZ34" s="1884"/>
      <c r="ACA34" s="1884"/>
      <c r="ACB34" s="1884"/>
      <c r="ACC34" s="1884"/>
      <c r="ACD34" s="1884"/>
      <c r="ACE34" s="1884"/>
      <c r="ACF34" s="1884"/>
      <c r="ACG34" s="1884"/>
      <c r="ACH34" s="1884"/>
      <c r="ACI34" s="1884"/>
      <c r="ACJ34" s="1884"/>
      <c r="ACK34" s="1884"/>
      <c r="ACL34" s="1884"/>
      <c r="ACM34" s="1884"/>
      <c r="ACN34" s="1884"/>
      <c r="ACO34" s="1884"/>
      <c r="ACP34" s="1884"/>
      <c r="ACQ34" s="1884"/>
      <c r="ACR34" s="1884"/>
      <c r="ACS34" s="1884"/>
      <c r="ACT34" s="1884"/>
      <c r="ACU34" s="1884"/>
      <c r="ACV34" s="1884"/>
      <c r="ACW34" s="1884"/>
      <c r="ACX34" s="1884"/>
      <c r="ACY34" s="1884"/>
      <c r="ACZ34" s="1884"/>
      <c r="ADA34" s="1884"/>
      <c r="ADB34" s="1884"/>
      <c r="ADC34" s="1884"/>
      <c r="ADD34" s="1884"/>
      <c r="ADE34" s="1884"/>
      <c r="ADF34" s="1884"/>
      <c r="ADG34" s="1884"/>
      <c r="ADH34" s="1884"/>
      <c r="ADI34" s="1884"/>
      <c r="ADJ34" s="1884"/>
      <c r="ADK34" s="1884"/>
      <c r="ADL34" s="1884"/>
      <c r="ADM34" s="1884"/>
      <c r="ADN34" s="1884"/>
      <c r="ADO34" s="1884"/>
      <c r="ADP34" s="1884"/>
      <c r="ADQ34" s="1884"/>
      <c r="ADR34" s="1884"/>
      <c r="ADS34" s="1884"/>
      <c r="ADT34" s="1884"/>
      <c r="ADU34" s="1884"/>
      <c r="ADV34" s="1884"/>
      <c r="ADW34" s="1884"/>
      <c r="ADX34" s="1884"/>
      <c r="ADY34" s="1884"/>
      <c r="ADZ34" s="1884"/>
      <c r="AEA34" s="1884"/>
      <c r="AEB34" s="1884"/>
      <c r="AEC34" s="1884"/>
      <c r="AED34" s="1884"/>
      <c r="AEE34" s="1884"/>
      <c r="AEF34" s="1884"/>
      <c r="AEG34" s="1884"/>
      <c r="AEH34" s="1884"/>
      <c r="AEI34" s="1884"/>
      <c r="AEJ34" s="1884"/>
      <c r="AEK34" s="1884"/>
      <c r="AEL34" s="1884"/>
      <c r="AEM34" s="1884"/>
      <c r="AEN34" s="1884"/>
      <c r="AEO34" s="1884"/>
      <c r="AEP34" s="1884"/>
      <c r="AEQ34" s="1884"/>
      <c r="AER34" s="1884"/>
      <c r="AES34" s="1884"/>
      <c r="AET34" s="1884"/>
      <c r="AEU34" s="1884"/>
      <c r="AEV34" s="1884"/>
      <c r="AEW34" s="1884"/>
      <c r="AEX34" s="1884"/>
      <c r="AEY34" s="1884"/>
      <c r="AEZ34" s="1884"/>
      <c r="AFA34" s="1884"/>
      <c r="AFB34" s="1884"/>
      <c r="AFC34" s="1884"/>
      <c r="AFD34" s="1884"/>
      <c r="AFE34" s="1884"/>
      <c r="AFF34" s="1884"/>
      <c r="AFG34" s="1884"/>
      <c r="AFH34" s="1884"/>
      <c r="AFI34" s="1884"/>
      <c r="AFJ34" s="1884"/>
      <c r="AFK34" s="1884"/>
      <c r="AFL34" s="1884"/>
      <c r="AFM34" s="1884"/>
      <c r="AFN34" s="1884"/>
      <c r="AFO34" s="1884"/>
      <c r="AFP34" s="1884"/>
      <c r="AFQ34" s="1884"/>
      <c r="AFR34" s="1884"/>
      <c r="AFS34" s="1884"/>
      <c r="AFT34" s="1884"/>
      <c r="AFU34" s="1884"/>
      <c r="AFV34" s="1884"/>
      <c r="AFW34" s="1884"/>
      <c r="AFX34" s="1884"/>
      <c r="AFY34" s="1884"/>
      <c r="AFZ34" s="1884"/>
      <c r="AGA34" s="1884"/>
      <c r="AGB34" s="1884"/>
      <c r="AGC34" s="1884"/>
      <c r="AGD34" s="1884"/>
      <c r="AGE34" s="1884"/>
      <c r="AGF34" s="1884"/>
      <c r="AGG34" s="1884"/>
      <c r="AGH34" s="1884"/>
      <c r="AGI34" s="1884"/>
      <c r="AGJ34" s="1884"/>
      <c r="AGK34" s="1884"/>
      <c r="AGL34" s="1884"/>
      <c r="AGM34" s="1884"/>
      <c r="AGN34" s="1884"/>
      <c r="AGO34" s="1884"/>
      <c r="AGP34" s="1884"/>
      <c r="AGQ34" s="1884"/>
      <c r="AGR34" s="1884"/>
      <c r="AGS34" s="1884"/>
      <c r="AGT34" s="1884"/>
      <c r="AGU34" s="1884"/>
      <c r="AGV34" s="1884"/>
      <c r="AGW34" s="1884"/>
      <c r="AGX34" s="1884"/>
      <c r="AGY34" s="1884"/>
      <c r="AGZ34" s="1884"/>
      <c r="AHA34" s="1884"/>
      <c r="AHB34" s="1884"/>
      <c r="AHC34" s="1884"/>
      <c r="AHD34" s="1884"/>
      <c r="AHE34" s="1884"/>
      <c r="AHF34" s="1884"/>
      <c r="AHG34" s="1884"/>
      <c r="AHH34" s="1884"/>
      <c r="AHI34" s="1884"/>
      <c r="AHJ34" s="1884"/>
      <c r="AHK34" s="1884"/>
      <c r="AHL34" s="1884"/>
      <c r="AHM34" s="1884"/>
      <c r="AHN34" s="1884"/>
      <c r="AHO34" s="1884"/>
      <c r="AHP34" s="1884"/>
      <c r="AHQ34" s="1884"/>
      <c r="AHR34" s="1884"/>
      <c r="AHS34" s="1884"/>
      <c r="AHT34" s="1884"/>
      <c r="AHU34" s="1884"/>
      <c r="AHV34" s="1884"/>
      <c r="AHW34" s="1884"/>
      <c r="AHX34" s="1884"/>
      <c r="AHY34" s="1884"/>
      <c r="AHZ34" s="1884"/>
      <c r="AIA34" s="1884"/>
      <c r="AIB34" s="1884"/>
      <c r="AIC34" s="1884"/>
      <c r="AID34" s="1884"/>
      <c r="AIE34" s="1884"/>
      <c r="AIF34" s="1884"/>
      <c r="AIG34" s="1884"/>
      <c r="AIH34" s="1884"/>
      <c r="AII34" s="1884"/>
      <c r="AIJ34" s="1884"/>
      <c r="AIK34" s="1884"/>
      <c r="AIL34" s="1884"/>
      <c r="AIM34" s="1884"/>
      <c r="AIN34" s="1884"/>
      <c r="AIO34" s="1884"/>
      <c r="AIP34" s="1884"/>
      <c r="AIQ34" s="1884"/>
      <c r="AIR34" s="1884"/>
      <c r="AIS34" s="1884"/>
      <c r="AIT34" s="1884"/>
      <c r="AIU34" s="1884"/>
      <c r="AIV34" s="1884"/>
      <c r="AIW34" s="1884"/>
      <c r="AIX34" s="1884"/>
      <c r="AIY34" s="1884"/>
      <c r="AIZ34" s="1884"/>
      <c r="AJA34" s="1884"/>
      <c r="AJB34" s="1884"/>
      <c r="AJC34" s="1884"/>
      <c r="AJD34" s="1884"/>
      <c r="AJE34" s="1884"/>
      <c r="AJF34" s="1884"/>
      <c r="AJG34" s="1884"/>
      <c r="AJH34" s="1884"/>
      <c r="AJI34" s="1884"/>
      <c r="AJJ34" s="1884"/>
      <c r="AJK34" s="1884"/>
      <c r="AJL34" s="1884"/>
      <c r="AJM34" s="1884"/>
      <c r="AJN34" s="1884"/>
      <c r="AJO34" s="1884"/>
      <c r="AJP34" s="1884"/>
      <c r="AJQ34" s="1884"/>
      <c r="AJR34" s="1884"/>
      <c r="AJS34" s="1884"/>
      <c r="AJT34" s="1884"/>
      <c r="AJU34" s="1884"/>
      <c r="AJV34" s="1884"/>
      <c r="AJW34" s="1884"/>
      <c r="AJX34" s="1884"/>
      <c r="AJY34" s="1884"/>
      <c r="AJZ34" s="1884"/>
      <c r="AKA34" s="1884"/>
      <c r="AKB34" s="1884"/>
      <c r="AKC34" s="1884"/>
      <c r="AKD34" s="1884"/>
      <c r="AKE34" s="1884"/>
      <c r="AKF34" s="1884"/>
      <c r="AKG34" s="1884"/>
      <c r="AKH34" s="1884"/>
      <c r="AKI34" s="1884"/>
      <c r="AKJ34" s="1884"/>
      <c r="AKK34" s="1884"/>
      <c r="AKL34" s="1884"/>
      <c r="AKM34" s="1884"/>
      <c r="AKN34" s="1884"/>
      <c r="AKO34" s="1884"/>
      <c r="AKP34" s="1884"/>
      <c r="AKQ34" s="1884"/>
      <c r="AKR34" s="1884"/>
      <c r="AKS34" s="1884"/>
      <c r="AKT34" s="1884"/>
      <c r="AKU34" s="1884"/>
      <c r="AKV34" s="1884"/>
      <c r="AKW34" s="1884"/>
      <c r="AKX34" s="1884"/>
      <c r="AKY34" s="1884"/>
      <c r="AKZ34" s="1884"/>
      <c r="ALA34" s="1884"/>
      <c r="ALB34" s="1884"/>
      <c r="ALC34" s="1884"/>
      <c r="ALD34" s="1884"/>
      <c r="ALE34" s="1884"/>
      <c r="ALF34" s="1884"/>
      <c r="ALG34" s="1884"/>
      <c r="ALH34" s="1884"/>
      <c r="ALI34" s="1884"/>
      <c r="ALJ34" s="1884"/>
      <c r="ALK34" s="1884"/>
      <c r="ALL34" s="1884"/>
      <c r="ALM34" s="1884"/>
      <c r="ALN34" s="1884"/>
      <c r="ALO34" s="1884"/>
      <c r="ALP34" s="1884"/>
      <c r="ALQ34" s="1884"/>
      <c r="ALR34" s="1884"/>
      <c r="ALS34" s="1884"/>
      <c r="ALT34" s="1884"/>
      <c r="ALU34" s="1884"/>
      <c r="ALV34" s="1884"/>
      <c r="ALW34" s="1884"/>
      <c r="ALX34" s="1884"/>
      <c r="ALY34" s="1884"/>
      <c r="ALZ34" s="1884"/>
      <c r="AMA34" s="1884"/>
      <c r="AMB34" s="1884"/>
      <c r="AMC34" s="1884"/>
      <c r="AMD34" s="1884"/>
      <c r="AME34" s="1884"/>
      <c r="AMF34" s="1884"/>
      <c r="AMG34" s="1884"/>
      <c r="AMH34" s="1884"/>
      <c r="AMI34" s="1884"/>
      <c r="AMJ34" s="1884"/>
      <c r="AMK34" s="1884"/>
      <c r="AML34" s="1884"/>
      <c r="AMM34" s="1884"/>
      <c r="AMN34" s="1884"/>
      <c r="AMO34" s="1884"/>
      <c r="AMP34" s="1884"/>
      <c r="AMQ34" s="1884"/>
      <c r="AMR34" s="1884"/>
      <c r="AMS34" s="1884"/>
      <c r="AMT34" s="1884"/>
      <c r="AMU34" s="1884"/>
      <c r="AMV34" s="1884"/>
      <c r="AMW34" s="1884"/>
      <c r="AMX34" s="1884"/>
      <c r="AMY34" s="1884"/>
      <c r="AMZ34" s="1884"/>
      <c r="ANA34" s="1884"/>
      <c r="ANB34" s="1884"/>
      <c r="ANC34" s="1884"/>
      <c r="AND34" s="1884"/>
      <c r="ANE34" s="1884"/>
      <c r="ANF34" s="1884"/>
      <c r="ANG34" s="1884"/>
      <c r="ANH34" s="1884"/>
      <c r="ANI34" s="1884"/>
      <c r="ANJ34" s="1884"/>
      <c r="ANK34" s="1884"/>
      <c r="ANL34" s="1884"/>
      <c r="ANM34" s="1884"/>
      <c r="ANN34" s="1884"/>
      <c r="ANO34" s="1884"/>
      <c r="ANP34" s="1884"/>
      <c r="ANQ34" s="1884"/>
      <c r="ANR34" s="1884"/>
      <c r="ANS34" s="1884"/>
      <c r="ANT34" s="1884"/>
      <c r="ANU34" s="1884"/>
      <c r="ANV34" s="1884"/>
      <c r="ANW34" s="1884"/>
      <c r="ANX34" s="1884"/>
      <c r="ANY34" s="1884"/>
      <c r="ANZ34" s="1884"/>
      <c r="AOA34" s="1884"/>
      <c r="AOB34" s="1884"/>
      <c r="AOC34" s="1884"/>
      <c r="AOD34" s="1884"/>
      <c r="AOE34" s="1884"/>
      <c r="AOF34" s="1884"/>
      <c r="AOG34" s="1884"/>
      <c r="AOH34" s="1884"/>
      <c r="AOI34" s="1884"/>
      <c r="AOJ34" s="1884"/>
      <c r="AOK34" s="1884"/>
      <c r="AOL34" s="1884"/>
      <c r="AOM34" s="1884"/>
      <c r="AON34" s="1884"/>
      <c r="AOO34" s="1884"/>
      <c r="AOP34" s="1884"/>
      <c r="AOQ34" s="1884"/>
      <c r="AOR34" s="1884"/>
      <c r="AOS34" s="1884"/>
      <c r="AOT34" s="1884"/>
      <c r="AOU34" s="1884"/>
      <c r="AOV34" s="1884"/>
      <c r="AOW34" s="1884"/>
      <c r="AOX34" s="1884"/>
      <c r="AOY34" s="1884"/>
      <c r="AOZ34" s="1884"/>
      <c r="APA34" s="1884"/>
      <c r="APB34" s="1884"/>
      <c r="APC34" s="1884"/>
      <c r="APD34" s="1884"/>
      <c r="APE34" s="1884"/>
      <c r="APF34" s="1884"/>
      <c r="APG34" s="1884"/>
      <c r="APH34" s="1884"/>
      <c r="API34" s="1884"/>
      <c r="APJ34" s="1884"/>
      <c r="APK34" s="1884"/>
      <c r="APL34" s="1884"/>
      <c r="APM34" s="1884"/>
      <c r="APN34" s="1884"/>
      <c r="APO34" s="1884"/>
      <c r="APP34" s="1884"/>
      <c r="APQ34" s="1884"/>
      <c r="APR34" s="1884"/>
      <c r="APS34" s="1884"/>
      <c r="APT34" s="1884"/>
      <c r="APU34" s="1884"/>
      <c r="APV34" s="1884"/>
      <c r="APW34" s="1884"/>
      <c r="APX34" s="1884"/>
      <c r="APY34" s="1884"/>
      <c r="APZ34" s="1884"/>
      <c r="AQA34" s="1884"/>
      <c r="AQB34" s="1884"/>
      <c r="AQC34" s="1884"/>
      <c r="AQD34" s="1884"/>
      <c r="AQE34" s="1884"/>
      <c r="AQF34" s="1884"/>
      <c r="AQG34" s="1884"/>
      <c r="AQH34" s="1884"/>
      <c r="AQI34" s="1884"/>
      <c r="AQJ34" s="1884"/>
      <c r="AQK34" s="1884"/>
      <c r="AQL34" s="1884"/>
      <c r="AQM34" s="1884"/>
      <c r="AQN34" s="1884"/>
      <c r="AQO34" s="1884"/>
      <c r="AQP34" s="1884"/>
      <c r="AQQ34" s="1884"/>
      <c r="AQR34" s="1884"/>
      <c r="AQS34" s="1884"/>
      <c r="AQT34" s="1884"/>
      <c r="AQU34" s="1884"/>
      <c r="AQV34" s="1884"/>
      <c r="AQW34" s="1884"/>
      <c r="AQX34" s="1884"/>
      <c r="AQY34" s="1884"/>
      <c r="AQZ34" s="1884"/>
      <c r="ARA34" s="1884"/>
      <c r="ARB34" s="1884"/>
      <c r="ARC34" s="1884"/>
      <c r="ARD34" s="1884"/>
      <c r="ARE34" s="1884"/>
      <c r="ARF34" s="1884"/>
      <c r="ARG34" s="1884"/>
      <c r="ARH34" s="1884"/>
      <c r="ARI34" s="1884"/>
      <c r="ARJ34" s="1884"/>
      <c r="ARK34" s="1884"/>
      <c r="ARL34" s="1884"/>
      <c r="ARM34" s="1884"/>
      <c r="ARN34" s="1884"/>
      <c r="ARO34" s="1884"/>
      <c r="ARP34" s="1884"/>
      <c r="ARQ34" s="1884"/>
      <c r="ARR34" s="1884"/>
      <c r="ARS34" s="1884"/>
      <c r="ART34" s="1884"/>
      <c r="ARU34" s="1884"/>
      <c r="ARV34" s="1884"/>
      <c r="ARW34" s="1884"/>
      <c r="ARX34" s="1884"/>
      <c r="ARY34" s="1884"/>
      <c r="ARZ34" s="1884"/>
      <c r="ASA34" s="1884"/>
      <c r="ASB34" s="1884"/>
      <c r="ASC34" s="1884"/>
      <c r="ASD34" s="1884"/>
      <c r="ASE34" s="1884"/>
      <c r="ASF34" s="1884"/>
      <c r="ASG34" s="1884"/>
      <c r="ASH34" s="1884"/>
      <c r="ASI34" s="1884"/>
      <c r="ASJ34" s="1884"/>
      <c r="ASK34" s="1884"/>
      <c r="ASL34" s="1884"/>
      <c r="ASM34" s="1884"/>
      <c r="ASN34" s="1884"/>
      <c r="ASO34" s="1884"/>
      <c r="ASP34" s="1884"/>
      <c r="ASQ34" s="1884"/>
      <c r="ASR34" s="1884"/>
      <c r="ASS34" s="1884"/>
      <c r="AST34" s="1884"/>
      <c r="ASU34" s="1884"/>
      <c r="ASV34" s="1884"/>
      <c r="ASW34" s="1884"/>
      <c r="ASX34" s="1884"/>
      <c r="ASY34" s="1884"/>
      <c r="ASZ34" s="1884"/>
      <c r="ATA34" s="1884"/>
      <c r="ATB34" s="1884"/>
      <c r="ATC34" s="1884"/>
      <c r="ATD34" s="1884"/>
      <c r="ATE34" s="1884"/>
      <c r="ATF34" s="1884"/>
      <c r="ATG34" s="1884"/>
      <c r="ATH34" s="1884"/>
      <c r="ATI34" s="1884"/>
      <c r="ATJ34" s="1884"/>
      <c r="ATK34" s="1884"/>
      <c r="ATL34" s="1884"/>
      <c r="ATM34" s="1884"/>
      <c r="ATN34" s="1884"/>
      <c r="ATO34" s="1884"/>
      <c r="ATP34" s="1884"/>
      <c r="ATQ34" s="1884"/>
      <c r="ATR34" s="1884"/>
      <c r="ATS34" s="1884"/>
      <c r="ATT34" s="1884"/>
      <c r="ATU34" s="1884"/>
      <c r="ATV34" s="1884"/>
      <c r="ATW34" s="1884"/>
      <c r="ATX34" s="1884"/>
      <c r="ATY34" s="1884"/>
      <c r="ATZ34" s="1884"/>
      <c r="AUA34" s="1884"/>
      <c r="AUB34" s="1884"/>
      <c r="AUC34" s="1884"/>
      <c r="AUD34" s="1884"/>
      <c r="AUE34" s="1884"/>
      <c r="AUF34" s="1884"/>
      <c r="AUG34" s="1884"/>
      <c r="AUH34" s="1884"/>
      <c r="AUI34" s="1884"/>
      <c r="AUJ34" s="1884"/>
      <c r="AUK34" s="1884"/>
      <c r="AUL34" s="1884"/>
      <c r="AUM34" s="1884"/>
      <c r="AUN34" s="1884"/>
      <c r="AUO34" s="1884"/>
      <c r="AUP34" s="1884"/>
      <c r="AUQ34" s="1884"/>
      <c r="AUR34" s="1884"/>
      <c r="AUS34" s="1884"/>
      <c r="AUT34" s="1884"/>
      <c r="AUU34" s="1884"/>
      <c r="AUV34" s="1884"/>
      <c r="AUW34" s="1884"/>
      <c r="AUX34" s="1884"/>
      <c r="AUY34" s="1884"/>
      <c r="AUZ34" s="1884"/>
      <c r="AVA34" s="1884"/>
      <c r="AVB34" s="1884"/>
      <c r="AVC34" s="1884"/>
      <c r="AVD34" s="1884"/>
      <c r="AVE34" s="1884"/>
      <c r="AVF34" s="1884"/>
      <c r="AVG34" s="1884"/>
      <c r="AVH34" s="1884"/>
      <c r="AVI34" s="1884"/>
      <c r="AVJ34" s="1884"/>
      <c r="AVK34" s="1884"/>
      <c r="AVL34" s="1884"/>
      <c r="AVM34" s="1884"/>
      <c r="AVN34" s="1884"/>
      <c r="AVO34" s="1884"/>
      <c r="AVP34" s="1884"/>
      <c r="AVQ34" s="1884"/>
      <c r="AVR34" s="1884"/>
      <c r="AVS34" s="1884"/>
      <c r="AVT34" s="1884"/>
      <c r="AVU34" s="1884"/>
      <c r="AVV34" s="1884"/>
      <c r="AVW34" s="1884"/>
      <c r="AVX34" s="1884"/>
      <c r="AVY34" s="1884"/>
      <c r="AVZ34" s="1884"/>
      <c r="AWA34" s="1884"/>
      <c r="AWB34" s="1884"/>
      <c r="AWC34" s="1884"/>
      <c r="AWD34" s="1884"/>
      <c r="AWE34" s="1884"/>
      <c r="AWF34" s="1884"/>
      <c r="AWG34" s="1884"/>
      <c r="AWH34" s="1884"/>
      <c r="AWI34" s="1884"/>
      <c r="AWJ34" s="1884"/>
      <c r="AWK34" s="1884"/>
      <c r="AWL34" s="1884"/>
      <c r="AWM34" s="1884"/>
      <c r="AWN34" s="1884"/>
      <c r="AWO34" s="1884"/>
      <c r="AWP34" s="1884"/>
      <c r="AWQ34" s="1884"/>
      <c r="AWR34" s="1884"/>
      <c r="AWS34" s="1884"/>
      <c r="AWT34" s="1884"/>
      <c r="AWU34" s="1884"/>
      <c r="AWV34" s="1884"/>
      <c r="AWW34" s="1884"/>
      <c r="AWX34" s="1884"/>
      <c r="AWY34" s="1884"/>
      <c r="AWZ34" s="1884"/>
      <c r="AXA34" s="1884"/>
      <c r="AXB34" s="1884"/>
      <c r="AXC34" s="1884"/>
      <c r="AXD34" s="1884"/>
      <c r="AXE34" s="1884"/>
      <c r="AXF34" s="1884"/>
      <c r="AXG34" s="1884"/>
      <c r="AXH34" s="1884"/>
      <c r="AXI34" s="1884"/>
      <c r="AXJ34" s="1884"/>
      <c r="AXK34" s="1884"/>
      <c r="AXL34" s="1884"/>
      <c r="AXM34" s="1884"/>
      <c r="AXN34" s="1884"/>
      <c r="AXO34" s="1884"/>
      <c r="AXP34" s="1884"/>
      <c r="AXQ34" s="1884"/>
      <c r="AXR34" s="1884"/>
      <c r="AXS34" s="1884"/>
      <c r="AXT34" s="1884"/>
      <c r="AXU34" s="1884"/>
      <c r="AXV34" s="1884"/>
      <c r="AXW34" s="1884"/>
      <c r="AXX34" s="1884"/>
      <c r="AXY34" s="1884"/>
      <c r="AXZ34" s="1884"/>
      <c r="AYA34" s="1884"/>
      <c r="AYB34" s="1884"/>
      <c r="AYC34" s="1884"/>
      <c r="AYD34" s="1884"/>
      <c r="AYE34" s="1884"/>
      <c r="AYF34" s="1884"/>
      <c r="AYG34" s="1884"/>
      <c r="AYH34" s="1884"/>
      <c r="AYI34" s="1884"/>
      <c r="AYJ34" s="1884"/>
      <c r="AYK34" s="1884"/>
      <c r="AYL34" s="1884"/>
      <c r="AYM34" s="1884"/>
      <c r="AYN34" s="1884"/>
      <c r="AYO34" s="1884"/>
      <c r="AYP34" s="1884"/>
      <c r="AYQ34" s="1884"/>
      <c r="AYR34" s="1884"/>
      <c r="AYS34" s="1884"/>
      <c r="AYT34" s="1884"/>
      <c r="AYU34" s="1884"/>
      <c r="AYV34" s="1884"/>
      <c r="AYW34" s="1884"/>
      <c r="AYX34" s="1884"/>
      <c r="AYY34" s="1884"/>
      <c r="AYZ34" s="1884"/>
      <c r="AZA34" s="1884"/>
      <c r="AZB34" s="1884"/>
      <c r="AZC34" s="1884"/>
      <c r="AZD34" s="1884"/>
      <c r="AZE34" s="1884"/>
      <c r="AZF34" s="1884"/>
      <c r="AZG34" s="1884"/>
      <c r="AZH34" s="1884"/>
      <c r="AZI34" s="1884"/>
      <c r="AZJ34" s="1884"/>
      <c r="AZK34" s="1884"/>
      <c r="AZL34" s="1884"/>
      <c r="AZM34" s="1884"/>
      <c r="AZN34" s="1884"/>
      <c r="AZO34" s="1884"/>
      <c r="AZP34" s="1884"/>
      <c r="AZQ34" s="1884"/>
      <c r="AZR34" s="1884"/>
      <c r="AZS34" s="1884"/>
      <c r="AZT34" s="1884"/>
      <c r="AZU34" s="1884"/>
      <c r="AZV34" s="1884"/>
      <c r="AZW34" s="1884"/>
      <c r="AZX34" s="1884"/>
      <c r="AZY34" s="1884"/>
      <c r="AZZ34" s="1884"/>
      <c r="BAA34" s="1884"/>
      <c r="BAB34" s="1884"/>
      <c r="BAC34" s="1884"/>
      <c r="BAD34" s="1884"/>
      <c r="BAE34" s="1884"/>
      <c r="BAF34" s="1884"/>
      <c r="BAG34" s="1884"/>
      <c r="BAH34" s="1884"/>
      <c r="BAI34" s="1884"/>
      <c r="BAJ34" s="1884"/>
      <c r="BAK34" s="1884"/>
      <c r="BAL34" s="1884"/>
      <c r="BAM34" s="1884"/>
      <c r="BAN34" s="1884"/>
      <c r="BAO34" s="1884"/>
      <c r="BAP34" s="1884"/>
      <c r="BAQ34" s="1884"/>
      <c r="BAR34" s="1884"/>
      <c r="BAS34" s="1884"/>
      <c r="BAT34" s="1884"/>
      <c r="BAU34" s="1884"/>
      <c r="BAV34" s="1884"/>
      <c r="BAW34" s="1884"/>
      <c r="BAX34" s="1884"/>
      <c r="BAY34" s="1884"/>
      <c r="BAZ34" s="1884"/>
      <c r="BBA34" s="1884"/>
      <c r="BBB34" s="1884"/>
      <c r="BBC34" s="1884"/>
      <c r="BBD34" s="1884"/>
      <c r="BBE34" s="1884"/>
      <c r="BBF34" s="1884"/>
      <c r="BBG34" s="1884"/>
      <c r="BBH34" s="1884"/>
      <c r="BBI34" s="1884"/>
      <c r="BBJ34" s="1884"/>
      <c r="BBK34" s="1884"/>
      <c r="BBL34" s="1884"/>
      <c r="BBM34" s="1884"/>
      <c r="BBN34" s="1884"/>
      <c r="BBO34" s="1884"/>
      <c r="BBP34" s="1884"/>
      <c r="BBQ34" s="1884"/>
      <c r="BBR34" s="1884"/>
      <c r="BBS34" s="1884"/>
      <c r="BBT34" s="1884"/>
      <c r="BBU34" s="1884"/>
      <c r="BBV34" s="1884"/>
      <c r="BBW34" s="1884"/>
      <c r="BBX34" s="1884"/>
      <c r="BBY34" s="1884"/>
      <c r="BBZ34" s="1884"/>
      <c r="BCA34" s="1884"/>
      <c r="BCB34" s="1884"/>
      <c r="BCC34" s="1884"/>
      <c r="BCD34" s="1884"/>
      <c r="BCE34" s="1884"/>
      <c r="BCF34" s="1884"/>
      <c r="BCG34" s="1884"/>
      <c r="BCH34" s="1884"/>
      <c r="BCI34" s="1884"/>
      <c r="BCJ34" s="1884"/>
      <c r="BCK34" s="1884"/>
      <c r="BCL34" s="1884"/>
      <c r="BCM34" s="1884"/>
      <c r="BCN34" s="1884"/>
      <c r="BCO34" s="1884"/>
      <c r="BCP34" s="1884"/>
      <c r="BCQ34" s="1884"/>
      <c r="BCR34" s="1884"/>
      <c r="BCS34" s="1884"/>
      <c r="BCT34" s="1884"/>
      <c r="BCU34" s="1884"/>
      <c r="BCV34" s="1884"/>
      <c r="BCW34" s="1884"/>
      <c r="BCX34" s="1884"/>
      <c r="BCY34" s="1884"/>
      <c r="BCZ34" s="1884"/>
      <c r="BDA34" s="1884"/>
      <c r="BDB34" s="1884"/>
      <c r="BDC34" s="1884"/>
      <c r="BDD34" s="1884"/>
      <c r="BDE34" s="1884"/>
      <c r="BDF34" s="1884"/>
      <c r="BDG34" s="1884"/>
      <c r="BDH34" s="1884"/>
      <c r="BDI34" s="1884"/>
      <c r="BDJ34" s="1884"/>
      <c r="BDK34" s="1884"/>
      <c r="BDL34" s="1884"/>
      <c r="BDM34" s="1884"/>
      <c r="BDN34" s="1884"/>
      <c r="BDO34" s="1884"/>
      <c r="BDP34" s="1884"/>
      <c r="BDQ34" s="1884"/>
      <c r="BDR34" s="1884"/>
      <c r="BDS34" s="1884"/>
      <c r="BDT34" s="1884"/>
      <c r="BDU34" s="1884"/>
      <c r="BDV34" s="1884"/>
      <c r="BDW34" s="1884"/>
      <c r="BDX34" s="1884"/>
      <c r="BDY34" s="1884"/>
      <c r="BDZ34" s="1884"/>
      <c r="BEA34" s="1884"/>
      <c r="BEB34" s="1884"/>
      <c r="BEC34" s="1884"/>
      <c r="BED34" s="1884"/>
      <c r="BEE34" s="1884"/>
      <c r="BEF34" s="1884"/>
      <c r="BEG34" s="1884"/>
      <c r="BEH34" s="1884"/>
      <c r="BEI34" s="1884"/>
      <c r="BEJ34" s="1884"/>
      <c r="BEK34" s="1884"/>
      <c r="BEL34" s="1884"/>
      <c r="BEM34" s="1884"/>
      <c r="BEN34" s="1884"/>
      <c r="BEO34" s="1884"/>
      <c r="BEP34" s="1884"/>
      <c r="BEQ34" s="1884"/>
      <c r="BER34" s="1884"/>
      <c r="BES34" s="1884"/>
      <c r="BET34" s="1884"/>
      <c r="BEU34" s="1884"/>
      <c r="BEV34" s="1884"/>
      <c r="BEW34" s="1884"/>
      <c r="BEX34" s="1884"/>
      <c r="BEY34" s="1884"/>
      <c r="BEZ34" s="1884"/>
      <c r="BFA34" s="1884"/>
      <c r="BFB34" s="1884"/>
      <c r="BFC34" s="1884"/>
      <c r="BFD34" s="1884"/>
      <c r="BFE34" s="1884"/>
      <c r="BFF34" s="1884"/>
      <c r="BFG34" s="1884"/>
      <c r="BFH34" s="1884"/>
      <c r="BFI34" s="1884"/>
      <c r="BFJ34" s="1884"/>
      <c r="BFK34" s="1884"/>
      <c r="BFL34" s="1884"/>
      <c r="BFM34" s="1884"/>
      <c r="BFN34" s="1884"/>
      <c r="BFO34" s="1884"/>
      <c r="BFP34" s="1884"/>
      <c r="BFQ34" s="1884"/>
      <c r="BFR34" s="1884"/>
      <c r="BFS34" s="1884"/>
      <c r="BFT34" s="1884"/>
      <c r="BFU34" s="1884"/>
      <c r="BFV34" s="1884"/>
      <c r="BFW34" s="1884"/>
      <c r="BFX34" s="1884"/>
      <c r="BFY34" s="1884"/>
      <c r="BFZ34" s="1884"/>
      <c r="BGA34" s="1884"/>
      <c r="BGB34" s="1884"/>
      <c r="BGC34" s="1884"/>
      <c r="BGD34" s="1884"/>
      <c r="BGE34" s="1884"/>
      <c r="BGF34" s="1884"/>
      <c r="BGG34" s="1884"/>
      <c r="BGH34" s="1884"/>
      <c r="BGI34" s="1884"/>
      <c r="BGJ34" s="1884"/>
      <c r="BGK34" s="1884"/>
      <c r="BGL34" s="1884"/>
      <c r="BGM34" s="1884"/>
      <c r="BGN34" s="1884"/>
      <c r="BGO34" s="1884"/>
      <c r="BGP34" s="1884"/>
      <c r="BGQ34" s="1884"/>
      <c r="BGR34" s="1884"/>
      <c r="BGS34" s="1884"/>
      <c r="BGT34" s="1884"/>
      <c r="BGU34" s="1884"/>
      <c r="BGV34" s="1884"/>
      <c r="BGW34" s="1884"/>
      <c r="BGX34" s="1884"/>
      <c r="BGY34" s="1884"/>
      <c r="BGZ34" s="1884"/>
      <c r="BHA34" s="1884"/>
      <c r="BHB34" s="1884"/>
      <c r="BHC34" s="1884"/>
      <c r="BHD34" s="1884"/>
      <c r="BHE34" s="1884"/>
      <c r="BHF34" s="1884"/>
      <c r="BHG34" s="1884"/>
      <c r="BHH34" s="1884"/>
      <c r="BHI34" s="1884"/>
      <c r="BHJ34" s="1884"/>
      <c r="BHK34" s="1884"/>
      <c r="BHL34" s="1884"/>
      <c r="BHM34" s="1884"/>
      <c r="BHN34" s="1884"/>
      <c r="BHO34" s="1884"/>
      <c r="BHP34" s="1884"/>
      <c r="BHQ34" s="1884"/>
      <c r="BHR34" s="1884"/>
      <c r="BHS34" s="1884"/>
      <c r="BHT34" s="1884"/>
      <c r="BHU34" s="1884"/>
      <c r="BHV34" s="1884"/>
      <c r="BHW34" s="1884"/>
      <c r="BHX34" s="1884"/>
      <c r="BHY34" s="1884"/>
      <c r="BHZ34" s="1884"/>
      <c r="BIA34" s="1884"/>
      <c r="BIB34" s="1884"/>
      <c r="BIC34" s="1884"/>
      <c r="BID34" s="1884"/>
      <c r="BIE34" s="1884"/>
      <c r="BIF34" s="1884"/>
      <c r="BIG34" s="1884"/>
      <c r="BIH34" s="1884"/>
      <c r="BII34" s="1884"/>
      <c r="BIJ34" s="1884"/>
      <c r="BIK34" s="1884"/>
      <c r="BIL34" s="1884"/>
      <c r="BIM34" s="1884"/>
      <c r="BIN34" s="1884"/>
      <c r="BIO34" s="1884"/>
      <c r="BIP34" s="1884"/>
      <c r="BIQ34" s="1884"/>
      <c r="BIR34" s="1884"/>
      <c r="BIS34" s="1884"/>
      <c r="BIT34" s="1884"/>
      <c r="BIU34" s="1884"/>
      <c r="BIV34" s="1884"/>
      <c r="BIW34" s="1884"/>
      <c r="BIX34" s="1884"/>
      <c r="BIY34" s="1884"/>
      <c r="BIZ34" s="1884"/>
      <c r="BJA34" s="1884"/>
      <c r="BJB34" s="1884"/>
      <c r="BJC34" s="1884"/>
      <c r="BJD34" s="1884"/>
      <c r="BJE34" s="1884"/>
      <c r="BJF34" s="1884"/>
      <c r="BJG34" s="1884"/>
      <c r="BJH34" s="1884"/>
      <c r="BJI34" s="1884"/>
      <c r="BJJ34" s="1884"/>
      <c r="BJK34" s="1884"/>
      <c r="BJL34" s="1884"/>
      <c r="BJM34" s="1884"/>
      <c r="BJN34" s="1884"/>
      <c r="BJO34" s="1884"/>
      <c r="BJP34" s="1884"/>
      <c r="BJQ34" s="1884"/>
      <c r="BJR34" s="1884"/>
      <c r="BJS34" s="1884"/>
      <c r="BJT34" s="1884"/>
      <c r="BJU34" s="1884"/>
      <c r="BJV34" s="1884"/>
      <c r="BJW34" s="1884"/>
      <c r="BJX34" s="1884"/>
      <c r="BJY34" s="1884"/>
      <c r="BJZ34" s="1884"/>
      <c r="BKA34" s="1884"/>
      <c r="BKB34" s="1884"/>
      <c r="BKC34" s="1884"/>
      <c r="BKD34" s="1884"/>
      <c r="BKE34" s="1884"/>
      <c r="BKF34" s="1884"/>
      <c r="BKG34" s="1884"/>
      <c r="BKH34" s="1884"/>
      <c r="BKI34" s="1884"/>
      <c r="BKJ34" s="1884"/>
      <c r="BKK34" s="1884"/>
      <c r="BKL34" s="1884"/>
      <c r="BKM34" s="1884"/>
      <c r="BKN34" s="1884"/>
      <c r="BKO34" s="1884"/>
      <c r="BKP34" s="1884"/>
      <c r="BKQ34" s="1884"/>
      <c r="BKR34" s="1884"/>
      <c r="BKS34" s="1884"/>
      <c r="BKT34" s="1884"/>
      <c r="BKU34" s="1884"/>
      <c r="BKV34" s="1884"/>
      <c r="BKW34" s="1884"/>
      <c r="BKX34" s="1884"/>
      <c r="BKY34" s="1884"/>
      <c r="BKZ34" s="1884"/>
      <c r="BLA34" s="1884"/>
      <c r="BLB34" s="1884"/>
      <c r="BLC34" s="1884"/>
      <c r="BLD34" s="1884"/>
      <c r="BLE34" s="1884"/>
      <c r="BLF34" s="1884"/>
      <c r="BLG34" s="1884"/>
      <c r="BLH34" s="1884"/>
      <c r="BLI34" s="1884"/>
      <c r="BLJ34" s="1884"/>
      <c r="BLK34" s="1884"/>
      <c r="BLL34" s="1884"/>
      <c r="BLM34" s="1884"/>
      <c r="BLN34" s="1884"/>
      <c r="BLO34" s="1884"/>
      <c r="BLP34" s="1884"/>
      <c r="BLQ34" s="1884"/>
      <c r="BLR34" s="1884"/>
      <c r="BLS34" s="1884"/>
      <c r="BLT34" s="1884"/>
      <c r="BLU34" s="1884"/>
      <c r="BLV34" s="1884"/>
      <c r="BLW34" s="1884"/>
      <c r="BLX34" s="1884"/>
      <c r="BLY34" s="1884"/>
      <c r="BLZ34" s="1884"/>
      <c r="BMA34" s="1884"/>
      <c r="BMB34" s="1884"/>
      <c r="BMC34" s="1884"/>
      <c r="BMD34" s="1884"/>
      <c r="BME34" s="1884"/>
      <c r="BMF34" s="1884"/>
      <c r="BMG34" s="1884"/>
      <c r="BMH34" s="1884"/>
      <c r="BMI34" s="1884"/>
      <c r="BMJ34" s="1884"/>
      <c r="BMK34" s="1884"/>
      <c r="BML34" s="1884"/>
      <c r="BMM34" s="1884"/>
      <c r="BMN34" s="1884"/>
      <c r="BMO34" s="1884"/>
      <c r="BMP34" s="1884"/>
      <c r="BMQ34" s="1884"/>
      <c r="BMR34" s="1884"/>
      <c r="BMS34" s="1884"/>
      <c r="BMT34" s="1884"/>
      <c r="BMU34" s="1884"/>
      <c r="BMV34" s="1884"/>
      <c r="BMW34" s="1884"/>
      <c r="BMX34" s="1884"/>
      <c r="BMY34" s="1884"/>
      <c r="BMZ34" s="1884"/>
      <c r="BNA34" s="1884"/>
      <c r="BNB34" s="1884"/>
      <c r="BNC34" s="1884"/>
      <c r="BND34" s="1884"/>
      <c r="BNE34" s="1884"/>
      <c r="BNF34" s="1884"/>
      <c r="BNG34" s="1884"/>
      <c r="BNH34" s="1884"/>
      <c r="BNI34" s="1884"/>
      <c r="BNJ34" s="1884"/>
      <c r="BNK34" s="1884"/>
      <c r="BNL34" s="1884"/>
      <c r="BNM34" s="1884"/>
      <c r="BNN34" s="1884"/>
      <c r="BNO34" s="1884"/>
      <c r="BNP34" s="1884"/>
      <c r="BNQ34" s="1884"/>
      <c r="BNR34" s="1884"/>
      <c r="BNS34" s="1884"/>
      <c r="BNT34" s="1884"/>
      <c r="BNU34" s="1884"/>
      <c r="BNV34" s="1884"/>
      <c r="BNW34" s="1884"/>
      <c r="BNX34" s="1884"/>
      <c r="BNY34" s="1884"/>
      <c r="BNZ34" s="1884"/>
      <c r="BOA34" s="1884"/>
      <c r="BOB34" s="1884"/>
      <c r="BOC34" s="1884"/>
      <c r="BOD34" s="1884"/>
      <c r="BOE34" s="1884"/>
      <c r="BOF34" s="1884"/>
      <c r="BOG34" s="1884"/>
      <c r="BOH34" s="1884"/>
      <c r="BOI34" s="1884"/>
      <c r="BOJ34" s="1884"/>
      <c r="BOK34" s="1884"/>
      <c r="BOL34" s="1884"/>
      <c r="BOM34" s="1884"/>
      <c r="BON34" s="1884"/>
      <c r="BOO34" s="1884"/>
      <c r="BOP34" s="1884"/>
      <c r="BOQ34" s="1884"/>
      <c r="BOR34" s="1884"/>
      <c r="BOS34" s="1884"/>
      <c r="BOT34" s="1884"/>
      <c r="BOU34" s="1884"/>
      <c r="BOV34" s="1884"/>
      <c r="BOW34" s="1884"/>
      <c r="BOX34" s="1884"/>
      <c r="BOY34" s="1884"/>
      <c r="BOZ34" s="1884"/>
      <c r="BPA34" s="1884"/>
      <c r="BPB34" s="1884"/>
      <c r="BPC34" s="1884"/>
      <c r="BPD34" s="1884"/>
      <c r="BPE34" s="1884"/>
      <c r="BPF34" s="1884"/>
      <c r="BPG34" s="1884"/>
      <c r="BPH34" s="1884"/>
      <c r="BPI34" s="1884"/>
      <c r="BPJ34" s="1884"/>
      <c r="BPK34" s="1884"/>
      <c r="BPL34" s="1884"/>
      <c r="BPM34" s="1884"/>
      <c r="BPN34" s="1884"/>
      <c r="BPO34" s="1884"/>
      <c r="BPP34" s="1884"/>
      <c r="BPQ34" s="1884"/>
      <c r="BPR34" s="1884"/>
      <c r="BPS34" s="1884"/>
      <c r="BPT34" s="1884"/>
      <c r="BPU34" s="1884"/>
      <c r="BPV34" s="1884"/>
      <c r="BPW34" s="1884"/>
      <c r="BPX34" s="1884"/>
      <c r="BPY34" s="1884"/>
      <c r="BPZ34" s="1884"/>
      <c r="BQA34" s="1884"/>
      <c r="BQB34" s="1884"/>
      <c r="BQC34" s="1884"/>
      <c r="BQD34" s="1884"/>
      <c r="BQE34" s="1884"/>
      <c r="BQF34" s="1884"/>
      <c r="BQG34" s="1884"/>
      <c r="BQH34" s="1884"/>
      <c r="BQI34" s="1884"/>
      <c r="BQJ34" s="1884"/>
      <c r="BQK34" s="1884"/>
      <c r="BQL34" s="1884"/>
      <c r="BQM34" s="1884"/>
      <c r="BQN34" s="1884"/>
      <c r="BQO34" s="1884"/>
      <c r="BQP34" s="1884"/>
      <c r="BQQ34" s="1884"/>
      <c r="BQR34" s="1884"/>
      <c r="BQS34" s="1884"/>
      <c r="BQT34" s="1884"/>
      <c r="BQU34" s="1884"/>
      <c r="BQV34" s="1884"/>
      <c r="BQW34" s="1884"/>
      <c r="BQX34" s="1884"/>
      <c r="BQY34" s="1884"/>
      <c r="BQZ34" s="1884"/>
      <c r="BRA34" s="1884"/>
      <c r="BRB34" s="1884"/>
      <c r="BRC34" s="1884"/>
      <c r="BRD34" s="1884"/>
      <c r="BRE34" s="1884"/>
      <c r="BRF34" s="1884"/>
      <c r="BRG34" s="1884"/>
      <c r="BRH34" s="1884"/>
      <c r="BRI34" s="1884"/>
      <c r="BRJ34" s="1884"/>
      <c r="BRK34" s="1884"/>
      <c r="BRL34" s="1884"/>
      <c r="BRM34" s="1884"/>
      <c r="BRN34" s="1884"/>
      <c r="BRO34" s="1884"/>
      <c r="BRP34" s="1884"/>
      <c r="BRQ34" s="1884"/>
      <c r="BRR34" s="1884"/>
      <c r="BRS34" s="1884"/>
      <c r="BRT34" s="1884"/>
      <c r="BRU34" s="1884"/>
      <c r="BRV34" s="1884"/>
      <c r="BRW34" s="1884"/>
      <c r="BRX34" s="1884"/>
      <c r="BRY34" s="1884"/>
      <c r="BRZ34" s="1884"/>
      <c r="BSA34" s="1884"/>
      <c r="BSB34" s="1884"/>
      <c r="BSC34" s="1884"/>
      <c r="BSD34" s="1884"/>
      <c r="BSE34" s="1884"/>
      <c r="BSF34" s="1884"/>
      <c r="BSG34" s="1884"/>
      <c r="BSH34" s="1884"/>
      <c r="BSI34" s="1884"/>
      <c r="BSJ34" s="1884"/>
      <c r="BSK34" s="1884"/>
      <c r="BSL34" s="1884"/>
      <c r="BSM34" s="1884"/>
      <c r="BSN34" s="1884"/>
      <c r="BSO34" s="1884"/>
      <c r="BSP34" s="1884"/>
      <c r="BSQ34" s="1884"/>
      <c r="BSR34" s="1884"/>
      <c r="BSS34" s="1884"/>
      <c r="BST34" s="1884"/>
      <c r="BSU34" s="1884"/>
      <c r="BSV34" s="1884"/>
      <c r="BSW34" s="1884"/>
      <c r="BSX34" s="1884"/>
      <c r="BSY34" s="1884"/>
      <c r="BSZ34" s="1884"/>
      <c r="BTA34" s="1884"/>
      <c r="BTB34" s="1884"/>
      <c r="BTC34" s="1884"/>
      <c r="BTD34" s="1884"/>
      <c r="BTE34" s="1884"/>
      <c r="BTF34" s="1884"/>
      <c r="BTG34" s="1884"/>
      <c r="BTH34" s="1884"/>
      <c r="BTI34" s="1884"/>
      <c r="BTJ34" s="1884"/>
      <c r="BTK34" s="1884"/>
      <c r="BTL34" s="1884"/>
      <c r="BTM34" s="1884"/>
      <c r="BTN34" s="1884"/>
      <c r="BTO34" s="1884"/>
      <c r="BTP34" s="1884"/>
      <c r="BTQ34" s="1884"/>
      <c r="BTR34" s="1884"/>
      <c r="BTS34" s="1884"/>
      <c r="BTT34" s="1884"/>
      <c r="BTU34" s="1884"/>
      <c r="BTV34" s="1884"/>
      <c r="BTW34" s="1884"/>
      <c r="BTX34" s="1884"/>
      <c r="BTY34" s="1884"/>
      <c r="BTZ34" s="1884"/>
      <c r="BUA34" s="1884"/>
      <c r="BUB34" s="1884"/>
      <c r="BUC34" s="1884"/>
      <c r="BUD34" s="1884"/>
      <c r="BUE34" s="1884"/>
      <c r="BUF34" s="1884"/>
      <c r="BUG34" s="1884"/>
      <c r="BUH34" s="1884"/>
      <c r="BUI34" s="1884"/>
      <c r="BUJ34" s="1884"/>
      <c r="BUK34" s="1884"/>
      <c r="BUL34" s="1884"/>
      <c r="BUM34" s="1884"/>
      <c r="BUN34" s="1884"/>
      <c r="BUO34" s="1884"/>
      <c r="BUP34" s="1884"/>
      <c r="BUQ34" s="1884"/>
      <c r="BUR34" s="1884"/>
      <c r="BUS34" s="1884"/>
      <c r="BUT34" s="1884"/>
      <c r="BUU34" s="1884"/>
      <c r="BUV34" s="1884"/>
      <c r="BUW34" s="1884"/>
      <c r="BUX34" s="1884"/>
      <c r="BUY34" s="1884"/>
      <c r="BUZ34" s="1884"/>
      <c r="BVA34" s="1884"/>
      <c r="BVB34" s="1884"/>
      <c r="BVC34" s="1884"/>
      <c r="BVD34" s="1884"/>
      <c r="BVE34" s="1884"/>
      <c r="BVF34" s="1884"/>
      <c r="BVG34" s="1884"/>
      <c r="BVH34" s="1884"/>
      <c r="BVI34" s="1884"/>
      <c r="BVJ34" s="1884"/>
      <c r="BVK34" s="1884"/>
      <c r="BVL34" s="1884"/>
      <c r="BVM34" s="1884"/>
      <c r="BVN34" s="1884"/>
      <c r="BVO34" s="1884"/>
      <c r="BVP34" s="1884"/>
      <c r="BVQ34" s="1884"/>
      <c r="BVR34" s="1884"/>
      <c r="BVS34" s="1884"/>
      <c r="BVT34" s="1884"/>
      <c r="BVU34" s="1884"/>
      <c r="BVV34" s="1884"/>
      <c r="BVW34" s="1884"/>
      <c r="BVX34" s="1884"/>
      <c r="BVY34" s="1884"/>
      <c r="BVZ34" s="1884"/>
      <c r="BWA34" s="1884"/>
      <c r="BWB34" s="1884"/>
      <c r="BWC34" s="1884"/>
      <c r="BWD34" s="1884"/>
      <c r="BWE34" s="1884"/>
      <c r="BWF34" s="1884"/>
      <c r="BWG34" s="1884"/>
      <c r="BWH34" s="1884"/>
      <c r="BWI34" s="1884"/>
      <c r="BWJ34" s="1884"/>
      <c r="BWK34" s="1884"/>
      <c r="BWL34" s="1884"/>
      <c r="BWM34" s="1884"/>
      <c r="BWN34" s="1884"/>
      <c r="BWO34" s="1884"/>
      <c r="BWP34" s="1884"/>
      <c r="BWQ34" s="1884"/>
      <c r="BWR34" s="1884"/>
      <c r="BWS34" s="1884"/>
      <c r="BWT34" s="1884"/>
      <c r="BWU34" s="1884"/>
      <c r="BWV34" s="1884"/>
      <c r="BWW34" s="1884"/>
      <c r="BWX34" s="1884"/>
      <c r="BWY34" s="1884"/>
      <c r="BWZ34" s="1884"/>
      <c r="BXA34" s="1884"/>
      <c r="BXB34" s="1884"/>
      <c r="BXC34" s="1884"/>
      <c r="BXD34" s="1884"/>
      <c r="BXE34" s="1884"/>
      <c r="BXF34" s="1884"/>
      <c r="BXG34" s="1884"/>
      <c r="BXH34" s="1884"/>
      <c r="BXI34" s="1884"/>
      <c r="BXJ34" s="1884"/>
      <c r="BXK34" s="1884"/>
      <c r="BXL34" s="1884"/>
      <c r="BXM34" s="1884"/>
      <c r="BXN34" s="1884"/>
      <c r="BXO34" s="1884"/>
      <c r="BXP34" s="1884"/>
      <c r="BXQ34" s="1884"/>
      <c r="BXR34" s="1884"/>
      <c r="BXS34" s="1884"/>
      <c r="BXT34" s="1884"/>
      <c r="BXU34" s="1884"/>
      <c r="BXV34" s="1884"/>
      <c r="BXW34" s="1884"/>
      <c r="BXX34" s="1884"/>
      <c r="BXY34" s="1884"/>
      <c r="BXZ34" s="1884"/>
      <c r="BYA34" s="1884"/>
      <c r="BYB34" s="1884"/>
      <c r="BYC34" s="1884"/>
      <c r="BYD34" s="1884"/>
      <c r="BYE34" s="1884"/>
      <c r="BYF34" s="1884"/>
      <c r="BYG34" s="1884"/>
      <c r="BYH34" s="1884"/>
      <c r="BYI34" s="1884"/>
      <c r="BYJ34" s="1884"/>
      <c r="BYK34" s="1884"/>
      <c r="BYL34" s="1884"/>
      <c r="BYM34" s="1884"/>
      <c r="BYN34" s="1884"/>
      <c r="BYO34" s="1884"/>
      <c r="BYP34" s="1884"/>
      <c r="BYQ34" s="1884"/>
      <c r="BYR34" s="1884"/>
      <c r="BYS34" s="1884"/>
      <c r="BYT34" s="1884"/>
      <c r="BYU34" s="1884"/>
      <c r="BYV34" s="1884"/>
      <c r="BYW34" s="1884"/>
      <c r="BYX34" s="1884"/>
      <c r="BYY34" s="1884"/>
      <c r="BYZ34" s="1884"/>
      <c r="BZA34" s="1884"/>
      <c r="BZB34" s="1884"/>
      <c r="BZC34" s="1884"/>
      <c r="BZD34" s="1884"/>
      <c r="BZE34" s="1884"/>
      <c r="BZF34" s="1884"/>
      <c r="BZG34" s="1884"/>
      <c r="BZH34" s="1884"/>
      <c r="BZI34" s="1884"/>
      <c r="BZJ34" s="1884"/>
      <c r="BZK34" s="1884"/>
      <c r="BZL34" s="1884"/>
      <c r="BZM34" s="1884"/>
      <c r="BZN34" s="1884"/>
      <c r="BZO34" s="1884"/>
      <c r="BZP34" s="1884"/>
      <c r="BZQ34" s="1884"/>
      <c r="BZR34" s="1884"/>
      <c r="BZS34" s="1884"/>
      <c r="BZT34" s="1884"/>
      <c r="BZU34" s="1884"/>
      <c r="BZV34" s="1884"/>
      <c r="BZW34" s="1884"/>
      <c r="BZX34" s="1884"/>
      <c r="BZY34" s="1884"/>
      <c r="BZZ34" s="1884"/>
      <c r="CAA34" s="1884"/>
      <c r="CAB34" s="1884"/>
      <c r="CAC34" s="1884"/>
      <c r="CAD34" s="1884"/>
      <c r="CAE34" s="1884"/>
      <c r="CAF34" s="1884"/>
      <c r="CAG34" s="1884"/>
      <c r="CAH34" s="1884"/>
      <c r="CAI34" s="1884"/>
      <c r="CAJ34" s="1884"/>
      <c r="CAK34" s="1884"/>
      <c r="CAL34" s="1884"/>
      <c r="CAM34" s="1884"/>
      <c r="CAN34" s="1884"/>
      <c r="CAO34" s="1884"/>
      <c r="CAP34" s="1884"/>
      <c r="CAQ34" s="1884"/>
      <c r="CAR34" s="1884"/>
      <c r="CAS34" s="1884"/>
      <c r="CAT34" s="1884"/>
      <c r="CAU34" s="1884"/>
      <c r="CAV34" s="1884"/>
      <c r="CAW34" s="1884"/>
      <c r="CAX34" s="1884"/>
      <c r="CAY34" s="1884"/>
      <c r="CAZ34" s="1884"/>
      <c r="CBA34" s="1884"/>
      <c r="CBB34" s="1884"/>
      <c r="CBC34" s="1884"/>
      <c r="CBD34" s="1884"/>
      <c r="CBE34" s="1884"/>
      <c r="CBF34" s="1884"/>
      <c r="CBG34" s="1884"/>
      <c r="CBH34" s="1884"/>
      <c r="CBI34" s="1884"/>
      <c r="CBJ34" s="1884"/>
      <c r="CBK34" s="1884"/>
      <c r="CBL34" s="1884"/>
      <c r="CBM34" s="1884"/>
      <c r="CBN34" s="1884"/>
      <c r="CBO34" s="1884"/>
      <c r="CBP34" s="1884"/>
      <c r="CBQ34" s="1884"/>
      <c r="CBR34" s="1884"/>
      <c r="CBS34" s="1884"/>
      <c r="CBT34" s="1884"/>
      <c r="CBU34" s="1884"/>
      <c r="CBV34" s="1884"/>
      <c r="CBW34" s="1884"/>
      <c r="CBX34" s="1884"/>
      <c r="CBY34" s="1884"/>
      <c r="CBZ34" s="1884"/>
      <c r="CCA34" s="1884"/>
      <c r="CCB34" s="1884"/>
      <c r="CCC34" s="1884"/>
      <c r="CCD34" s="1884"/>
      <c r="CCE34" s="1884"/>
      <c r="CCF34" s="1884"/>
      <c r="CCG34" s="1884"/>
      <c r="CCH34" s="1884"/>
      <c r="CCI34" s="1884"/>
      <c r="CCJ34" s="1884"/>
      <c r="CCK34" s="1884"/>
      <c r="CCL34" s="1884"/>
      <c r="CCM34" s="1884"/>
      <c r="CCN34" s="1884"/>
      <c r="CCO34" s="1884"/>
      <c r="CCP34" s="1884"/>
      <c r="CCQ34" s="1884"/>
      <c r="CCR34" s="1884"/>
      <c r="CCS34" s="1884"/>
      <c r="CCT34" s="1884"/>
      <c r="CCU34" s="1884"/>
      <c r="CCV34" s="1884"/>
      <c r="CCW34" s="1884"/>
      <c r="CCX34" s="1884"/>
      <c r="CCY34" s="1884"/>
      <c r="CCZ34" s="1884"/>
      <c r="CDA34" s="1884"/>
      <c r="CDB34" s="1884"/>
      <c r="CDC34" s="1884"/>
      <c r="CDD34" s="1884"/>
      <c r="CDE34" s="1884"/>
      <c r="CDF34" s="1884"/>
      <c r="CDG34" s="1884"/>
      <c r="CDH34" s="1884"/>
      <c r="CDI34" s="1884"/>
      <c r="CDJ34" s="1884"/>
      <c r="CDK34" s="1884"/>
      <c r="CDL34" s="1884"/>
      <c r="CDM34" s="1884"/>
      <c r="CDN34" s="1884"/>
      <c r="CDO34" s="1884"/>
      <c r="CDP34" s="1884"/>
      <c r="CDQ34" s="1884"/>
      <c r="CDR34" s="1884"/>
      <c r="CDS34" s="1884"/>
      <c r="CDT34" s="1884"/>
      <c r="CDU34" s="1884"/>
      <c r="CDV34" s="1884"/>
      <c r="CDW34" s="1884"/>
      <c r="CDX34" s="1884"/>
      <c r="CDY34" s="1884"/>
      <c r="CDZ34" s="1884"/>
      <c r="CEA34" s="1884"/>
      <c r="CEB34" s="1884"/>
      <c r="CEC34" s="1884"/>
      <c r="CED34" s="1884"/>
      <c r="CEE34" s="1884"/>
      <c r="CEF34" s="1884"/>
      <c r="CEG34" s="1884"/>
      <c r="CEH34" s="1884"/>
      <c r="CEI34" s="1884"/>
      <c r="CEJ34" s="1884"/>
      <c r="CEK34" s="1884"/>
      <c r="CEL34" s="1884"/>
      <c r="CEM34" s="1884"/>
      <c r="CEN34" s="1884"/>
      <c r="CEO34" s="1884"/>
      <c r="CEP34" s="1884"/>
      <c r="CEQ34" s="1884"/>
      <c r="CER34" s="1884"/>
      <c r="CES34" s="1884"/>
      <c r="CET34" s="1884"/>
      <c r="CEU34" s="1884"/>
      <c r="CEV34" s="1884"/>
      <c r="CEW34" s="1884"/>
      <c r="CEX34" s="1884"/>
      <c r="CEY34" s="1884"/>
      <c r="CEZ34" s="1884"/>
      <c r="CFA34" s="1884"/>
      <c r="CFB34" s="1884"/>
      <c r="CFC34" s="1884"/>
      <c r="CFD34" s="1884"/>
      <c r="CFE34" s="1884"/>
      <c r="CFF34" s="1884"/>
      <c r="CFG34" s="1884"/>
      <c r="CFH34" s="1884"/>
      <c r="CFI34" s="1884"/>
      <c r="CFJ34" s="1884"/>
      <c r="CFK34" s="1884"/>
      <c r="CFL34" s="1884"/>
      <c r="CFM34" s="1884"/>
      <c r="CFN34" s="1884"/>
      <c r="CFO34" s="1884"/>
      <c r="CFP34" s="1884"/>
      <c r="CFQ34" s="1884"/>
      <c r="CFR34" s="1884"/>
      <c r="CFS34" s="1884"/>
      <c r="CFT34" s="1884"/>
      <c r="CFU34" s="1884"/>
      <c r="CFV34" s="1884"/>
      <c r="CFW34" s="1884"/>
      <c r="CFX34" s="1884"/>
      <c r="CFY34" s="1884"/>
      <c r="CFZ34" s="1884"/>
      <c r="CGA34" s="1884"/>
      <c r="CGB34" s="1884"/>
      <c r="CGC34" s="1884"/>
      <c r="CGD34" s="1884"/>
      <c r="CGE34" s="1884"/>
      <c r="CGF34" s="1884"/>
      <c r="CGG34" s="1884"/>
      <c r="CGH34" s="1884"/>
      <c r="CGI34" s="1884"/>
      <c r="CGJ34" s="1884"/>
      <c r="CGK34" s="1884"/>
      <c r="CGL34" s="1884"/>
      <c r="CGM34" s="1884"/>
      <c r="CGN34" s="1884"/>
      <c r="CGO34" s="1884"/>
      <c r="CGP34" s="1884"/>
      <c r="CGQ34" s="1884"/>
      <c r="CGR34" s="1884"/>
      <c r="CGS34" s="1884"/>
      <c r="CGT34" s="1884"/>
      <c r="CGU34" s="1884"/>
      <c r="CGV34" s="1884"/>
      <c r="CGW34" s="1884"/>
      <c r="CGX34" s="1884"/>
      <c r="CGY34" s="1884"/>
      <c r="CGZ34" s="1884"/>
      <c r="CHA34" s="1884"/>
      <c r="CHB34" s="1884"/>
      <c r="CHC34" s="1884"/>
      <c r="CHD34" s="1884"/>
      <c r="CHE34" s="1884"/>
      <c r="CHF34" s="1884"/>
      <c r="CHG34" s="1884"/>
      <c r="CHH34" s="1884"/>
      <c r="CHI34" s="1884"/>
      <c r="CHJ34" s="1884"/>
      <c r="CHK34" s="1884"/>
      <c r="CHL34" s="1884"/>
      <c r="CHM34" s="1884"/>
      <c r="CHN34" s="1884"/>
      <c r="CHO34" s="1884"/>
      <c r="CHP34" s="1884"/>
      <c r="CHQ34" s="1884"/>
      <c r="CHR34" s="1884"/>
      <c r="CHS34" s="1884"/>
      <c r="CHT34" s="1884"/>
      <c r="CHU34" s="1884"/>
      <c r="CHV34" s="1884"/>
      <c r="CHW34" s="1884"/>
      <c r="CHX34" s="1884"/>
      <c r="CHY34" s="1884"/>
      <c r="CHZ34" s="1884"/>
      <c r="CIA34" s="1884"/>
      <c r="CIB34" s="1884"/>
      <c r="CIC34" s="1884"/>
      <c r="CID34" s="1884"/>
      <c r="CIE34" s="1884"/>
      <c r="CIF34" s="1884"/>
      <c r="CIG34" s="1884"/>
      <c r="CIH34" s="1884"/>
      <c r="CII34" s="1884"/>
      <c r="CIJ34" s="1884"/>
      <c r="CIK34" s="1884"/>
      <c r="CIL34" s="1884"/>
      <c r="CIM34" s="1884"/>
      <c r="CIN34" s="1884"/>
      <c r="CIO34" s="1884"/>
      <c r="CIP34" s="1884"/>
      <c r="CIQ34" s="1884"/>
      <c r="CIR34" s="1884"/>
      <c r="CIS34" s="1884"/>
      <c r="CIT34" s="1884"/>
      <c r="CIU34" s="1884"/>
      <c r="CIV34" s="1884"/>
      <c r="CIW34" s="1884"/>
      <c r="CIX34" s="1884"/>
      <c r="CIY34" s="1884"/>
      <c r="CIZ34" s="1884"/>
      <c r="CJA34" s="1884"/>
      <c r="CJB34" s="1884"/>
      <c r="CJC34" s="1884"/>
      <c r="CJD34" s="1884"/>
      <c r="CJE34" s="1884"/>
      <c r="CJF34" s="1884"/>
      <c r="CJG34" s="1884"/>
      <c r="CJH34" s="1884"/>
      <c r="CJI34" s="1884"/>
      <c r="CJJ34" s="1884"/>
      <c r="CJK34" s="1884"/>
      <c r="CJL34" s="1884"/>
      <c r="CJM34" s="1884"/>
      <c r="CJN34" s="1884"/>
      <c r="CJO34" s="1884"/>
      <c r="CJP34" s="1884"/>
      <c r="CJQ34" s="1884"/>
      <c r="CJR34" s="1884"/>
      <c r="CJS34" s="1884"/>
      <c r="CJT34" s="1884"/>
      <c r="CJU34" s="1884"/>
      <c r="CJV34" s="1884"/>
      <c r="CJW34" s="1884"/>
      <c r="CJX34" s="1884"/>
      <c r="CJY34" s="1884"/>
      <c r="CJZ34" s="1884"/>
      <c r="CKA34" s="1884"/>
      <c r="CKB34" s="1884"/>
      <c r="CKC34" s="1884"/>
      <c r="CKD34" s="1884"/>
      <c r="CKE34" s="1884"/>
      <c r="CKF34" s="1884"/>
      <c r="CKG34" s="1884"/>
      <c r="CKH34" s="1884"/>
      <c r="CKI34" s="1884"/>
      <c r="CKJ34" s="1884"/>
      <c r="CKK34" s="1884"/>
      <c r="CKL34" s="1884"/>
      <c r="CKM34" s="1884"/>
      <c r="CKN34" s="1884"/>
      <c r="CKO34" s="1884"/>
      <c r="CKP34" s="1884"/>
      <c r="CKQ34" s="1884"/>
      <c r="CKR34" s="1884"/>
      <c r="CKS34" s="1884"/>
      <c r="CKT34" s="1884"/>
      <c r="CKU34" s="1884"/>
      <c r="CKV34" s="1884"/>
      <c r="CKW34" s="1884"/>
      <c r="CKX34" s="1884"/>
      <c r="CKY34" s="1884"/>
      <c r="CKZ34" s="1884"/>
      <c r="CLA34" s="1884"/>
      <c r="CLB34" s="1884"/>
      <c r="CLC34" s="1884"/>
      <c r="CLD34" s="1884"/>
      <c r="CLE34" s="1884"/>
      <c r="CLF34" s="1884"/>
      <c r="CLG34" s="1884"/>
      <c r="CLH34" s="1884"/>
      <c r="CLI34" s="1884"/>
      <c r="CLJ34" s="1884"/>
      <c r="CLK34" s="1884"/>
      <c r="CLL34" s="1884"/>
      <c r="CLM34" s="1884"/>
      <c r="CLN34" s="1884"/>
      <c r="CLO34" s="1884"/>
      <c r="CLP34" s="1884"/>
      <c r="CLQ34" s="1884"/>
      <c r="CLR34" s="1884"/>
      <c r="CLS34" s="1884"/>
      <c r="CLT34" s="1884"/>
      <c r="CLU34" s="1884"/>
      <c r="CLV34" s="1884"/>
      <c r="CLW34" s="1884"/>
      <c r="CLX34" s="1884"/>
      <c r="CLY34" s="1884"/>
      <c r="CLZ34" s="1884"/>
      <c r="CMA34" s="1884"/>
      <c r="CMB34" s="1884"/>
      <c r="CMC34" s="1884"/>
      <c r="CMD34" s="1884"/>
      <c r="CME34" s="1884"/>
      <c r="CMF34" s="1884"/>
      <c r="CMG34" s="1884"/>
      <c r="CMH34" s="1884"/>
      <c r="CMI34" s="1884"/>
      <c r="CMJ34" s="1884"/>
      <c r="CMK34" s="1884"/>
      <c r="CML34" s="1884"/>
      <c r="CMM34" s="1884"/>
      <c r="CMN34" s="1884"/>
      <c r="CMO34" s="1884"/>
      <c r="CMP34" s="1884"/>
      <c r="CMQ34" s="1884"/>
      <c r="CMR34" s="1884"/>
      <c r="CMS34" s="1884"/>
      <c r="CMT34" s="1884"/>
      <c r="CMU34" s="1884"/>
      <c r="CMV34" s="1884"/>
      <c r="CMW34" s="1884"/>
      <c r="CMX34" s="1884"/>
      <c r="CMY34" s="1884"/>
      <c r="CMZ34" s="1884"/>
      <c r="CNA34" s="1884"/>
      <c r="CNB34" s="1884"/>
      <c r="CNC34" s="1884"/>
      <c r="CND34" s="1884"/>
      <c r="CNE34" s="1884"/>
      <c r="CNF34" s="1884"/>
      <c r="CNG34" s="1884"/>
      <c r="CNH34" s="1884"/>
      <c r="CNI34" s="1884"/>
      <c r="CNJ34" s="1884"/>
      <c r="CNK34" s="1884"/>
      <c r="CNL34" s="1884"/>
      <c r="CNM34" s="1884"/>
      <c r="CNN34" s="1884"/>
      <c r="CNO34" s="1884"/>
      <c r="CNP34" s="1884"/>
      <c r="CNQ34" s="1884"/>
      <c r="CNR34" s="1884"/>
      <c r="CNS34" s="1884"/>
      <c r="CNT34" s="1884"/>
      <c r="CNU34" s="1884"/>
      <c r="CNV34" s="1884"/>
      <c r="CNW34" s="1884"/>
      <c r="CNX34" s="1884"/>
      <c r="CNY34" s="1884"/>
      <c r="CNZ34" s="1884"/>
      <c r="COA34" s="1884"/>
      <c r="COB34" s="1884"/>
      <c r="COC34" s="1884"/>
      <c r="COD34" s="1884"/>
      <c r="COE34" s="1884"/>
      <c r="COF34" s="1884"/>
      <c r="COG34" s="1884"/>
      <c r="COH34" s="1884"/>
      <c r="COI34" s="1884"/>
      <c r="COJ34" s="1884"/>
      <c r="COK34" s="1884"/>
      <c r="COL34" s="1884"/>
      <c r="COM34" s="1884"/>
      <c r="CON34" s="1884"/>
      <c r="COO34" s="1884"/>
      <c r="COP34" s="1884"/>
      <c r="COQ34" s="1884"/>
      <c r="COR34" s="1884"/>
      <c r="COS34" s="1884"/>
      <c r="COT34" s="1884"/>
      <c r="COU34" s="1884"/>
      <c r="COV34" s="1884"/>
      <c r="COW34" s="1884"/>
      <c r="COX34" s="1884"/>
      <c r="COY34" s="1884"/>
      <c r="COZ34" s="1884"/>
      <c r="CPA34" s="1884"/>
      <c r="CPB34" s="1884"/>
      <c r="CPC34" s="1884"/>
      <c r="CPD34" s="1884"/>
      <c r="CPE34" s="1884"/>
      <c r="CPF34" s="1884"/>
      <c r="CPG34" s="1884"/>
      <c r="CPH34" s="1884"/>
      <c r="CPI34" s="1884"/>
      <c r="CPJ34" s="1884"/>
      <c r="CPK34" s="1884"/>
      <c r="CPL34" s="1884"/>
      <c r="CPM34" s="1884"/>
      <c r="CPN34" s="1884"/>
      <c r="CPO34" s="1884"/>
      <c r="CPP34" s="1884"/>
      <c r="CPQ34" s="1884"/>
      <c r="CPR34" s="1884"/>
      <c r="CPS34" s="1884"/>
      <c r="CPT34" s="1884"/>
      <c r="CPU34" s="1884"/>
      <c r="CPV34" s="1884"/>
      <c r="CPW34" s="1884"/>
      <c r="CPX34" s="1884"/>
      <c r="CPY34" s="1884"/>
      <c r="CPZ34" s="1884"/>
      <c r="CQA34" s="1884"/>
      <c r="CQB34" s="1884"/>
      <c r="CQC34" s="1884"/>
      <c r="CQD34" s="1884"/>
      <c r="CQE34" s="1884"/>
      <c r="CQF34" s="1884"/>
      <c r="CQG34" s="1884"/>
      <c r="CQH34" s="1884"/>
      <c r="CQI34" s="1884"/>
      <c r="CQJ34" s="1884"/>
      <c r="CQK34" s="1884"/>
      <c r="CQL34" s="1884"/>
      <c r="CQM34" s="1884"/>
      <c r="CQN34" s="1884"/>
      <c r="CQO34" s="1884"/>
      <c r="CQP34" s="1884"/>
      <c r="CQQ34" s="1884"/>
      <c r="CQR34" s="1884"/>
      <c r="CQS34" s="1884"/>
      <c r="CQT34" s="1884"/>
      <c r="CQU34" s="1884"/>
      <c r="CQV34" s="1884"/>
      <c r="CQW34" s="1884"/>
      <c r="CQX34" s="1884"/>
      <c r="CQY34" s="1884"/>
      <c r="CQZ34" s="1884"/>
      <c r="CRA34" s="1884"/>
      <c r="CRB34" s="1884"/>
      <c r="CRC34" s="1884"/>
      <c r="CRD34" s="1884"/>
      <c r="CRE34" s="1884"/>
      <c r="CRF34" s="1884"/>
      <c r="CRG34" s="1884"/>
      <c r="CRH34" s="1884"/>
      <c r="CRI34" s="1884"/>
      <c r="CRJ34" s="1884"/>
      <c r="CRK34" s="1884"/>
      <c r="CRL34" s="1884"/>
      <c r="CRM34" s="1884"/>
      <c r="CRN34" s="1884"/>
      <c r="CRO34" s="1884"/>
      <c r="CRP34" s="1884"/>
      <c r="CRQ34" s="1884"/>
      <c r="CRR34" s="1884"/>
      <c r="CRS34" s="1884"/>
      <c r="CRT34" s="1884"/>
      <c r="CRU34" s="1884"/>
      <c r="CRV34" s="1884"/>
      <c r="CRW34" s="1884"/>
      <c r="CRX34" s="1884"/>
      <c r="CRY34" s="1884"/>
      <c r="CRZ34" s="1884"/>
      <c r="CSA34" s="1884"/>
      <c r="CSB34" s="1884"/>
      <c r="CSC34" s="1884"/>
      <c r="CSD34" s="1884"/>
      <c r="CSE34" s="1884"/>
      <c r="CSF34" s="1884"/>
      <c r="CSG34" s="1884"/>
      <c r="CSH34" s="1884"/>
      <c r="CSI34" s="1884"/>
      <c r="CSJ34" s="1884"/>
      <c r="CSK34" s="1884"/>
      <c r="CSL34" s="1884"/>
      <c r="CSM34" s="1884"/>
      <c r="CSN34" s="1884"/>
      <c r="CSO34" s="1884"/>
      <c r="CSP34" s="1884"/>
      <c r="CSQ34" s="1884"/>
      <c r="CSR34" s="1884"/>
      <c r="CSS34" s="1884"/>
      <c r="CST34" s="1884"/>
      <c r="CSU34" s="1884"/>
      <c r="CSV34" s="1884"/>
      <c r="CSW34" s="1884"/>
      <c r="CSX34" s="1884"/>
      <c r="CSY34" s="1884"/>
      <c r="CSZ34" s="1884"/>
      <c r="CTA34" s="1884"/>
      <c r="CTB34" s="1884"/>
      <c r="CTC34" s="1884"/>
      <c r="CTD34" s="1884"/>
      <c r="CTE34" s="1884"/>
      <c r="CTF34" s="1884"/>
      <c r="CTG34" s="1884"/>
      <c r="CTH34" s="1884"/>
      <c r="CTI34" s="1884"/>
      <c r="CTJ34" s="1884"/>
      <c r="CTK34" s="1884"/>
      <c r="CTL34" s="1884"/>
      <c r="CTM34" s="1884"/>
      <c r="CTN34" s="1884"/>
      <c r="CTO34" s="1884"/>
      <c r="CTP34" s="1884"/>
      <c r="CTQ34" s="1884"/>
      <c r="CTR34" s="1884"/>
      <c r="CTS34" s="1884"/>
      <c r="CTT34" s="1884"/>
      <c r="CTU34" s="1884"/>
      <c r="CTV34" s="1884"/>
      <c r="CTW34" s="1884"/>
      <c r="CTX34" s="1884"/>
      <c r="CTY34" s="1884"/>
      <c r="CTZ34" s="1884"/>
      <c r="CUA34" s="1884"/>
      <c r="CUB34" s="1884"/>
      <c r="CUC34" s="1884"/>
      <c r="CUD34" s="1884"/>
      <c r="CUE34" s="1884"/>
      <c r="CUF34" s="1884"/>
      <c r="CUG34" s="1884"/>
      <c r="CUH34" s="1884"/>
      <c r="CUI34" s="1884"/>
      <c r="CUJ34" s="1884"/>
      <c r="CUK34" s="1884"/>
      <c r="CUL34" s="1884"/>
      <c r="CUM34" s="1884"/>
      <c r="CUN34" s="1884"/>
      <c r="CUO34" s="1884"/>
      <c r="CUP34" s="1884"/>
      <c r="CUQ34" s="1884"/>
      <c r="CUR34" s="1884"/>
      <c r="CUS34" s="1884"/>
      <c r="CUT34" s="1884"/>
      <c r="CUU34" s="1884"/>
      <c r="CUV34" s="1884"/>
      <c r="CUW34" s="1884"/>
      <c r="CUX34" s="1884"/>
      <c r="CUY34" s="1884"/>
      <c r="CUZ34" s="1884"/>
      <c r="CVA34" s="1884"/>
      <c r="CVB34" s="1884"/>
      <c r="CVC34" s="1884"/>
      <c r="CVD34" s="1884"/>
      <c r="CVE34" s="1884"/>
      <c r="CVF34" s="1884"/>
      <c r="CVG34" s="1884"/>
      <c r="CVH34" s="1884"/>
      <c r="CVI34" s="1884"/>
      <c r="CVJ34" s="1884"/>
      <c r="CVK34" s="1884"/>
      <c r="CVL34" s="1884"/>
      <c r="CVM34" s="1884"/>
      <c r="CVN34" s="1884"/>
      <c r="CVO34" s="1884"/>
      <c r="CVP34" s="1884"/>
      <c r="CVQ34" s="1884"/>
      <c r="CVR34" s="1884"/>
      <c r="CVS34" s="1884"/>
      <c r="CVT34" s="1884"/>
      <c r="CVU34" s="1884"/>
      <c r="CVV34" s="1884"/>
      <c r="CVW34" s="1884"/>
      <c r="CVX34" s="1884"/>
      <c r="CVY34" s="1884"/>
      <c r="CVZ34" s="1884"/>
      <c r="CWA34" s="1884"/>
      <c r="CWB34" s="1884"/>
      <c r="CWC34" s="1884"/>
      <c r="CWD34" s="1884"/>
      <c r="CWE34" s="1884"/>
      <c r="CWF34" s="1884"/>
      <c r="CWG34" s="1884"/>
      <c r="CWH34" s="1884"/>
      <c r="CWI34" s="1884"/>
      <c r="CWJ34" s="1884"/>
      <c r="CWK34" s="1884"/>
      <c r="CWL34" s="1884"/>
      <c r="CWM34" s="1884"/>
      <c r="CWN34" s="1884"/>
      <c r="CWO34" s="1884"/>
      <c r="CWP34" s="1884"/>
      <c r="CWQ34" s="1884"/>
      <c r="CWR34" s="1884"/>
      <c r="CWS34" s="1884"/>
      <c r="CWT34" s="1884"/>
      <c r="CWU34" s="1884"/>
      <c r="CWV34" s="1884"/>
      <c r="CWW34" s="1884"/>
      <c r="CWX34" s="1884"/>
      <c r="CWY34" s="1884"/>
      <c r="CWZ34" s="1884"/>
      <c r="CXA34" s="1884"/>
      <c r="CXB34" s="1884"/>
      <c r="CXC34" s="1884"/>
      <c r="CXD34" s="1884"/>
      <c r="CXE34" s="1884"/>
      <c r="CXF34" s="1884"/>
      <c r="CXG34" s="1884"/>
      <c r="CXH34" s="1884"/>
      <c r="CXI34" s="1884"/>
      <c r="CXJ34" s="1884"/>
      <c r="CXK34" s="1884"/>
      <c r="CXL34" s="1884"/>
      <c r="CXM34" s="1884"/>
      <c r="CXN34" s="1884"/>
      <c r="CXO34" s="1884"/>
      <c r="CXP34" s="1884"/>
      <c r="CXQ34" s="1884"/>
      <c r="CXR34" s="1884"/>
      <c r="CXS34" s="1884"/>
      <c r="CXT34" s="1884"/>
      <c r="CXU34" s="1884"/>
      <c r="CXV34" s="1884"/>
      <c r="CXW34" s="1884"/>
      <c r="CXX34" s="1884"/>
      <c r="CXY34" s="1884"/>
      <c r="CXZ34" s="1884"/>
      <c r="CYA34" s="1884"/>
      <c r="CYB34" s="1884"/>
      <c r="CYC34" s="1884"/>
      <c r="CYD34" s="1884"/>
      <c r="CYE34" s="1884"/>
      <c r="CYF34" s="1884"/>
      <c r="CYG34" s="1884"/>
      <c r="CYH34" s="1884"/>
      <c r="CYI34" s="1884"/>
      <c r="CYJ34" s="1884"/>
      <c r="CYK34" s="1884"/>
      <c r="CYL34" s="1884"/>
      <c r="CYM34" s="1884"/>
      <c r="CYN34" s="1884"/>
      <c r="CYO34" s="1884"/>
      <c r="CYP34" s="1884"/>
      <c r="CYQ34" s="1884"/>
      <c r="CYR34" s="1884"/>
      <c r="CYS34" s="1884"/>
      <c r="CYT34" s="1884"/>
      <c r="CYU34" s="1884"/>
      <c r="CYV34" s="1884"/>
      <c r="CYW34" s="1884"/>
      <c r="CYX34" s="1884"/>
      <c r="CYY34" s="1884"/>
      <c r="CYZ34" s="1884"/>
      <c r="CZA34" s="1884"/>
      <c r="CZB34" s="1884"/>
      <c r="CZC34" s="1884"/>
      <c r="CZD34" s="1884"/>
      <c r="CZE34" s="1884"/>
      <c r="CZF34" s="1884"/>
      <c r="CZG34" s="1884"/>
      <c r="CZH34" s="1884"/>
      <c r="CZI34" s="1884"/>
      <c r="CZJ34" s="1884"/>
      <c r="CZK34" s="1884"/>
      <c r="CZL34" s="1884"/>
      <c r="CZM34" s="1884"/>
      <c r="CZN34" s="1884"/>
      <c r="CZO34" s="1884"/>
      <c r="CZP34" s="1884"/>
      <c r="CZQ34" s="1884"/>
      <c r="CZR34" s="1884"/>
      <c r="CZS34" s="1884"/>
      <c r="CZT34" s="1884"/>
      <c r="CZU34" s="1884"/>
      <c r="CZV34" s="1884"/>
      <c r="CZW34" s="1884"/>
      <c r="CZX34" s="1884"/>
      <c r="CZY34" s="1884"/>
      <c r="CZZ34" s="1884"/>
      <c r="DAA34" s="1884"/>
      <c r="DAB34" s="1884"/>
      <c r="DAC34" s="1884"/>
      <c r="DAD34" s="1884"/>
      <c r="DAE34" s="1884"/>
      <c r="DAF34" s="1884"/>
      <c r="DAG34" s="1884"/>
      <c r="DAH34" s="1884"/>
      <c r="DAI34" s="1884"/>
      <c r="DAJ34" s="1884"/>
      <c r="DAK34" s="1884"/>
      <c r="DAL34" s="1884"/>
      <c r="DAM34" s="1884"/>
      <c r="DAN34" s="1884"/>
      <c r="DAO34" s="1884"/>
      <c r="DAP34" s="1884"/>
      <c r="DAQ34" s="1884"/>
      <c r="DAR34" s="1884"/>
      <c r="DAS34" s="1884"/>
      <c r="DAT34" s="1884"/>
      <c r="DAU34" s="1884"/>
      <c r="DAV34" s="1884"/>
      <c r="DAW34" s="1884"/>
      <c r="DAX34" s="1884"/>
      <c r="DAY34" s="1884"/>
      <c r="DAZ34" s="1884"/>
      <c r="DBA34" s="1884"/>
      <c r="DBB34" s="1884"/>
      <c r="DBC34" s="1884"/>
      <c r="DBD34" s="1884"/>
      <c r="DBE34" s="1884"/>
      <c r="DBF34" s="1884"/>
      <c r="DBG34" s="1884"/>
      <c r="DBH34" s="1884"/>
      <c r="DBI34" s="1884"/>
      <c r="DBJ34" s="1884"/>
      <c r="DBK34" s="1884"/>
      <c r="DBL34" s="1884"/>
      <c r="DBM34" s="1884"/>
      <c r="DBN34" s="1884"/>
      <c r="DBO34" s="1884"/>
      <c r="DBP34" s="1884"/>
      <c r="DBQ34" s="1884"/>
      <c r="DBR34" s="1884"/>
      <c r="DBS34" s="1884"/>
      <c r="DBT34" s="1884"/>
      <c r="DBU34" s="1884"/>
      <c r="DBV34" s="1884"/>
      <c r="DBW34" s="1884"/>
      <c r="DBX34" s="1884"/>
      <c r="DBY34" s="1884"/>
      <c r="DBZ34" s="1884"/>
      <c r="DCA34" s="1884"/>
      <c r="DCB34" s="1884"/>
      <c r="DCC34" s="1884"/>
      <c r="DCD34" s="1884"/>
      <c r="DCE34" s="1884"/>
      <c r="DCF34" s="1884"/>
      <c r="DCG34" s="1884"/>
      <c r="DCH34" s="1884"/>
      <c r="DCI34" s="1884"/>
      <c r="DCJ34" s="1884"/>
      <c r="DCK34" s="1884"/>
      <c r="DCL34" s="1884"/>
      <c r="DCM34" s="1884"/>
      <c r="DCN34" s="1884"/>
      <c r="DCO34" s="1884"/>
      <c r="DCP34" s="1884"/>
      <c r="DCQ34" s="1884"/>
      <c r="DCR34" s="1884"/>
      <c r="DCS34" s="1884"/>
      <c r="DCT34" s="1884"/>
      <c r="DCU34" s="1884"/>
      <c r="DCV34" s="1884"/>
      <c r="DCW34" s="1884"/>
      <c r="DCX34" s="1884"/>
      <c r="DCY34" s="1884"/>
      <c r="DCZ34" s="1884"/>
      <c r="DDA34" s="1884"/>
      <c r="DDB34" s="1884"/>
      <c r="DDC34" s="1884"/>
      <c r="DDD34" s="1884"/>
      <c r="DDE34" s="1884"/>
      <c r="DDF34" s="1884"/>
      <c r="DDG34" s="1884"/>
      <c r="DDH34" s="1884"/>
      <c r="DDI34" s="1884"/>
      <c r="DDJ34" s="1884"/>
      <c r="DDK34" s="1884"/>
      <c r="DDL34" s="1884"/>
      <c r="DDM34" s="1884"/>
      <c r="DDN34" s="1884"/>
      <c r="DDO34" s="1884"/>
      <c r="DDP34" s="1884"/>
      <c r="DDQ34" s="1884"/>
      <c r="DDR34" s="1884"/>
      <c r="DDS34" s="1884"/>
      <c r="DDT34" s="1884"/>
      <c r="DDU34" s="1884"/>
      <c r="DDV34" s="1884"/>
      <c r="DDW34" s="1884"/>
      <c r="DDX34" s="1884"/>
      <c r="DDY34" s="1884"/>
      <c r="DDZ34" s="1884"/>
      <c r="DEA34" s="1884"/>
      <c r="DEB34" s="1884"/>
      <c r="DEC34" s="1884"/>
      <c r="DED34" s="1884"/>
      <c r="DEE34" s="1884"/>
      <c r="DEF34" s="1884"/>
      <c r="DEG34" s="1884"/>
      <c r="DEH34" s="1884"/>
      <c r="DEI34" s="1884"/>
      <c r="DEJ34" s="1884"/>
      <c r="DEK34" s="1884"/>
      <c r="DEL34" s="1884"/>
      <c r="DEM34" s="1884"/>
      <c r="DEN34" s="1884"/>
      <c r="DEO34" s="1884"/>
      <c r="DEP34" s="1884"/>
      <c r="DEQ34" s="1884"/>
      <c r="DER34" s="1884"/>
      <c r="DES34" s="1884"/>
      <c r="DET34" s="1884"/>
      <c r="DEU34" s="1884"/>
      <c r="DEV34" s="1884"/>
      <c r="DEW34" s="1884"/>
      <c r="DEX34" s="1884"/>
      <c r="DEY34" s="1884"/>
      <c r="DEZ34" s="1884"/>
      <c r="DFA34" s="1884"/>
      <c r="DFB34" s="1884"/>
      <c r="DFC34" s="1884"/>
      <c r="DFD34" s="1884"/>
      <c r="DFE34" s="1884"/>
      <c r="DFF34" s="1884"/>
      <c r="DFG34" s="1884"/>
      <c r="DFH34" s="1884"/>
      <c r="DFI34" s="1884"/>
      <c r="DFJ34" s="1884"/>
      <c r="DFK34" s="1884"/>
      <c r="DFL34" s="1884"/>
      <c r="DFM34" s="1884"/>
      <c r="DFN34" s="1884"/>
      <c r="DFO34" s="1884"/>
      <c r="DFP34" s="1884"/>
      <c r="DFQ34" s="1884"/>
      <c r="DFR34" s="1884"/>
      <c r="DFS34" s="1884"/>
      <c r="DFT34" s="1884"/>
      <c r="DFU34" s="1884"/>
      <c r="DFV34" s="1884"/>
      <c r="DFW34" s="1884"/>
      <c r="DFX34" s="1884"/>
      <c r="DFY34" s="1884"/>
      <c r="DFZ34" s="1884"/>
      <c r="DGA34" s="1884"/>
      <c r="DGB34" s="1884"/>
      <c r="DGC34" s="1884"/>
      <c r="DGD34" s="1884"/>
      <c r="DGE34" s="1884"/>
      <c r="DGF34" s="1884"/>
      <c r="DGG34" s="1884"/>
      <c r="DGH34" s="1884"/>
      <c r="DGI34" s="1884"/>
      <c r="DGJ34" s="1884"/>
      <c r="DGK34" s="1884"/>
      <c r="DGL34" s="1884"/>
      <c r="DGM34" s="1884"/>
      <c r="DGN34" s="1884"/>
      <c r="DGO34" s="1884"/>
      <c r="DGP34" s="1884"/>
      <c r="DGQ34" s="1884"/>
      <c r="DGR34" s="1884"/>
      <c r="DGS34" s="1884"/>
      <c r="DGT34" s="1884"/>
      <c r="DGU34" s="1884"/>
      <c r="DGV34" s="1884"/>
      <c r="DGW34" s="1884"/>
      <c r="DGX34" s="1884"/>
      <c r="DGY34" s="1884"/>
      <c r="DGZ34" s="1884"/>
      <c r="DHA34" s="1884"/>
      <c r="DHB34" s="1884"/>
      <c r="DHC34" s="1884"/>
      <c r="DHD34" s="1884"/>
      <c r="DHE34" s="1884"/>
      <c r="DHF34" s="1884"/>
      <c r="DHG34" s="1884"/>
      <c r="DHH34" s="1884"/>
      <c r="DHI34" s="1884"/>
      <c r="DHJ34" s="1884"/>
      <c r="DHK34" s="1884"/>
      <c r="DHL34" s="1884"/>
      <c r="DHM34" s="1884"/>
      <c r="DHN34" s="1884"/>
      <c r="DHO34" s="1884"/>
      <c r="DHP34" s="1884"/>
      <c r="DHQ34" s="1884"/>
      <c r="DHR34" s="1884"/>
      <c r="DHS34" s="1884"/>
      <c r="DHT34" s="1884"/>
      <c r="DHU34" s="1884"/>
      <c r="DHV34" s="1884"/>
      <c r="DHW34" s="1884"/>
      <c r="DHX34" s="1884"/>
      <c r="DHY34" s="1884"/>
      <c r="DHZ34" s="1884"/>
      <c r="DIA34" s="1884"/>
      <c r="DIB34" s="1884"/>
      <c r="DIC34" s="1884"/>
      <c r="DID34" s="1884"/>
      <c r="DIE34" s="1884"/>
      <c r="DIF34" s="1884"/>
      <c r="DIG34" s="1884"/>
      <c r="DIH34" s="1884"/>
      <c r="DII34" s="1884"/>
      <c r="DIJ34" s="1884"/>
      <c r="DIK34" s="1884"/>
      <c r="DIL34" s="1884"/>
      <c r="DIM34" s="1884"/>
      <c r="DIN34" s="1884"/>
      <c r="DIO34" s="1884"/>
      <c r="DIP34" s="1884"/>
      <c r="DIQ34" s="1884"/>
      <c r="DIR34" s="1884"/>
      <c r="DIS34" s="1884"/>
      <c r="DIT34" s="1884"/>
      <c r="DIU34" s="1884"/>
      <c r="DIV34" s="1884"/>
      <c r="DIW34" s="1884"/>
      <c r="DIX34" s="1884"/>
      <c r="DIY34" s="1884"/>
      <c r="DIZ34" s="1884"/>
      <c r="DJA34" s="1884"/>
      <c r="DJB34" s="1884"/>
      <c r="DJC34" s="1884"/>
      <c r="DJD34" s="1884"/>
      <c r="DJE34" s="1884"/>
      <c r="DJF34" s="1884"/>
      <c r="DJG34" s="1884"/>
      <c r="DJH34" s="1884"/>
      <c r="DJI34" s="1884"/>
      <c r="DJJ34" s="1884"/>
      <c r="DJK34" s="1884"/>
      <c r="DJL34" s="1884"/>
      <c r="DJM34" s="1884"/>
      <c r="DJN34" s="1884"/>
      <c r="DJO34" s="1884"/>
      <c r="DJP34" s="1884"/>
      <c r="DJQ34" s="1884"/>
      <c r="DJR34" s="1884"/>
      <c r="DJS34" s="1884"/>
      <c r="DJT34" s="1884"/>
      <c r="DJU34" s="1884"/>
      <c r="DJV34" s="1884"/>
      <c r="DJW34" s="1884"/>
      <c r="DJX34" s="1884"/>
      <c r="DJY34" s="1884"/>
      <c r="DJZ34" s="1884"/>
      <c r="DKA34" s="1884"/>
      <c r="DKB34" s="1884"/>
      <c r="DKC34" s="1884"/>
      <c r="DKD34" s="1884"/>
      <c r="DKE34" s="1884"/>
      <c r="DKF34" s="1884"/>
      <c r="DKG34" s="1884"/>
      <c r="DKH34" s="1884"/>
      <c r="DKI34" s="1884"/>
      <c r="DKJ34" s="1884"/>
      <c r="DKK34" s="1884"/>
      <c r="DKL34" s="1884"/>
      <c r="DKM34" s="1884"/>
      <c r="DKN34" s="1884"/>
      <c r="DKO34" s="1884"/>
      <c r="DKP34" s="1884"/>
      <c r="DKQ34" s="1884"/>
      <c r="DKR34" s="1884"/>
      <c r="DKS34" s="1884"/>
      <c r="DKT34" s="1884"/>
      <c r="DKU34" s="1884"/>
      <c r="DKV34" s="1884"/>
      <c r="DKW34" s="1884"/>
      <c r="DKX34" s="1884"/>
      <c r="DKY34" s="1884"/>
      <c r="DKZ34" s="1884"/>
      <c r="DLA34" s="1884"/>
      <c r="DLB34" s="1884"/>
      <c r="DLC34" s="1884"/>
      <c r="DLD34" s="1884"/>
      <c r="DLE34" s="1884"/>
      <c r="DLF34" s="1884"/>
      <c r="DLG34" s="1884"/>
      <c r="DLH34" s="1884"/>
      <c r="DLI34" s="1884"/>
      <c r="DLJ34" s="1884"/>
      <c r="DLK34" s="1884"/>
      <c r="DLL34" s="1884"/>
      <c r="DLM34" s="1884"/>
      <c r="DLN34" s="1884"/>
      <c r="DLO34" s="1884"/>
      <c r="DLP34" s="1884"/>
      <c r="DLQ34" s="1884"/>
      <c r="DLR34" s="1884"/>
      <c r="DLS34" s="1884"/>
      <c r="DLT34" s="1884"/>
      <c r="DLU34" s="1884"/>
      <c r="DLV34" s="1884"/>
      <c r="DLW34" s="1884"/>
      <c r="DLX34" s="1884"/>
      <c r="DLY34" s="1884"/>
      <c r="DLZ34" s="1884"/>
      <c r="DMA34" s="1884"/>
      <c r="DMB34" s="1884"/>
      <c r="DMC34" s="1884"/>
      <c r="DMD34" s="1884"/>
      <c r="DME34" s="1884"/>
      <c r="DMF34" s="1884"/>
      <c r="DMG34" s="1884"/>
      <c r="DMH34" s="1884"/>
      <c r="DMI34" s="1884"/>
      <c r="DMJ34" s="1884"/>
      <c r="DMK34" s="1884"/>
      <c r="DML34" s="1884"/>
      <c r="DMM34" s="1884"/>
      <c r="DMN34" s="1884"/>
      <c r="DMO34" s="1884"/>
      <c r="DMP34" s="1884"/>
      <c r="DMQ34" s="1884"/>
      <c r="DMR34" s="1884"/>
      <c r="DMS34" s="1884"/>
      <c r="DMT34" s="1884"/>
      <c r="DMU34" s="1884"/>
      <c r="DMV34" s="1884"/>
      <c r="DMW34" s="1884"/>
      <c r="DMX34" s="1884"/>
      <c r="DMY34" s="1884"/>
      <c r="DMZ34" s="1884"/>
      <c r="DNA34" s="1884"/>
      <c r="DNB34" s="1884"/>
      <c r="DNC34" s="1884"/>
      <c r="DND34" s="1884"/>
      <c r="DNE34" s="1884"/>
      <c r="DNF34" s="1884"/>
      <c r="DNG34" s="1884"/>
      <c r="DNH34" s="1884"/>
      <c r="DNI34" s="1884"/>
      <c r="DNJ34" s="1884"/>
      <c r="DNK34" s="1884"/>
      <c r="DNL34" s="1884"/>
      <c r="DNM34" s="1884"/>
      <c r="DNN34" s="1884"/>
      <c r="DNO34" s="1884"/>
      <c r="DNP34" s="1884"/>
      <c r="DNQ34" s="1884"/>
      <c r="DNR34" s="1884"/>
      <c r="DNS34" s="1884"/>
      <c r="DNT34" s="1884"/>
      <c r="DNU34" s="1884"/>
      <c r="DNV34" s="1884"/>
      <c r="DNW34" s="1884"/>
      <c r="DNX34" s="1884"/>
      <c r="DNY34" s="1884"/>
      <c r="DNZ34" s="1884"/>
      <c r="DOA34" s="1884"/>
      <c r="DOB34" s="1884"/>
      <c r="DOC34" s="1884"/>
      <c r="DOD34" s="1884"/>
      <c r="DOE34" s="1884"/>
      <c r="DOF34" s="1884"/>
      <c r="DOG34" s="1884"/>
      <c r="DOH34" s="1884"/>
      <c r="DOI34" s="1884"/>
      <c r="DOJ34" s="1884"/>
      <c r="DOK34" s="1884"/>
      <c r="DOL34" s="1884"/>
      <c r="DOM34" s="1884"/>
      <c r="DON34" s="1884"/>
      <c r="DOO34" s="1884"/>
      <c r="DOP34" s="1884"/>
      <c r="DOQ34" s="1884"/>
      <c r="DOR34" s="1884"/>
      <c r="DOS34" s="1884"/>
      <c r="DOT34" s="1884"/>
      <c r="DOU34" s="1884"/>
      <c r="DOV34" s="1884"/>
      <c r="DOW34" s="1884"/>
      <c r="DOX34" s="1884"/>
      <c r="DOY34" s="1884"/>
      <c r="DOZ34" s="1884"/>
      <c r="DPA34" s="1884"/>
      <c r="DPB34" s="1884"/>
      <c r="DPC34" s="1884"/>
      <c r="DPD34" s="1884"/>
      <c r="DPE34" s="1884"/>
      <c r="DPF34" s="1884"/>
      <c r="DPG34" s="1884"/>
      <c r="DPH34" s="1884"/>
      <c r="DPI34" s="1884"/>
      <c r="DPJ34" s="1884"/>
      <c r="DPK34" s="1884"/>
      <c r="DPL34" s="1884"/>
      <c r="DPM34" s="1884"/>
      <c r="DPN34" s="1884"/>
      <c r="DPO34" s="1884"/>
      <c r="DPP34" s="1884"/>
      <c r="DPQ34" s="1884"/>
      <c r="DPR34" s="1884"/>
      <c r="DPS34" s="1884"/>
      <c r="DPT34" s="1884"/>
      <c r="DPU34" s="1884"/>
      <c r="DPV34" s="1884"/>
      <c r="DPW34" s="1884"/>
      <c r="DPX34" s="1884"/>
      <c r="DPY34" s="1884"/>
      <c r="DPZ34" s="1884"/>
      <c r="DQA34" s="1884"/>
      <c r="DQB34" s="1884"/>
      <c r="DQC34" s="1884"/>
      <c r="DQD34" s="1884"/>
      <c r="DQE34" s="1884"/>
      <c r="DQF34" s="1884"/>
      <c r="DQG34" s="1884"/>
      <c r="DQH34" s="1884"/>
      <c r="DQI34" s="1884"/>
      <c r="DQJ34" s="1884"/>
      <c r="DQK34" s="1884"/>
      <c r="DQL34" s="1884"/>
      <c r="DQM34" s="1884"/>
      <c r="DQN34" s="1884"/>
      <c r="DQO34" s="1884"/>
      <c r="DQP34" s="1884"/>
      <c r="DQQ34" s="1884"/>
      <c r="DQR34" s="1884"/>
      <c r="DQS34" s="1884"/>
      <c r="DQT34" s="1884"/>
      <c r="DQU34" s="1884"/>
      <c r="DQV34" s="1884"/>
      <c r="DQW34" s="1884"/>
      <c r="DQX34" s="1884"/>
      <c r="DQY34" s="1884"/>
      <c r="DQZ34" s="1884"/>
      <c r="DRA34" s="1884"/>
      <c r="DRB34" s="1884"/>
      <c r="DRC34" s="1884"/>
      <c r="DRD34" s="1884"/>
      <c r="DRE34" s="1884"/>
      <c r="DRF34" s="1884"/>
      <c r="DRG34" s="1884"/>
      <c r="DRH34" s="1884"/>
      <c r="DRI34" s="1884"/>
      <c r="DRJ34" s="1884"/>
      <c r="DRK34" s="1884"/>
      <c r="DRL34" s="1884"/>
      <c r="DRM34" s="1884"/>
      <c r="DRN34" s="1884"/>
      <c r="DRO34" s="1884"/>
      <c r="DRP34" s="1884"/>
      <c r="DRQ34" s="1884"/>
      <c r="DRR34" s="1884"/>
      <c r="DRS34" s="1884"/>
      <c r="DRT34" s="1884"/>
      <c r="DRU34" s="1884"/>
      <c r="DRV34" s="1884"/>
      <c r="DRW34" s="1884"/>
      <c r="DRX34" s="1884"/>
      <c r="DRY34" s="1884"/>
      <c r="DRZ34" s="1884"/>
      <c r="DSA34" s="1884"/>
      <c r="DSB34" s="1884"/>
      <c r="DSC34" s="1884"/>
      <c r="DSD34" s="1884"/>
      <c r="DSE34" s="1884"/>
      <c r="DSF34" s="1884"/>
      <c r="DSG34" s="1884"/>
      <c r="DSH34" s="1884"/>
      <c r="DSI34" s="1884"/>
      <c r="DSJ34" s="1884"/>
      <c r="DSK34" s="1884"/>
      <c r="DSL34" s="1884"/>
      <c r="DSM34" s="1884"/>
      <c r="DSN34" s="1884"/>
      <c r="DSO34" s="1884"/>
      <c r="DSP34" s="1884"/>
      <c r="DSQ34" s="1884"/>
      <c r="DSR34" s="1884"/>
      <c r="DSS34" s="1884"/>
      <c r="DST34" s="1884"/>
      <c r="DSU34" s="1884"/>
      <c r="DSV34" s="1884"/>
      <c r="DSW34" s="1884"/>
      <c r="DSX34" s="1884"/>
      <c r="DSY34" s="1884"/>
      <c r="DSZ34" s="1884"/>
      <c r="DTA34" s="1884"/>
      <c r="DTB34" s="1884"/>
      <c r="DTC34" s="1884"/>
      <c r="DTD34" s="1884"/>
      <c r="DTE34" s="1884"/>
      <c r="DTF34" s="1884"/>
      <c r="DTG34" s="1884"/>
      <c r="DTH34" s="1884"/>
      <c r="DTI34" s="1884"/>
      <c r="DTJ34" s="1884"/>
      <c r="DTK34" s="1884"/>
      <c r="DTL34" s="1884"/>
      <c r="DTM34" s="1884"/>
      <c r="DTN34" s="1884"/>
      <c r="DTO34" s="1884"/>
      <c r="DTP34" s="1884"/>
      <c r="DTQ34" s="1884"/>
      <c r="DTR34" s="1884"/>
      <c r="DTS34" s="1884"/>
      <c r="DTT34" s="1884"/>
      <c r="DTU34" s="1884"/>
      <c r="DTV34" s="1884"/>
      <c r="DTW34" s="1884"/>
      <c r="DTX34" s="1884"/>
      <c r="DTY34" s="1884"/>
      <c r="DTZ34" s="1884"/>
      <c r="DUA34" s="1884"/>
      <c r="DUB34" s="1884"/>
      <c r="DUC34" s="1884"/>
      <c r="DUD34" s="1884"/>
      <c r="DUE34" s="1884"/>
      <c r="DUF34" s="1884"/>
      <c r="DUG34" s="1884"/>
      <c r="DUH34" s="1884"/>
      <c r="DUI34" s="1884"/>
      <c r="DUJ34" s="1884"/>
      <c r="DUK34" s="1884"/>
      <c r="DUL34" s="1884"/>
      <c r="DUM34" s="1884"/>
      <c r="DUN34" s="1884"/>
      <c r="DUO34" s="1884"/>
      <c r="DUP34" s="1884"/>
      <c r="DUQ34" s="1884"/>
      <c r="DUR34" s="1884"/>
      <c r="DUS34" s="1884"/>
      <c r="DUT34" s="1884"/>
      <c r="DUU34" s="1884"/>
      <c r="DUV34" s="1884"/>
      <c r="DUW34" s="1884"/>
      <c r="DUX34" s="1884"/>
      <c r="DUY34" s="1884"/>
      <c r="DUZ34" s="1884"/>
      <c r="DVA34" s="1884"/>
      <c r="DVB34" s="1884"/>
      <c r="DVC34" s="1884"/>
      <c r="DVD34" s="1884"/>
      <c r="DVE34" s="1884"/>
      <c r="DVF34" s="1884"/>
      <c r="DVG34" s="1884"/>
      <c r="DVH34" s="1884"/>
      <c r="DVI34" s="1884"/>
      <c r="DVJ34" s="1884"/>
      <c r="DVK34" s="1884"/>
      <c r="DVL34" s="1884"/>
      <c r="DVM34" s="1884"/>
      <c r="DVN34" s="1884"/>
      <c r="DVO34" s="1884"/>
      <c r="DVP34" s="1884"/>
      <c r="DVQ34" s="1884"/>
      <c r="DVR34" s="1884"/>
      <c r="DVS34" s="1884"/>
      <c r="DVT34" s="1884"/>
      <c r="DVU34" s="1884"/>
      <c r="DVV34" s="1884"/>
      <c r="DVW34" s="1884"/>
      <c r="DVX34" s="1884"/>
      <c r="DVY34" s="1884"/>
      <c r="DVZ34" s="1884"/>
      <c r="DWA34" s="1884"/>
      <c r="DWB34" s="1884"/>
      <c r="DWC34" s="1884"/>
      <c r="DWD34" s="1884"/>
      <c r="DWE34" s="1884"/>
      <c r="DWF34" s="1884"/>
      <c r="DWG34" s="1884"/>
      <c r="DWH34" s="1884"/>
      <c r="DWI34" s="1884"/>
      <c r="DWJ34" s="1884"/>
      <c r="DWK34" s="1884"/>
      <c r="DWL34" s="1884"/>
      <c r="DWM34" s="1884"/>
      <c r="DWN34" s="1884"/>
      <c r="DWO34" s="1884"/>
      <c r="DWP34" s="1884"/>
      <c r="DWQ34" s="1884"/>
      <c r="DWR34" s="1884"/>
      <c r="DWS34" s="1884"/>
      <c r="DWT34" s="1884"/>
      <c r="DWU34" s="1884"/>
      <c r="DWV34" s="1884"/>
      <c r="DWW34" s="1884"/>
      <c r="DWX34" s="1884"/>
      <c r="DWY34" s="1884"/>
      <c r="DWZ34" s="1884"/>
      <c r="DXA34" s="1884"/>
      <c r="DXB34" s="1884"/>
      <c r="DXC34" s="1884"/>
      <c r="DXD34" s="1884"/>
      <c r="DXE34" s="1884"/>
      <c r="DXF34" s="1884"/>
      <c r="DXG34" s="1884"/>
      <c r="DXH34" s="1884"/>
      <c r="DXI34" s="1884"/>
      <c r="DXJ34" s="1884"/>
      <c r="DXK34" s="1884"/>
      <c r="DXL34" s="1884"/>
      <c r="DXM34" s="1884"/>
      <c r="DXN34" s="1884"/>
      <c r="DXO34" s="1884"/>
      <c r="DXP34" s="1884"/>
      <c r="DXQ34" s="1884"/>
      <c r="DXR34" s="1884"/>
      <c r="DXS34" s="1884"/>
      <c r="DXT34" s="1884"/>
      <c r="DXU34" s="1884"/>
      <c r="DXV34" s="1884"/>
      <c r="DXW34" s="1884"/>
      <c r="DXX34" s="1884"/>
      <c r="DXY34" s="1884"/>
      <c r="DXZ34" s="1884"/>
      <c r="DYA34" s="1884"/>
      <c r="DYB34" s="1884"/>
      <c r="DYC34" s="1884"/>
      <c r="DYD34" s="1884"/>
      <c r="DYE34" s="1884"/>
      <c r="DYF34" s="1884"/>
      <c r="DYG34" s="1884"/>
      <c r="DYH34" s="1884"/>
      <c r="DYI34" s="1884"/>
      <c r="DYJ34" s="1884"/>
      <c r="DYK34" s="1884"/>
      <c r="DYL34" s="1884"/>
      <c r="DYM34" s="1884"/>
      <c r="DYN34" s="1884"/>
      <c r="DYO34" s="1884"/>
      <c r="DYP34" s="1884"/>
      <c r="DYQ34" s="1884"/>
      <c r="DYR34" s="1884"/>
      <c r="DYS34" s="1884"/>
      <c r="DYT34" s="1884"/>
      <c r="DYU34" s="1884"/>
      <c r="DYV34" s="1884"/>
      <c r="DYW34" s="1884"/>
      <c r="DYX34" s="1884"/>
      <c r="DYY34" s="1884"/>
      <c r="DYZ34" s="1884"/>
      <c r="DZA34" s="1884"/>
      <c r="DZB34" s="1884"/>
      <c r="DZC34" s="1884"/>
      <c r="DZD34" s="1884"/>
      <c r="DZE34" s="1884"/>
      <c r="DZF34" s="1884"/>
      <c r="DZG34" s="1884"/>
      <c r="DZH34" s="1884"/>
      <c r="DZI34" s="1884"/>
      <c r="DZJ34" s="1884"/>
      <c r="DZK34" s="1884"/>
      <c r="DZL34" s="1884"/>
      <c r="DZM34" s="1884"/>
      <c r="DZN34" s="1884"/>
      <c r="DZO34" s="1884"/>
      <c r="DZP34" s="1884"/>
      <c r="DZQ34" s="1884"/>
      <c r="DZR34" s="1884"/>
      <c r="DZS34" s="1884"/>
      <c r="DZT34" s="1884"/>
      <c r="DZU34" s="1884"/>
      <c r="DZV34" s="1884"/>
      <c r="DZW34" s="1884"/>
      <c r="DZX34" s="1884"/>
      <c r="DZY34" s="1884"/>
      <c r="DZZ34" s="1884"/>
      <c r="EAA34" s="1884"/>
      <c r="EAB34" s="1884"/>
      <c r="EAC34" s="1884"/>
      <c r="EAD34" s="1884"/>
      <c r="EAE34" s="1884"/>
      <c r="EAF34" s="1884"/>
      <c r="EAG34" s="1884"/>
      <c r="EAH34" s="1884"/>
      <c r="EAI34" s="1884"/>
      <c r="EAJ34" s="1884"/>
      <c r="EAK34" s="1884"/>
      <c r="EAL34" s="1884"/>
      <c r="EAM34" s="1884"/>
      <c r="EAN34" s="1884"/>
      <c r="EAO34" s="1884"/>
      <c r="EAP34" s="1884"/>
      <c r="EAQ34" s="1884"/>
      <c r="EAR34" s="1884"/>
      <c r="EAS34" s="1884"/>
      <c r="EAT34" s="1884"/>
      <c r="EAU34" s="1884"/>
      <c r="EAV34" s="1884"/>
      <c r="EAW34" s="1884"/>
      <c r="EAX34" s="1884"/>
      <c r="EAY34" s="1884"/>
      <c r="EAZ34" s="1884"/>
      <c r="EBA34" s="1884"/>
      <c r="EBB34" s="1884"/>
      <c r="EBC34" s="1884"/>
      <c r="EBD34" s="1884"/>
      <c r="EBE34" s="1884"/>
      <c r="EBF34" s="1884"/>
      <c r="EBG34" s="1884"/>
      <c r="EBH34" s="1884"/>
      <c r="EBI34" s="1884"/>
      <c r="EBJ34" s="1884"/>
      <c r="EBK34" s="1884"/>
      <c r="EBL34" s="1884"/>
      <c r="EBM34" s="1884"/>
      <c r="EBN34" s="1884"/>
      <c r="EBO34" s="1884"/>
      <c r="EBP34" s="1884"/>
      <c r="EBQ34" s="1884"/>
      <c r="EBR34" s="1884"/>
      <c r="EBS34" s="1884"/>
      <c r="EBT34" s="1884"/>
      <c r="EBU34" s="1884"/>
      <c r="EBV34" s="1884"/>
      <c r="EBW34" s="1884"/>
      <c r="EBX34" s="1884"/>
      <c r="EBY34" s="1884"/>
      <c r="EBZ34" s="1884"/>
      <c r="ECA34" s="1884"/>
      <c r="ECB34" s="1884"/>
      <c r="ECC34" s="1884"/>
      <c r="ECD34" s="1884"/>
      <c r="ECE34" s="1884"/>
      <c r="ECF34" s="1884"/>
      <c r="ECG34" s="1884"/>
      <c r="ECH34" s="1884"/>
      <c r="ECI34" s="1884"/>
      <c r="ECJ34" s="1884"/>
      <c r="ECK34" s="1884"/>
      <c r="ECL34" s="1884"/>
      <c r="ECM34" s="1884"/>
      <c r="ECN34" s="1884"/>
      <c r="ECO34" s="1884"/>
      <c r="ECP34" s="1884"/>
      <c r="ECQ34" s="1884"/>
      <c r="ECR34" s="1884"/>
      <c r="ECS34" s="1884"/>
      <c r="ECT34" s="1884"/>
      <c r="ECU34" s="1884"/>
      <c r="ECV34" s="1884"/>
      <c r="ECW34" s="1884"/>
      <c r="ECX34" s="1884"/>
      <c r="ECY34" s="1884"/>
      <c r="ECZ34" s="1884"/>
      <c r="EDA34" s="1884"/>
      <c r="EDB34" s="1884"/>
      <c r="EDC34" s="1884"/>
      <c r="EDD34" s="1884"/>
      <c r="EDE34" s="1884"/>
      <c r="EDF34" s="1884"/>
      <c r="EDG34" s="1884"/>
      <c r="EDH34" s="1884"/>
      <c r="EDI34" s="1884"/>
      <c r="EDJ34" s="1884"/>
      <c r="EDK34" s="1884"/>
      <c r="EDL34" s="1884"/>
      <c r="EDM34" s="1884"/>
      <c r="EDN34" s="1884"/>
      <c r="EDO34" s="1884"/>
      <c r="EDP34" s="1884"/>
      <c r="EDQ34" s="1884"/>
      <c r="EDR34" s="1884"/>
      <c r="EDS34" s="1884"/>
      <c r="EDT34" s="1884"/>
      <c r="EDU34" s="1884"/>
      <c r="EDV34" s="1884"/>
      <c r="EDW34" s="1884"/>
      <c r="EDX34" s="1884"/>
      <c r="EDY34" s="1884"/>
      <c r="EDZ34" s="1884"/>
      <c r="EEA34" s="1884"/>
      <c r="EEB34" s="1884"/>
      <c r="EEC34" s="1884"/>
      <c r="EED34" s="1884"/>
      <c r="EEE34" s="1884"/>
      <c r="EEF34" s="1884"/>
      <c r="EEG34" s="1884"/>
      <c r="EEH34" s="1884"/>
      <c r="EEI34" s="1884"/>
      <c r="EEJ34" s="1884"/>
      <c r="EEK34" s="1884"/>
      <c r="EEL34" s="1884"/>
      <c r="EEM34" s="1884"/>
      <c r="EEN34" s="1884"/>
      <c r="EEO34" s="1884"/>
      <c r="EEP34" s="1884"/>
      <c r="EEQ34" s="1884"/>
      <c r="EER34" s="1884"/>
      <c r="EES34" s="1884"/>
      <c r="EET34" s="1884"/>
      <c r="EEU34" s="1884"/>
      <c r="EEV34" s="1884"/>
      <c r="EEW34" s="1884"/>
      <c r="EEX34" s="1884"/>
      <c r="EEY34" s="1884"/>
      <c r="EEZ34" s="1884"/>
      <c r="EFA34" s="1884"/>
      <c r="EFB34" s="1884"/>
      <c r="EFC34" s="1884"/>
      <c r="EFD34" s="1884"/>
      <c r="EFE34" s="1884"/>
      <c r="EFF34" s="1884"/>
      <c r="EFG34" s="1884"/>
      <c r="EFH34" s="1884"/>
      <c r="EFI34" s="1884"/>
      <c r="EFJ34" s="1884"/>
      <c r="EFK34" s="1884"/>
      <c r="EFL34" s="1884"/>
      <c r="EFM34" s="1884"/>
      <c r="EFN34" s="1884"/>
      <c r="EFO34" s="1884"/>
      <c r="EFP34" s="1884"/>
      <c r="EFQ34" s="1884"/>
      <c r="EFR34" s="1884"/>
      <c r="EFS34" s="1884"/>
      <c r="EFT34" s="1884"/>
      <c r="EFU34" s="1884"/>
      <c r="EFV34" s="1884"/>
      <c r="EFW34" s="1884"/>
      <c r="EFX34" s="1884"/>
      <c r="EFY34" s="1884"/>
      <c r="EFZ34" s="1884"/>
      <c r="EGA34" s="1884"/>
      <c r="EGB34" s="1884"/>
      <c r="EGC34" s="1884"/>
      <c r="EGD34" s="1884"/>
      <c r="EGE34" s="1884"/>
      <c r="EGF34" s="1884"/>
      <c r="EGG34" s="1884"/>
      <c r="EGH34" s="1884"/>
      <c r="EGI34" s="1884"/>
      <c r="EGJ34" s="1884"/>
      <c r="EGK34" s="1884"/>
      <c r="EGL34" s="1884"/>
      <c r="EGM34" s="1884"/>
      <c r="EGN34" s="1884"/>
      <c r="EGO34" s="1884"/>
      <c r="EGP34" s="1884"/>
      <c r="EGQ34" s="1884"/>
      <c r="EGR34" s="1884"/>
      <c r="EGS34" s="1884"/>
      <c r="EGT34" s="1884"/>
      <c r="EGU34" s="1884"/>
      <c r="EGV34" s="1884"/>
      <c r="EGW34" s="1884"/>
      <c r="EGX34" s="1884"/>
      <c r="EGY34" s="1884"/>
      <c r="EGZ34" s="1884"/>
      <c r="EHA34" s="1884"/>
      <c r="EHB34" s="1884"/>
      <c r="EHC34" s="1884"/>
      <c r="EHD34" s="1884"/>
      <c r="EHE34" s="1884"/>
      <c r="EHF34" s="1884"/>
      <c r="EHG34" s="1884"/>
      <c r="EHH34" s="1884"/>
      <c r="EHI34" s="1884"/>
      <c r="EHJ34" s="1884"/>
      <c r="EHK34" s="1884"/>
      <c r="EHL34" s="1884"/>
      <c r="EHM34" s="1884"/>
      <c r="EHN34" s="1884"/>
      <c r="EHO34" s="1884"/>
      <c r="EHP34" s="1884"/>
      <c r="EHQ34" s="1884"/>
      <c r="EHR34" s="1884"/>
      <c r="EHS34" s="1884"/>
      <c r="EHT34" s="1884"/>
      <c r="EHU34" s="1884"/>
      <c r="EHV34" s="1884"/>
      <c r="EHW34" s="1884"/>
      <c r="EHX34" s="1884"/>
      <c r="EHY34" s="1884"/>
      <c r="EHZ34" s="1884"/>
      <c r="EIA34" s="1884"/>
      <c r="EIB34" s="1884"/>
      <c r="EIC34" s="1884"/>
      <c r="EID34" s="1884"/>
      <c r="EIE34" s="1884"/>
      <c r="EIF34" s="1884"/>
      <c r="EIG34" s="1884"/>
      <c r="EIH34" s="1884"/>
      <c r="EII34" s="1884"/>
      <c r="EIJ34" s="1884"/>
      <c r="EIK34" s="1884"/>
      <c r="EIL34" s="1884"/>
      <c r="EIM34" s="1884"/>
      <c r="EIN34" s="1884"/>
      <c r="EIO34" s="1884"/>
      <c r="EIP34" s="1884"/>
      <c r="EIQ34" s="1884"/>
      <c r="EIR34" s="1884"/>
      <c r="EIS34" s="1884"/>
      <c r="EIT34" s="1884"/>
      <c r="EIU34" s="1884"/>
      <c r="EIV34" s="1884"/>
      <c r="EIW34" s="1884"/>
      <c r="EIX34" s="1884"/>
      <c r="EIY34" s="1884"/>
      <c r="EIZ34" s="1884"/>
      <c r="EJA34" s="1884"/>
      <c r="EJB34" s="1884"/>
      <c r="EJC34" s="1884"/>
      <c r="EJD34" s="1884"/>
      <c r="EJE34" s="1884"/>
      <c r="EJF34" s="1884"/>
      <c r="EJG34" s="1884"/>
      <c r="EJH34" s="1884"/>
      <c r="EJI34" s="1884"/>
      <c r="EJJ34" s="1884"/>
      <c r="EJK34" s="1884"/>
      <c r="EJL34" s="1884"/>
      <c r="EJM34" s="1884"/>
      <c r="EJN34" s="1884"/>
      <c r="EJO34" s="1884"/>
      <c r="EJP34" s="1884"/>
      <c r="EJQ34" s="1884"/>
      <c r="EJR34" s="1884"/>
      <c r="EJS34" s="1884"/>
      <c r="EJT34" s="1884"/>
      <c r="EJU34" s="1884"/>
      <c r="EJV34" s="1884"/>
      <c r="EJW34" s="1884"/>
      <c r="EJX34" s="1884"/>
      <c r="EJY34" s="1884"/>
      <c r="EJZ34" s="1884"/>
      <c r="EKA34" s="1884"/>
      <c r="EKB34" s="1884"/>
      <c r="EKC34" s="1884"/>
      <c r="EKD34" s="1884"/>
      <c r="EKE34" s="1884"/>
      <c r="EKF34" s="1884"/>
      <c r="EKG34" s="1884"/>
      <c r="EKH34" s="1884"/>
      <c r="EKI34" s="1884"/>
      <c r="EKJ34" s="1884"/>
      <c r="EKK34" s="1884"/>
      <c r="EKL34" s="1884"/>
      <c r="EKM34" s="1884"/>
      <c r="EKN34" s="1884"/>
      <c r="EKO34" s="1884"/>
      <c r="EKP34" s="1884"/>
      <c r="EKQ34" s="1884"/>
      <c r="EKR34" s="1884"/>
      <c r="EKS34" s="1884"/>
      <c r="EKT34" s="1884"/>
      <c r="EKU34" s="1884"/>
      <c r="EKV34" s="1884"/>
      <c r="EKW34" s="1884"/>
      <c r="EKX34" s="1884"/>
      <c r="EKY34" s="1884"/>
      <c r="EKZ34" s="1884"/>
      <c r="ELA34" s="1884"/>
      <c r="ELB34" s="1884"/>
      <c r="ELC34" s="1884"/>
      <c r="ELD34" s="1884"/>
      <c r="ELE34" s="1884"/>
      <c r="ELF34" s="1884"/>
      <c r="ELG34" s="1884"/>
      <c r="ELH34" s="1884"/>
      <c r="ELI34" s="1884"/>
      <c r="ELJ34" s="1884"/>
      <c r="ELK34" s="1884"/>
      <c r="ELL34" s="1884"/>
      <c r="ELM34" s="1884"/>
      <c r="ELN34" s="1884"/>
      <c r="ELO34" s="1884"/>
      <c r="ELP34" s="1884"/>
      <c r="ELQ34" s="1884"/>
      <c r="ELR34" s="1884"/>
      <c r="ELS34" s="1884"/>
      <c r="ELT34" s="1884"/>
      <c r="ELU34" s="1884"/>
      <c r="ELV34" s="1884"/>
      <c r="ELW34" s="1884"/>
      <c r="ELX34" s="1884"/>
      <c r="ELY34" s="1884"/>
      <c r="ELZ34" s="1884"/>
      <c r="EMA34" s="1884"/>
      <c r="EMB34" s="1884"/>
      <c r="EMC34" s="1884"/>
      <c r="EMD34" s="1884"/>
      <c r="EME34" s="1884"/>
      <c r="EMF34" s="1884"/>
      <c r="EMG34" s="1884"/>
      <c r="EMH34" s="1884"/>
      <c r="EMI34" s="1884"/>
      <c r="EMJ34" s="1884"/>
      <c r="EMK34" s="1884"/>
      <c r="EML34" s="1884"/>
      <c r="EMM34" s="1884"/>
      <c r="EMN34" s="1884"/>
      <c r="EMO34" s="1884"/>
      <c r="EMP34" s="1884"/>
      <c r="EMQ34" s="1884"/>
      <c r="EMR34" s="1884"/>
      <c r="EMS34" s="1884"/>
      <c r="EMT34" s="1884"/>
      <c r="EMU34" s="1884"/>
      <c r="EMV34" s="1884"/>
      <c r="EMW34" s="1884"/>
      <c r="EMX34" s="1884"/>
      <c r="EMY34" s="1884"/>
      <c r="EMZ34" s="1884"/>
      <c r="ENA34" s="1884"/>
      <c r="ENB34" s="1884"/>
      <c r="ENC34" s="1884"/>
      <c r="END34" s="1884"/>
      <c r="ENE34" s="1884"/>
      <c r="ENF34" s="1884"/>
      <c r="ENG34" s="1884"/>
      <c r="ENH34" s="1884"/>
      <c r="ENI34" s="1884"/>
      <c r="ENJ34" s="1884"/>
      <c r="ENK34" s="1884"/>
      <c r="ENL34" s="1884"/>
      <c r="ENM34" s="1884"/>
      <c r="ENN34" s="1884"/>
      <c r="ENO34" s="1884"/>
      <c r="ENP34" s="1884"/>
      <c r="ENQ34" s="1884"/>
      <c r="ENR34" s="1884"/>
      <c r="ENS34" s="1884"/>
      <c r="ENT34" s="1884"/>
      <c r="ENU34" s="1884"/>
      <c r="ENV34" s="1884"/>
      <c r="ENW34" s="1884"/>
      <c r="ENX34" s="1884"/>
      <c r="ENY34" s="1884"/>
      <c r="ENZ34" s="1884"/>
      <c r="EOA34" s="1884"/>
      <c r="EOB34" s="1884"/>
      <c r="EOC34" s="1884"/>
      <c r="EOD34" s="1884"/>
      <c r="EOE34" s="1884"/>
      <c r="EOF34" s="1884"/>
      <c r="EOG34" s="1884"/>
      <c r="EOH34" s="1884"/>
      <c r="EOI34" s="1884"/>
      <c r="EOJ34" s="1884"/>
      <c r="EOK34" s="1884"/>
      <c r="EOL34" s="1884"/>
      <c r="EOM34" s="1884"/>
      <c r="EON34" s="1884"/>
      <c r="EOO34" s="1884"/>
      <c r="EOP34" s="1884"/>
      <c r="EOQ34" s="1884"/>
      <c r="EOR34" s="1884"/>
      <c r="EOS34" s="1884"/>
      <c r="EOT34" s="1884"/>
      <c r="EOU34" s="1884"/>
      <c r="EOV34" s="1884"/>
      <c r="EOW34" s="1884"/>
      <c r="EOX34" s="1884"/>
      <c r="EOY34" s="1884"/>
      <c r="EOZ34" s="1884"/>
      <c r="EPA34" s="1884"/>
      <c r="EPB34" s="1884"/>
      <c r="EPC34" s="1884"/>
      <c r="EPD34" s="1884"/>
      <c r="EPE34" s="1884"/>
      <c r="EPF34" s="1884"/>
      <c r="EPG34" s="1884"/>
      <c r="EPH34" s="1884"/>
      <c r="EPI34" s="1884"/>
      <c r="EPJ34" s="1884"/>
      <c r="EPK34" s="1884"/>
      <c r="EPL34" s="1884"/>
      <c r="EPM34" s="1884"/>
      <c r="EPN34" s="1884"/>
      <c r="EPO34" s="1884"/>
      <c r="EPP34" s="1884"/>
      <c r="EPQ34" s="1884"/>
      <c r="EPR34" s="1884"/>
      <c r="EPS34" s="1884"/>
      <c r="EPT34" s="1884"/>
      <c r="EPU34" s="1884"/>
      <c r="EPV34" s="1884"/>
      <c r="EPW34" s="1884"/>
      <c r="EPX34" s="1884"/>
      <c r="EPY34" s="1884"/>
      <c r="EPZ34" s="1884"/>
      <c r="EQA34" s="1884"/>
      <c r="EQB34" s="1884"/>
      <c r="EQC34" s="1884"/>
      <c r="EQD34" s="1884"/>
      <c r="EQE34" s="1884"/>
      <c r="EQF34" s="1884"/>
      <c r="EQG34" s="1884"/>
      <c r="EQH34" s="1884"/>
      <c r="EQI34" s="1884"/>
      <c r="EQJ34" s="1884"/>
      <c r="EQK34" s="1884"/>
      <c r="EQL34" s="1884"/>
      <c r="EQM34" s="1884"/>
      <c r="EQN34" s="1884"/>
      <c r="EQO34" s="1884"/>
      <c r="EQP34" s="1884"/>
      <c r="EQQ34" s="1884"/>
      <c r="EQR34" s="1884"/>
      <c r="EQS34" s="1884"/>
      <c r="EQT34" s="1884"/>
      <c r="EQU34" s="1884"/>
      <c r="EQV34" s="1884"/>
      <c r="EQW34" s="1884"/>
      <c r="EQX34" s="1884"/>
      <c r="EQY34" s="1884"/>
      <c r="EQZ34" s="1884"/>
      <c r="ERA34" s="1884"/>
      <c r="ERB34" s="1884"/>
      <c r="ERC34" s="1884"/>
      <c r="ERD34" s="1884"/>
      <c r="ERE34" s="1884"/>
      <c r="ERF34" s="1884"/>
      <c r="ERG34" s="1884"/>
      <c r="ERH34" s="1884"/>
      <c r="ERI34" s="1884"/>
      <c r="ERJ34" s="1884"/>
      <c r="ERK34" s="1884"/>
      <c r="ERL34" s="1884"/>
      <c r="ERM34" s="1884"/>
      <c r="ERN34" s="1884"/>
      <c r="ERO34" s="1884"/>
      <c r="ERP34" s="1884"/>
      <c r="ERQ34" s="1884"/>
      <c r="ERR34" s="1884"/>
      <c r="ERS34" s="1884"/>
      <c r="ERT34" s="1884"/>
      <c r="ERU34" s="1884"/>
      <c r="ERV34" s="1884"/>
      <c r="ERW34" s="1884"/>
      <c r="ERX34" s="1884"/>
      <c r="ERY34" s="1884"/>
      <c r="ERZ34" s="1884"/>
      <c r="ESA34" s="1884"/>
      <c r="ESB34" s="1884"/>
      <c r="ESC34" s="1884"/>
      <c r="ESD34" s="1884"/>
      <c r="ESE34" s="1884"/>
      <c r="ESF34" s="1884"/>
      <c r="ESG34" s="1884"/>
      <c r="ESH34" s="1884"/>
      <c r="ESI34" s="1884"/>
      <c r="ESJ34" s="1884"/>
      <c r="ESK34" s="1884"/>
      <c r="ESL34" s="1884"/>
      <c r="ESM34" s="1884"/>
      <c r="ESN34" s="1884"/>
      <c r="ESO34" s="1884"/>
      <c r="ESP34" s="1884"/>
      <c r="ESQ34" s="1884"/>
      <c r="ESR34" s="1884"/>
      <c r="ESS34" s="1884"/>
      <c r="EST34" s="1884"/>
      <c r="ESU34" s="1884"/>
      <c r="ESV34" s="1884"/>
      <c r="ESW34" s="1884"/>
      <c r="ESX34" s="1884"/>
      <c r="ESY34" s="1884"/>
      <c r="ESZ34" s="1884"/>
      <c r="ETA34" s="1884"/>
      <c r="ETB34" s="1884"/>
      <c r="ETC34" s="1884"/>
      <c r="ETD34" s="1884"/>
      <c r="ETE34" s="1884"/>
      <c r="ETF34" s="1884"/>
      <c r="ETG34" s="1884"/>
      <c r="ETH34" s="1884"/>
      <c r="ETI34" s="1884"/>
      <c r="ETJ34" s="1884"/>
      <c r="ETK34" s="1884"/>
      <c r="ETL34" s="1884"/>
      <c r="ETM34" s="1884"/>
      <c r="ETN34" s="1884"/>
      <c r="ETO34" s="1884"/>
      <c r="ETP34" s="1884"/>
      <c r="ETQ34" s="1884"/>
      <c r="ETR34" s="1884"/>
      <c r="ETS34" s="1884"/>
      <c r="ETT34" s="1884"/>
      <c r="ETU34" s="1884"/>
      <c r="ETV34" s="1884"/>
      <c r="ETW34" s="1884"/>
      <c r="ETX34" s="1884"/>
      <c r="ETY34" s="1884"/>
      <c r="ETZ34" s="1884"/>
      <c r="EUA34" s="1884"/>
      <c r="EUB34" s="1884"/>
      <c r="EUC34" s="1884"/>
      <c r="EUD34" s="1884"/>
      <c r="EUE34" s="1884"/>
      <c r="EUF34" s="1884"/>
      <c r="EUG34" s="1884"/>
      <c r="EUH34" s="1884"/>
      <c r="EUI34" s="1884"/>
      <c r="EUJ34" s="1884"/>
      <c r="EUK34" s="1884"/>
      <c r="EUL34" s="1884"/>
      <c r="EUM34" s="1884"/>
      <c r="EUN34" s="1884"/>
      <c r="EUO34" s="1884"/>
      <c r="EUP34" s="1884"/>
      <c r="EUQ34" s="1884"/>
      <c r="EUR34" s="1884"/>
      <c r="EUS34" s="1884"/>
      <c r="EUT34" s="1884"/>
      <c r="EUU34" s="1884"/>
      <c r="EUV34" s="1884"/>
      <c r="EUW34" s="1884"/>
      <c r="EUX34" s="1884"/>
      <c r="EUY34" s="1884"/>
      <c r="EUZ34" s="1884"/>
      <c r="EVA34" s="1884"/>
      <c r="EVB34" s="1884"/>
      <c r="EVC34" s="1884"/>
      <c r="EVD34" s="1884"/>
      <c r="EVE34" s="1884"/>
      <c r="EVF34" s="1884"/>
      <c r="EVG34" s="1884"/>
      <c r="EVH34" s="1884"/>
      <c r="EVI34" s="1884"/>
      <c r="EVJ34" s="1884"/>
      <c r="EVK34" s="1884"/>
      <c r="EVL34" s="1884"/>
      <c r="EVM34" s="1884"/>
      <c r="EVN34" s="1884"/>
      <c r="EVO34" s="1884"/>
      <c r="EVP34" s="1884"/>
      <c r="EVQ34" s="1884"/>
      <c r="EVR34" s="1884"/>
      <c r="EVS34" s="1884"/>
      <c r="EVT34" s="1884"/>
      <c r="EVU34" s="1884"/>
      <c r="EVV34" s="1884"/>
      <c r="EVW34" s="1884"/>
      <c r="EVX34" s="1884"/>
      <c r="EVY34" s="1884"/>
      <c r="EVZ34" s="1884"/>
      <c r="EWA34" s="1884"/>
      <c r="EWB34" s="1884"/>
      <c r="EWC34" s="1884"/>
      <c r="EWD34" s="1884"/>
      <c r="EWE34" s="1884"/>
      <c r="EWF34" s="1884"/>
      <c r="EWG34" s="1884"/>
      <c r="EWH34" s="1884"/>
      <c r="EWI34" s="1884"/>
      <c r="EWJ34" s="1884"/>
      <c r="EWK34" s="1884"/>
      <c r="EWL34" s="1884"/>
      <c r="EWM34" s="1884"/>
      <c r="EWN34" s="1884"/>
      <c r="EWO34" s="1884"/>
      <c r="EWP34" s="1884"/>
      <c r="EWQ34" s="1884"/>
      <c r="EWR34" s="1884"/>
      <c r="EWS34" s="1884"/>
      <c r="EWT34" s="1884"/>
      <c r="EWU34" s="1884"/>
      <c r="EWV34" s="1884"/>
      <c r="EWW34" s="1884"/>
      <c r="EWX34" s="1884"/>
      <c r="EWY34" s="1884"/>
      <c r="EWZ34" s="1884"/>
      <c r="EXA34" s="1884"/>
      <c r="EXB34" s="1884"/>
      <c r="EXC34" s="1884"/>
      <c r="EXD34" s="1884"/>
      <c r="EXE34" s="1884"/>
      <c r="EXF34" s="1884"/>
      <c r="EXG34" s="1884"/>
      <c r="EXH34" s="1884"/>
      <c r="EXI34" s="1884"/>
      <c r="EXJ34" s="1884"/>
      <c r="EXK34" s="1884"/>
      <c r="EXL34" s="1884"/>
      <c r="EXM34" s="1884"/>
      <c r="EXN34" s="1884"/>
      <c r="EXO34" s="1884"/>
      <c r="EXP34" s="1884"/>
      <c r="EXQ34" s="1884"/>
      <c r="EXR34" s="1884"/>
      <c r="EXS34" s="1884"/>
      <c r="EXT34" s="1884"/>
      <c r="EXU34" s="1884"/>
      <c r="EXV34" s="1884"/>
      <c r="EXW34" s="1884"/>
      <c r="EXX34" s="1884"/>
      <c r="EXY34" s="1884"/>
      <c r="EXZ34" s="1884"/>
      <c r="EYA34" s="1884"/>
      <c r="EYB34" s="1884"/>
      <c r="EYC34" s="1884"/>
      <c r="EYD34" s="1884"/>
      <c r="EYE34" s="1884"/>
      <c r="EYF34" s="1884"/>
      <c r="EYG34" s="1884"/>
      <c r="EYH34" s="1884"/>
      <c r="EYI34" s="1884"/>
      <c r="EYJ34" s="1884"/>
      <c r="EYK34" s="1884"/>
      <c r="EYL34" s="1884"/>
      <c r="EYM34" s="1884"/>
      <c r="EYN34" s="1884"/>
      <c r="EYO34" s="1884"/>
      <c r="EYP34" s="1884"/>
      <c r="EYQ34" s="1884"/>
      <c r="EYR34" s="1884"/>
      <c r="EYS34" s="1884"/>
      <c r="EYT34" s="1884"/>
      <c r="EYU34" s="1884"/>
      <c r="EYV34" s="1884"/>
      <c r="EYW34" s="1884"/>
      <c r="EYX34" s="1884"/>
      <c r="EYY34" s="1884"/>
      <c r="EYZ34" s="1884"/>
      <c r="EZA34" s="1884"/>
      <c r="EZB34" s="1884"/>
      <c r="EZC34" s="1884"/>
      <c r="EZD34" s="1884"/>
      <c r="EZE34" s="1884"/>
      <c r="EZF34" s="1884"/>
      <c r="EZG34" s="1884"/>
      <c r="EZH34" s="1884"/>
      <c r="EZI34" s="1884"/>
      <c r="EZJ34" s="1884"/>
      <c r="EZK34" s="1884"/>
      <c r="EZL34" s="1884"/>
      <c r="EZM34" s="1884"/>
      <c r="EZN34" s="1884"/>
      <c r="EZO34" s="1884"/>
      <c r="EZP34" s="1884"/>
      <c r="EZQ34" s="1884"/>
      <c r="EZR34" s="1884"/>
      <c r="EZS34" s="1884"/>
      <c r="EZT34" s="1884"/>
      <c r="EZU34" s="1884"/>
      <c r="EZV34" s="1884"/>
      <c r="EZW34" s="1884"/>
      <c r="EZX34" s="1884"/>
      <c r="EZY34" s="1884"/>
      <c r="EZZ34" s="1884"/>
      <c r="FAA34" s="1884"/>
      <c r="FAB34" s="1884"/>
      <c r="FAC34" s="1884"/>
      <c r="FAD34" s="1884"/>
      <c r="FAE34" s="1884"/>
      <c r="FAF34" s="1884"/>
      <c r="FAG34" s="1884"/>
      <c r="FAH34" s="1884"/>
      <c r="FAI34" s="1884"/>
      <c r="FAJ34" s="1884"/>
      <c r="FAK34" s="1884"/>
      <c r="FAL34" s="1884"/>
      <c r="FAM34" s="1884"/>
      <c r="FAN34" s="1884"/>
      <c r="FAO34" s="1884"/>
      <c r="FAP34" s="1884"/>
      <c r="FAQ34" s="1884"/>
      <c r="FAR34" s="1884"/>
      <c r="FAS34" s="1884"/>
      <c r="FAT34" s="1884"/>
      <c r="FAU34" s="1884"/>
      <c r="FAV34" s="1884"/>
      <c r="FAW34" s="1884"/>
      <c r="FAX34" s="1884"/>
      <c r="FAY34" s="1884"/>
      <c r="FAZ34" s="1884"/>
      <c r="FBA34" s="1884"/>
      <c r="FBB34" s="1884"/>
      <c r="FBC34" s="1884"/>
      <c r="FBD34" s="1884"/>
      <c r="FBE34" s="1884"/>
      <c r="FBF34" s="1884"/>
      <c r="FBG34" s="1884"/>
      <c r="FBH34" s="1884"/>
      <c r="FBI34" s="1884"/>
      <c r="FBJ34" s="1884"/>
      <c r="FBK34" s="1884"/>
      <c r="FBL34" s="1884"/>
      <c r="FBM34" s="1884"/>
      <c r="FBN34" s="1884"/>
      <c r="FBO34" s="1884"/>
      <c r="FBP34" s="1884"/>
      <c r="FBQ34" s="1884"/>
      <c r="FBR34" s="1884"/>
      <c r="FBS34" s="1884"/>
      <c r="FBT34" s="1884"/>
      <c r="FBU34" s="1884"/>
      <c r="FBV34" s="1884"/>
      <c r="FBW34" s="1884"/>
      <c r="FBX34" s="1884"/>
      <c r="FBY34" s="1884"/>
      <c r="FBZ34" s="1884"/>
      <c r="FCA34" s="1884"/>
      <c r="FCB34" s="1884"/>
      <c r="FCC34" s="1884"/>
      <c r="FCD34" s="1884"/>
      <c r="FCE34" s="1884"/>
      <c r="FCF34" s="1884"/>
      <c r="FCG34" s="1884"/>
      <c r="FCH34" s="1884"/>
      <c r="FCI34" s="1884"/>
      <c r="FCJ34" s="1884"/>
      <c r="FCK34" s="1884"/>
      <c r="FCL34" s="1884"/>
      <c r="FCM34" s="1884"/>
      <c r="FCN34" s="1884"/>
      <c r="FCO34" s="1884"/>
      <c r="FCP34" s="1884"/>
      <c r="FCQ34" s="1884"/>
      <c r="FCR34" s="1884"/>
      <c r="FCS34" s="1884"/>
      <c r="FCT34" s="1884"/>
      <c r="FCU34" s="1884"/>
      <c r="FCV34" s="1884"/>
      <c r="FCW34" s="1884"/>
      <c r="FCX34" s="1884"/>
      <c r="FCY34" s="1884"/>
      <c r="FCZ34" s="1884"/>
      <c r="FDA34" s="1884"/>
      <c r="FDB34" s="1884"/>
      <c r="FDC34" s="1884"/>
      <c r="FDD34" s="1884"/>
      <c r="FDE34" s="1884"/>
      <c r="FDF34" s="1884"/>
      <c r="FDG34" s="1884"/>
      <c r="FDH34" s="1884"/>
      <c r="FDI34" s="1884"/>
      <c r="FDJ34" s="1884"/>
      <c r="FDK34" s="1884"/>
      <c r="FDL34" s="1884"/>
      <c r="FDM34" s="1884"/>
      <c r="FDN34" s="1884"/>
      <c r="FDO34" s="1884"/>
      <c r="FDP34" s="1884"/>
      <c r="FDQ34" s="1884"/>
      <c r="FDR34" s="1884"/>
      <c r="FDS34" s="1884"/>
      <c r="FDT34" s="1884"/>
      <c r="FDU34" s="1884"/>
      <c r="FDV34" s="1884"/>
      <c r="FDW34" s="1884"/>
      <c r="FDX34" s="1884"/>
      <c r="FDY34" s="1884"/>
      <c r="FDZ34" s="1884"/>
      <c r="FEA34" s="1884"/>
      <c r="FEB34" s="1884"/>
      <c r="FEC34" s="1884"/>
      <c r="FED34" s="1884"/>
      <c r="FEE34" s="1884"/>
      <c r="FEF34" s="1884"/>
      <c r="FEG34" s="1884"/>
      <c r="FEH34" s="1884"/>
      <c r="FEI34" s="1884"/>
      <c r="FEJ34" s="1884"/>
      <c r="FEK34" s="1884"/>
      <c r="FEL34" s="1884"/>
      <c r="FEM34" s="1884"/>
      <c r="FEN34" s="1884"/>
      <c r="FEO34" s="1884"/>
      <c r="FEP34" s="1884"/>
      <c r="FEQ34" s="1884"/>
      <c r="FER34" s="1884"/>
      <c r="FES34" s="1884"/>
      <c r="FET34" s="1884"/>
      <c r="FEU34" s="1884"/>
      <c r="FEV34" s="1884"/>
      <c r="FEW34" s="1884"/>
      <c r="FEX34" s="1884"/>
      <c r="FEY34" s="1884"/>
      <c r="FEZ34" s="1884"/>
      <c r="FFA34" s="1884"/>
      <c r="FFB34" s="1884"/>
      <c r="FFC34" s="1884"/>
      <c r="FFD34" s="1884"/>
      <c r="FFE34" s="1884"/>
      <c r="FFF34" s="1884"/>
      <c r="FFG34" s="1884"/>
      <c r="FFH34" s="1884"/>
      <c r="FFI34" s="1884"/>
      <c r="FFJ34" s="1884"/>
      <c r="FFK34" s="1884"/>
      <c r="FFL34" s="1884"/>
      <c r="FFM34" s="1884"/>
      <c r="FFN34" s="1884"/>
      <c r="FFO34" s="1884"/>
      <c r="FFP34" s="1884"/>
      <c r="FFQ34" s="1884"/>
      <c r="FFR34" s="1884"/>
      <c r="FFS34" s="1884"/>
      <c r="FFT34" s="1884"/>
      <c r="FFU34" s="1884"/>
      <c r="FFV34" s="1884"/>
      <c r="FFW34" s="1884"/>
      <c r="FFX34" s="1884"/>
      <c r="FFY34" s="1884"/>
      <c r="FFZ34" s="1884"/>
      <c r="FGA34" s="1884"/>
      <c r="FGB34" s="1884"/>
      <c r="FGC34" s="1884"/>
      <c r="FGD34" s="1884"/>
      <c r="FGE34" s="1884"/>
      <c r="FGF34" s="1884"/>
      <c r="FGG34" s="1884"/>
      <c r="FGH34" s="1884"/>
      <c r="FGI34" s="1884"/>
      <c r="FGJ34" s="1884"/>
      <c r="FGK34" s="1884"/>
      <c r="FGL34" s="1884"/>
      <c r="FGM34" s="1884"/>
      <c r="FGN34" s="1884"/>
      <c r="FGO34" s="1884"/>
      <c r="FGP34" s="1884"/>
      <c r="FGQ34" s="1884"/>
      <c r="FGR34" s="1884"/>
      <c r="FGS34" s="1884"/>
      <c r="FGT34" s="1884"/>
      <c r="FGU34" s="1884"/>
      <c r="FGV34" s="1884"/>
      <c r="FGW34" s="1884"/>
      <c r="FGX34" s="1884"/>
      <c r="FGY34" s="1884"/>
      <c r="FGZ34" s="1884"/>
      <c r="FHA34" s="1884"/>
      <c r="FHB34" s="1884"/>
      <c r="FHC34" s="1884"/>
      <c r="FHD34" s="1884"/>
      <c r="FHE34" s="1884"/>
      <c r="FHF34" s="1884"/>
      <c r="FHG34" s="1884"/>
      <c r="FHH34" s="1884"/>
      <c r="FHI34" s="1884"/>
      <c r="FHJ34" s="1884"/>
      <c r="FHK34" s="1884"/>
      <c r="FHL34" s="1884"/>
      <c r="FHM34" s="1884"/>
      <c r="FHN34" s="1884"/>
      <c r="FHO34" s="1884"/>
      <c r="FHP34" s="1884"/>
      <c r="FHQ34" s="1884"/>
      <c r="FHR34" s="1884"/>
      <c r="FHS34" s="1884"/>
      <c r="FHT34" s="1884"/>
      <c r="FHU34" s="1884"/>
      <c r="FHV34" s="1884"/>
      <c r="FHW34" s="1884"/>
      <c r="FHX34" s="1884"/>
      <c r="FHY34" s="1884"/>
      <c r="FHZ34" s="1884"/>
      <c r="FIA34" s="1884"/>
      <c r="FIB34" s="1884"/>
      <c r="FIC34" s="1884"/>
      <c r="FID34" s="1884"/>
      <c r="FIE34" s="1884"/>
      <c r="FIF34" s="1884"/>
      <c r="FIG34" s="1884"/>
      <c r="FIH34" s="1884"/>
      <c r="FII34" s="1884"/>
      <c r="FIJ34" s="1884"/>
      <c r="FIK34" s="1884"/>
      <c r="FIL34" s="1884"/>
      <c r="FIM34" s="1884"/>
      <c r="FIN34" s="1884"/>
      <c r="FIO34" s="1884"/>
      <c r="FIP34" s="1884"/>
      <c r="FIQ34" s="1884"/>
      <c r="FIR34" s="1884"/>
      <c r="FIS34" s="1884"/>
      <c r="FIT34" s="1884"/>
      <c r="FIU34" s="1884"/>
      <c r="FIV34" s="1884"/>
      <c r="FIW34" s="1884"/>
      <c r="FIX34" s="1884"/>
      <c r="FIY34" s="1884"/>
      <c r="FIZ34" s="1884"/>
      <c r="FJA34" s="1884"/>
      <c r="FJB34" s="1884"/>
      <c r="FJC34" s="1884"/>
      <c r="FJD34" s="1884"/>
      <c r="FJE34" s="1884"/>
      <c r="FJF34" s="1884"/>
      <c r="FJG34" s="1884"/>
      <c r="FJH34" s="1884"/>
      <c r="FJI34" s="1884"/>
      <c r="FJJ34" s="1884"/>
      <c r="FJK34" s="1884"/>
      <c r="FJL34" s="1884"/>
      <c r="FJM34" s="1884"/>
      <c r="FJN34" s="1884"/>
      <c r="FJO34" s="1884"/>
      <c r="FJP34" s="1884"/>
      <c r="FJQ34" s="1884"/>
      <c r="FJR34" s="1884"/>
      <c r="FJS34" s="1884"/>
      <c r="FJT34" s="1884"/>
      <c r="FJU34" s="1884"/>
      <c r="FJV34" s="1884"/>
      <c r="FJW34" s="1884"/>
      <c r="FJX34" s="1884"/>
      <c r="FJY34" s="1884"/>
      <c r="FJZ34" s="1884"/>
      <c r="FKA34" s="1884"/>
      <c r="FKB34" s="1884"/>
      <c r="FKC34" s="1884"/>
      <c r="FKD34" s="1884"/>
      <c r="FKE34" s="1884"/>
      <c r="FKF34" s="1884"/>
      <c r="FKG34" s="1884"/>
      <c r="FKH34" s="1884"/>
      <c r="FKI34" s="1884"/>
      <c r="FKJ34" s="1884"/>
      <c r="FKK34" s="1884"/>
      <c r="FKL34" s="1884"/>
      <c r="FKM34" s="1884"/>
      <c r="FKN34" s="1884"/>
      <c r="FKO34" s="1884"/>
      <c r="FKP34" s="1884"/>
      <c r="FKQ34" s="1884"/>
      <c r="FKR34" s="1884"/>
      <c r="FKS34" s="1884"/>
      <c r="FKT34" s="1884"/>
      <c r="FKU34" s="1884"/>
      <c r="FKV34" s="1884"/>
      <c r="FKW34" s="1884"/>
      <c r="FKX34" s="1884"/>
      <c r="FKY34" s="1884"/>
      <c r="FKZ34" s="1884"/>
      <c r="FLA34" s="1884"/>
      <c r="FLB34" s="1884"/>
      <c r="FLC34" s="1884"/>
      <c r="FLD34" s="1884"/>
      <c r="FLE34" s="1884"/>
      <c r="FLF34" s="1884"/>
      <c r="FLG34" s="1884"/>
      <c r="FLH34" s="1884"/>
      <c r="FLI34" s="1884"/>
      <c r="FLJ34" s="1884"/>
      <c r="FLK34" s="1884"/>
      <c r="FLL34" s="1884"/>
      <c r="FLM34" s="1884"/>
      <c r="FLN34" s="1884"/>
      <c r="FLO34" s="1884"/>
      <c r="FLP34" s="1884"/>
      <c r="FLQ34" s="1884"/>
      <c r="FLR34" s="1884"/>
      <c r="FLS34" s="1884"/>
      <c r="FLT34" s="1884"/>
      <c r="FLU34" s="1884"/>
      <c r="FLV34" s="1884"/>
      <c r="FLW34" s="1884"/>
      <c r="FLX34" s="1884"/>
      <c r="FLY34" s="1884"/>
      <c r="FLZ34" s="1884"/>
      <c r="FMA34" s="1884"/>
      <c r="FMB34" s="1884"/>
      <c r="FMC34" s="1884"/>
      <c r="FMD34" s="1884"/>
      <c r="FME34" s="1884"/>
      <c r="FMF34" s="1884"/>
      <c r="FMG34" s="1884"/>
      <c r="FMH34" s="1884"/>
      <c r="FMI34" s="1884"/>
      <c r="FMJ34" s="1884"/>
      <c r="FMK34" s="1884"/>
      <c r="FML34" s="1884"/>
      <c r="FMM34" s="1884"/>
      <c r="FMN34" s="1884"/>
      <c r="FMO34" s="1884"/>
      <c r="FMP34" s="1884"/>
      <c r="FMQ34" s="1884"/>
      <c r="FMR34" s="1884"/>
      <c r="FMS34" s="1884"/>
      <c r="FMT34" s="1884"/>
      <c r="FMU34" s="1884"/>
      <c r="FMV34" s="1884"/>
      <c r="FMW34" s="1884"/>
      <c r="FMX34" s="1884"/>
      <c r="FMY34" s="1884"/>
      <c r="FMZ34" s="1884"/>
      <c r="FNA34" s="1884"/>
      <c r="FNB34" s="1884"/>
      <c r="FNC34" s="1884"/>
      <c r="FND34" s="1884"/>
      <c r="FNE34" s="1884"/>
      <c r="FNF34" s="1884"/>
      <c r="FNG34" s="1884"/>
      <c r="FNH34" s="1884"/>
      <c r="FNI34" s="1884"/>
      <c r="FNJ34" s="1884"/>
      <c r="FNK34" s="1884"/>
      <c r="FNL34" s="1884"/>
      <c r="FNM34" s="1884"/>
      <c r="FNN34" s="1884"/>
      <c r="FNO34" s="1884"/>
      <c r="FNP34" s="1884"/>
      <c r="FNQ34" s="1884"/>
      <c r="FNR34" s="1884"/>
      <c r="FNS34" s="1884"/>
      <c r="FNT34" s="1884"/>
      <c r="FNU34" s="1884"/>
      <c r="FNV34" s="1884"/>
      <c r="FNW34" s="1884"/>
      <c r="FNX34" s="1884"/>
      <c r="FNY34" s="1884"/>
      <c r="FNZ34" s="1884"/>
      <c r="FOA34" s="1884"/>
      <c r="FOB34" s="1884"/>
      <c r="FOC34" s="1884"/>
      <c r="FOD34" s="1884"/>
      <c r="FOE34" s="1884"/>
      <c r="FOF34" s="1884"/>
      <c r="FOG34" s="1884"/>
      <c r="FOH34" s="1884"/>
      <c r="FOI34" s="1884"/>
      <c r="FOJ34" s="1884"/>
      <c r="FOK34" s="1884"/>
      <c r="FOL34" s="1884"/>
      <c r="FOM34" s="1884"/>
      <c r="FON34" s="1884"/>
      <c r="FOO34" s="1884"/>
      <c r="FOP34" s="1884"/>
      <c r="FOQ34" s="1884"/>
      <c r="FOR34" s="1884"/>
      <c r="FOS34" s="1884"/>
      <c r="FOT34" s="1884"/>
      <c r="FOU34" s="1884"/>
      <c r="FOV34" s="1884"/>
      <c r="FOW34" s="1884"/>
      <c r="FOX34" s="1884"/>
      <c r="FOY34" s="1884"/>
      <c r="FOZ34" s="1884"/>
      <c r="FPA34" s="1884"/>
      <c r="FPB34" s="1884"/>
      <c r="FPC34" s="1884"/>
      <c r="FPD34" s="1884"/>
      <c r="FPE34" s="1884"/>
      <c r="FPF34" s="1884"/>
      <c r="FPG34" s="1884"/>
      <c r="FPH34" s="1884"/>
      <c r="FPI34" s="1884"/>
      <c r="FPJ34" s="1884"/>
      <c r="FPK34" s="1884"/>
      <c r="FPL34" s="1884"/>
      <c r="FPM34" s="1884"/>
      <c r="FPN34" s="1884"/>
      <c r="FPO34" s="1884"/>
      <c r="FPP34" s="1884"/>
      <c r="FPQ34" s="1884"/>
      <c r="FPR34" s="1884"/>
      <c r="FPS34" s="1884"/>
      <c r="FPT34" s="1884"/>
      <c r="FPU34" s="1884"/>
      <c r="FPV34" s="1884"/>
      <c r="FPW34" s="1884"/>
      <c r="FPX34" s="1884"/>
      <c r="FPY34" s="1884"/>
      <c r="FPZ34" s="1884"/>
      <c r="FQA34" s="1884"/>
      <c r="FQB34" s="1884"/>
      <c r="FQC34" s="1884"/>
      <c r="FQD34" s="1884"/>
      <c r="FQE34" s="1884"/>
      <c r="FQF34" s="1884"/>
      <c r="FQG34" s="1884"/>
      <c r="FQH34" s="1884"/>
      <c r="FQI34" s="1884"/>
      <c r="FQJ34" s="1884"/>
      <c r="FQK34" s="1884"/>
      <c r="FQL34" s="1884"/>
      <c r="FQM34" s="1884"/>
      <c r="FQN34" s="1884"/>
      <c r="FQO34" s="1884"/>
      <c r="FQP34" s="1884"/>
      <c r="FQQ34" s="1884"/>
      <c r="FQR34" s="1884"/>
      <c r="FQS34" s="1884"/>
      <c r="FQT34" s="1884"/>
      <c r="FQU34" s="1884"/>
      <c r="FQV34" s="1884"/>
      <c r="FQW34" s="1884"/>
      <c r="FQX34" s="1884"/>
      <c r="FQY34" s="1884"/>
      <c r="FQZ34" s="1884"/>
      <c r="FRA34" s="1884"/>
      <c r="FRB34" s="1884"/>
      <c r="FRC34" s="1884"/>
      <c r="FRD34" s="1884"/>
      <c r="FRE34" s="1884"/>
      <c r="FRF34" s="1884"/>
      <c r="FRG34" s="1884"/>
      <c r="FRH34" s="1884"/>
      <c r="FRI34" s="1884"/>
      <c r="FRJ34" s="1884"/>
      <c r="FRK34" s="1884"/>
      <c r="FRL34" s="1884"/>
      <c r="FRM34" s="1884"/>
      <c r="FRN34" s="1884"/>
      <c r="FRO34" s="1884"/>
      <c r="FRP34" s="1884"/>
      <c r="FRQ34" s="1884"/>
      <c r="FRR34" s="1884"/>
      <c r="FRS34" s="1884"/>
      <c r="FRT34" s="1884"/>
      <c r="FRU34" s="1884"/>
      <c r="FRV34" s="1884"/>
      <c r="FRW34" s="1884"/>
      <c r="FRX34" s="1884"/>
      <c r="FRY34" s="1884"/>
      <c r="FRZ34" s="1884"/>
      <c r="FSA34" s="1884"/>
      <c r="FSB34" s="1884"/>
      <c r="FSC34" s="1884"/>
      <c r="FSD34" s="1884"/>
      <c r="FSE34" s="1884"/>
      <c r="FSF34" s="1884"/>
      <c r="FSG34" s="1884"/>
      <c r="FSH34" s="1884"/>
      <c r="FSI34" s="1884"/>
      <c r="FSJ34" s="1884"/>
      <c r="FSK34" s="1884"/>
      <c r="FSL34" s="1884"/>
      <c r="FSM34" s="1884"/>
      <c r="FSN34" s="1884"/>
      <c r="FSO34" s="1884"/>
      <c r="FSP34" s="1884"/>
      <c r="FSQ34" s="1884"/>
      <c r="FSR34" s="1884"/>
      <c r="FSS34" s="1884"/>
      <c r="FST34" s="1884"/>
      <c r="FSU34" s="1884"/>
      <c r="FSV34" s="1884"/>
      <c r="FSW34" s="1884"/>
      <c r="FSX34" s="1884"/>
      <c r="FSY34" s="1884"/>
      <c r="FSZ34" s="1884"/>
      <c r="FTA34" s="1884"/>
      <c r="FTB34" s="1884"/>
      <c r="FTC34" s="1884"/>
      <c r="FTD34" s="1884"/>
      <c r="FTE34" s="1884"/>
      <c r="FTF34" s="1884"/>
      <c r="FTG34" s="1884"/>
      <c r="FTH34" s="1884"/>
      <c r="FTI34" s="1884"/>
      <c r="FTJ34" s="1884"/>
      <c r="FTK34" s="1884"/>
      <c r="FTL34" s="1884"/>
      <c r="FTM34" s="1884"/>
      <c r="FTN34" s="1884"/>
      <c r="FTO34" s="1884"/>
      <c r="FTP34" s="1884"/>
      <c r="FTQ34" s="1884"/>
      <c r="FTR34" s="1884"/>
      <c r="FTS34" s="1884"/>
      <c r="FTT34" s="1884"/>
      <c r="FTU34" s="1884"/>
      <c r="FTV34" s="1884"/>
      <c r="FTW34" s="1884"/>
      <c r="FTX34" s="1884"/>
      <c r="FTY34" s="1884"/>
      <c r="FTZ34" s="1884"/>
      <c r="FUA34" s="1884"/>
      <c r="FUB34" s="1884"/>
      <c r="FUC34" s="1884"/>
      <c r="FUD34" s="1884"/>
      <c r="FUE34" s="1884"/>
      <c r="FUF34" s="1884"/>
      <c r="FUG34" s="1884"/>
      <c r="FUH34" s="1884"/>
      <c r="FUI34" s="1884"/>
      <c r="FUJ34" s="1884"/>
      <c r="FUK34" s="1884"/>
      <c r="FUL34" s="1884"/>
      <c r="FUM34" s="1884"/>
      <c r="FUN34" s="1884"/>
      <c r="FUO34" s="1884"/>
      <c r="FUP34" s="1884"/>
      <c r="FUQ34" s="1884"/>
      <c r="FUR34" s="1884"/>
      <c r="FUS34" s="1884"/>
      <c r="FUT34" s="1884"/>
      <c r="FUU34" s="1884"/>
      <c r="FUV34" s="1884"/>
      <c r="FUW34" s="1884"/>
      <c r="FUX34" s="1884"/>
      <c r="FUY34" s="1884"/>
      <c r="FUZ34" s="1884"/>
      <c r="FVA34" s="1884"/>
      <c r="FVB34" s="1884"/>
      <c r="FVC34" s="1884"/>
      <c r="FVD34" s="1884"/>
      <c r="FVE34" s="1884"/>
      <c r="FVF34" s="1884"/>
      <c r="FVG34" s="1884"/>
      <c r="FVH34" s="1884"/>
      <c r="FVI34" s="1884"/>
      <c r="FVJ34" s="1884"/>
      <c r="FVK34" s="1884"/>
      <c r="FVL34" s="1884"/>
      <c r="FVM34" s="1884"/>
      <c r="FVN34" s="1884"/>
      <c r="FVO34" s="1884"/>
      <c r="FVP34" s="1884"/>
      <c r="FVQ34" s="1884"/>
      <c r="FVR34" s="1884"/>
      <c r="FVS34" s="1884"/>
      <c r="FVT34" s="1884"/>
      <c r="FVU34" s="1884"/>
      <c r="FVV34" s="1884"/>
      <c r="FVW34" s="1884"/>
      <c r="FVX34" s="1884"/>
      <c r="FVY34" s="1884"/>
      <c r="FVZ34" s="1884"/>
      <c r="FWA34" s="1884"/>
      <c r="FWB34" s="1884"/>
      <c r="FWC34" s="1884"/>
      <c r="FWD34" s="1884"/>
      <c r="FWE34" s="1884"/>
      <c r="FWF34" s="1884"/>
      <c r="FWG34" s="1884"/>
      <c r="FWH34" s="1884"/>
      <c r="FWI34" s="1884"/>
      <c r="FWJ34" s="1884"/>
      <c r="FWK34" s="1884"/>
      <c r="FWL34" s="1884"/>
      <c r="FWM34" s="1884"/>
      <c r="FWN34" s="1884"/>
      <c r="FWO34" s="1884"/>
      <c r="FWP34" s="1884"/>
      <c r="FWQ34" s="1884"/>
      <c r="FWR34" s="1884"/>
      <c r="FWS34" s="1884"/>
      <c r="FWT34" s="1884"/>
      <c r="FWU34" s="1884"/>
      <c r="FWV34" s="1884"/>
      <c r="FWW34" s="1884"/>
      <c r="FWX34" s="1884"/>
      <c r="FWY34" s="1884"/>
      <c r="FWZ34" s="1884"/>
      <c r="FXA34" s="1884"/>
      <c r="FXB34" s="1884"/>
      <c r="FXC34" s="1884"/>
      <c r="FXD34" s="1884"/>
      <c r="FXE34" s="1884"/>
      <c r="FXF34" s="1884"/>
      <c r="FXG34" s="1884"/>
      <c r="FXH34" s="1884"/>
      <c r="FXI34" s="1884"/>
      <c r="FXJ34" s="1884"/>
      <c r="FXK34" s="1884"/>
      <c r="FXL34" s="1884"/>
      <c r="FXM34" s="1884"/>
      <c r="FXN34" s="1884"/>
      <c r="FXO34" s="1884"/>
      <c r="FXP34" s="1884"/>
      <c r="FXQ34" s="1884"/>
      <c r="FXR34" s="1884"/>
      <c r="FXS34" s="1884"/>
      <c r="FXT34" s="1884"/>
      <c r="FXU34" s="1884"/>
      <c r="FXV34" s="1884"/>
      <c r="FXW34" s="1884"/>
      <c r="FXX34" s="1884"/>
      <c r="FXY34" s="1884"/>
      <c r="FXZ34" s="1884"/>
      <c r="FYA34" s="1884"/>
      <c r="FYB34" s="1884"/>
      <c r="FYC34" s="1884"/>
      <c r="FYD34" s="1884"/>
      <c r="FYE34" s="1884"/>
      <c r="FYF34" s="1884"/>
      <c r="FYG34" s="1884"/>
      <c r="FYH34" s="1884"/>
      <c r="FYI34" s="1884"/>
      <c r="FYJ34" s="1884"/>
      <c r="FYK34" s="1884"/>
      <c r="FYL34" s="1884"/>
      <c r="FYM34" s="1884"/>
      <c r="FYN34" s="1884"/>
      <c r="FYO34" s="1884"/>
      <c r="FYP34" s="1884"/>
      <c r="FYQ34" s="1884"/>
      <c r="FYR34" s="1884"/>
      <c r="FYS34" s="1884"/>
      <c r="FYT34" s="1884"/>
      <c r="FYU34" s="1884"/>
      <c r="FYV34" s="1884"/>
      <c r="FYW34" s="1884"/>
      <c r="FYX34" s="1884"/>
      <c r="FYY34" s="1884"/>
      <c r="FYZ34" s="1884"/>
      <c r="FZA34" s="1884"/>
      <c r="FZB34" s="1884"/>
      <c r="FZC34" s="1884"/>
      <c r="FZD34" s="1884"/>
      <c r="FZE34" s="1884"/>
      <c r="FZF34" s="1884"/>
      <c r="FZG34" s="1884"/>
      <c r="FZH34" s="1884"/>
      <c r="FZI34" s="1884"/>
      <c r="FZJ34" s="1884"/>
      <c r="FZK34" s="1884"/>
      <c r="FZL34" s="1884"/>
      <c r="FZM34" s="1884"/>
      <c r="FZN34" s="1884"/>
      <c r="FZO34" s="1884"/>
      <c r="FZP34" s="1884"/>
      <c r="FZQ34" s="1884"/>
      <c r="FZR34" s="1884"/>
      <c r="FZS34" s="1884"/>
      <c r="FZT34" s="1884"/>
      <c r="FZU34" s="1884"/>
      <c r="FZV34" s="1884"/>
      <c r="FZW34" s="1884"/>
      <c r="FZX34" s="1884"/>
      <c r="FZY34" s="1884"/>
      <c r="FZZ34" s="1884"/>
      <c r="GAA34" s="1884"/>
      <c r="GAB34" s="1884"/>
      <c r="GAC34" s="1884"/>
      <c r="GAD34" s="1884"/>
      <c r="GAE34" s="1884"/>
      <c r="GAF34" s="1884"/>
      <c r="GAG34" s="1884"/>
      <c r="GAH34" s="1884"/>
      <c r="GAI34" s="1884"/>
      <c r="GAJ34" s="1884"/>
      <c r="GAK34" s="1884"/>
      <c r="GAL34" s="1884"/>
      <c r="GAM34" s="1884"/>
      <c r="GAN34" s="1884"/>
      <c r="GAO34" s="1884"/>
      <c r="GAP34" s="1884"/>
      <c r="GAQ34" s="1884"/>
      <c r="GAR34" s="1884"/>
      <c r="GAS34" s="1884"/>
      <c r="GAT34" s="1884"/>
      <c r="GAU34" s="1884"/>
      <c r="GAV34" s="1884"/>
      <c r="GAW34" s="1884"/>
      <c r="GAX34" s="1884"/>
      <c r="GAY34" s="1884"/>
      <c r="GAZ34" s="1884"/>
      <c r="GBA34" s="1884"/>
      <c r="GBB34" s="1884"/>
      <c r="GBC34" s="1884"/>
      <c r="GBD34" s="1884"/>
      <c r="GBE34" s="1884"/>
      <c r="GBF34" s="1884"/>
      <c r="GBG34" s="1884"/>
      <c r="GBH34" s="1884"/>
      <c r="GBI34" s="1884"/>
      <c r="GBJ34" s="1884"/>
      <c r="GBK34" s="1884"/>
      <c r="GBL34" s="1884"/>
      <c r="GBM34" s="1884"/>
      <c r="GBN34" s="1884"/>
      <c r="GBO34" s="1884"/>
      <c r="GBP34" s="1884"/>
      <c r="GBQ34" s="1884"/>
      <c r="GBR34" s="1884"/>
      <c r="GBS34" s="1884"/>
      <c r="GBT34" s="1884"/>
      <c r="GBU34" s="1884"/>
      <c r="GBV34" s="1884"/>
      <c r="GBW34" s="1884"/>
      <c r="GBX34" s="1884"/>
      <c r="GBY34" s="1884"/>
      <c r="GBZ34" s="1884"/>
      <c r="GCA34" s="1884"/>
      <c r="GCB34" s="1884"/>
      <c r="GCC34" s="1884"/>
      <c r="GCD34" s="1884"/>
      <c r="GCE34" s="1884"/>
      <c r="GCF34" s="1884"/>
      <c r="GCG34" s="1884"/>
      <c r="GCH34" s="1884"/>
      <c r="GCI34" s="1884"/>
      <c r="GCJ34" s="1884"/>
      <c r="GCK34" s="1884"/>
      <c r="GCL34" s="1884"/>
      <c r="GCM34" s="1884"/>
      <c r="GCN34" s="1884"/>
      <c r="GCO34" s="1884"/>
      <c r="GCP34" s="1884"/>
      <c r="GCQ34" s="1884"/>
      <c r="GCR34" s="1884"/>
      <c r="GCS34" s="1884"/>
      <c r="GCT34" s="1884"/>
      <c r="GCU34" s="1884"/>
      <c r="GCV34" s="1884"/>
      <c r="GCW34" s="1884"/>
      <c r="GCX34" s="1884"/>
      <c r="GCY34" s="1884"/>
      <c r="GCZ34" s="1884"/>
      <c r="GDA34" s="1884"/>
      <c r="GDB34" s="1884"/>
      <c r="GDC34" s="1884"/>
      <c r="GDD34" s="1884"/>
      <c r="GDE34" s="1884"/>
      <c r="GDF34" s="1884"/>
      <c r="GDG34" s="1884"/>
      <c r="GDH34" s="1884"/>
      <c r="GDI34" s="1884"/>
      <c r="GDJ34" s="1884"/>
      <c r="GDK34" s="1884"/>
      <c r="GDL34" s="1884"/>
      <c r="GDM34" s="1884"/>
      <c r="GDN34" s="1884"/>
      <c r="GDO34" s="1884"/>
      <c r="GDP34" s="1884"/>
      <c r="GDQ34" s="1884"/>
      <c r="GDR34" s="1884"/>
      <c r="GDS34" s="1884"/>
      <c r="GDT34" s="1884"/>
      <c r="GDU34" s="1884"/>
      <c r="GDV34" s="1884"/>
      <c r="GDW34" s="1884"/>
      <c r="GDX34" s="1884"/>
      <c r="GDY34" s="1884"/>
      <c r="GDZ34" s="1884"/>
      <c r="GEA34" s="1884"/>
      <c r="GEB34" s="1884"/>
      <c r="GEC34" s="1884"/>
      <c r="GED34" s="1884"/>
      <c r="GEE34" s="1884"/>
      <c r="GEF34" s="1884"/>
      <c r="GEG34" s="1884"/>
      <c r="GEH34" s="1884"/>
      <c r="GEI34" s="1884"/>
      <c r="GEJ34" s="1884"/>
      <c r="GEK34" s="1884"/>
      <c r="GEL34" s="1884"/>
      <c r="GEM34" s="1884"/>
      <c r="GEN34" s="1884"/>
      <c r="GEO34" s="1884"/>
      <c r="GEP34" s="1884"/>
      <c r="GEQ34" s="1884"/>
      <c r="GER34" s="1884"/>
      <c r="GES34" s="1884"/>
      <c r="GET34" s="1884"/>
      <c r="GEU34" s="1884"/>
      <c r="GEV34" s="1884"/>
      <c r="GEW34" s="1884"/>
      <c r="GEX34" s="1884"/>
      <c r="GEY34" s="1884"/>
      <c r="GEZ34" s="1884"/>
      <c r="GFA34" s="1884"/>
      <c r="GFB34" s="1884"/>
      <c r="GFC34" s="1884"/>
      <c r="GFD34" s="1884"/>
      <c r="GFE34" s="1884"/>
      <c r="GFF34" s="1884"/>
      <c r="GFG34" s="1884"/>
      <c r="GFH34" s="1884"/>
      <c r="GFI34" s="1884"/>
      <c r="GFJ34" s="1884"/>
      <c r="GFK34" s="1884"/>
      <c r="GFL34" s="1884"/>
      <c r="GFM34" s="1884"/>
      <c r="GFN34" s="1884"/>
      <c r="GFO34" s="1884"/>
      <c r="GFP34" s="1884"/>
      <c r="GFQ34" s="1884"/>
      <c r="GFR34" s="1884"/>
      <c r="GFS34" s="1884"/>
      <c r="GFT34" s="1884"/>
      <c r="GFU34" s="1884"/>
      <c r="GFV34" s="1884"/>
      <c r="GFW34" s="1884"/>
      <c r="GFX34" s="1884"/>
      <c r="GFY34" s="1884"/>
      <c r="GFZ34" s="1884"/>
      <c r="GGA34" s="1884"/>
      <c r="GGB34" s="1884"/>
      <c r="GGC34" s="1884"/>
      <c r="GGD34" s="1884"/>
      <c r="GGE34" s="1884"/>
      <c r="GGF34" s="1884"/>
      <c r="GGG34" s="1884"/>
      <c r="GGH34" s="1884"/>
      <c r="GGI34" s="1884"/>
      <c r="GGJ34" s="1884"/>
      <c r="GGK34" s="1884"/>
      <c r="GGL34" s="1884"/>
      <c r="GGM34" s="1884"/>
      <c r="GGN34" s="1884"/>
      <c r="GGO34" s="1884"/>
      <c r="GGP34" s="1884"/>
      <c r="GGQ34" s="1884"/>
      <c r="GGR34" s="1884"/>
      <c r="GGS34" s="1884"/>
      <c r="GGT34" s="1884"/>
      <c r="GGU34" s="1884"/>
      <c r="GGV34" s="1884"/>
      <c r="GGW34" s="1884"/>
      <c r="GGX34" s="1884"/>
      <c r="GGY34" s="1884"/>
      <c r="GGZ34" s="1884"/>
      <c r="GHA34" s="1884"/>
      <c r="GHB34" s="1884"/>
      <c r="GHC34" s="1884"/>
      <c r="GHD34" s="1884"/>
      <c r="GHE34" s="1884"/>
      <c r="GHF34" s="1884"/>
      <c r="GHG34" s="1884"/>
      <c r="GHH34" s="1884"/>
      <c r="GHI34" s="1884"/>
      <c r="GHJ34" s="1884"/>
      <c r="GHK34" s="1884"/>
      <c r="GHL34" s="1884"/>
      <c r="GHM34" s="1884"/>
      <c r="GHN34" s="1884"/>
      <c r="GHO34" s="1884"/>
      <c r="GHP34" s="1884"/>
      <c r="GHQ34" s="1884"/>
      <c r="GHR34" s="1884"/>
      <c r="GHS34" s="1884"/>
      <c r="GHT34" s="1884"/>
      <c r="GHU34" s="1884"/>
      <c r="GHV34" s="1884"/>
      <c r="GHW34" s="1884"/>
      <c r="GHX34" s="1884"/>
      <c r="GHY34" s="1884"/>
      <c r="GHZ34" s="1884"/>
      <c r="GIA34" s="1884"/>
      <c r="GIB34" s="1884"/>
      <c r="GIC34" s="1884"/>
      <c r="GID34" s="1884"/>
      <c r="GIE34" s="1884"/>
      <c r="GIF34" s="1884"/>
      <c r="GIG34" s="1884"/>
      <c r="GIH34" s="1884"/>
      <c r="GII34" s="1884"/>
      <c r="GIJ34" s="1884"/>
      <c r="GIK34" s="1884"/>
      <c r="GIL34" s="1884"/>
      <c r="GIM34" s="1884"/>
      <c r="GIN34" s="1884"/>
      <c r="GIO34" s="1884"/>
      <c r="GIP34" s="1884"/>
      <c r="GIQ34" s="1884"/>
      <c r="GIR34" s="1884"/>
      <c r="GIS34" s="1884"/>
      <c r="GIT34" s="1884"/>
      <c r="GIU34" s="1884"/>
      <c r="GIV34" s="1884"/>
      <c r="GIW34" s="1884"/>
      <c r="GIX34" s="1884"/>
      <c r="GIY34" s="1884"/>
      <c r="GIZ34" s="1884"/>
      <c r="GJA34" s="1884"/>
      <c r="GJB34" s="1884"/>
      <c r="GJC34" s="1884"/>
      <c r="GJD34" s="1884"/>
      <c r="GJE34" s="1884"/>
      <c r="GJF34" s="1884"/>
      <c r="GJG34" s="1884"/>
      <c r="GJH34" s="1884"/>
      <c r="GJI34" s="1884"/>
      <c r="GJJ34" s="1884"/>
      <c r="GJK34" s="1884"/>
      <c r="GJL34" s="1884"/>
      <c r="GJM34" s="1884"/>
      <c r="GJN34" s="1884"/>
      <c r="GJO34" s="1884"/>
      <c r="GJP34" s="1884"/>
      <c r="GJQ34" s="1884"/>
      <c r="GJR34" s="1884"/>
      <c r="GJS34" s="1884"/>
      <c r="GJT34" s="1884"/>
      <c r="GJU34" s="1884"/>
      <c r="GJV34" s="1884"/>
      <c r="GJW34" s="1884"/>
      <c r="GJX34" s="1884"/>
      <c r="GJY34" s="1884"/>
      <c r="GJZ34" s="1884"/>
      <c r="GKA34" s="1884"/>
      <c r="GKB34" s="1884"/>
      <c r="GKC34" s="1884"/>
      <c r="GKD34" s="1884"/>
      <c r="GKE34" s="1884"/>
      <c r="GKF34" s="1884"/>
      <c r="GKG34" s="1884"/>
      <c r="GKH34" s="1884"/>
      <c r="GKI34" s="1884"/>
      <c r="GKJ34" s="1884"/>
      <c r="GKK34" s="1884"/>
      <c r="GKL34" s="1884"/>
      <c r="GKM34" s="1884"/>
      <c r="GKN34" s="1884"/>
      <c r="GKO34" s="1884"/>
      <c r="GKP34" s="1884"/>
      <c r="GKQ34" s="1884"/>
      <c r="GKR34" s="1884"/>
      <c r="GKS34" s="1884"/>
      <c r="GKT34" s="1884"/>
      <c r="GKU34" s="1884"/>
      <c r="GKV34" s="1884"/>
      <c r="GKW34" s="1884"/>
      <c r="GKX34" s="1884"/>
      <c r="GKY34" s="1884"/>
      <c r="GKZ34" s="1884"/>
      <c r="GLA34" s="1884"/>
      <c r="GLB34" s="1884"/>
      <c r="GLC34" s="1884"/>
      <c r="GLD34" s="1884"/>
      <c r="GLE34" s="1884"/>
      <c r="GLF34" s="1884"/>
      <c r="GLG34" s="1884"/>
      <c r="GLH34" s="1884"/>
      <c r="GLI34" s="1884"/>
      <c r="GLJ34" s="1884"/>
      <c r="GLK34" s="1884"/>
      <c r="GLL34" s="1884"/>
      <c r="GLM34" s="1884"/>
      <c r="GLN34" s="1884"/>
      <c r="GLO34" s="1884"/>
      <c r="GLP34" s="1884"/>
      <c r="GLQ34" s="1884"/>
      <c r="GLR34" s="1884"/>
      <c r="GLS34" s="1884"/>
      <c r="GLT34" s="1884"/>
      <c r="GLU34" s="1884"/>
      <c r="GLV34" s="1884"/>
      <c r="GLW34" s="1884"/>
      <c r="GLX34" s="1884"/>
      <c r="GLY34" s="1884"/>
      <c r="GLZ34" s="1884"/>
      <c r="GMA34" s="1884"/>
      <c r="GMB34" s="1884"/>
      <c r="GMC34" s="1884"/>
      <c r="GMD34" s="1884"/>
      <c r="GME34" s="1884"/>
      <c r="GMF34" s="1884"/>
      <c r="GMG34" s="1884"/>
      <c r="GMH34" s="1884"/>
      <c r="GMI34" s="1884"/>
      <c r="GMJ34" s="1884"/>
      <c r="GMK34" s="1884"/>
      <c r="GML34" s="1884"/>
      <c r="GMM34" s="1884"/>
      <c r="GMN34" s="1884"/>
      <c r="GMO34" s="1884"/>
      <c r="GMP34" s="1884"/>
      <c r="GMQ34" s="1884"/>
      <c r="GMR34" s="1884"/>
      <c r="GMS34" s="1884"/>
      <c r="GMT34" s="1884"/>
      <c r="GMU34" s="1884"/>
      <c r="GMV34" s="1884"/>
      <c r="GMW34" s="1884"/>
      <c r="GMX34" s="1884"/>
      <c r="GMY34" s="1884"/>
      <c r="GMZ34" s="1884"/>
      <c r="GNA34" s="1884"/>
      <c r="GNB34" s="1884"/>
      <c r="GNC34" s="1884"/>
      <c r="GND34" s="1884"/>
      <c r="GNE34" s="1884"/>
      <c r="GNF34" s="1884"/>
      <c r="GNG34" s="1884"/>
      <c r="GNH34" s="1884"/>
      <c r="GNI34" s="1884"/>
      <c r="GNJ34" s="1884"/>
      <c r="GNK34" s="1884"/>
      <c r="GNL34" s="1884"/>
      <c r="GNM34" s="1884"/>
      <c r="GNN34" s="1884"/>
      <c r="GNO34" s="1884"/>
      <c r="GNP34" s="1884"/>
      <c r="GNQ34" s="1884"/>
      <c r="GNR34" s="1884"/>
      <c r="GNS34" s="1884"/>
      <c r="GNT34" s="1884"/>
      <c r="GNU34" s="1884"/>
      <c r="GNV34" s="1884"/>
      <c r="GNW34" s="1884"/>
      <c r="GNX34" s="1884"/>
      <c r="GNY34" s="1884"/>
      <c r="GNZ34" s="1884"/>
      <c r="GOA34" s="1884"/>
      <c r="GOB34" s="1884"/>
      <c r="GOC34" s="1884"/>
      <c r="GOD34" s="1884"/>
      <c r="GOE34" s="1884"/>
      <c r="GOF34" s="1884"/>
      <c r="GOG34" s="1884"/>
      <c r="GOH34" s="1884"/>
      <c r="GOI34" s="1884"/>
      <c r="GOJ34" s="1884"/>
      <c r="GOK34" s="1884"/>
      <c r="GOL34" s="1884"/>
      <c r="GOM34" s="1884"/>
      <c r="GON34" s="1884"/>
      <c r="GOO34" s="1884"/>
      <c r="GOP34" s="1884"/>
      <c r="GOQ34" s="1884"/>
      <c r="GOR34" s="1884"/>
      <c r="GOS34" s="1884"/>
      <c r="GOT34" s="1884"/>
      <c r="GOU34" s="1884"/>
      <c r="GOV34" s="1884"/>
      <c r="GOW34" s="1884"/>
      <c r="GOX34" s="1884"/>
      <c r="GOY34" s="1884"/>
      <c r="GOZ34" s="1884"/>
      <c r="GPA34" s="1884"/>
      <c r="GPB34" s="1884"/>
      <c r="GPC34" s="1884"/>
      <c r="GPD34" s="1884"/>
      <c r="GPE34" s="1884"/>
      <c r="GPF34" s="1884"/>
      <c r="GPG34" s="1884"/>
      <c r="GPH34" s="1884"/>
      <c r="GPI34" s="1884"/>
      <c r="GPJ34" s="1884"/>
      <c r="GPK34" s="1884"/>
      <c r="GPL34" s="1884"/>
      <c r="GPM34" s="1884"/>
      <c r="GPN34" s="1884"/>
      <c r="GPO34" s="1884"/>
      <c r="GPP34" s="1884"/>
      <c r="GPQ34" s="1884"/>
      <c r="GPR34" s="1884"/>
      <c r="GPS34" s="1884"/>
      <c r="GPT34" s="1884"/>
      <c r="GPU34" s="1884"/>
      <c r="GPV34" s="1884"/>
      <c r="GPW34" s="1884"/>
      <c r="GPX34" s="1884"/>
      <c r="GPY34" s="1884"/>
      <c r="GPZ34" s="1884"/>
      <c r="GQA34" s="1884"/>
      <c r="GQB34" s="1884"/>
      <c r="GQC34" s="1884"/>
      <c r="GQD34" s="1884"/>
      <c r="GQE34" s="1884"/>
      <c r="GQF34" s="1884"/>
      <c r="GQG34" s="1884"/>
      <c r="GQH34" s="1884"/>
      <c r="GQI34" s="1884"/>
      <c r="GQJ34" s="1884"/>
      <c r="GQK34" s="1884"/>
      <c r="GQL34" s="1884"/>
      <c r="GQM34" s="1884"/>
      <c r="GQN34" s="1884"/>
      <c r="GQO34" s="1884"/>
      <c r="GQP34" s="1884"/>
      <c r="GQQ34" s="1884"/>
      <c r="GQR34" s="1884"/>
      <c r="GQS34" s="1884"/>
      <c r="GQT34" s="1884"/>
      <c r="GQU34" s="1884"/>
      <c r="GQV34" s="1884"/>
      <c r="GQW34" s="1884"/>
      <c r="GQX34" s="1884"/>
      <c r="GQY34" s="1884"/>
      <c r="GQZ34" s="1884"/>
      <c r="GRA34" s="1884"/>
      <c r="GRB34" s="1884"/>
      <c r="GRC34" s="1884"/>
      <c r="GRD34" s="1884"/>
      <c r="GRE34" s="1884"/>
      <c r="GRF34" s="1884"/>
      <c r="GRG34" s="1884"/>
      <c r="GRH34" s="1884"/>
      <c r="GRI34" s="1884"/>
      <c r="GRJ34" s="1884"/>
      <c r="GRK34" s="1884"/>
      <c r="GRL34" s="1884"/>
      <c r="GRM34" s="1884"/>
      <c r="GRN34" s="1884"/>
      <c r="GRO34" s="1884"/>
      <c r="GRP34" s="1884"/>
      <c r="GRQ34" s="1884"/>
      <c r="GRR34" s="1884"/>
      <c r="GRS34" s="1884"/>
      <c r="GRT34" s="1884"/>
      <c r="GRU34" s="1884"/>
      <c r="GRV34" s="1884"/>
      <c r="GRW34" s="1884"/>
      <c r="GRX34" s="1884"/>
      <c r="GRY34" s="1884"/>
      <c r="GRZ34" s="1884"/>
      <c r="GSA34" s="1884"/>
      <c r="GSB34" s="1884"/>
      <c r="GSC34" s="1884"/>
      <c r="GSD34" s="1884"/>
      <c r="GSE34" s="1884"/>
      <c r="GSF34" s="1884"/>
      <c r="GSG34" s="1884"/>
      <c r="GSH34" s="1884"/>
      <c r="GSI34" s="1884"/>
      <c r="GSJ34" s="1884"/>
      <c r="GSK34" s="1884"/>
      <c r="GSL34" s="1884"/>
      <c r="GSM34" s="1884"/>
      <c r="GSN34" s="1884"/>
      <c r="GSO34" s="1884"/>
      <c r="GSP34" s="1884"/>
      <c r="GSQ34" s="1884"/>
      <c r="GSR34" s="1884"/>
      <c r="GSS34" s="1884"/>
      <c r="GST34" s="1884"/>
      <c r="GSU34" s="1884"/>
      <c r="GSV34" s="1884"/>
      <c r="GSW34" s="1884"/>
      <c r="GSX34" s="1884"/>
      <c r="GSY34" s="1884"/>
      <c r="GSZ34" s="1884"/>
      <c r="GTA34" s="1884"/>
      <c r="GTB34" s="1884"/>
      <c r="GTC34" s="1884"/>
      <c r="GTD34" s="1884"/>
      <c r="GTE34" s="1884"/>
      <c r="GTF34" s="1884"/>
      <c r="GTG34" s="1884"/>
      <c r="GTH34" s="1884"/>
      <c r="GTI34" s="1884"/>
      <c r="GTJ34" s="1884"/>
      <c r="GTK34" s="1884"/>
      <c r="GTL34" s="1884"/>
      <c r="GTM34" s="1884"/>
      <c r="GTN34" s="1884"/>
      <c r="GTO34" s="1884"/>
      <c r="GTP34" s="1884"/>
      <c r="GTQ34" s="1884"/>
      <c r="GTR34" s="1884"/>
      <c r="GTS34" s="1884"/>
      <c r="GTT34" s="1884"/>
      <c r="GTU34" s="1884"/>
      <c r="GTV34" s="1884"/>
      <c r="GTW34" s="1884"/>
      <c r="GTX34" s="1884"/>
      <c r="GTY34" s="1884"/>
      <c r="GTZ34" s="1884"/>
      <c r="GUA34" s="1884"/>
      <c r="GUB34" s="1884"/>
      <c r="GUC34" s="1884"/>
      <c r="GUD34" s="1884"/>
      <c r="GUE34" s="1884"/>
      <c r="GUF34" s="1884"/>
      <c r="GUG34" s="1884"/>
      <c r="GUH34" s="1884"/>
      <c r="GUI34" s="1884"/>
      <c r="GUJ34" s="1884"/>
      <c r="GUK34" s="1884"/>
      <c r="GUL34" s="1884"/>
      <c r="GUM34" s="1884"/>
      <c r="GUN34" s="1884"/>
      <c r="GUO34" s="1884"/>
      <c r="GUP34" s="1884"/>
      <c r="GUQ34" s="1884"/>
      <c r="GUR34" s="1884"/>
      <c r="GUS34" s="1884"/>
      <c r="GUT34" s="1884"/>
      <c r="GUU34" s="1884"/>
      <c r="GUV34" s="1884"/>
      <c r="GUW34" s="1884"/>
      <c r="GUX34" s="1884"/>
      <c r="GUY34" s="1884"/>
      <c r="GUZ34" s="1884"/>
      <c r="GVA34" s="1884"/>
      <c r="GVB34" s="1884"/>
      <c r="GVC34" s="1884"/>
      <c r="GVD34" s="1884"/>
      <c r="GVE34" s="1884"/>
      <c r="GVF34" s="1884"/>
      <c r="GVG34" s="1884"/>
      <c r="GVH34" s="1884"/>
      <c r="GVI34" s="1884"/>
      <c r="GVJ34" s="1884"/>
      <c r="GVK34" s="1884"/>
      <c r="GVL34" s="1884"/>
      <c r="GVM34" s="1884"/>
      <c r="GVN34" s="1884"/>
      <c r="GVO34" s="1884"/>
      <c r="GVP34" s="1884"/>
      <c r="GVQ34" s="1884"/>
      <c r="GVR34" s="1884"/>
      <c r="GVS34" s="1884"/>
      <c r="GVT34" s="1884"/>
      <c r="GVU34" s="1884"/>
      <c r="GVV34" s="1884"/>
      <c r="GVW34" s="1884"/>
      <c r="GVX34" s="1884"/>
      <c r="GVY34" s="1884"/>
      <c r="GVZ34" s="1884"/>
      <c r="GWA34" s="1884"/>
      <c r="GWB34" s="1884"/>
      <c r="GWC34" s="1884"/>
      <c r="GWD34" s="1884"/>
      <c r="GWE34" s="1884"/>
      <c r="GWF34" s="1884"/>
      <c r="GWG34" s="1884"/>
      <c r="GWH34" s="1884"/>
      <c r="GWI34" s="1884"/>
      <c r="GWJ34" s="1884"/>
      <c r="GWK34" s="1884"/>
      <c r="GWL34" s="1884"/>
      <c r="GWM34" s="1884"/>
      <c r="GWN34" s="1884"/>
      <c r="GWO34" s="1884"/>
      <c r="GWP34" s="1884"/>
      <c r="GWQ34" s="1884"/>
      <c r="GWR34" s="1884"/>
      <c r="GWS34" s="1884"/>
      <c r="GWT34" s="1884"/>
      <c r="GWU34" s="1884"/>
      <c r="GWV34" s="1884"/>
      <c r="GWW34" s="1884"/>
      <c r="GWX34" s="1884"/>
      <c r="GWY34" s="1884"/>
      <c r="GWZ34" s="1884"/>
      <c r="GXA34" s="1884"/>
      <c r="GXB34" s="1884"/>
      <c r="GXC34" s="1884"/>
      <c r="GXD34" s="1884"/>
      <c r="GXE34" s="1884"/>
      <c r="GXF34" s="1884"/>
      <c r="GXG34" s="1884"/>
      <c r="GXH34" s="1884"/>
      <c r="GXI34" s="1884"/>
      <c r="GXJ34" s="1884"/>
      <c r="GXK34" s="1884"/>
      <c r="GXL34" s="1884"/>
      <c r="GXM34" s="1884"/>
      <c r="GXN34" s="1884"/>
      <c r="GXO34" s="1884"/>
      <c r="GXP34" s="1884"/>
      <c r="GXQ34" s="1884"/>
      <c r="GXR34" s="1884"/>
      <c r="GXS34" s="1884"/>
      <c r="GXT34" s="1884"/>
      <c r="GXU34" s="1884"/>
      <c r="GXV34" s="1884"/>
      <c r="GXW34" s="1884"/>
      <c r="GXX34" s="1884"/>
      <c r="GXY34" s="1884"/>
      <c r="GXZ34" s="1884"/>
      <c r="GYA34" s="1884"/>
      <c r="GYB34" s="1884"/>
      <c r="GYC34" s="1884"/>
      <c r="GYD34" s="1884"/>
      <c r="GYE34" s="1884"/>
      <c r="GYF34" s="1884"/>
      <c r="GYG34" s="1884"/>
      <c r="GYH34" s="1884"/>
      <c r="GYI34" s="1884"/>
      <c r="GYJ34" s="1884"/>
      <c r="GYK34" s="1884"/>
      <c r="GYL34" s="1884"/>
      <c r="GYM34" s="1884"/>
      <c r="GYN34" s="1884"/>
      <c r="GYO34" s="1884"/>
      <c r="GYP34" s="1884"/>
      <c r="GYQ34" s="1884"/>
      <c r="GYR34" s="1884"/>
      <c r="GYS34" s="1884"/>
      <c r="GYT34" s="1884"/>
      <c r="GYU34" s="1884"/>
      <c r="GYV34" s="1884"/>
      <c r="GYW34" s="1884"/>
      <c r="GYX34" s="1884"/>
      <c r="GYY34" s="1884"/>
      <c r="GYZ34" s="1884"/>
      <c r="GZA34" s="1884"/>
      <c r="GZB34" s="1884"/>
      <c r="GZC34" s="1884"/>
      <c r="GZD34" s="1884"/>
      <c r="GZE34" s="1884"/>
      <c r="GZF34" s="1884"/>
      <c r="GZG34" s="1884"/>
      <c r="GZH34" s="1884"/>
      <c r="GZI34" s="1884"/>
      <c r="GZJ34" s="1884"/>
      <c r="GZK34" s="1884"/>
      <c r="GZL34" s="1884"/>
      <c r="GZM34" s="1884"/>
      <c r="GZN34" s="1884"/>
      <c r="GZO34" s="1884"/>
      <c r="GZP34" s="1884"/>
      <c r="GZQ34" s="1884"/>
      <c r="GZR34" s="1884"/>
      <c r="GZS34" s="1884"/>
      <c r="GZT34" s="1884"/>
      <c r="GZU34" s="1884"/>
      <c r="GZV34" s="1884"/>
      <c r="GZW34" s="1884"/>
      <c r="GZX34" s="1884"/>
      <c r="GZY34" s="1884"/>
      <c r="GZZ34" s="1884"/>
      <c r="HAA34" s="1884"/>
      <c r="HAB34" s="1884"/>
      <c r="HAC34" s="1884"/>
      <c r="HAD34" s="1884"/>
      <c r="HAE34" s="1884"/>
      <c r="HAF34" s="1884"/>
      <c r="HAG34" s="1884"/>
      <c r="HAH34" s="1884"/>
      <c r="HAI34" s="1884"/>
      <c r="HAJ34" s="1884"/>
      <c r="HAK34" s="1884"/>
      <c r="HAL34" s="1884"/>
      <c r="HAM34" s="1884"/>
      <c r="HAN34" s="1884"/>
      <c r="HAO34" s="1884"/>
      <c r="HAP34" s="1884"/>
      <c r="HAQ34" s="1884"/>
      <c r="HAR34" s="1884"/>
      <c r="HAS34" s="1884"/>
      <c r="HAT34" s="1884"/>
      <c r="HAU34" s="1884"/>
      <c r="HAV34" s="1884"/>
      <c r="HAW34" s="1884"/>
      <c r="HAX34" s="1884"/>
      <c r="HAY34" s="1884"/>
      <c r="HAZ34" s="1884"/>
      <c r="HBA34" s="1884"/>
      <c r="HBB34" s="1884"/>
      <c r="HBC34" s="1884"/>
      <c r="HBD34" s="1884"/>
      <c r="HBE34" s="1884"/>
      <c r="HBF34" s="1884"/>
      <c r="HBG34" s="1884"/>
      <c r="HBH34" s="1884"/>
      <c r="HBI34" s="1884"/>
      <c r="HBJ34" s="1884"/>
      <c r="HBK34" s="1884"/>
      <c r="HBL34" s="1884"/>
      <c r="HBM34" s="1884"/>
      <c r="HBN34" s="1884"/>
      <c r="HBO34" s="1884"/>
      <c r="HBP34" s="1884"/>
      <c r="HBQ34" s="1884"/>
      <c r="HBR34" s="1884"/>
      <c r="HBS34" s="1884"/>
      <c r="HBT34" s="1884"/>
      <c r="HBU34" s="1884"/>
      <c r="HBV34" s="1884"/>
      <c r="HBW34" s="1884"/>
      <c r="HBX34" s="1884"/>
      <c r="HBY34" s="1884"/>
      <c r="HBZ34" s="1884"/>
      <c r="HCA34" s="1884"/>
      <c r="HCB34" s="1884"/>
      <c r="HCC34" s="1884"/>
      <c r="HCD34" s="1884"/>
      <c r="HCE34" s="1884"/>
      <c r="HCF34" s="1884"/>
      <c r="HCG34" s="1884"/>
      <c r="HCH34" s="1884"/>
      <c r="HCI34" s="1884"/>
      <c r="HCJ34" s="1884"/>
      <c r="HCK34" s="1884"/>
      <c r="HCL34" s="1884"/>
      <c r="HCM34" s="1884"/>
      <c r="HCN34" s="1884"/>
      <c r="HCO34" s="1884"/>
      <c r="HCP34" s="1884"/>
      <c r="HCQ34" s="1884"/>
      <c r="HCR34" s="1884"/>
      <c r="HCS34" s="1884"/>
      <c r="HCT34" s="1884"/>
      <c r="HCU34" s="1884"/>
      <c r="HCV34" s="1884"/>
      <c r="HCW34" s="1884"/>
      <c r="HCX34" s="1884"/>
      <c r="HCY34" s="1884"/>
      <c r="HCZ34" s="1884"/>
      <c r="HDA34" s="1884"/>
      <c r="HDB34" s="1884"/>
      <c r="HDC34" s="1884"/>
      <c r="HDD34" s="1884"/>
      <c r="HDE34" s="1884"/>
      <c r="HDF34" s="1884"/>
      <c r="HDG34" s="1884"/>
      <c r="HDH34" s="1884"/>
      <c r="HDI34" s="1884"/>
      <c r="HDJ34" s="1884"/>
      <c r="HDK34" s="1884"/>
      <c r="HDL34" s="1884"/>
      <c r="HDM34" s="1884"/>
      <c r="HDN34" s="1884"/>
      <c r="HDO34" s="1884"/>
      <c r="HDP34" s="1884"/>
      <c r="HDQ34" s="1884"/>
      <c r="HDR34" s="1884"/>
      <c r="HDS34" s="1884"/>
      <c r="HDT34" s="1884"/>
      <c r="HDU34" s="1884"/>
      <c r="HDV34" s="1884"/>
      <c r="HDW34" s="1884"/>
      <c r="HDX34" s="1884"/>
      <c r="HDY34" s="1884"/>
      <c r="HDZ34" s="1884"/>
      <c r="HEA34" s="1884"/>
      <c r="HEB34" s="1884"/>
      <c r="HEC34" s="1884"/>
      <c r="HED34" s="1884"/>
      <c r="HEE34" s="1884"/>
      <c r="HEF34" s="1884"/>
      <c r="HEG34" s="1884"/>
      <c r="HEH34" s="1884"/>
      <c r="HEI34" s="1884"/>
      <c r="HEJ34" s="1884"/>
      <c r="HEK34" s="1884"/>
      <c r="HEL34" s="1884"/>
      <c r="HEM34" s="1884"/>
      <c r="HEN34" s="1884"/>
      <c r="HEO34" s="1884"/>
      <c r="HEP34" s="1884"/>
      <c r="HEQ34" s="1884"/>
      <c r="HER34" s="1884"/>
      <c r="HES34" s="1884"/>
      <c r="HET34" s="1884"/>
      <c r="HEU34" s="1884"/>
      <c r="HEV34" s="1884"/>
      <c r="HEW34" s="1884"/>
      <c r="HEX34" s="1884"/>
      <c r="HEY34" s="1884"/>
      <c r="HEZ34" s="1884"/>
      <c r="HFA34" s="1884"/>
      <c r="HFB34" s="1884"/>
      <c r="HFC34" s="1884"/>
      <c r="HFD34" s="1884"/>
      <c r="HFE34" s="1884"/>
      <c r="HFF34" s="1884"/>
      <c r="HFG34" s="1884"/>
      <c r="HFH34" s="1884"/>
      <c r="HFI34" s="1884"/>
      <c r="HFJ34" s="1884"/>
      <c r="HFK34" s="1884"/>
      <c r="HFL34" s="1884"/>
      <c r="HFM34" s="1884"/>
      <c r="HFN34" s="1884"/>
      <c r="HFO34" s="1884"/>
      <c r="HFP34" s="1884"/>
      <c r="HFQ34" s="1884"/>
      <c r="HFR34" s="1884"/>
      <c r="HFS34" s="1884"/>
      <c r="HFT34" s="1884"/>
      <c r="HFU34" s="1884"/>
      <c r="HFV34" s="1884"/>
      <c r="HFW34" s="1884"/>
      <c r="HFX34" s="1884"/>
      <c r="HFY34" s="1884"/>
      <c r="HFZ34" s="1884"/>
      <c r="HGA34" s="1884"/>
      <c r="HGB34" s="1884"/>
      <c r="HGC34" s="1884"/>
      <c r="HGD34" s="1884"/>
      <c r="HGE34" s="1884"/>
      <c r="HGF34" s="1884"/>
      <c r="HGG34" s="1884"/>
      <c r="HGH34" s="1884"/>
      <c r="HGI34" s="1884"/>
      <c r="HGJ34" s="1884"/>
      <c r="HGK34" s="1884"/>
      <c r="HGL34" s="1884"/>
      <c r="HGM34" s="1884"/>
      <c r="HGN34" s="1884"/>
      <c r="HGO34" s="1884"/>
      <c r="HGP34" s="1884"/>
      <c r="HGQ34" s="1884"/>
      <c r="HGR34" s="1884"/>
      <c r="HGS34" s="1884"/>
      <c r="HGT34" s="1884"/>
      <c r="HGU34" s="1884"/>
      <c r="HGV34" s="1884"/>
      <c r="HGW34" s="1884"/>
      <c r="HGX34" s="1884"/>
      <c r="HGY34" s="1884"/>
      <c r="HGZ34" s="1884"/>
      <c r="HHA34" s="1884"/>
      <c r="HHB34" s="1884"/>
      <c r="HHC34" s="1884"/>
      <c r="HHD34" s="1884"/>
      <c r="HHE34" s="1884"/>
      <c r="HHF34" s="1884"/>
      <c r="HHG34" s="1884"/>
      <c r="HHH34" s="1884"/>
      <c r="HHI34" s="1884"/>
      <c r="HHJ34" s="1884"/>
      <c r="HHK34" s="1884"/>
      <c r="HHL34" s="1884"/>
      <c r="HHM34" s="1884"/>
      <c r="HHN34" s="1884"/>
      <c r="HHO34" s="1884"/>
      <c r="HHP34" s="1884"/>
      <c r="HHQ34" s="1884"/>
      <c r="HHR34" s="1884"/>
      <c r="HHS34" s="1884"/>
      <c r="HHT34" s="1884"/>
      <c r="HHU34" s="1884"/>
      <c r="HHV34" s="1884"/>
      <c r="HHW34" s="1884"/>
      <c r="HHX34" s="1884"/>
      <c r="HHY34" s="1884"/>
      <c r="HHZ34" s="1884"/>
      <c r="HIA34" s="1884"/>
      <c r="HIB34" s="1884"/>
      <c r="HIC34" s="1884"/>
      <c r="HID34" s="1884"/>
      <c r="HIE34" s="1884"/>
      <c r="HIF34" s="1884"/>
      <c r="HIG34" s="1884"/>
      <c r="HIH34" s="1884"/>
      <c r="HII34" s="1884"/>
      <c r="HIJ34" s="1884"/>
      <c r="HIK34" s="1884"/>
      <c r="HIL34" s="1884"/>
      <c r="HIM34" s="1884"/>
      <c r="HIN34" s="1884"/>
      <c r="HIO34" s="1884"/>
      <c r="HIP34" s="1884"/>
      <c r="HIQ34" s="1884"/>
      <c r="HIR34" s="1884"/>
      <c r="HIS34" s="1884"/>
      <c r="HIT34" s="1884"/>
      <c r="HIU34" s="1884"/>
      <c r="HIV34" s="1884"/>
      <c r="HIW34" s="1884"/>
      <c r="HIX34" s="1884"/>
      <c r="HIY34" s="1884"/>
      <c r="HIZ34" s="1884"/>
      <c r="HJA34" s="1884"/>
      <c r="HJB34" s="1884"/>
      <c r="HJC34" s="1884"/>
      <c r="HJD34" s="1884"/>
      <c r="HJE34" s="1884"/>
      <c r="HJF34" s="1884"/>
      <c r="HJG34" s="1884"/>
      <c r="HJH34" s="1884"/>
      <c r="HJI34" s="1884"/>
      <c r="HJJ34" s="1884"/>
      <c r="HJK34" s="1884"/>
      <c r="HJL34" s="1884"/>
      <c r="HJM34" s="1884"/>
      <c r="HJN34" s="1884"/>
      <c r="HJO34" s="1884"/>
      <c r="HJP34" s="1884"/>
      <c r="HJQ34" s="1884"/>
      <c r="HJR34" s="1884"/>
      <c r="HJS34" s="1884"/>
      <c r="HJT34" s="1884"/>
      <c r="HJU34" s="1884"/>
      <c r="HJV34" s="1884"/>
      <c r="HJW34" s="1884"/>
      <c r="HJX34" s="1884"/>
      <c r="HJY34" s="1884"/>
      <c r="HJZ34" s="1884"/>
      <c r="HKA34" s="1884"/>
      <c r="HKB34" s="1884"/>
      <c r="HKC34" s="1884"/>
      <c r="HKD34" s="1884"/>
      <c r="HKE34" s="1884"/>
      <c r="HKF34" s="1884"/>
      <c r="HKG34" s="1884"/>
      <c r="HKH34" s="1884"/>
      <c r="HKI34" s="1884"/>
      <c r="HKJ34" s="1884"/>
      <c r="HKK34" s="1884"/>
      <c r="HKL34" s="1884"/>
      <c r="HKM34" s="1884"/>
      <c r="HKN34" s="1884"/>
      <c r="HKO34" s="1884"/>
      <c r="HKP34" s="1884"/>
      <c r="HKQ34" s="1884"/>
      <c r="HKR34" s="1884"/>
      <c r="HKS34" s="1884"/>
      <c r="HKT34" s="1884"/>
      <c r="HKU34" s="1884"/>
      <c r="HKV34" s="1884"/>
      <c r="HKW34" s="1884"/>
      <c r="HKX34" s="1884"/>
      <c r="HKY34" s="1884"/>
      <c r="HKZ34" s="1884"/>
      <c r="HLA34" s="1884"/>
      <c r="HLB34" s="1884"/>
      <c r="HLC34" s="1884"/>
      <c r="HLD34" s="1884"/>
      <c r="HLE34" s="1884"/>
      <c r="HLF34" s="1884"/>
      <c r="HLG34" s="1884"/>
      <c r="HLH34" s="1884"/>
      <c r="HLI34" s="1884"/>
      <c r="HLJ34" s="1884"/>
      <c r="HLK34" s="1884"/>
      <c r="HLL34" s="1884"/>
      <c r="HLM34" s="1884"/>
      <c r="HLN34" s="1884"/>
      <c r="HLO34" s="1884"/>
      <c r="HLP34" s="1884"/>
      <c r="HLQ34" s="1884"/>
      <c r="HLR34" s="1884"/>
      <c r="HLS34" s="1884"/>
      <c r="HLT34" s="1884"/>
      <c r="HLU34" s="1884"/>
      <c r="HLV34" s="1884"/>
      <c r="HLW34" s="1884"/>
      <c r="HLX34" s="1884"/>
      <c r="HLY34" s="1884"/>
      <c r="HLZ34" s="1884"/>
      <c r="HMA34" s="1884"/>
      <c r="HMB34" s="1884"/>
      <c r="HMC34" s="1884"/>
      <c r="HMD34" s="1884"/>
      <c r="HME34" s="1884"/>
      <c r="HMF34" s="1884"/>
      <c r="HMG34" s="1884"/>
      <c r="HMH34" s="1884"/>
      <c r="HMI34" s="1884"/>
      <c r="HMJ34" s="1884"/>
      <c r="HMK34" s="1884"/>
      <c r="HML34" s="1884"/>
      <c r="HMM34" s="1884"/>
      <c r="HMN34" s="1884"/>
      <c r="HMO34" s="1884"/>
      <c r="HMP34" s="1884"/>
      <c r="HMQ34" s="1884"/>
      <c r="HMR34" s="1884"/>
      <c r="HMS34" s="1884"/>
      <c r="HMT34" s="1884"/>
      <c r="HMU34" s="1884"/>
      <c r="HMV34" s="1884"/>
      <c r="HMW34" s="1884"/>
      <c r="HMX34" s="1884"/>
      <c r="HMY34" s="1884"/>
      <c r="HMZ34" s="1884"/>
      <c r="HNA34" s="1884"/>
      <c r="HNB34" s="1884"/>
      <c r="HNC34" s="1884"/>
      <c r="HND34" s="1884"/>
      <c r="HNE34" s="1884"/>
      <c r="HNF34" s="1884"/>
      <c r="HNG34" s="1884"/>
      <c r="HNH34" s="1884"/>
      <c r="HNI34" s="1884"/>
      <c r="HNJ34" s="1884"/>
      <c r="HNK34" s="1884"/>
      <c r="HNL34" s="1884"/>
      <c r="HNM34" s="1884"/>
      <c r="HNN34" s="1884"/>
      <c r="HNO34" s="1884"/>
      <c r="HNP34" s="1884"/>
      <c r="HNQ34" s="1884"/>
      <c r="HNR34" s="1884"/>
      <c r="HNS34" s="1884"/>
      <c r="HNT34" s="1884"/>
      <c r="HNU34" s="1884"/>
      <c r="HNV34" s="1884"/>
      <c r="HNW34" s="1884"/>
      <c r="HNX34" s="1884"/>
      <c r="HNY34" s="1884"/>
      <c r="HNZ34" s="1884"/>
      <c r="HOA34" s="1884"/>
      <c r="HOB34" s="1884"/>
      <c r="HOC34" s="1884"/>
      <c r="HOD34" s="1884"/>
      <c r="HOE34" s="1884"/>
      <c r="HOF34" s="1884"/>
      <c r="HOG34" s="1884"/>
      <c r="HOH34" s="1884"/>
      <c r="HOI34" s="1884"/>
      <c r="HOJ34" s="1884"/>
      <c r="HOK34" s="1884"/>
      <c r="HOL34" s="1884"/>
      <c r="HOM34" s="1884"/>
      <c r="HON34" s="1884"/>
      <c r="HOO34" s="1884"/>
      <c r="HOP34" s="1884"/>
      <c r="HOQ34" s="1884"/>
      <c r="HOR34" s="1884"/>
      <c r="HOS34" s="1884"/>
      <c r="HOT34" s="1884"/>
      <c r="HOU34" s="1884"/>
      <c r="HOV34" s="1884"/>
      <c r="HOW34" s="1884"/>
      <c r="HOX34" s="1884"/>
      <c r="HOY34" s="1884"/>
      <c r="HOZ34" s="1884"/>
      <c r="HPA34" s="1884"/>
      <c r="HPB34" s="1884"/>
      <c r="HPC34" s="1884"/>
      <c r="HPD34" s="1884"/>
      <c r="HPE34" s="1884"/>
      <c r="HPF34" s="1884"/>
      <c r="HPG34" s="1884"/>
      <c r="HPH34" s="1884"/>
      <c r="HPI34" s="1884"/>
      <c r="HPJ34" s="1884"/>
      <c r="HPK34" s="1884"/>
      <c r="HPL34" s="1884"/>
      <c r="HPM34" s="1884"/>
      <c r="HPN34" s="1884"/>
      <c r="HPO34" s="1884"/>
      <c r="HPP34" s="1884"/>
      <c r="HPQ34" s="1884"/>
      <c r="HPR34" s="1884"/>
      <c r="HPS34" s="1884"/>
      <c r="HPT34" s="1884"/>
      <c r="HPU34" s="1884"/>
      <c r="HPV34" s="1884"/>
      <c r="HPW34" s="1884"/>
      <c r="HPX34" s="1884"/>
      <c r="HPY34" s="1884"/>
      <c r="HPZ34" s="1884"/>
      <c r="HQA34" s="1884"/>
      <c r="HQB34" s="1884"/>
      <c r="HQC34" s="1884"/>
      <c r="HQD34" s="1884"/>
      <c r="HQE34" s="1884"/>
      <c r="HQF34" s="1884"/>
      <c r="HQG34" s="1884"/>
      <c r="HQH34" s="1884"/>
      <c r="HQI34" s="1884"/>
      <c r="HQJ34" s="1884"/>
      <c r="HQK34" s="1884"/>
      <c r="HQL34" s="1884"/>
      <c r="HQM34" s="1884"/>
      <c r="HQN34" s="1884"/>
      <c r="HQO34" s="1884"/>
      <c r="HQP34" s="1884"/>
      <c r="HQQ34" s="1884"/>
      <c r="HQR34" s="1884"/>
      <c r="HQS34" s="1884"/>
      <c r="HQT34" s="1884"/>
      <c r="HQU34" s="1884"/>
      <c r="HQV34" s="1884"/>
      <c r="HQW34" s="1884"/>
      <c r="HQX34" s="1884"/>
      <c r="HQY34" s="1884"/>
      <c r="HQZ34" s="1884"/>
      <c r="HRA34" s="1884"/>
      <c r="HRB34" s="1884"/>
      <c r="HRC34" s="1884"/>
      <c r="HRD34" s="1884"/>
      <c r="HRE34" s="1884"/>
      <c r="HRF34" s="1884"/>
      <c r="HRG34" s="1884"/>
      <c r="HRH34" s="1884"/>
      <c r="HRI34" s="1884"/>
      <c r="HRJ34" s="1884"/>
      <c r="HRK34" s="1884"/>
      <c r="HRL34" s="1884"/>
      <c r="HRM34" s="1884"/>
      <c r="HRN34" s="1884"/>
      <c r="HRO34" s="1884"/>
      <c r="HRP34" s="1884"/>
      <c r="HRQ34" s="1884"/>
      <c r="HRR34" s="1884"/>
      <c r="HRS34" s="1884"/>
      <c r="HRT34" s="1884"/>
      <c r="HRU34" s="1884"/>
      <c r="HRV34" s="1884"/>
      <c r="HRW34" s="1884"/>
      <c r="HRX34" s="1884"/>
      <c r="HRY34" s="1884"/>
      <c r="HRZ34" s="1884"/>
      <c r="HSA34" s="1884"/>
      <c r="HSB34" s="1884"/>
      <c r="HSC34" s="1884"/>
      <c r="HSD34" s="1884"/>
      <c r="HSE34" s="1884"/>
      <c r="HSF34" s="1884"/>
      <c r="HSG34" s="1884"/>
      <c r="HSH34" s="1884"/>
      <c r="HSI34" s="1884"/>
      <c r="HSJ34" s="1884"/>
      <c r="HSK34" s="1884"/>
      <c r="HSL34" s="1884"/>
      <c r="HSM34" s="1884"/>
      <c r="HSN34" s="1884"/>
      <c r="HSO34" s="1884"/>
      <c r="HSP34" s="1884"/>
      <c r="HSQ34" s="1884"/>
      <c r="HSR34" s="1884"/>
      <c r="HSS34" s="1884"/>
      <c r="HST34" s="1884"/>
      <c r="HSU34" s="1884"/>
      <c r="HSV34" s="1884"/>
      <c r="HSW34" s="1884"/>
      <c r="HSX34" s="1884"/>
      <c r="HSY34" s="1884"/>
      <c r="HSZ34" s="1884"/>
      <c r="HTA34" s="1884"/>
      <c r="HTB34" s="1884"/>
      <c r="HTC34" s="1884"/>
      <c r="HTD34" s="1884"/>
      <c r="HTE34" s="1884"/>
      <c r="HTF34" s="1884"/>
      <c r="HTG34" s="1884"/>
      <c r="HTH34" s="1884"/>
      <c r="HTI34" s="1884"/>
      <c r="HTJ34" s="1884"/>
      <c r="HTK34" s="1884"/>
      <c r="HTL34" s="1884"/>
      <c r="HTM34" s="1884"/>
      <c r="HTN34" s="1884"/>
      <c r="HTO34" s="1884"/>
      <c r="HTP34" s="1884"/>
      <c r="HTQ34" s="1884"/>
      <c r="HTR34" s="1884"/>
      <c r="HTS34" s="1884"/>
      <c r="HTT34" s="1884"/>
      <c r="HTU34" s="1884"/>
      <c r="HTV34" s="1884"/>
      <c r="HTW34" s="1884"/>
      <c r="HTX34" s="1884"/>
      <c r="HTY34" s="1884"/>
      <c r="HTZ34" s="1884"/>
      <c r="HUA34" s="1884"/>
      <c r="HUB34" s="1884"/>
      <c r="HUC34" s="1884"/>
      <c r="HUD34" s="1884"/>
      <c r="HUE34" s="1884"/>
      <c r="HUF34" s="1884"/>
      <c r="HUG34" s="1884"/>
      <c r="HUH34" s="1884"/>
      <c r="HUI34" s="1884"/>
      <c r="HUJ34" s="1884"/>
      <c r="HUK34" s="1884"/>
      <c r="HUL34" s="1884"/>
      <c r="HUM34" s="1884"/>
      <c r="HUN34" s="1884"/>
      <c r="HUO34" s="1884"/>
      <c r="HUP34" s="1884"/>
      <c r="HUQ34" s="1884"/>
      <c r="HUR34" s="1884"/>
      <c r="HUS34" s="1884"/>
      <c r="HUT34" s="1884"/>
      <c r="HUU34" s="1884"/>
      <c r="HUV34" s="1884"/>
      <c r="HUW34" s="1884"/>
      <c r="HUX34" s="1884"/>
      <c r="HUY34" s="1884"/>
      <c r="HUZ34" s="1884"/>
      <c r="HVA34" s="1884"/>
      <c r="HVB34" s="1884"/>
      <c r="HVC34" s="1884"/>
      <c r="HVD34" s="1884"/>
      <c r="HVE34" s="1884"/>
      <c r="HVF34" s="1884"/>
      <c r="HVG34" s="1884"/>
      <c r="HVH34" s="1884"/>
      <c r="HVI34" s="1884"/>
      <c r="HVJ34" s="1884"/>
      <c r="HVK34" s="1884"/>
      <c r="HVL34" s="1884"/>
      <c r="HVM34" s="1884"/>
      <c r="HVN34" s="1884"/>
      <c r="HVO34" s="1884"/>
      <c r="HVP34" s="1884"/>
      <c r="HVQ34" s="1884"/>
      <c r="HVR34" s="1884"/>
      <c r="HVS34" s="1884"/>
      <c r="HVT34" s="1884"/>
      <c r="HVU34" s="1884"/>
      <c r="HVV34" s="1884"/>
      <c r="HVW34" s="1884"/>
      <c r="HVX34" s="1884"/>
      <c r="HVY34" s="1884"/>
      <c r="HVZ34" s="1884"/>
      <c r="HWA34" s="1884"/>
      <c r="HWB34" s="1884"/>
      <c r="HWC34" s="1884"/>
      <c r="HWD34" s="1884"/>
      <c r="HWE34" s="1884"/>
      <c r="HWF34" s="1884"/>
      <c r="HWG34" s="1884"/>
      <c r="HWH34" s="1884"/>
      <c r="HWI34" s="1884"/>
      <c r="HWJ34" s="1884"/>
      <c r="HWK34" s="1884"/>
      <c r="HWL34" s="1884"/>
      <c r="HWM34" s="1884"/>
      <c r="HWN34" s="1884"/>
      <c r="HWO34" s="1884"/>
      <c r="HWP34" s="1884"/>
      <c r="HWQ34" s="1884"/>
      <c r="HWR34" s="1884"/>
      <c r="HWS34" s="1884"/>
      <c r="HWT34" s="1884"/>
      <c r="HWU34" s="1884"/>
      <c r="HWV34" s="1884"/>
      <c r="HWW34" s="1884"/>
      <c r="HWX34" s="1884"/>
      <c r="HWY34" s="1884"/>
      <c r="HWZ34" s="1884"/>
      <c r="HXA34" s="1884"/>
      <c r="HXB34" s="1884"/>
      <c r="HXC34" s="1884"/>
      <c r="HXD34" s="1884"/>
      <c r="HXE34" s="1884"/>
      <c r="HXF34" s="1884"/>
      <c r="HXG34" s="1884"/>
      <c r="HXH34" s="1884"/>
      <c r="HXI34" s="1884"/>
      <c r="HXJ34" s="1884"/>
      <c r="HXK34" s="1884"/>
      <c r="HXL34" s="1884"/>
      <c r="HXM34" s="1884"/>
      <c r="HXN34" s="1884"/>
      <c r="HXO34" s="1884"/>
      <c r="HXP34" s="1884"/>
      <c r="HXQ34" s="1884"/>
      <c r="HXR34" s="1884"/>
      <c r="HXS34" s="1884"/>
      <c r="HXT34" s="1884"/>
      <c r="HXU34" s="1884"/>
      <c r="HXV34" s="1884"/>
      <c r="HXW34" s="1884"/>
      <c r="HXX34" s="1884"/>
      <c r="HXY34" s="1884"/>
      <c r="HXZ34" s="1884"/>
      <c r="HYA34" s="1884"/>
      <c r="HYB34" s="1884"/>
      <c r="HYC34" s="1884"/>
      <c r="HYD34" s="1884"/>
      <c r="HYE34" s="1884"/>
      <c r="HYF34" s="1884"/>
      <c r="HYG34" s="1884"/>
      <c r="HYH34" s="1884"/>
      <c r="HYI34" s="1884"/>
      <c r="HYJ34" s="1884"/>
      <c r="HYK34" s="1884"/>
      <c r="HYL34" s="1884"/>
      <c r="HYM34" s="1884"/>
      <c r="HYN34" s="1884"/>
      <c r="HYO34" s="1884"/>
      <c r="HYP34" s="1884"/>
      <c r="HYQ34" s="1884"/>
      <c r="HYR34" s="1884"/>
      <c r="HYS34" s="1884"/>
      <c r="HYT34" s="1884"/>
      <c r="HYU34" s="1884"/>
      <c r="HYV34" s="1884"/>
      <c r="HYW34" s="1884"/>
      <c r="HYX34" s="1884"/>
      <c r="HYY34" s="1884"/>
      <c r="HYZ34" s="1884"/>
      <c r="HZA34" s="1884"/>
      <c r="HZB34" s="1884"/>
      <c r="HZC34" s="1884"/>
      <c r="HZD34" s="1884"/>
      <c r="HZE34" s="1884"/>
      <c r="HZF34" s="1884"/>
      <c r="HZG34" s="1884"/>
      <c r="HZH34" s="1884"/>
      <c r="HZI34" s="1884"/>
      <c r="HZJ34" s="1884"/>
      <c r="HZK34" s="1884"/>
      <c r="HZL34" s="1884"/>
      <c r="HZM34" s="1884"/>
      <c r="HZN34" s="1884"/>
      <c r="HZO34" s="1884"/>
      <c r="HZP34" s="1884"/>
      <c r="HZQ34" s="1884"/>
      <c r="HZR34" s="1884"/>
      <c r="HZS34" s="1884"/>
      <c r="HZT34" s="1884"/>
      <c r="HZU34" s="1884"/>
      <c r="HZV34" s="1884"/>
      <c r="HZW34" s="1884"/>
      <c r="HZX34" s="1884"/>
      <c r="HZY34" s="1884"/>
      <c r="HZZ34" s="1884"/>
      <c r="IAA34" s="1884"/>
      <c r="IAB34" s="1884"/>
      <c r="IAC34" s="1884"/>
      <c r="IAD34" s="1884"/>
      <c r="IAE34" s="1884"/>
      <c r="IAF34" s="1884"/>
      <c r="IAG34" s="1884"/>
      <c r="IAH34" s="1884"/>
      <c r="IAI34" s="1884"/>
      <c r="IAJ34" s="1884"/>
      <c r="IAK34" s="1884"/>
      <c r="IAL34" s="1884"/>
      <c r="IAM34" s="1884"/>
      <c r="IAN34" s="1884"/>
      <c r="IAO34" s="1884"/>
      <c r="IAP34" s="1884"/>
      <c r="IAQ34" s="1884"/>
      <c r="IAR34" s="1884"/>
      <c r="IAS34" s="1884"/>
      <c r="IAT34" s="1884"/>
      <c r="IAU34" s="1884"/>
      <c r="IAV34" s="1884"/>
      <c r="IAW34" s="1884"/>
      <c r="IAX34" s="1884"/>
      <c r="IAY34" s="1884"/>
      <c r="IAZ34" s="1884"/>
      <c r="IBA34" s="1884"/>
      <c r="IBB34" s="1884"/>
      <c r="IBC34" s="1884"/>
      <c r="IBD34" s="1884"/>
      <c r="IBE34" s="1884"/>
      <c r="IBF34" s="1884"/>
      <c r="IBG34" s="1884"/>
      <c r="IBH34" s="1884"/>
      <c r="IBI34" s="1884"/>
      <c r="IBJ34" s="1884"/>
      <c r="IBK34" s="1884"/>
      <c r="IBL34" s="1884"/>
      <c r="IBM34" s="1884"/>
      <c r="IBN34" s="1884"/>
      <c r="IBO34" s="1884"/>
      <c r="IBP34" s="1884"/>
      <c r="IBQ34" s="1884"/>
      <c r="IBR34" s="1884"/>
      <c r="IBS34" s="1884"/>
      <c r="IBT34" s="1884"/>
      <c r="IBU34" s="1884"/>
      <c r="IBV34" s="1884"/>
      <c r="IBW34" s="1884"/>
      <c r="IBX34" s="1884"/>
      <c r="IBY34" s="1884"/>
      <c r="IBZ34" s="1884"/>
      <c r="ICA34" s="1884"/>
      <c r="ICB34" s="1884"/>
      <c r="ICC34" s="1884"/>
      <c r="ICD34" s="1884"/>
      <c r="ICE34" s="1884"/>
      <c r="ICF34" s="1884"/>
      <c r="ICG34" s="1884"/>
      <c r="ICH34" s="1884"/>
      <c r="ICI34" s="1884"/>
      <c r="ICJ34" s="1884"/>
      <c r="ICK34" s="1884"/>
      <c r="ICL34" s="1884"/>
      <c r="ICM34" s="1884"/>
      <c r="ICN34" s="1884"/>
      <c r="ICO34" s="1884"/>
      <c r="ICP34" s="1884"/>
      <c r="ICQ34" s="1884"/>
      <c r="ICR34" s="1884"/>
      <c r="ICS34" s="1884"/>
      <c r="ICT34" s="1884"/>
      <c r="ICU34" s="1884"/>
      <c r="ICV34" s="1884"/>
      <c r="ICW34" s="1884"/>
      <c r="ICX34" s="1884"/>
      <c r="ICY34" s="1884"/>
      <c r="ICZ34" s="1884"/>
      <c r="IDA34" s="1884"/>
      <c r="IDB34" s="1884"/>
      <c r="IDC34" s="1884"/>
      <c r="IDD34" s="1884"/>
      <c r="IDE34" s="1884"/>
      <c r="IDF34" s="1884"/>
      <c r="IDG34" s="1884"/>
      <c r="IDH34" s="1884"/>
      <c r="IDI34" s="1884"/>
      <c r="IDJ34" s="1884"/>
      <c r="IDK34" s="1884"/>
      <c r="IDL34" s="1884"/>
      <c r="IDM34" s="1884"/>
      <c r="IDN34" s="1884"/>
      <c r="IDO34" s="1884"/>
      <c r="IDP34" s="1884"/>
      <c r="IDQ34" s="1884"/>
      <c r="IDR34" s="1884"/>
      <c r="IDS34" s="1884"/>
      <c r="IDT34" s="1884"/>
      <c r="IDU34" s="1884"/>
      <c r="IDV34" s="1884"/>
      <c r="IDW34" s="1884"/>
      <c r="IDX34" s="1884"/>
      <c r="IDY34" s="1884"/>
      <c r="IDZ34" s="1884"/>
      <c r="IEA34" s="1884"/>
      <c r="IEB34" s="1884"/>
      <c r="IEC34" s="1884"/>
      <c r="IED34" s="1884"/>
      <c r="IEE34" s="1884"/>
      <c r="IEF34" s="1884"/>
      <c r="IEG34" s="1884"/>
      <c r="IEH34" s="1884"/>
      <c r="IEI34" s="1884"/>
      <c r="IEJ34" s="1884"/>
      <c r="IEK34" s="1884"/>
      <c r="IEL34" s="1884"/>
      <c r="IEM34" s="1884"/>
      <c r="IEN34" s="1884"/>
      <c r="IEO34" s="1884"/>
      <c r="IEP34" s="1884"/>
      <c r="IEQ34" s="1884"/>
      <c r="IER34" s="1884"/>
      <c r="IES34" s="1884"/>
      <c r="IET34" s="1884"/>
      <c r="IEU34" s="1884"/>
      <c r="IEV34" s="1884"/>
      <c r="IEW34" s="1884"/>
      <c r="IEX34" s="1884"/>
      <c r="IEY34" s="1884"/>
      <c r="IEZ34" s="1884"/>
      <c r="IFA34" s="1884"/>
      <c r="IFB34" s="1884"/>
      <c r="IFC34" s="1884"/>
      <c r="IFD34" s="1884"/>
      <c r="IFE34" s="1884"/>
      <c r="IFF34" s="1884"/>
      <c r="IFG34" s="1884"/>
      <c r="IFH34" s="1884"/>
      <c r="IFI34" s="1884"/>
      <c r="IFJ34" s="1884"/>
      <c r="IFK34" s="1884"/>
      <c r="IFL34" s="1884"/>
      <c r="IFM34" s="1884"/>
      <c r="IFN34" s="1884"/>
      <c r="IFO34" s="1884"/>
      <c r="IFP34" s="1884"/>
      <c r="IFQ34" s="1884"/>
      <c r="IFR34" s="1884"/>
      <c r="IFS34" s="1884"/>
      <c r="IFT34" s="1884"/>
      <c r="IFU34" s="1884"/>
      <c r="IFV34" s="1884"/>
      <c r="IFW34" s="1884"/>
      <c r="IFX34" s="1884"/>
      <c r="IFY34" s="1884"/>
      <c r="IFZ34" s="1884"/>
      <c r="IGA34" s="1884"/>
      <c r="IGB34" s="1884"/>
      <c r="IGC34" s="1884"/>
      <c r="IGD34" s="1884"/>
      <c r="IGE34" s="1884"/>
      <c r="IGF34" s="1884"/>
      <c r="IGG34" s="1884"/>
      <c r="IGH34" s="1884"/>
      <c r="IGI34" s="1884"/>
      <c r="IGJ34" s="1884"/>
      <c r="IGK34" s="1884"/>
      <c r="IGL34" s="1884"/>
      <c r="IGM34" s="1884"/>
      <c r="IGN34" s="1884"/>
      <c r="IGO34" s="1884"/>
      <c r="IGP34" s="1884"/>
      <c r="IGQ34" s="1884"/>
      <c r="IGR34" s="1884"/>
      <c r="IGS34" s="1884"/>
      <c r="IGT34" s="1884"/>
      <c r="IGU34" s="1884"/>
      <c r="IGV34" s="1884"/>
      <c r="IGW34" s="1884"/>
      <c r="IGX34" s="1884"/>
      <c r="IGY34" s="1884"/>
      <c r="IGZ34" s="1884"/>
      <c r="IHA34" s="1884"/>
      <c r="IHB34" s="1884"/>
      <c r="IHC34" s="1884"/>
      <c r="IHD34" s="1884"/>
      <c r="IHE34" s="1884"/>
      <c r="IHF34" s="1884"/>
      <c r="IHG34" s="1884"/>
      <c r="IHH34" s="1884"/>
      <c r="IHI34" s="1884"/>
      <c r="IHJ34" s="1884"/>
      <c r="IHK34" s="1884"/>
      <c r="IHL34" s="1884"/>
      <c r="IHM34" s="1884"/>
      <c r="IHN34" s="1884"/>
      <c r="IHO34" s="1884"/>
      <c r="IHP34" s="1884"/>
      <c r="IHQ34" s="1884"/>
      <c r="IHR34" s="1884"/>
      <c r="IHS34" s="1884"/>
      <c r="IHT34" s="1884"/>
      <c r="IHU34" s="1884"/>
      <c r="IHV34" s="1884"/>
      <c r="IHW34" s="1884"/>
      <c r="IHX34" s="1884"/>
      <c r="IHY34" s="1884"/>
      <c r="IHZ34" s="1884"/>
      <c r="IIA34" s="1884"/>
      <c r="IIB34" s="1884"/>
      <c r="IIC34" s="1884"/>
      <c r="IID34" s="1884"/>
      <c r="IIE34" s="1884"/>
      <c r="IIF34" s="1884"/>
      <c r="IIG34" s="1884"/>
      <c r="IIH34" s="1884"/>
      <c r="III34" s="1884"/>
      <c r="IIJ34" s="1884"/>
      <c r="IIK34" s="1884"/>
      <c r="IIL34" s="1884"/>
      <c r="IIM34" s="1884"/>
      <c r="IIN34" s="1884"/>
      <c r="IIO34" s="1884"/>
      <c r="IIP34" s="1884"/>
      <c r="IIQ34" s="1884"/>
      <c r="IIR34" s="1884"/>
      <c r="IIS34" s="1884"/>
      <c r="IIT34" s="1884"/>
      <c r="IIU34" s="1884"/>
      <c r="IIV34" s="1884"/>
      <c r="IIW34" s="1884"/>
      <c r="IIX34" s="1884"/>
      <c r="IIY34" s="1884"/>
      <c r="IIZ34" s="1884"/>
      <c r="IJA34" s="1884"/>
      <c r="IJB34" s="1884"/>
      <c r="IJC34" s="1884"/>
      <c r="IJD34" s="1884"/>
      <c r="IJE34" s="1884"/>
      <c r="IJF34" s="1884"/>
      <c r="IJG34" s="1884"/>
      <c r="IJH34" s="1884"/>
      <c r="IJI34" s="1884"/>
      <c r="IJJ34" s="1884"/>
      <c r="IJK34" s="1884"/>
      <c r="IJL34" s="1884"/>
      <c r="IJM34" s="1884"/>
      <c r="IJN34" s="1884"/>
      <c r="IJO34" s="1884"/>
      <c r="IJP34" s="1884"/>
      <c r="IJQ34" s="1884"/>
      <c r="IJR34" s="1884"/>
      <c r="IJS34" s="1884"/>
      <c r="IJT34" s="1884"/>
      <c r="IJU34" s="1884"/>
      <c r="IJV34" s="1884"/>
      <c r="IJW34" s="1884"/>
      <c r="IJX34" s="1884"/>
      <c r="IJY34" s="1884"/>
      <c r="IJZ34" s="1884"/>
      <c r="IKA34" s="1884"/>
      <c r="IKB34" s="1884"/>
      <c r="IKC34" s="1884"/>
      <c r="IKD34" s="1884"/>
      <c r="IKE34" s="1884"/>
      <c r="IKF34" s="1884"/>
      <c r="IKG34" s="1884"/>
      <c r="IKH34" s="1884"/>
      <c r="IKI34" s="1884"/>
      <c r="IKJ34" s="1884"/>
      <c r="IKK34" s="1884"/>
      <c r="IKL34" s="1884"/>
      <c r="IKM34" s="1884"/>
      <c r="IKN34" s="1884"/>
      <c r="IKO34" s="1884"/>
      <c r="IKP34" s="1884"/>
      <c r="IKQ34" s="1884"/>
      <c r="IKR34" s="1884"/>
      <c r="IKS34" s="1884"/>
      <c r="IKT34" s="1884"/>
      <c r="IKU34" s="1884"/>
      <c r="IKV34" s="1884"/>
      <c r="IKW34" s="1884"/>
      <c r="IKX34" s="1884"/>
      <c r="IKY34" s="1884"/>
      <c r="IKZ34" s="1884"/>
      <c r="ILA34" s="1884"/>
      <c r="ILB34" s="1884"/>
      <c r="ILC34" s="1884"/>
      <c r="ILD34" s="1884"/>
      <c r="ILE34" s="1884"/>
      <c r="ILF34" s="1884"/>
      <c r="ILG34" s="1884"/>
      <c r="ILH34" s="1884"/>
      <c r="ILI34" s="1884"/>
      <c r="ILJ34" s="1884"/>
      <c r="ILK34" s="1884"/>
      <c r="ILL34" s="1884"/>
      <c r="ILM34" s="1884"/>
      <c r="ILN34" s="1884"/>
      <c r="ILO34" s="1884"/>
      <c r="ILP34" s="1884"/>
      <c r="ILQ34" s="1884"/>
      <c r="ILR34" s="1884"/>
      <c r="ILS34" s="1884"/>
      <c r="ILT34" s="1884"/>
      <c r="ILU34" s="1884"/>
      <c r="ILV34" s="1884"/>
      <c r="ILW34" s="1884"/>
      <c r="ILX34" s="1884"/>
      <c r="ILY34" s="1884"/>
      <c r="ILZ34" s="1884"/>
      <c r="IMA34" s="1884"/>
      <c r="IMB34" s="1884"/>
      <c r="IMC34" s="1884"/>
      <c r="IMD34" s="1884"/>
      <c r="IME34" s="1884"/>
      <c r="IMF34" s="1884"/>
      <c r="IMG34" s="1884"/>
      <c r="IMH34" s="1884"/>
      <c r="IMI34" s="1884"/>
      <c r="IMJ34" s="1884"/>
      <c r="IMK34" s="1884"/>
      <c r="IML34" s="1884"/>
      <c r="IMM34" s="1884"/>
      <c r="IMN34" s="1884"/>
      <c r="IMO34" s="1884"/>
      <c r="IMP34" s="1884"/>
      <c r="IMQ34" s="1884"/>
      <c r="IMR34" s="1884"/>
      <c r="IMS34" s="1884"/>
      <c r="IMT34" s="1884"/>
      <c r="IMU34" s="1884"/>
      <c r="IMV34" s="1884"/>
      <c r="IMW34" s="1884"/>
      <c r="IMX34" s="1884"/>
      <c r="IMY34" s="1884"/>
      <c r="IMZ34" s="1884"/>
      <c r="INA34" s="1884"/>
      <c r="INB34" s="1884"/>
      <c r="INC34" s="1884"/>
      <c r="IND34" s="1884"/>
      <c r="INE34" s="1884"/>
      <c r="INF34" s="1884"/>
      <c r="ING34" s="1884"/>
      <c r="INH34" s="1884"/>
      <c r="INI34" s="1884"/>
      <c r="INJ34" s="1884"/>
      <c r="INK34" s="1884"/>
      <c r="INL34" s="1884"/>
      <c r="INM34" s="1884"/>
      <c r="INN34" s="1884"/>
      <c r="INO34" s="1884"/>
      <c r="INP34" s="1884"/>
      <c r="INQ34" s="1884"/>
      <c r="INR34" s="1884"/>
      <c r="INS34" s="1884"/>
      <c r="INT34" s="1884"/>
      <c r="INU34" s="1884"/>
      <c r="INV34" s="1884"/>
      <c r="INW34" s="1884"/>
      <c r="INX34" s="1884"/>
      <c r="INY34" s="1884"/>
      <c r="INZ34" s="1884"/>
      <c r="IOA34" s="1884"/>
      <c r="IOB34" s="1884"/>
      <c r="IOC34" s="1884"/>
      <c r="IOD34" s="1884"/>
      <c r="IOE34" s="1884"/>
      <c r="IOF34" s="1884"/>
      <c r="IOG34" s="1884"/>
      <c r="IOH34" s="1884"/>
      <c r="IOI34" s="1884"/>
      <c r="IOJ34" s="1884"/>
      <c r="IOK34" s="1884"/>
      <c r="IOL34" s="1884"/>
      <c r="IOM34" s="1884"/>
      <c r="ION34" s="1884"/>
      <c r="IOO34" s="1884"/>
      <c r="IOP34" s="1884"/>
      <c r="IOQ34" s="1884"/>
      <c r="IOR34" s="1884"/>
      <c r="IOS34" s="1884"/>
      <c r="IOT34" s="1884"/>
      <c r="IOU34" s="1884"/>
      <c r="IOV34" s="1884"/>
      <c r="IOW34" s="1884"/>
      <c r="IOX34" s="1884"/>
      <c r="IOY34" s="1884"/>
      <c r="IOZ34" s="1884"/>
      <c r="IPA34" s="1884"/>
      <c r="IPB34" s="1884"/>
      <c r="IPC34" s="1884"/>
      <c r="IPD34" s="1884"/>
      <c r="IPE34" s="1884"/>
      <c r="IPF34" s="1884"/>
      <c r="IPG34" s="1884"/>
      <c r="IPH34" s="1884"/>
      <c r="IPI34" s="1884"/>
      <c r="IPJ34" s="1884"/>
      <c r="IPK34" s="1884"/>
      <c r="IPL34" s="1884"/>
      <c r="IPM34" s="1884"/>
      <c r="IPN34" s="1884"/>
      <c r="IPO34" s="1884"/>
      <c r="IPP34" s="1884"/>
      <c r="IPQ34" s="1884"/>
      <c r="IPR34" s="1884"/>
      <c r="IPS34" s="1884"/>
      <c r="IPT34" s="1884"/>
      <c r="IPU34" s="1884"/>
      <c r="IPV34" s="1884"/>
      <c r="IPW34" s="1884"/>
      <c r="IPX34" s="1884"/>
      <c r="IPY34" s="1884"/>
      <c r="IPZ34" s="1884"/>
      <c r="IQA34" s="1884"/>
      <c r="IQB34" s="1884"/>
      <c r="IQC34" s="1884"/>
      <c r="IQD34" s="1884"/>
      <c r="IQE34" s="1884"/>
      <c r="IQF34" s="1884"/>
      <c r="IQG34" s="1884"/>
      <c r="IQH34" s="1884"/>
      <c r="IQI34" s="1884"/>
      <c r="IQJ34" s="1884"/>
      <c r="IQK34" s="1884"/>
      <c r="IQL34" s="1884"/>
      <c r="IQM34" s="1884"/>
      <c r="IQN34" s="1884"/>
      <c r="IQO34" s="1884"/>
      <c r="IQP34" s="1884"/>
      <c r="IQQ34" s="1884"/>
      <c r="IQR34" s="1884"/>
      <c r="IQS34" s="1884"/>
      <c r="IQT34" s="1884"/>
      <c r="IQU34" s="1884"/>
      <c r="IQV34" s="1884"/>
      <c r="IQW34" s="1884"/>
      <c r="IQX34" s="1884"/>
      <c r="IQY34" s="1884"/>
      <c r="IQZ34" s="1884"/>
      <c r="IRA34" s="1884"/>
      <c r="IRB34" s="1884"/>
      <c r="IRC34" s="1884"/>
      <c r="IRD34" s="1884"/>
      <c r="IRE34" s="1884"/>
      <c r="IRF34" s="1884"/>
      <c r="IRG34" s="1884"/>
      <c r="IRH34" s="1884"/>
      <c r="IRI34" s="1884"/>
      <c r="IRJ34" s="1884"/>
      <c r="IRK34" s="1884"/>
      <c r="IRL34" s="1884"/>
      <c r="IRM34" s="1884"/>
      <c r="IRN34" s="1884"/>
      <c r="IRO34" s="1884"/>
      <c r="IRP34" s="1884"/>
      <c r="IRQ34" s="1884"/>
      <c r="IRR34" s="1884"/>
      <c r="IRS34" s="1884"/>
      <c r="IRT34" s="1884"/>
      <c r="IRU34" s="1884"/>
      <c r="IRV34" s="1884"/>
      <c r="IRW34" s="1884"/>
      <c r="IRX34" s="1884"/>
      <c r="IRY34" s="1884"/>
      <c r="IRZ34" s="1884"/>
      <c r="ISA34" s="1884"/>
      <c r="ISB34" s="1884"/>
      <c r="ISC34" s="1884"/>
      <c r="ISD34" s="1884"/>
      <c r="ISE34" s="1884"/>
      <c r="ISF34" s="1884"/>
      <c r="ISG34" s="1884"/>
      <c r="ISH34" s="1884"/>
      <c r="ISI34" s="1884"/>
      <c r="ISJ34" s="1884"/>
      <c r="ISK34" s="1884"/>
      <c r="ISL34" s="1884"/>
      <c r="ISM34" s="1884"/>
      <c r="ISN34" s="1884"/>
      <c r="ISO34" s="1884"/>
      <c r="ISP34" s="1884"/>
      <c r="ISQ34" s="1884"/>
      <c r="ISR34" s="1884"/>
      <c r="ISS34" s="1884"/>
      <c r="IST34" s="1884"/>
      <c r="ISU34" s="1884"/>
      <c r="ISV34" s="1884"/>
      <c r="ISW34" s="1884"/>
      <c r="ISX34" s="1884"/>
      <c r="ISY34" s="1884"/>
      <c r="ISZ34" s="1884"/>
      <c r="ITA34" s="1884"/>
      <c r="ITB34" s="1884"/>
      <c r="ITC34" s="1884"/>
      <c r="ITD34" s="1884"/>
      <c r="ITE34" s="1884"/>
      <c r="ITF34" s="1884"/>
      <c r="ITG34" s="1884"/>
      <c r="ITH34" s="1884"/>
      <c r="ITI34" s="1884"/>
      <c r="ITJ34" s="1884"/>
      <c r="ITK34" s="1884"/>
      <c r="ITL34" s="1884"/>
      <c r="ITM34" s="1884"/>
      <c r="ITN34" s="1884"/>
      <c r="ITO34" s="1884"/>
      <c r="ITP34" s="1884"/>
      <c r="ITQ34" s="1884"/>
      <c r="ITR34" s="1884"/>
      <c r="ITS34" s="1884"/>
      <c r="ITT34" s="1884"/>
      <c r="ITU34" s="1884"/>
      <c r="ITV34" s="1884"/>
      <c r="ITW34" s="1884"/>
      <c r="ITX34" s="1884"/>
      <c r="ITY34" s="1884"/>
      <c r="ITZ34" s="1884"/>
      <c r="IUA34" s="1884"/>
      <c r="IUB34" s="1884"/>
      <c r="IUC34" s="1884"/>
      <c r="IUD34" s="1884"/>
      <c r="IUE34" s="1884"/>
      <c r="IUF34" s="1884"/>
      <c r="IUG34" s="1884"/>
      <c r="IUH34" s="1884"/>
      <c r="IUI34" s="1884"/>
      <c r="IUJ34" s="1884"/>
      <c r="IUK34" s="1884"/>
      <c r="IUL34" s="1884"/>
      <c r="IUM34" s="1884"/>
      <c r="IUN34" s="1884"/>
      <c r="IUO34" s="1884"/>
      <c r="IUP34" s="1884"/>
      <c r="IUQ34" s="1884"/>
      <c r="IUR34" s="1884"/>
      <c r="IUS34" s="1884"/>
      <c r="IUT34" s="1884"/>
      <c r="IUU34" s="1884"/>
      <c r="IUV34" s="1884"/>
      <c r="IUW34" s="1884"/>
      <c r="IUX34" s="1884"/>
      <c r="IUY34" s="1884"/>
      <c r="IUZ34" s="1884"/>
      <c r="IVA34" s="1884"/>
      <c r="IVB34" s="1884"/>
      <c r="IVC34" s="1884"/>
      <c r="IVD34" s="1884"/>
      <c r="IVE34" s="1884"/>
      <c r="IVF34" s="1884"/>
      <c r="IVG34" s="1884"/>
      <c r="IVH34" s="1884"/>
      <c r="IVI34" s="1884"/>
      <c r="IVJ34" s="1884"/>
      <c r="IVK34" s="1884"/>
      <c r="IVL34" s="1884"/>
      <c r="IVM34" s="1884"/>
      <c r="IVN34" s="1884"/>
      <c r="IVO34" s="1884"/>
      <c r="IVP34" s="1884"/>
      <c r="IVQ34" s="1884"/>
      <c r="IVR34" s="1884"/>
      <c r="IVS34" s="1884"/>
      <c r="IVT34" s="1884"/>
      <c r="IVU34" s="1884"/>
      <c r="IVV34" s="1884"/>
      <c r="IVW34" s="1884"/>
      <c r="IVX34" s="1884"/>
      <c r="IVY34" s="1884"/>
      <c r="IVZ34" s="1884"/>
      <c r="IWA34" s="1884"/>
      <c r="IWB34" s="1884"/>
      <c r="IWC34" s="1884"/>
      <c r="IWD34" s="1884"/>
      <c r="IWE34" s="1884"/>
      <c r="IWF34" s="1884"/>
      <c r="IWG34" s="1884"/>
      <c r="IWH34" s="1884"/>
      <c r="IWI34" s="1884"/>
      <c r="IWJ34" s="1884"/>
      <c r="IWK34" s="1884"/>
      <c r="IWL34" s="1884"/>
      <c r="IWM34" s="1884"/>
      <c r="IWN34" s="1884"/>
      <c r="IWO34" s="1884"/>
      <c r="IWP34" s="1884"/>
      <c r="IWQ34" s="1884"/>
      <c r="IWR34" s="1884"/>
      <c r="IWS34" s="1884"/>
      <c r="IWT34" s="1884"/>
      <c r="IWU34" s="1884"/>
      <c r="IWV34" s="1884"/>
      <c r="IWW34" s="1884"/>
      <c r="IWX34" s="1884"/>
      <c r="IWY34" s="1884"/>
      <c r="IWZ34" s="1884"/>
      <c r="IXA34" s="1884"/>
      <c r="IXB34" s="1884"/>
      <c r="IXC34" s="1884"/>
      <c r="IXD34" s="1884"/>
      <c r="IXE34" s="1884"/>
      <c r="IXF34" s="1884"/>
      <c r="IXG34" s="1884"/>
      <c r="IXH34" s="1884"/>
      <c r="IXI34" s="1884"/>
      <c r="IXJ34" s="1884"/>
      <c r="IXK34" s="1884"/>
      <c r="IXL34" s="1884"/>
      <c r="IXM34" s="1884"/>
      <c r="IXN34" s="1884"/>
      <c r="IXO34" s="1884"/>
      <c r="IXP34" s="1884"/>
      <c r="IXQ34" s="1884"/>
      <c r="IXR34" s="1884"/>
      <c r="IXS34" s="1884"/>
      <c r="IXT34" s="1884"/>
      <c r="IXU34" s="1884"/>
      <c r="IXV34" s="1884"/>
      <c r="IXW34" s="1884"/>
      <c r="IXX34" s="1884"/>
      <c r="IXY34" s="1884"/>
      <c r="IXZ34" s="1884"/>
      <c r="IYA34" s="1884"/>
      <c r="IYB34" s="1884"/>
      <c r="IYC34" s="1884"/>
      <c r="IYD34" s="1884"/>
      <c r="IYE34" s="1884"/>
      <c r="IYF34" s="1884"/>
      <c r="IYG34" s="1884"/>
      <c r="IYH34" s="1884"/>
      <c r="IYI34" s="1884"/>
      <c r="IYJ34" s="1884"/>
      <c r="IYK34" s="1884"/>
      <c r="IYL34" s="1884"/>
      <c r="IYM34" s="1884"/>
      <c r="IYN34" s="1884"/>
      <c r="IYO34" s="1884"/>
      <c r="IYP34" s="1884"/>
      <c r="IYQ34" s="1884"/>
      <c r="IYR34" s="1884"/>
      <c r="IYS34" s="1884"/>
      <c r="IYT34" s="1884"/>
      <c r="IYU34" s="1884"/>
      <c r="IYV34" s="1884"/>
      <c r="IYW34" s="1884"/>
      <c r="IYX34" s="1884"/>
      <c r="IYY34" s="1884"/>
      <c r="IYZ34" s="1884"/>
      <c r="IZA34" s="1884"/>
      <c r="IZB34" s="1884"/>
      <c r="IZC34" s="1884"/>
      <c r="IZD34" s="1884"/>
      <c r="IZE34" s="1884"/>
      <c r="IZF34" s="1884"/>
      <c r="IZG34" s="1884"/>
      <c r="IZH34" s="1884"/>
      <c r="IZI34" s="1884"/>
      <c r="IZJ34" s="1884"/>
      <c r="IZK34" s="1884"/>
      <c r="IZL34" s="1884"/>
      <c r="IZM34" s="1884"/>
      <c r="IZN34" s="1884"/>
      <c r="IZO34" s="1884"/>
      <c r="IZP34" s="1884"/>
      <c r="IZQ34" s="1884"/>
      <c r="IZR34" s="1884"/>
      <c r="IZS34" s="1884"/>
      <c r="IZT34" s="1884"/>
      <c r="IZU34" s="1884"/>
      <c r="IZV34" s="1884"/>
      <c r="IZW34" s="1884"/>
      <c r="IZX34" s="1884"/>
      <c r="IZY34" s="1884"/>
      <c r="IZZ34" s="1884"/>
      <c r="JAA34" s="1884"/>
      <c r="JAB34" s="1884"/>
      <c r="JAC34" s="1884"/>
      <c r="JAD34" s="1884"/>
      <c r="JAE34" s="1884"/>
      <c r="JAF34" s="1884"/>
      <c r="JAG34" s="1884"/>
      <c r="JAH34" s="1884"/>
      <c r="JAI34" s="1884"/>
      <c r="JAJ34" s="1884"/>
      <c r="JAK34" s="1884"/>
      <c r="JAL34" s="1884"/>
      <c r="JAM34" s="1884"/>
      <c r="JAN34" s="1884"/>
      <c r="JAO34" s="1884"/>
      <c r="JAP34" s="1884"/>
      <c r="JAQ34" s="1884"/>
      <c r="JAR34" s="1884"/>
      <c r="JAS34" s="1884"/>
      <c r="JAT34" s="1884"/>
      <c r="JAU34" s="1884"/>
      <c r="JAV34" s="1884"/>
      <c r="JAW34" s="1884"/>
      <c r="JAX34" s="1884"/>
      <c r="JAY34" s="1884"/>
      <c r="JAZ34" s="1884"/>
      <c r="JBA34" s="1884"/>
      <c r="JBB34" s="1884"/>
      <c r="JBC34" s="1884"/>
      <c r="JBD34" s="1884"/>
      <c r="JBE34" s="1884"/>
      <c r="JBF34" s="1884"/>
      <c r="JBG34" s="1884"/>
      <c r="JBH34" s="1884"/>
      <c r="JBI34" s="1884"/>
      <c r="JBJ34" s="1884"/>
      <c r="JBK34" s="1884"/>
      <c r="JBL34" s="1884"/>
      <c r="JBM34" s="1884"/>
      <c r="JBN34" s="1884"/>
      <c r="JBO34" s="1884"/>
      <c r="JBP34" s="1884"/>
      <c r="JBQ34" s="1884"/>
      <c r="JBR34" s="1884"/>
      <c r="JBS34" s="1884"/>
      <c r="JBT34" s="1884"/>
      <c r="JBU34" s="1884"/>
      <c r="JBV34" s="1884"/>
      <c r="JBW34" s="1884"/>
      <c r="JBX34" s="1884"/>
      <c r="JBY34" s="1884"/>
      <c r="JBZ34" s="1884"/>
      <c r="JCA34" s="1884"/>
      <c r="JCB34" s="1884"/>
      <c r="JCC34" s="1884"/>
      <c r="JCD34" s="1884"/>
      <c r="JCE34" s="1884"/>
      <c r="JCF34" s="1884"/>
      <c r="JCG34" s="1884"/>
      <c r="JCH34" s="1884"/>
      <c r="JCI34" s="1884"/>
      <c r="JCJ34" s="1884"/>
      <c r="JCK34" s="1884"/>
      <c r="JCL34" s="1884"/>
      <c r="JCM34" s="1884"/>
      <c r="JCN34" s="1884"/>
      <c r="JCO34" s="1884"/>
      <c r="JCP34" s="1884"/>
      <c r="JCQ34" s="1884"/>
      <c r="JCR34" s="1884"/>
      <c r="JCS34" s="1884"/>
      <c r="JCT34" s="1884"/>
      <c r="JCU34" s="1884"/>
      <c r="JCV34" s="1884"/>
      <c r="JCW34" s="1884"/>
      <c r="JCX34" s="1884"/>
      <c r="JCY34" s="1884"/>
      <c r="JCZ34" s="1884"/>
      <c r="JDA34" s="1884"/>
      <c r="JDB34" s="1884"/>
      <c r="JDC34" s="1884"/>
      <c r="JDD34" s="1884"/>
      <c r="JDE34" s="1884"/>
      <c r="JDF34" s="1884"/>
      <c r="JDG34" s="1884"/>
      <c r="JDH34" s="1884"/>
      <c r="JDI34" s="1884"/>
      <c r="JDJ34" s="1884"/>
      <c r="JDK34" s="1884"/>
      <c r="JDL34" s="1884"/>
      <c r="JDM34" s="1884"/>
      <c r="JDN34" s="1884"/>
      <c r="JDO34" s="1884"/>
      <c r="JDP34" s="1884"/>
      <c r="JDQ34" s="1884"/>
      <c r="JDR34" s="1884"/>
      <c r="JDS34" s="1884"/>
      <c r="JDT34" s="1884"/>
      <c r="JDU34" s="1884"/>
      <c r="JDV34" s="1884"/>
      <c r="JDW34" s="1884"/>
      <c r="JDX34" s="1884"/>
      <c r="JDY34" s="1884"/>
      <c r="JDZ34" s="1884"/>
      <c r="JEA34" s="1884"/>
      <c r="JEB34" s="1884"/>
      <c r="JEC34" s="1884"/>
      <c r="JED34" s="1884"/>
      <c r="JEE34" s="1884"/>
      <c r="JEF34" s="1884"/>
      <c r="JEG34" s="1884"/>
      <c r="JEH34" s="1884"/>
      <c r="JEI34" s="1884"/>
      <c r="JEJ34" s="1884"/>
      <c r="JEK34" s="1884"/>
      <c r="JEL34" s="1884"/>
      <c r="JEM34" s="1884"/>
      <c r="JEN34" s="1884"/>
      <c r="JEO34" s="1884"/>
      <c r="JEP34" s="1884"/>
      <c r="JEQ34" s="1884"/>
      <c r="JER34" s="1884"/>
      <c r="JES34" s="1884"/>
      <c r="JET34" s="1884"/>
      <c r="JEU34" s="1884"/>
      <c r="JEV34" s="1884"/>
      <c r="JEW34" s="1884"/>
      <c r="JEX34" s="1884"/>
      <c r="JEY34" s="1884"/>
      <c r="JEZ34" s="1884"/>
      <c r="JFA34" s="1884"/>
      <c r="JFB34" s="1884"/>
      <c r="JFC34" s="1884"/>
      <c r="JFD34" s="1884"/>
      <c r="JFE34" s="1884"/>
      <c r="JFF34" s="1884"/>
      <c r="JFG34" s="1884"/>
      <c r="JFH34" s="1884"/>
      <c r="JFI34" s="1884"/>
      <c r="JFJ34" s="1884"/>
      <c r="JFK34" s="1884"/>
      <c r="JFL34" s="1884"/>
      <c r="JFM34" s="1884"/>
      <c r="JFN34" s="1884"/>
      <c r="JFO34" s="1884"/>
      <c r="JFP34" s="1884"/>
      <c r="JFQ34" s="1884"/>
      <c r="JFR34" s="1884"/>
      <c r="JFS34" s="1884"/>
      <c r="JFT34" s="1884"/>
      <c r="JFU34" s="1884"/>
      <c r="JFV34" s="1884"/>
      <c r="JFW34" s="1884"/>
      <c r="JFX34" s="1884"/>
      <c r="JFY34" s="1884"/>
      <c r="JFZ34" s="1884"/>
      <c r="JGA34" s="1884"/>
      <c r="JGB34" s="1884"/>
      <c r="JGC34" s="1884"/>
      <c r="JGD34" s="1884"/>
      <c r="JGE34" s="1884"/>
      <c r="JGF34" s="1884"/>
      <c r="JGG34" s="1884"/>
      <c r="JGH34" s="1884"/>
      <c r="JGI34" s="1884"/>
      <c r="JGJ34" s="1884"/>
      <c r="JGK34" s="1884"/>
      <c r="JGL34" s="1884"/>
      <c r="JGM34" s="1884"/>
      <c r="JGN34" s="1884"/>
      <c r="JGO34" s="1884"/>
      <c r="JGP34" s="1884"/>
      <c r="JGQ34" s="1884"/>
      <c r="JGR34" s="1884"/>
      <c r="JGS34" s="1884"/>
      <c r="JGT34" s="1884"/>
      <c r="JGU34" s="1884"/>
      <c r="JGV34" s="1884"/>
      <c r="JGW34" s="1884"/>
      <c r="JGX34" s="1884"/>
      <c r="JGY34" s="1884"/>
      <c r="JGZ34" s="1884"/>
      <c r="JHA34" s="1884"/>
      <c r="JHB34" s="1884"/>
      <c r="JHC34" s="1884"/>
      <c r="JHD34" s="1884"/>
      <c r="JHE34" s="1884"/>
      <c r="JHF34" s="1884"/>
      <c r="JHG34" s="1884"/>
      <c r="JHH34" s="1884"/>
      <c r="JHI34" s="1884"/>
      <c r="JHJ34" s="1884"/>
      <c r="JHK34" s="1884"/>
      <c r="JHL34" s="1884"/>
      <c r="JHM34" s="1884"/>
      <c r="JHN34" s="1884"/>
      <c r="JHO34" s="1884"/>
      <c r="JHP34" s="1884"/>
      <c r="JHQ34" s="1884"/>
      <c r="JHR34" s="1884"/>
      <c r="JHS34" s="1884"/>
      <c r="JHT34" s="1884"/>
      <c r="JHU34" s="1884"/>
      <c r="JHV34" s="1884"/>
      <c r="JHW34" s="1884"/>
      <c r="JHX34" s="1884"/>
      <c r="JHY34" s="1884"/>
      <c r="JHZ34" s="1884"/>
      <c r="JIA34" s="1884"/>
      <c r="JIB34" s="1884"/>
      <c r="JIC34" s="1884"/>
      <c r="JID34" s="1884"/>
      <c r="JIE34" s="1884"/>
      <c r="JIF34" s="1884"/>
      <c r="JIG34" s="1884"/>
      <c r="JIH34" s="1884"/>
      <c r="JII34" s="1884"/>
      <c r="JIJ34" s="1884"/>
      <c r="JIK34" s="1884"/>
      <c r="JIL34" s="1884"/>
      <c r="JIM34" s="1884"/>
      <c r="JIN34" s="1884"/>
      <c r="JIO34" s="1884"/>
      <c r="JIP34" s="1884"/>
      <c r="JIQ34" s="1884"/>
      <c r="JIR34" s="1884"/>
      <c r="JIS34" s="1884"/>
      <c r="JIT34" s="1884"/>
      <c r="JIU34" s="1884"/>
      <c r="JIV34" s="1884"/>
      <c r="JIW34" s="1884"/>
      <c r="JIX34" s="1884"/>
      <c r="JIY34" s="1884"/>
      <c r="JIZ34" s="1884"/>
      <c r="JJA34" s="1884"/>
      <c r="JJB34" s="1884"/>
      <c r="JJC34" s="1884"/>
      <c r="JJD34" s="1884"/>
      <c r="JJE34" s="1884"/>
      <c r="JJF34" s="1884"/>
      <c r="JJG34" s="1884"/>
      <c r="JJH34" s="1884"/>
      <c r="JJI34" s="1884"/>
      <c r="JJJ34" s="1884"/>
      <c r="JJK34" s="1884"/>
      <c r="JJL34" s="1884"/>
      <c r="JJM34" s="1884"/>
      <c r="JJN34" s="1884"/>
      <c r="JJO34" s="1884"/>
      <c r="JJP34" s="1884"/>
      <c r="JJQ34" s="1884"/>
      <c r="JJR34" s="1884"/>
      <c r="JJS34" s="1884"/>
      <c r="JJT34" s="1884"/>
      <c r="JJU34" s="1884"/>
      <c r="JJV34" s="1884"/>
      <c r="JJW34" s="1884"/>
      <c r="JJX34" s="1884"/>
      <c r="JJY34" s="1884"/>
      <c r="JJZ34" s="1884"/>
      <c r="JKA34" s="1884"/>
      <c r="JKB34" s="1884"/>
      <c r="JKC34" s="1884"/>
      <c r="JKD34" s="1884"/>
      <c r="JKE34" s="1884"/>
      <c r="JKF34" s="1884"/>
      <c r="JKG34" s="1884"/>
      <c r="JKH34" s="1884"/>
      <c r="JKI34" s="1884"/>
      <c r="JKJ34" s="1884"/>
      <c r="JKK34" s="1884"/>
      <c r="JKL34" s="1884"/>
      <c r="JKM34" s="1884"/>
      <c r="JKN34" s="1884"/>
      <c r="JKO34" s="1884"/>
      <c r="JKP34" s="1884"/>
      <c r="JKQ34" s="1884"/>
      <c r="JKR34" s="1884"/>
      <c r="JKS34" s="1884"/>
      <c r="JKT34" s="1884"/>
      <c r="JKU34" s="1884"/>
      <c r="JKV34" s="1884"/>
      <c r="JKW34" s="1884"/>
      <c r="JKX34" s="1884"/>
      <c r="JKY34" s="1884"/>
      <c r="JKZ34" s="1884"/>
      <c r="JLA34" s="1884"/>
      <c r="JLB34" s="1884"/>
      <c r="JLC34" s="1884"/>
      <c r="JLD34" s="1884"/>
      <c r="JLE34" s="1884"/>
      <c r="JLF34" s="1884"/>
      <c r="JLG34" s="1884"/>
      <c r="JLH34" s="1884"/>
      <c r="JLI34" s="1884"/>
      <c r="JLJ34" s="1884"/>
      <c r="JLK34" s="1884"/>
      <c r="JLL34" s="1884"/>
      <c r="JLM34" s="1884"/>
      <c r="JLN34" s="1884"/>
      <c r="JLO34" s="1884"/>
      <c r="JLP34" s="1884"/>
      <c r="JLQ34" s="1884"/>
      <c r="JLR34" s="1884"/>
      <c r="JLS34" s="1884"/>
      <c r="JLT34" s="1884"/>
      <c r="JLU34" s="1884"/>
      <c r="JLV34" s="1884"/>
      <c r="JLW34" s="1884"/>
      <c r="JLX34" s="1884"/>
      <c r="JLY34" s="1884"/>
      <c r="JLZ34" s="1884"/>
      <c r="JMA34" s="1884"/>
      <c r="JMB34" s="1884"/>
      <c r="JMC34" s="1884"/>
      <c r="JMD34" s="1884"/>
      <c r="JME34" s="1884"/>
      <c r="JMF34" s="1884"/>
      <c r="JMG34" s="1884"/>
      <c r="JMH34" s="1884"/>
      <c r="JMI34" s="1884"/>
      <c r="JMJ34" s="1884"/>
      <c r="JMK34" s="1884"/>
      <c r="JML34" s="1884"/>
      <c r="JMM34" s="1884"/>
      <c r="JMN34" s="1884"/>
      <c r="JMO34" s="1884"/>
      <c r="JMP34" s="1884"/>
      <c r="JMQ34" s="1884"/>
      <c r="JMR34" s="1884"/>
      <c r="JMS34" s="1884"/>
      <c r="JMT34" s="1884"/>
      <c r="JMU34" s="1884"/>
      <c r="JMV34" s="1884"/>
      <c r="JMW34" s="1884"/>
      <c r="JMX34" s="1884"/>
      <c r="JMY34" s="1884"/>
      <c r="JMZ34" s="1884"/>
      <c r="JNA34" s="1884"/>
      <c r="JNB34" s="1884"/>
      <c r="JNC34" s="1884"/>
      <c r="JND34" s="1884"/>
      <c r="JNE34" s="1884"/>
      <c r="JNF34" s="1884"/>
      <c r="JNG34" s="1884"/>
      <c r="JNH34" s="1884"/>
      <c r="JNI34" s="1884"/>
      <c r="JNJ34" s="1884"/>
      <c r="JNK34" s="1884"/>
      <c r="JNL34" s="1884"/>
      <c r="JNM34" s="1884"/>
      <c r="JNN34" s="1884"/>
      <c r="JNO34" s="1884"/>
      <c r="JNP34" s="1884"/>
      <c r="JNQ34" s="1884"/>
      <c r="JNR34" s="1884"/>
      <c r="JNS34" s="1884"/>
      <c r="JNT34" s="1884"/>
      <c r="JNU34" s="1884"/>
      <c r="JNV34" s="1884"/>
      <c r="JNW34" s="1884"/>
      <c r="JNX34" s="1884"/>
      <c r="JNY34" s="1884"/>
      <c r="JNZ34" s="1884"/>
      <c r="JOA34" s="1884"/>
      <c r="JOB34" s="1884"/>
      <c r="JOC34" s="1884"/>
      <c r="JOD34" s="1884"/>
      <c r="JOE34" s="1884"/>
      <c r="JOF34" s="1884"/>
      <c r="JOG34" s="1884"/>
      <c r="JOH34" s="1884"/>
      <c r="JOI34" s="1884"/>
      <c r="JOJ34" s="1884"/>
      <c r="JOK34" s="1884"/>
      <c r="JOL34" s="1884"/>
      <c r="JOM34" s="1884"/>
      <c r="JON34" s="1884"/>
      <c r="JOO34" s="1884"/>
      <c r="JOP34" s="1884"/>
      <c r="JOQ34" s="1884"/>
      <c r="JOR34" s="1884"/>
      <c r="JOS34" s="1884"/>
      <c r="JOT34" s="1884"/>
      <c r="JOU34" s="1884"/>
      <c r="JOV34" s="1884"/>
      <c r="JOW34" s="1884"/>
      <c r="JOX34" s="1884"/>
      <c r="JOY34" s="1884"/>
      <c r="JOZ34" s="1884"/>
      <c r="JPA34" s="1884"/>
      <c r="JPB34" s="1884"/>
      <c r="JPC34" s="1884"/>
      <c r="JPD34" s="1884"/>
      <c r="JPE34" s="1884"/>
      <c r="JPF34" s="1884"/>
      <c r="JPG34" s="1884"/>
      <c r="JPH34" s="1884"/>
      <c r="JPI34" s="1884"/>
      <c r="JPJ34" s="1884"/>
      <c r="JPK34" s="1884"/>
      <c r="JPL34" s="1884"/>
      <c r="JPM34" s="1884"/>
      <c r="JPN34" s="1884"/>
      <c r="JPO34" s="1884"/>
      <c r="JPP34" s="1884"/>
      <c r="JPQ34" s="1884"/>
      <c r="JPR34" s="1884"/>
      <c r="JPS34" s="1884"/>
      <c r="JPT34" s="1884"/>
      <c r="JPU34" s="1884"/>
      <c r="JPV34" s="1884"/>
      <c r="JPW34" s="1884"/>
      <c r="JPX34" s="1884"/>
      <c r="JPY34" s="1884"/>
      <c r="JPZ34" s="1884"/>
      <c r="JQA34" s="1884"/>
      <c r="JQB34" s="1884"/>
      <c r="JQC34" s="1884"/>
      <c r="JQD34" s="1884"/>
      <c r="JQE34" s="1884"/>
      <c r="JQF34" s="1884"/>
      <c r="JQG34" s="1884"/>
      <c r="JQH34" s="1884"/>
      <c r="JQI34" s="1884"/>
      <c r="JQJ34" s="1884"/>
      <c r="JQK34" s="1884"/>
      <c r="JQL34" s="1884"/>
      <c r="JQM34" s="1884"/>
      <c r="JQN34" s="1884"/>
      <c r="JQO34" s="1884"/>
      <c r="JQP34" s="1884"/>
      <c r="JQQ34" s="1884"/>
      <c r="JQR34" s="1884"/>
      <c r="JQS34" s="1884"/>
      <c r="JQT34" s="1884"/>
      <c r="JQU34" s="1884"/>
      <c r="JQV34" s="1884"/>
      <c r="JQW34" s="1884"/>
      <c r="JQX34" s="1884"/>
      <c r="JQY34" s="1884"/>
      <c r="JQZ34" s="1884"/>
      <c r="JRA34" s="1884"/>
      <c r="JRB34" s="1884"/>
      <c r="JRC34" s="1884"/>
      <c r="JRD34" s="1884"/>
      <c r="JRE34" s="1884"/>
      <c r="JRF34" s="1884"/>
      <c r="JRG34" s="1884"/>
      <c r="JRH34" s="1884"/>
      <c r="JRI34" s="1884"/>
      <c r="JRJ34" s="1884"/>
      <c r="JRK34" s="1884"/>
      <c r="JRL34" s="1884"/>
      <c r="JRM34" s="1884"/>
      <c r="JRN34" s="1884"/>
      <c r="JRO34" s="1884"/>
      <c r="JRP34" s="1884"/>
      <c r="JRQ34" s="1884"/>
      <c r="JRR34" s="1884"/>
      <c r="JRS34" s="1884"/>
      <c r="JRT34" s="1884"/>
      <c r="JRU34" s="1884"/>
      <c r="JRV34" s="1884"/>
      <c r="JRW34" s="1884"/>
      <c r="JRX34" s="1884"/>
      <c r="JRY34" s="1884"/>
      <c r="JRZ34" s="1884"/>
      <c r="JSA34" s="1884"/>
      <c r="JSB34" s="1884"/>
      <c r="JSC34" s="1884"/>
      <c r="JSD34" s="1884"/>
      <c r="JSE34" s="1884"/>
      <c r="JSF34" s="1884"/>
      <c r="JSG34" s="1884"/>
      <c r="JSH34" s="1884"/>
      <c r="JSI34" s="1884"/>
      <c r="JSJ34" s="1884"/>
      <c r="JSK34" s="1884"/>
      <c r="JSL34" s="1884"/>
      <c r="JSM34" s="1884"/>
      <c r="JSN34" s="1884"/>
      <c r="JSO34" s="1884"/>
      <c r="JSP34" s="1884"/>
      <c r="JSQ34" s="1884"/>
      <c r="JSR34" s="1884"/>
      <c r="JSS34" s="1884"/>
      <c r="JST34" s="1884"/>
      <c r="JSU34" s="1884"/>
      <c r="JSV34" s="1884"/>
      <c r="JSW34" s="1884"/>
      <c r="JSX34" s="1884"/>
      <c r="JSY34" s="1884"/>
      <c r="JSZ34" s="1884"/>
      <c r="JTA34" s="1884"/>
      <c r="JTB34" s="1884"/>
      <c r="JTC34" s="1884"/>
      <c r="JTD34" s="1884"/>
      <c r="JTE34" s="1884"/>
      <c r="JTF34" s="1884"/>
      <c r="JTG34" s="1884"/>
      <c r="JTH34" s="1884"/>
      <c r="JTI34" s="1884"/>
      <c r="JTJ34" s="1884"/>
      <c r="JTK34" s="1884"/>
      <c r="JTL34" s="1884"/>
      <c r="JTM34" s="1884"/>
      <c r="JTN34" s="1884"/>
      <c r="JTO34" s="1884"/>
      <c r="JTP34" s="1884"/>
      <c r="JTQ34" s="1884"/>
      <c r="JTR34" s="1884"/>
      <c r="JTS34" s="1884"/>
      <c r="JTT34" s="1884"/>
      <c r="JTU34" s="1884"/>
      <c r="JTV34" s="1884"/>
      <c r="JTW34" s="1884"/>
      <c r="JTX34" s="1884"/>
      <c r="JTY34" s="1884"/>
      <c r="JTZ34" s="1884"/>
      <c r="JUA34" s="1884"/>
      <c r="JUB34" s="1884"/>
      <c r="JUC34" s="1884"/>
      <c r="JUD34" s="1884"/>
      <c r="JUE34" s="1884"/>
      <c r="JUF34" s="1884"/>
      <c r="JUG34" s="1884"/>
      <c r="JUH34" s="1884"/>
      <c r="JUI34" s="1884"/>
      <c r="JUJ34" s="1884"/>
      <c r="JUK34" s="1884"/>
      <c r="JUL34" s="1884"/>
      <c r="JUM34" s="1884"/>
      <c r="JUN34" s="1884"/>
      <c r="JUO34" s="1884"/>
      <c r="JUP34" s="1884"/>
      <c r="JUQ34" s="1884"/>
      <c r="JUR34" s="1884"/>
      <c r="JUS34" s="1884"/>
      <c r="JUT34" s="1884"/>
      <c r="JUU34" s="1884"/>
      <c r="JUV34" s="1884"/>
      <c r="JUW34" s="1884"/>
      <c r="JUX34" s="1884"/>
      <c r="JUY34" s="1884"/>
      <c r="JUZ34" s="1884"/>
      <c r="JVA34" s="1884"/>
      <c r="JVB34" s="1884"/>
      <c r="JVC34" s="1884"/>
      <c r="JVD34" s="1884"/>
      <c r="JVE34" s="1884"/>
      <c r="JVF34" s="1884"/>
      <c r="JVG34" s="1884"/>
      <c r="JVH34" s="1884"/>
      <c r="JVI34" s="1884"/>
      <c r="JVJ34" s="1884"/>
      <c r="JVK34" s="1884"/>
      <c r="JVL34" s="1884"/>
      <c r="JVM34" s="1884"/>
      <c r="JVN34" s="1884"/>
      <c r="JVO34" s="1884"/>
      <c r="JVP34" s="1884"/>
      <c r="JVQ34" s="1884"/>
      <c r="JVR34" s="1884"/>
      <c r="JVS34" s="1884"/>
      <c r="JVT34" s="1884"/>
      <c r="JVU34" s="1884"/>
      <c r="JVV34" s="1884"/>
      <c r="JVW34" s="1884"/>
      <c r="JVX34" s="1884"/>
      <c r="JVY34" s="1884"/>
      <c r="JVZ34" s="1884"/>
      <c r="JWA34" s="1884"/>
      <c r="JWB34" s="1884"/>
      <c r="JWC34" s="1884"/>
      <c r="JWD34" s="1884"/>
      <c r="JWE34" s="1884"/>
      <c r="JWF34" s="1884"/>
      <c r="JWG34" s="1884"/>
      <c r="JWH34" s="1884"/>
      <c r="JWI34" s="1884"/>
      <c r="JWJ34" s="1884"/>
      <c r="JWK34" s="1884"/>
      <c r="JWL34" s="1884"/>
      <c r="JWM34" s="1884"/>
      <c r="JWN34" s="1884"/>
      <c r="JWO34" s="1884"/>
      <c r="JWP34" s="1884"/>
      <c r="JWQ34" s="1884"/>
      <c r="JWR34" s="1884"/>
      <c r="JWS34" s="1884"/>
      <c r="JWT34" s="1884"/>
      <c r="JWU34" s="1884"/>
      <c r="JWV34" s="1884"/>
      <c r="JWW34" s="1884"/>
      <c r="JWX34" s="1884"/>
      <c r="JWY34" s="1884"/>
      <c r="JWZ34" s="1884"/>
      <c r="JXA34" s="1884"/>
      <c r="JXB34" s="1884"/>
      <c r="JXC34" s="1884"/>
      <c r="JXD34" s="1884"/>
      <c r="JXE34" s="1884"/>
      <c r="JXF34" s="1884"/>
      <c r="JXG34" s="1884"/>
      <c r="JXH34" s="1884"/>
      <c r="JXI34" s="1884"/>
      <c r="JXJ34" s="1884"/>
      <c r="JXK34" s="1884"/>
      <c r="JXL34" s="1884"/>
      <c r="JXM34" s="1884"/>
      <c r="JXN34" s="1884"/>
      <c r="JXO34" s="1884"/>
      <c r="JXP34" s="1884"/>
      <c r="JXQ34" s="1884"/>
      <c r="JXR34" s="1884"/>
      <c r="JXS34" s="1884"/>
      <c r="JXT34" s="1884"/>
      <c r="JXU34" s="1884"/>
      <c r="JXV34" s="1884"/>
      <c r="JXW34" s="1884"/>
      <c r="JXX34" s="1884"/>
      <c r="JXY34" s="1884"/>
      <c r="JXZ34" s="1884"/>
      <c r="JYA34" s="1884"/>
      <c r="JYB34" s="1884"/>
      <c r="JYC34" s="1884"/>
      <c r="JYD34" s="1884"/>
      <c r="JYE34" s="1884"/>
      <c r="JYF34" s="1884"/>
      <c r="JYG34" s="1884"/>
      <c r="JYH34" s="1884"/>
      <c r="JYI34" s="1884"/>
      <c r="JYJ34" s="1884"/>
      <c r="JYK34" s="1884"/>
      <c r="JYL34" s="1884"/>
      <c r="JYM34" s="1884"/>
      <c r="JYN34" s="1884"/>
      <c r="JYO34" s="1884"/>
      <c r="JYP34" s="1884"/>
      <c r="JYQ34" s="1884"/>
      <c r="JYR34" s="1884"/>
      <c r="JYS34" s="1884"/>
      <c r="JYT34" s="1884"/>
      <c r="JYU34" s="1884"/>
      <c r="JYV34" s="1884"/>
      <c r="JYW34" s="1884"/>
      <c r="JYX34" s="1884"/>
      <c r="JYY34" s="1884"/>
      <c r="JYZ34" s="1884"/>
      <c r="JZA34" s="1884"/>
      <c r="JZB34" s="1884"/>
      <c r="JZC34" s="1884"/>
      <c r="JZD34" s="1884"/>
      <c r="JZE34" s="1884"/>
      <c r="JZF34" s="1884"/>
      <c r="JZG34" s="1884"/>
      <c r="JZH34" s="1884"/>
      <c r="JZI34" s="1884"/>
      <c r="JZJ34" s="1884"/>
      <c r="JZK34" s="1884"/>
      <c r="JZL34" s="1884"/>
      <c r="JZM34" s="1884"/>
      <c r="JZN34" s="1884"/>
      <c r="JZO34" s="1884"/>
      <c r="JZP34" s="1884"/>
      <c r="JZQ34" s="1884"/>
      <c r="JZR34" s="1884"/>
      <c r="JZS34" s="1884"/>
      <c r="JZT34" s="1884"/>
      <c r="JZU34" s="1884"/>
      <c r="JZV34" s="1884"/>
      <c r="JZW34" s="1884"/>
      <c r="JZX34" s="1884"/>
      <c r="JZY34" s="1884"/>
      <c r="JZZ34" s="1884"/>
      <c r="KAA34" s="1884"/>
      <c r="KAB34" s="1884"/>
      <c r="KAC34" s="1884"/>
      <c r="KAD34" s="1884"/>
      <c r="KAE34" s="1884"/>
      <c r="KAF34" s="1884"/>
      <c r="KAG34" s="1884"/>
      <c r="KAH34" s="1884"/>
      <c r="KAI34" s="1884"/>
      <c r="KAJ34" s="1884"/>
      <c r="KAK34" s="1884"/>
      <c r="KAL34" s="1884"/>
      <c r="KAM34" s="1884"/>
      <c r="KAN34" s="1884"/>
      <c r="KAO34" s="1884"/>
      <c r="KAP34" s="1884"/>
      <c r="KAQ34" s="1884"/>
      <c r="KAR34" s="1884"/>
      <c r="KAS34" s="1884"/>
      <c r="KAT34" s="1884"/>
      <c r="KAU34" s="1884"/>
      <c r="KAV34" s="1884"/>
      <c r="KAW34" s="1884"/>
      <c r="KAX34" s="1884"/>
      <c r="KAY34" s="1884"/>
      <c r="KAZ34" s="1884"/>
      <c r="KBA34" s="1884"/>
      <c r="KBB34" s="1884"/>
      <c r="KBC34" s="1884"/>
      <c r="KBD34" s="1884"/>
      <c r="KBE34" s="1884"/>
      <c r="KBF34" s="1884"/>
      <c r="KBG34" s="1884"/>
      <c r="KBH34" s="1884"/>
      <c r="KBI34" s="1884"/>
      <c r="KBJ34" s="1884"/>
      <c r="KBK34" s="1884"/>
      <c r="KBL34" s="1884"/>
      <c r="KBM34" s="1884"/>
      <c r="KBN34" s="1884"/>
      <c r="KBO34" s="1884"/>
      <c r="KBP34" s="1884"/>
      <c r="KBQ34" s="1884"/>
      <c r="KBR34" s="1884"/>
      <c r="KBS34" s="1884"/>
      <c r="KBT34" s="1884"/>
      <c r="KBU34" s="1884"/>
      <c r="KBV34" s="1884"/>
      <c r="KBW34" s="1884"/>
      <c r="KBX34" s="1884"/>
      <c r="KBY34" s="1884"/>
      <c r="KBZ34" s="1884"/>
      <c r="KCA34" s="1884"/>
      <c r="KCB34" s="1884"/>
      <c r="KCC34" s="1884"/>
      <c r="KCD34" s="1884"/>
      <c r="KCE34" s="1884"/>
      <c r="KCF34" s="1884"/>
      <c r="KCG34" s="1884"/>
      <c r="KCH34" s="1884"/>
      <c r="KCI34" s="1884"/>
      <c r="KCJ34" s="1884"/>
      <c r="KCK34" s="1884"/>
      <c r="KCL34" s="1884"/>
      <c r="KCM34" s="1884"/>
      <c r="KCN34" s="1884"/>
      <c r="KCO34" s="1884"/>
      <c r="KCP34" s="1884"/>
      <c r="KCQ34" s="1884"/>
      <c r="KCR34" s="1884"/>
      <c r="KCS34" s="1884"/>
      <c r="KCT34" s="1884"/>
      <c r="KCU34" s="1884"/>
      <c r="KCV34" s="1884"/>
      <c r="KCW34" s="1884"/>
      <c r="KCX34" s="1884"/>
      <c r="KCY34" s="1884"/>
      <c r="KCZ34" s="1884"/>
      <c r="KDA34" s="1884"/>
      <c r="KDB34" s="1884"/>
      <c r="KDC34" s="1884"/>
      <c r="KDD34" s="1884"/>
      <c r="KDE34" s="1884"/>
      <c r="KDF34" s="1884"/>
      <c r="KDG34" s="1884"/>
      <c r="KDH34" s="1884"/>
      <c r="KDI34" s="1884"/>
      <c r="KDJ34" s="1884"/>
      <c r="KDK34" s="1884"/>
      <c r="KDL34" s="1884"/>
      <c r="KDM34" s="1884"/>
      <c r="KDN34" s="1884"/>
      <c r="KDO34" s="1884"/>
      <c r="KDP34" s="1884"/>
      <c r="KDQ34" s="1884"/>
      <c r="KDR34" s="1884"/>
      <c r="KDS34" s="1884"/>
      <c r="KDT34" s="1884"/>
      <c r="KDU34" s="1884"/>
      <c r="KDV34" s="1884"/>
      <c r="KDW34" s="1884"/>
      <c r="KDX34" s="1884"/>
      <c r="KDY34" s="1884"/>
      <c r="KDZ34" s="1884"/>
      <c r="KEA34" s="1884"/>
      <c r="KEB34" s="1884"/>
      <c r="KEC34" s="1884"/>
      <c r="KED34" s="1884"/>
      <c r="KEE34" s="1884"/>
      <c r="KEF34" s="1884"/>
      <c r="KEG34" s="1884"/>
      <c r="KEH34" s="1884"/>
      <c r="KEI34" s="1884"/>
      <c r="KEJ34" s="1884"/>
      <c r="KEK34" s="1884"/>
      <c r="KEL34" s="1884"/>
      <c r="KEM34" s="1884"/>
      <c r="KEN34" s="1884"/>
      <c r="KEO34" s="1884"/>
      <c r="KEP34" s="1884"/>
      <c r="KEQ34" s="1884"/>
      <c r="KER34" s="1884"/>
      <c r="KES34" s="1884"/>
      <c r="KET34" s="1884"/>
      <c r="KEU34" s="1884"/>
      <c r="KEV34" s="1884"/>
      <c r="KEW34" s="1884"/>
      <c r="KEX34" s="1884"/>
      <c r="KEY34" s="1884"/>
      <c r="KEZ34" s="1884"/>
      <c r="KFA34" s="1884"/>
      <c r="KFB34" s="1884"/>
      <c r="KFC34" s="1884"/>
      <c r="KFD34" s="1884"/>
      <c r="KFE34" s="1884"/>
      <c r="KFF34" s="1884"/>
      <c r="KFG34" s="1884"/>
      <c r="KFH34" s="1884"/>
      <c r="KFI34" s="1884"/>
      <c r="KFJ34" s="1884"/>
      <c r="KFK34" s="1884"/>
      <c r="KFL34" s="1884"/>
      <c r="KFM34" s="1884"/>
      <c r="KFN34" s="1884"/>
      <c r="KFO34" s="1884"/>
      <c r="KFP34" s="1884"/>
      <c r="KFQ34" s="1884"/>
      <c r="KFR34" s="1884"/>
      <c r="KFS34" s="1884"/>
      <c r="KFT34" s="1884"/>
      <c r="KFU34" s="1884"/>
      <c r="KFV34" s="1884"/>
      <c r="KFW34" s="1884"/>
      <c r="KFX34" s="1884"/>
      <c r="KFY34" s="1884"/>
      <c r="KFZ34" s="1884"/>
      <c r="KGA34" s="1884"/>
      <c r="KGB34" s="1884"/>
      <c r="KGC34" s="1884"/>
      <c r="KGD34" s="1884"/>
      <c r="KGE34" s="1884"/>
      <c r="KGF34" s="1884"/>
      <c r="KGG34" s="1884"/>
      <c r="KGH34" s="1884"/>
      <c r="KGI34" s="1884"/>
      <c r="KGJ34" s="1884"/>
      <c r="KGK34" s="1884"/>
      <c r="KGL34" s="1884"/>
      <c r="KGM34" s="1884"/>
      <c r="KGN34" s="1884"/>
      <c r="KGO34" s="1884"/>
      <c r="KGP34" s="1884"/>
      <c r="KGQ34" s="1884"/>
      <c r="KGR34" s="1884"/>
      <c r="KGS34" s="1884"/>
      <c r="KGT34" s="1884"/>
      <c r="KGU34" s="1884"/>
      <c r="KGV34" s="1884"/>
      <c r="KGW34" s="1884"/>
      <c r="KGX34" s="1884"/>
      <c r="KGY34" s="1884"/>
      <c r="KGZ34" s="1884"/>
      <c r="KHA34" s="1884"/>
      <c r="KHB34" s="1884"/>
      <c r="KHC34" s="1884"/>
      <c r="KHD34" s="1884"/>
      <c r="KHE34" s="1884"/>
      <c r="KHF34" s="1884"/>
      <c r="KHG34" s="1884"/>
      <c r="KHH34" s="1884"/>
      <c r="KHI34" s="1884"/>
      <c r="KHJ34" s="1884"/>
      <c r="KHK34" s="1884"/>
      <c r="KHL34" s="1884"/>
      <c r="KHM34" s="1884"/>
      <c r="KHN34" s="1884"/>
      <c r="KHO34" s="1884"/>
      <c r="KHP34" s="1884"/>
      <c r="KHQ34" s="1884"/>
      <c r="KHR34" s="1884"/>
      <c r="KHS34" s="1884"/>
      <c r="KHT34" s="1884"/>
      <c r="KHU34" s="1884"/>
      <c r="KHV34" s="1884"/>
      <c r="KHW34" s="1884"/>
      <c r="KHX34" s="1884"/>
      <c r="KHY34" s="1884"/>
      <c r="KHZ34" s="1884"/>
      <c r="KIA34" s="1884"/>
      <c r="KIB34" s="1884"/>
      <c r="KIC34" s="1884"/>
      <c r="KID34" s="1884"/>
      <c r="KIE34" s="1884"/>
      <c r="KIF34" s="1884"/>
      <c r="KIG34" s="1884"/>
      <c r="KIH34" s="1884"/>
      <c r="KII34" s="1884"/>
      <c r="KIJ34" s="1884"/>
      <c r="KIK34" s="1884"/>
      <c r="KIL34" s="1884"/>
      <c r="KIM34" s="1884"/>
      <c r="KIN34" s="1884"/>
      <c r="KIO34" s="1884"/>
      <c r="KIP34" s="1884"/>
      <c r="KIQ34" s="1884"/>
      <c r="KIR34" s="1884"/>
      <c r="KIS34" s="1884"/>
      <c r="KIT34" s="1884"/>
      <c r="KIU34" s="1884"/>
      <c r="KIV34" s="1884"/>
      <c r="KIW34" s="1884"/>
      <c r="KIX34" s="1884"/>
      <c r="KIY34" s="1884"/>
      <c r="KIZ34" s="1884"/>
      <c r="KJA34" s="1884"/>
      <c r="KJB34" s="1884"/>
      <c r="KJC34" s="1884"/>
      <c r="KJD34" s="1884"/>
      <c r="KJE34" s="1884"/>
      <c r="KJF34" s="1884"/>
      <c r="KJG34" s="1884"/>
      <c r="KJH34" s="1884"/>
      <c r="KJI34" s="1884"/>
      <c r="KJJ34" s="1884"/>
      <c r="KJK34" s="1884"/>
      <c r="KJL34" s="1884"/>
      <c r="KJM34" s="1884"/>
      <c r="KJN34" s="1884"/>
      <c r="KJO34" s="1884"/>
      <c r="KJP34" s="1884"/>
      <c r="KJQ34" s="1884"/>
      <c r="KJR34" s="1884"/>
      <c r="KJS34" s="1884"/>
      <c r="KJT34" s="1884"/>
      <c r="KJU34" s="1884"/>
      <c r="KJV34" s="1884"/>
      <c r="KJW34" s="1884"/>
      <c r="KJX34" s="1884"/>
      <c r="KJY34" s="1884"/>
      <c r="KJZ34" s="1884"/>
      <c r="KKA34" s="1884"/>
      <c r="KKB34" s="1884"/>
      <c r="KKC34" s="1884"/>
      <c r="KKD34" s="1884"/>
      <c r="KKE34" s="1884"/>
      <c r="KKF34" s="1884"/>
      <c r="KKG34" s="1884"/>
      <c r="KKH34" s="1884"/>
      <c r="KKI34" s="1884"/>
      <c r="KKJ34" s="1884"/>
      <c r="KKK34" s="1884"/>
      <c r="KKL34" s="1884"/>
      <c r="KKM34" s="1884"/>
      <c r="KKN34" s="1884"/>
      <c r="KKO34" s="1884"/>
      <c r="KKP34" s="1884"/>
      <c r="KKQ34" s="1884"/>
      <c r="KKR34" s="1884"/>
      <c r="KKS34" s="1884"/>
      <c r="KKT34" s="1884"/>
      <c r="KKU34" s="1884"/>
      <c r="KKV34" s="1884"/>
      <c r="KKW34" s="1884"/>
      <c r="KKX34" s="1884"/>
      <c r="KKY34" s="1884"/>
      <c r="KKZ34" s="1884"/>
      <c r="KLA34" s="1884"/>
      <c r="KLB34" s="1884"/>
      <c r="KLC34" s="1884"/>
      <c r="KLD34" s="1884"/>
      <c r="KLE34" s="1884"/>
      <c r="KLF34" s="1884"/>
      <c r="KLG34" s="1884"/>
      <c r="KLH34" s="1884"/>
      <c r="KLI34" s="1884"/>
      <c r="KLJ34" s="1884"/>
      <c r="KLK34" s="1884"/>
      <c r="KLL34" s="1884"/>
      <c r="KLM34" s="1884"/>
      <c r="KLN34" s="1884"/>
      <c r="KLO34" s="1884"/>
      <c r="KLP34" s="1884"/>
      <c r="KLQ34" s="1884"/>
      <c r="KLR34" s="1884"/>
      <c r="KLS34" s="1884"/>
      <c r="KLT34" s="1884"/>
      <c r="KLU34" s="1884"/>
      <c r="KLV34" s="1884"/>
      <c r="KLW34" s="1884"/>
      <c r="KLX34" s="1884"/>
      <c r="KLY34" s="1884"/>
      <c r="KLZ34" s="1884"/>
      <c r="KMA34" s="1884"/>
      <c r="KMB34" s="1884"/>
      <c r="KMC34" s="1884"/>
      <c r="KMD34" s="1884"/>
      <c r="KME34" s="1884"/>
      <c r="KMF34" s="1884"/>
      <c r="KMG34" s="1884"/>
      <c r="KMH34" s="1884"/>
      <c r="KMI34" s="1884"/>
      <c r="KMJ34" s="1884"/>
      <c r="KMK34" s="1884"/>
      <c r="KML34" s="1884"/>
      <c r="KMM34" s="1884"/>
      <c r="KMN34" s="1884"/>
      <c r="KMO34" s="1884"/>
      <c r="KMP34" s="1884"/>
      <c r="KMQ34" s="1884"/>
      <c r="KMR34" s="1884"/>
      <c r="KMS34" s="1884"/>
      <c r="KMT34" s="1884"/>
      <c r="KMU34" s="1884"/>
      <c r="KMV34" s="1884"/>
      <c r="KMW34" s="1884"/>
      <c r="KMX34" s="1884"/>
      <c r="KMY34" s="1884"/>
      <c r="KMZ34" s="1884"/>
      <c r="KNA34" s="1884"/>
      <c r="KNB34" s="1884"/>
      <c r="KNC34" s="1884"/>
      <c r="KND34" s="1884"/>
      <c r="KNE34" s="1884"/>
      <c r="KNF34" s="1884"/>
      <c r="KNG34" s="1884"/>
      <c r="KNH34" s="1884"/>
      <c r="KNI34" s="1884"/>
      <c r="KNJ34" s="1884"/>
      <c r="KNK34" s="1884"/>
      <c r="KNL34" s="1884"/>
      <c r="KNM34" s="1884"/>
      <c r="KNN34" s="1884"/>
      <c r="KNO34" s="1884"/>
      <c r="KNP34" s="1884"/>
      <c r="KNQ34" s="1884"/>
      <c r="KNR34" s="1884"/>
      <c r="KNS34" s="1884"/>
      <c r="KNT34" s="1884"/>
      <c r="KNU34" s="1884"/>
      <c r="KNV34" s="1884"/>
      <c r="KNW34" s="1884"/>
      <c r="KNX34" s="1884"/>
      <c r="KNY34" s="1884"/>
      <c r="KNZ34" s="1884"/>
      <c r="KOA34" s="1884"/>
      <c r="KOB34" s="1884"/>
      <c r="KOC34" s="1884"/>
      <c r="KOD34" s="1884"/>
      <c r="KOE34" s="1884"/>
      <c r="KOF34" s="1884"/>
      <c r="KOG34" s="1884"/>
      <c r="KOH34" s="1884"/>
      <c r="KOI34" s="1884"/>
      <c r="KOJ34" s="1884"/>
      <c r="KOK34" s="1884"/>
      <c r="KOL34" s="1884"/>
      <c r="KOM34" s="1884"/>
      <c r="KON34" s="1884"/>
      <c r="KOO34" s="1884"/>
      <c r="KOP34" s="1884"/>
      <c r="KOQ34" s="1884"/>
      <c r="KOR34" s="1884"/>
      <c r="KOS34" s="1884"/>
      <c r="KOT34" s="1884"/>
      <c r="KOU34" s="1884"/>
      <c r="KOV34" s="1884"/>
      <c r="KOW34" s="1884"/>
      <c r="KOX34" s="1884"/>
      <c r="KOY34" s="1884"/>
      <c r="KOZ34" s="1884"/>
      <c r="KPA34" s="1884"/>
      <c r="KPB34" s="1884"/>
      <c r="KPC34" s="1884"/>
      <c r="KPD34" s="1884"/>
      <c r="KPE34" s="1884"/>
      <c r="KPF34" s="1884"/>
      <c r="KPG34" s="1884"/>
      <c r="KPH34" s="1884"/>
      <c r="KPI34" s="1884"/>
      <c r="KPJ34" s="1884"/>
      <c r="KPK34" s="1884"/>
      <c r="KPL34" s="1884"/>
      <c r="KPM34" s="1884"/>
      <c r="KPN34" s="1884"/>
      <c r="KPO34" s="1884"/>
      <c r="KPP34" s="1884"/>
      <c r="KPQ34" s="1884"/>
      <c r="KPR34" s="1884"/>
      <c r="KPS34" s="1884"/>
      <c r="KPT34" s="1884"/>
      <c r="KPU34" s="1884"/>
      <c r="KPV34" s="1884"/>
      <c r="KPW34" s="1884"/>
      <c r="KPX34" s="1884"/>
      <c r="KPY34" s="1884"/>
      <c r="KPZ34" s="1884"/>
      <c r="KQA34" s="1884"/>
      <c r="KQB34" s="1884"/>
      <c r="KQC34" s="1884"/>
      <c r="KQD34" s="1884"/>
      <c r="KQE34" s="1884"/>
      <c r="KQF34" s="1884"/>
      <c r="KQG34" s="1884"/>
      <c r="KQH34" s="1884"/>
      <c r="KQI34" s="1884"/>
      <c r="KQJ34" s="1884"/>
      <c r="KQK34" s="1884"/>
      <c r="KQL34" s="1884"/>
      <c r="KQM34" s="1884"/>
      <c r="KQN34" s="1884"/>
      <c r="KQO34" s="1884"/>
      <c r="KQP34" s="1884"/>
      <c r="KQQ34" s="1884"/>
      <c r="KQR34" s="1884"/>
      <c r="KQS34" s="1884"/>
      <c r="KQT34" s="1884"/>
      <c r="KQU34" s="1884"/>
      <c r="KQV34" s="1884"/>
      <c r="KQW34" s="1884"/>
      <c r="KQX34" s="1884"/>
      <c r="KQY34" s="1884"/>
      <c r="KQZ34" s="1884"/>
      <c r="KRA34" s="1884"/>
      <c r="KRB34" s="1884"/>
      <c r="KRC34" s="1884"/>
      <c r="KRD34" s="1884"/>
      <c r="KRE34" s="1884"/>
      <c r="KRF34" s="1884"/>
      <c r="KRG34" s="1884"/>
      <c r="KRH34" s="1884"/>
      <c r="KRI34" s="1884"/>
      <c r="KRJ34" s="1884"/>
      <c r="KRK34" s="1884"/>
      <c r="KRL34" s="1884"/>
      <c r="KRM34" s="1884"/>
      <c r="KRN34" s="1884"/>
      <c r="KRO34" s="1884"/>
      <c r="KRP34" s="1884"/>
      <c r="KRQ34" s="1884"/>
      <c r="KRR34" s="1884"/>
      <c r="KRS34" s="1884"/>
      <c r="KRT34" s="1884"/>
      <c r="KRU34" s="1884"/>
      <c r="KRV34" s="1884"/>
      <c r="KRW34" s="1884"/>
      <c r="KRX34" s="1884"/>
      <c r="KRY34" s="1884"/>
      <c r="KRZ34" s="1884"/>
      <c r="KSA34" s="1884"/>
      <c r="KSB34" s="1884"/>
      <c r="KSC34" s="1884"/>
      <c r="KSD34" s="1884"/>
      <c r="KSE34" s="1884"/>
      <c r="KSF34" s="1884"/>
      <c r="KSG34" s="1884"/>
      <c r="KSH34" s="1884"/>
      <c r="KSI34" s="1884"/>
      <c r="KSJ34" s="1884"/>
      <c r="KSK34" s="1884"/>
      <c r="KSL34" s="1884"/>
      <c r="KSM34" s="1884"/>
      <c r="KSN34" s="1884"/>
      <c r="KSO34" s="1884"/>
      <c r="KSP34" s="1884"/>
      <c r="KSQ34" s="1884"/>
      <c r="KSR34" s="1884"/>
      <c r="KSS34" s="1884"/>
      <c r="KST34" s="1884"/>
      <c r="KSU34" s="1884"/>
      <c r="KSV34" s="1884"/>
      <c r="KSW34" s="1884"/>
      <c r="KSX34" s="1884"/>
      <c r="KSY34" s="1884"/>
      <c r="KSZ34" s="1884"/>
      <c r="KTA34" s="1884"/>
      <c r="KTB34" s="1884"/>
      <c r="KTC34" s="1884"/>
      <c r="KTD34" s="1884"/>
      <c r="KTE34" s="1884"/>
      <c r="KTF34" s="1884"/>
      <c r="KTG34" s="1884"/>
      <c r="KTH34" s="1884"/>
      <c r="KTI34" s="1884"/>
      <c r="KTJ34" s="1884"/>
      <c r="KTK34" s="1884"/>
      <c r="KTL34" s="1884"/>
      <c r="KTM34" s="1884"/>
      <c r="KTN34" s="1884"/>
      <c r="KTO34" s="1884"/>
      <c r="KTP34" s="1884"/>
      <c r="KTQ34" s="1884"/>
      <c r="KTR34" s="1884"/>
      <c r="KTS34" s="1884"/>
      <c r="KTT34" s="1884"/>
      <c r="KTU34" s="1884"/>
      <c r="KTV34" s="1884"/>
      <c r="KTW34" s="1884"/>
      <c r="KTX34" s="1884"/>
      <c r="KTY34" s="1884"/>
      <c r="KTZ34" s="1884"/>
      <c r="KUA34" s="1884"/>
      <c r="KUB34" s="1884"/>
      <c r="KUC34" s="1884"/>
      <c r="KUD34" s="1884"/>
      <c r="KUE34" s="1884"/>
      <c r="KUF34" s="1884"/>
      <c r="KUG34" s="1884"/>
      <c r="KUH34" s="1884"/>
      <c r="KUI34" s="1884"/>
      <c r="KUJ34" s="1884"/>
      <c r="KUK34" s="1884"/>
      <c r="KUL34" s="1884"/>
      <c r="KUM34" s="1884"/>
      <c r="KUN34" s="1884"/>
      <c r="KUO34" s="1884"/>
      <c r="KUP34" s="1884"/>
      <c r="KUQ34" s="1884"/>
      <c r="KUR34" s="1884"/>
      <c r="KUS34" s="1884"/>
      <c r="KUT34" s="1884"/>
      <c r="KUU34" s="1884"/>
      <c r="KUV34" s="1884"/>
      <c r="KUW34" s="1884"/>
      <c r="KUX34" s="1884"/>
      <c r="KUY34" s="1884"/>
      <c r="KUZ34" s="1884"/>
      <c r="KVA34" s="1884"/>
      <c r="KVB34" s="1884"/>
      <c r="KVC34" s="1884"/>
      <c r="KVD34" s="1884"/>
      <c r="KVE34" s="1884"/>
      <c r="KVF34" s="1884"/>
      <c r="KVG34" s="1884"/>
      <c r="KVH34" s="1884"/>
      <c r="KVI34" s="1884"/>
      <c r="KVJ34" s="1884"/>
      <c r="KVK34" s="1884"/>
      <c r="KVL34" s="1884"/>
      <c r="KVM34" s="1884"/>
      <c r="KVN34" s="1884"/>
      <c r="KVO34" s="1884"/>
      <c r="KVP34" s="1884"/>
      <c r="KVQ34" s="1884"/>
      <c r="KVR34" s="1884"/>
      <c r="KVS34" s="1884"/>
      <c r="KVT34" s="1884"/>
      <c r="KVU34" s="1884"/>
      <c r="KVV34" s="1884"/>
      <c r="KVW34" s="1884"/>
      <c r="KVX34" s="1884"/>
      <c r="KVY34" s="1884"/>
      <c r="KVZ34" s="1884"/>
      <c r="KWA34" s="1884"/>
      <c r="KWB34" s="1884"/>
      <c r="KWC34" s="1884"/>
      <c r="KWD34" s="1884"/>
      <c r="KWE34" s="1884"/>
      <c r="KWF34" s="1884"/>
      <c r="KWG34" s="1884"/>
      <c r="KWH34" s="1884"/>
      <c r="KWI34" s="1884"/>
      <c r="KWJ34" s="1884"/>
      <c r="KWK34" s="1884"/>
      <c r="KWL34" s="1884"/>
      <c r="KWM34" s="1884"/>
      <c r="KWN34" s="1884"/>
      <c r="KWO34" s="1884"/>
      <c r="KWP34" s="1884"/>
      <c r="KWQ34" s="1884"/>
      <c r="KWR34" s="1884"/>
      <c r="KWS34" s="1884"/>
      <c r="KWT34" s="1884"/>
      <c r="KWU34" s="1884"/>
      <c r="KWV34" s="1884"/>
      <c r="KWW34" s="1884"/>
      <c r="KWX34" s="1884"/>
      <c r="KWY34" s="1884"/>
      <c r="KWZ34" s="1884"/>
      <c r="KXA34" s="1884"/>
      <c r="KXB34" s="1884"/>
      <c r="KXC34" s="1884"/>
      <c r="KXD34" s="1884"/>
      <c r="KXE34" s="1884"/>
      <c r="KXF34" s="1884"/>
      <c r="KXG34" s="1884"/>
      <c r="KXH34" s="1884"/>
      <c r="KXI34" s="1884"/>
      <c r="KXJ34" s="1884"/>
      <c r="KXK34" s="1884"/>
      <c r="KXL34" s="1884"/>
      <c r="KXM34" s="1884"/>
      <c r="KXN34" s="1884"/>
      <c r="KXO34" s="1884"/>
      <c r="KXP34" s="1884"/>
      <c r="KXQ34" s="1884"/>
      <c r="KXR34" s="1884"/>
      <c r="KXS34" s="1884"/>
      <c r="KXT34" s="1884"/>
      <c r="KXU34" s="1884"/>
      <c r="KXV34" s="1884"/>
      <c r="KXW34" s="1884"/>
      <c r="KXX34" s="1884"/>
      <c r="KXY34" s="1884"/>
      <c r="KXZ34" s="1884"/>
      <c r="KYA34" s="1884"/>
      <c r="KYB34" s="1884"/>
      <c r="KYC34" s="1884"/>
      <c r="KYD34" s="1884"/>
      <c r="KYE34" s="1884"/>
      <c r="KYF34" s="1884"/>
      <c r="KYG34" s="1884"/>
      <c r="KYH34" s="1884"/>
      <c r="KYI34" s="1884"/>
      <c r="KYJ34" s="1884"/>
      <c r="KYK34" s="1884"/>
      <c r="KYL34" s="1884"/>
      <c r="KYM34" s="1884"/>
      <c r="KYN34" s="1884"/>
      <c r="KYO34" s="1884"/>
      <c r="KYP34" s="1884"/>
      <c r="KYQ34" s="1884"/>
      <c r="KYR34" s="1884"/>
      <c r="KYS34" s="1884"/>
      <c r="KYT34" s="1884"/>
      <c r="KYU34" s="1884"/>
      <c r="KYV34" s="1884"/>
      <c r="KYW34" s="1884"/>
      <c r="KYX34" s="1884"/>
      <c r="KYY34" s="1884"/>
      <c r="KYZ34" s="1884"/>
      <c r="KZA34" s="1884"/>
      <c r="KZB34" s="1884"/>
      <c r="KZC34" s="1884"/>
      <c r="KZD34" s="1884"/>
      <c r="KZE34" s="1884"/>
      <c r="KZF34" s="1884"/>
      <c r="KZG34" s="1884"/>
      <c r="KZH34" s="1884"/>
      <c r="KZI34" s="1884"/>
      <c r="KZJ34" s="1884"/>
      <c r="KZK34" s="1884"/>
      <c r="KZL34" s="1884"/>
      <c r="KZM34" s="1884"/>
      <c r="KZN34" s="1884"/>
      <c r="KZO34" s="1884"/>
      <c r="KZP34" s="1884"/>
      <c r="KZQ34" s="1884"/>
      <c r="KZR34" s="1884"/>
      <c r="KZS34" s="1884"/>
      <c r="KZT34" s="1884"/>
      <c r="KZU34" s="1884"/>
      <c r="KZV34" s="1884"/>
      <c r="KZW34" s="1884"/>
      <c r="KZX34" s="1884"/>
      <c r="KZY34" s="1884"/>
      <c r="KZZ34" s="1884"/>
      <c r="LAA34" s="1884"/>
      <c r="LAB34" s="1884"/>
      <c r="LAC34" s="1884"/>
      <c r="LAD34" s="1884"/>
      <c r="LAE34" s="1884"/>
      <c r="LAF34" s="1884"/>
      <c r="LAG34" s="1884"/>
      <c r="LAH34" s="1884"/>
      <c r="LAI34" s="1884"/>
      <c r="LAJ34" s="1884"/>
      <c r="LAK34" s="1884"/>
      <c r="LAL34" s="1884"/>
      <c r="LAM34" s="1884"/>
      <c r="LAN34" s="1884"/>
      <c r="LAO34" s="1884"/>
      <c r="LAP34" s="1884"/>
      <c r="LAQ34" s="1884"/>
      <c r="LAR34" s="1884"/>
      <c r="LAS34" s="1884"/>
      <c r="LAT34" s="1884"/>
      <c r="LAU34" s="1884"/>
      <c r="LAV34" s="1884"/>
      <c r="LAW34" s="1884"/>
      <c r="LAX34" s="1884"/>
      <c r="LAY34" s="1884"/>
      <c r="LAZ34" s="1884"/>
      <c r="LBA34" s="1884"/>
      <c r="LBB34" s="1884"/>
      <c r="LBC34" s="1884"/>
      <c r="LBD34" s="1884"/>
      <c r="LBE34" s="1884"/>
      <c r="LBF34" s="1884"/>
      <c r="LBG34" s="1884"/>
      <c r="LBH34" s="1884"/>
      <c r="LBI34" s="1884"/>
      <c r="LBJ34" s="1884"/>
      <c r="LBK34" s="1884"/>
      <c r="LBL34" s="1884"/>
      <c r="LBM34" s="1884"/>
      <c r="LBN34" s="1884"/>
      <c r="LBO34" s="1884"/>
      <c r="LBP34" s="1884"/>
      <c r="LBQ34" s="1884"/>
      <c r="LBR34" s="1884"/>
      <c r="LBS34" s="1884"/>
      <c r="LBT34" s="1884"/>
      <c r="LBU34" s="1884"/>
      <c r="LBV34" s="1884"/>
      <c r="LBW34" s="1884"/>
      <c r="LBX34" s="1884"/>
      <c r="LBY34" s="1884"/>
      <c r="LBZ34" s="1884"/>
      <c r="LCA34" s="1884"/>
      <c r="LCB34" s="1884"/>
      <c r="LCC34" s="1884"/>
      <c r="LCD34" s="1884"/>
      <c r="LCE34" s="1884"/>
      <c r="LCF34" s="1884"/>
      <c r="LCG34" s="1884"/>
      <c r="LCH34" s="1884"/>
      <c r="LCI34" s="1884"/>
      <c r="LCJ34" s="1884"/>
      <c r="LCK34" s="1884"/>
      <c r="LCL34" s="1884"/>
      <c r="LCM34" s="1884"/>
      <c r="LCN34" s="1884"/>
      <c r="LCO34" s="1884"/>
      <c r="LCP34" s="1884"/>
      <c r="LCQ34" s="1884"/>
      <c r="LCR34" s="1884"/>
      <c r="LCS34" s="1884"/>
      <c r="LCT34" s="1884"/>
      <c r="LCU34" s="1884"/>
      <c r="LCV34" s="1884"/>
      <c r="LCW34" s="1884"/>
      <c r="LCX34" s="1884"/>
      <c r="LCY34" s="1884"/>
      <c r="LCZ34" s="1884"/>
      <c r="LDA34" s="1884"/>
      <c r="LDB34" s="1884"/>
      <c r="LDC34" s="1884"/>
      <c r="LDD34" s="1884"/>
      <c r="LDE34" s="1884"/>
      <c r="LDF34" s="1884"/>
      <c r="LDG34" s="1884"/>
      <c r="LDH34" s="1884"/>
      <c r="LDI34" s="1884"/>
      <c r="LDJ34" s="1884"/>
      <c r="LDK34" s="1884"/>
      <c r="LDL34" s="1884"/>
      <c r="LDM34" s="1884"/>
      <c r="LDN34" s="1884"/>
      <c r="LDO34" s="1884"/>
      <c r="LDP34" s="1884"/>
      <c r="LDQ34" s="1884"/>
      <c r="LDR34" s="1884"/>
      <c r="LDS34" s="1884"/>
      <c r="LDT34" s="1884"/>
      <c r="LDU34" s="1884"/>
      <c r="LDV34" s="1884"/>
      <c r="LDW34" s="1884"/>
      <c r="LDX34" s="1884"/>
      <c r="LDY34" s="1884"/>
      <c r="LDZ34" s="1884"/>
      <c r="LEA34" s="1884"/>
      <c r="LEB34" s="1884"/>
      <c r="LEC34" s="1884"/>
      <c r="LED34" s="1884"/>
      <c r="LEE34" s="1884"/>
      <c r="LEF34" s="1884"/>
      <c r="LEG34" s="1884"/>
      <c r="LEH34" s="1884"/>
      <c r="LEI34" s="1884"/>
      <c r="LEJ34" s="1884"/>
      <c r="LEK34" s="1884"/>
      <c r="LEL34" s="1884"/>
      <c r="LEM34" s="1884"/>
      <c r="LEN34" s="1884"/>
      <c r="LEO34" s="1884"/>
      <c r="LEP34" s="1884"/>
      <c r="LEQ34" s="1884"/>
      <c r="LER34" s="1884"/>
      <c r="LES34" s="1884"/>
      <c r="LET34" s="1884"/>
      <c r="LEU34" s="1884"/>
      <c r="LEV34" s="1884"/>
      <c r="LEW34" s="1884"/>
      <c r="LEX34" s="1884"/>
      <c r="LEY34" s="1884"/>
      <c r="LEZ34" s="1884"/>
      <c r="LFA34" s="1884"/>
      <c r="LFB34" s="1884"/>
      <c r="LFC34" s="1884"/>
      <c r="LFD34" s="1884"/>
      <c r="LFE34" s="1884"/>
      <c r="LFF34" s="1884"/>
      <c r="LFG34" s="1884"/>
      <c r="LFH34" s="1884"/>
      <c r="LFI34" s="1884"/>
      <c r="LFJ34" s="1884"/>
      <c r="LFK34" s="1884"/>
      <c r="LFL34" s="1884"/>
      <c r="LFM34" s="1884"/>
      <c r="LFN34" s="1884"/>
      <c r="LFO34" s="1884"/>
      <c r="LFP34" s="1884"/>
      <c r="LFQ34" s="1884"/>
      <c r="LFR34" s="1884"/>
      <c r="LFS34" s="1884"/>
      <c r="LFT34" s="1884"/>
      <c r="LFU34" s="1884"/>
      <c r="LFV34" s="1884"/>
      <c r="LFW34" s="1884"/>
      <c r="LFX34" s="1884"/>
      <c r="LFY34" s="1884"/>
      <c r="LFZ34" s="1884"/>
      <c r="LGA34" s="1884"/>
      <c r="LGB34" s="1884"/>
      <c r="LGC34" s="1884"/>
      <c r="LGD34" s="1884"/>
      <c r="LGE34" s="1884"/>
      <c r="LGF34" s="1884"/>
      <c r="LGG34" s="1884"/>
      <c r="LGH34" s="1884"/>
      <c r="LGI34" s="1884"/>
      <c r="LGJ34" s="1884"/>
      <c r="LGK34" s="1884"/>
      <c r="LGL34" s="1884"/>
      <c r="LGM34" s="1884"/>
      <c r="LGN34" s="1884"/>
      <c r="LGO34" s="1884"/>
      <c r="LGP34" s="1884"/>
      <c r="LGQ34" s="1884"/>
      <c r="LGR34" s="1884"/>
      <c r="LGS34" s="1884"/>
      <c r="LGT34" s="1884"/>
      <c r="LGU34" s="1884"/>
      <c r="LGV34" s="1884"/>
      <c r="LGW34" s="1884"/>
      <c r="LGX34" s="1884"/>
      <c r="LGY34" s="1884"/>
      <c r="LGZ34" s="1884"/>
      <c r="LHA34" s="1884"/>
      <c r="LHB34" s="1884"/>
      <c r="LHC34" s="1884"/>
      <c r="LHD34" s="1884"/>
      <c r="LHE34" s="1884"/>
      <c r="LHF34" s="1884"/>
      <c r="LHG34" s="1884"/>
      <c r="LHH34" s="1884"/>
      <c r="LHI34" s="1884"/>
      <c r="LHJ34" s="1884"/>
      <c r="LHK34" s="1884"/>
      <c r="LHL34" s="1884"/>
      <c r="LHM34" s="1884"/>
      <c r="LHN34" s="1884"/>
      <c r="LHO34" s="1884"/>
      <c r="LHP34" s="1884"/>
      <c r="LHQ34" s="1884"/>
      <c r="LHR34" s="1884"/>
      <c r="LHS34" s="1884"/>
      <c r="LHT34" s="1884"/>
      <c r="LHU34" s="1884"/>
      <c r="LHV34" s="1884"/>
      <c r="LHW34" s="1884"/>
      <c r="LHX34" s="1884"/>
      <c r="LHY34" s="1884"/>
      <c r="LHZ34" s="1884"/>
      <c r="LIA34" s="1884"/>
      <c r="LIB34" s="1884"/>
      <c r="LIC34" s="1884"/>
      <c r="LID34" s="1884"/>
      <c r="LIE34" s="1884"/>
      <c r="LIF34" s="1884"/>
      <c r="LIG34" s="1884"/>
      <c r="LIH34" s="1884"/>
      <c r="LII34" s="1884"/>
      <c r="LIJ34" s="1884"/>
      <c r="LIK34" s="1884"/>
      <c r="LIL34" s="1884"/>
      <c r="LIM34" s="1884"/>
      <c r="LIN34" s="1884"/>
      <c r="LIO34" s="1884"/>
      <c r="LIP34" s="1884"/>
      <c r="LIQ34" s="1884"/>
      <c r="LIR34" s="1884"/>
      <c r="LIS34" s="1884"/>
      <c r="LIT34" s="1884"/>
      <c r="LIU34" s="1884"/>
      <c r="LIV34" s="1884"/>
      <c r="LIW34" s="1884"/>
      <c r="LIX34" s="1884"/>
      <c r="LIY34" s="1884"/>
      <c r="LIZ34" s="1884"/>
      <c r="LJA34" s="1884"/>
      <c r="LJB34" s="1884"/>
      <c r="LJC34" s="1884"/>
      <c r="LJD34" s="1884"/>
      <c r="LJE34" s="1884"/>
      <c r="LJF34" s="1884"/>
      <c r="LJG34" s="1884"/>
      <c r="LJH34" s="1884"/>
      <c r="LJI34" s="1884"/>
      <c r="LJJ34" s="1884"/>
      <c r="LJK34" s="1884"/>
      <c r="LJL34" s="1884"/>
      <c r="LJM34" s="1884"/>
      <c r="LJN34" s="1884"/>
      <c r="LJO34" s="1884"/>
      <c r="LJP34" s="1884"/>
      <c r="LJQ34" s="1884"/>
      <c r="LJR34" s="1884"/>
      <c r="LJS34" s="1884"/>
      <c r="LJT34" s="1884"/>
      <c r="LJU34" s="1884"/>
      <c r="LJV34" s="1884"/>
      <c r="LJW34" s="1884"/>
      <c r="LJX34" s="1884"/>
      <c r="LJY34" s="1884"/>
      <c r="LJZ34" s="1884"/>
      <c r="LKA34" s="1884"/>
      <c r="LKB34" s="1884"/>
      <c r="LKC34" s="1884"/>
      <c r="LKD34" s="1884"/>
      <c r="LKE34" s="1884"/>
      <c r="LKF34" s="1884"/>
      <c r="LKG34" s="1884"/>
      <c r="LKH34" s="1884"/>
      <c r="LKI34" s="1884"/>
      <c r="LKJ34" s="1884"/>
      <c r="LKK34" s="1884"/>
      <c r="LKL34" s="1884"/>
      <c r="LKM34" s="1884"/>
      <c r="LKN34" s="1884"/>
      <c r="LKO34" s="1884"/>
      <c r="LKP34" s="1884"/>
      <c r="LKQ34" s="1884"/>
      <c r="LKR34" s="1884"/>
      <c r="LKS34" s="1884"/>
      <c r="LKT34" s="1884"/>
      <c r="LKU34" s="1884"/>
      <c r="LKV34" s="1884"/>
      <c r="LKW34" s="1884"/>
      <c r="LKX34" s="1884"/>
      <c r="LKY34" s="1884"/>
      <c r="LKZ34" s="1884"/>
      <c r="LLA34" s="1884"/>
      <c r="LLB34" s="1884"/>
      <c r="LLC34" s="1884"/>
      <c r="LLD34" s="1884"/>
      <c r="LLE34" s="1884"/>
      <c r="LLF34" s="1884"/>
      <c r="LLG34" s="1884"/>
      <c r="LLH34" s="1884"/>
      <c r="LLI34" s="1884"/>
      <c r="LLJ34" s="1884"/>
      <c r="LLK34" s="1884"/>
      <c r="LLL34" s="1884"/>
      <c r="LLM34" s="1884"/>
      <c r="LLN34" s="1884"/>
      <c r="LLO34" s="1884"/>
      <c r="LLP34" s="1884"/>
      <c r="LLQ34" s="1884"/>
      <c r="LLR34" s="1884"/>
      <c r="LLS34" s="1884"/>
      <c r="LLT34" s="1884"/>
      <c r="LLU34" s="1884"/>
      <c r="LLV34" s="1884"/>
      <c r="LLW34" s="1884"/>
      <c r="LLX34" s="1884"/>
      <c r="LLY34" s="1884"/>
      <c r="LLZ34" s="1884"/>
      <c r="LMA34" s="1884"/>
      <c r="LMB34" s="1884"/>
      <c r="LMC34" s="1884"/>
      <c r="LMD34" s="1884"/>
      <c r="LME34" s="1884"/>
      <c r="LMF34" s="1884"/>
      <c r="LMG34" s="1884"/>
      <c r="LMH34" s="1884"/>
      <c r="LMI34" s="1884"/>
      <c r="LMJ34" s="1884"/>
      <c r="LMK34" s="1884"/>
      <c r="LML34" s="1884"/>
      <c r="LMM34" s="1884"/>
      <c r="LMN34" s="1884"/>
      <c r="LMO34" s="1884"/>
      <c r="LMP34" s="1884"/>
      <c r="LMQ34" s="1884"/>
      <c r="LMR34" s="1884"/>
      <c r="LMS34" s="1884"/>
      <c r="LMT34" s="1884"/>
      <c r="LMU34" s="1884"/>
      <c r="LMV34" s="1884"/>
      <c r="LMW34" s="1884"/>
      <c r="LMX34" s="1884"/>
      <c r="LMY34" s="1884"/>
      <c r="LMZ34" s="1884"/>
      <c r="LNA34" s="1884"/>
      <c r="LNB34" s="1884"/>
      <c r="LNC34" s="1884"/>
      <c r="LND34" s="1884"/>
      <c r="LNE34" s="1884"/>
      <c r="LNF34" s="1884"/>
      <c r="LNG34" s="1884"/>
      <c r="LNH34" s="1884"/>
      <c r="LNI34" s="1884"/>
      <c r="LNJ34" s="1884"/>
      <c r="LNK34" s="1884"/>
      <c r="LNL34" s="1884"/>
      <c r="LNM34" s="1884"/>
      <c r="LNN34" s="1884"/>
      <c r="LNO34" s="1884"/>
      <c r="LNP34" s="1884"/>
      <c r="LNQ34" s="1884"/>
      <c r="LNR34" s="1884"/>
      <c r="LNS34" s="1884"/>
      <c r="LNT34" s="1884"/>
      <c r="LNU34" s="1884"/>
      <c r="LNV34" s="1884"/>
      <c r="LNW34" s="1884"/>
      <c r="LNX34" s="1884"/>
      <c r="LNY34" s="1884"/>
      <c r="LNZ34" s="1884"/>
      <c r="LOA34" s="1884"/>
      <c r="LOB34" s="1884"/>
      <c r="LOC34" s="1884"/>
      <c r="LOD34" s="1884"/>
      <c r="LOE34" s="1884"/>
      <c r="LOF34" s="1884"/>
      <c r="LOG34" s="1884"/>
      <c r="LOH34" s="1884"/>
      <c r="LOI34" s="1884"/>
      <c r="LOJ34" s="1884"/>
      <c r="LOK34" s="1884"/>
      <c r="LOL34" s="1884"/>
      <c r="LOM34" s="1884"/>
      <c r="LON34" s="1884"/>
      <c r="LOO34" s="1884"/>
      <c r="LOP34" s="1884"/>
      <c r="LOQ34" s="1884"/>
      <c r="LOR34" s="1884"/>
      <c r="LOS34" s="1884"/>
      <c r="LOT34" s="1884"/>
      <c r="LOU34" s="1884"/>
      <c r="LOV34" s="1884"/>
      <c r="LOW34" s="1884"/>
      <c r="LOX34" s="1884"/>
      <c r="LOY34" s="1884"/>
      <c r="LOZ34" s="1884"/>
      <c r="LPA34" s="1884"/>
      <c r="LPB34" s="1884"/>
      <c r="LPC34" s="1884"/>
      <c r="LPD34" s="1884"/>
      <c r="LPE34" s="1884"/>
      <c r="LPF34" s="1884"/>
      <c r="LPG34" s="1884"/>
      <c r="LPH34" s="1884"/>
      <c r="LPI34" s="1884"/>
      <c r="LPJ34" s="1884"/>
      <c r="LPK34" s="1884"/>
      <c r="LPL34" s="1884"/>
      <c r="LPM34" s="1884"/>
      <c r="LPN34" s="1884"/>
      <c r="LPO34" s="1884"/>
      <c r="LPP34" s="1884"/>
      <c r="LPQ34" s="1884"/>
      <c r="LPR34" s="1884"/>
      <c r="LPS34" s="1884"/>
      <c r="LPT34" s="1884"/>
      <c r="LPU34" s="1884"/>
      <c r="LPV34" s="1884"/>
      <c r="LPW34" s="1884"/>
      <c r="LPX34" s="1884"/>
      <c r="LPY34" s="1884"/>
      <c r="LPZ34" s="1884"/>
      <c r="LQA34" s="1884"/>
      <c r="LQB34" s="1884"/>
      <c r="LQC34" s="1884"/>
      <c r="LQD34" s="1884"/>
      <c r="LQE34" s="1884"/>
      <c r="LQF34" s="1884"/>
      <c r="LQG34" s="1884"/>
      <c r="LQH34" s="1884"/>
      <c r="LQI34" s="1884"/>
      <c r="LQJ34" s="1884"/>
      <c r="LQK34" s="1884"/>
      <c r="LQL34" s="1884"/>
      <c r="LQM34" s="1884"/>
      <c r="LQN34" s="1884"/>
      <c r="LQO34" s="1884"/>
      <c r="LQP34" s="1884"/>
      <c r="LQQ34" s="1884"/>
      <c r="LQR34" s="1884"/>
      <c r="LQS34" s="1884"/>
      <c r="LQT34" s="1884"/>
      <c r="LQU34" s="1884"/>
      <c r="LQV34" s="1884"/>
      <c r="LQW34" s="1884"/>
      <c r="LQX34" s="1884"/>
      <c r="LQY34" s="1884"/>
      <c r="LQZ34" s="1884"/>
      <c r="LRA34" s="1884"/>
      <c r="LRB34" s="1884"/>
      <c r="LRC34" s="1884"/>
      <c r="LRD34" s="1884"/>
      <c r="LRE34" s="1884"/>
      <c r="LRF34" s="1884"/>
      <c r="LRG34" s="1884"/>
      <c r="LRH34" s="1884"/>
      <c r="LRI34" s="1884"/>
      <c r="LRJ34" s="1884"/>
      <c r="LRK34" s="1884"/>
      <c r="LRL34" s="1884"/>
      <c r="LRM34" s="1884"/>
      <c r="LRN34" s="1884"/>
      <c r="LRO34" s="1884"/>
      <c r="LRP34" s="1884"/>
      <c r="LRQ34" s="1884"/>
      <c r="LRR34" s="1884"/>
      <c r="LRS34" s="1884"/>
      <c r="LRT34" s="1884"/>
      <c r="LRU34" s="1884"/>
      <c r="LRV34" s="1884"/>
      <c r="LRW34" s="1884"/>
      <c r="LRX34" s="1884"/>
      <c r="LRY34" s="1884"/>
      <c r="LRZ34" s="1884"/>
      <c r="LSA34" s="1884"/>
      <c r="LSB34" s="1884"/>
      <c r="LSC34" s="1884"/>
      <c r="LSD34" s="1884"/>
      <c r="LSE34" s="1884"/>
      <c r="LSF34" s="1884"/>
      <c r="LSG34" s="1884"/>
      <c r="LSH34" s="1884"/>
      <c r="LSI34" s="1884"/>
      <c r="LSJ34" s="1884"/>
      <c r="LSK34" s="1884"/>
      <c r="LSL34" s="1884"/>
      <c r="LSM34" s="1884"/>
      <c r="LSN34" s="1884"/>
      <c r="LSO34" s="1884"/>
      <c r="LSP34" s="1884"/>
      <c r="LSQ34" s="1884"/>
      <c r="LSR34" s="1884"/>
      <c r="LSS34" s="1884"/>
      <c r="LST34" s="1884"/>
      <c r="LSU34" s="1884"/>
      <c r="LSV34" s="1884"/>
      <c r="LSW34" s="1884"/>
      <c r="LSX34" s="1884"/>
      <c r="LSY34" s="1884"/>
      <c r="LSZ34" s="1884"/>
      <c r="LTA34" s="1884"/>
      <c r="LTB34" s="1884"/>
      <c r="LTC34" s="1884"/>
      <c r="LTD34" s="1884"/>
      <c r="LTE34" s="1884"/>
      <c r="LTF34" s="1884"/>
      <c r="LTG34" s="1884"/>
      <c r="LTH34" s="1884"/>
      <c r="LTI34" s="1884"/>
      <c r="LTJ34" s="1884"/>
      <c r="LTK34" s="1884"/>
      <c r="LTL34" s="1884"/>
      <c r="LTM34" s="1884"/>
      <c r="LTN34" s="1884"/>
      <c r="LTO34" s="1884"/>
      <c r="LTP34" s="1884"/>
      <c r="LTQ34" s="1884"/>
      <c r="LTR34" s="1884"/>
      <c r="LTS34" s="1884"/>
      <c r="LTT34" s="1884"/>
      <c r="LTU34" s="1884"/>
      <c r="LTV34" s="1884"/>
      <c r="LTW34" s="1884"/>
      <c r="LTX34" s="1884"/>
      <c r="LTY34" s="1884"/>
      <c r="LTZ34" s="1884"/>
      <c r="LUA34" s="1884"/>
      <c r="LUB34" s="1884"/>
      <c r="LUC34" s="1884"/>
      <c r="LUD34" s="1884"/>
      <c r="LUE34" s="1884"/>
      <c r="LUF34" s="1884"/>
      <c r="LUG34" s="1884"/>
      <c r="LUH34" s="1884"/>
      <c r="LUI34" s="1884"/>
      <c r="LUJ34" s="1884"/>
      <c r="LUK34" s="1884"/>
      <c r="LUL34" s="1884"/>
      <c r="LUM34" s="1884"/>
      <c r="LUN34" s="1884"/>
      <c r="LUO34" s="1884"/>
      <c r="LUP34" s="1884"/>
      <c r="LUQ34" s="1884"/>
      <c r="LUR34" s="1884"/>
      <c r="LUS34" s="1884"/>
      <c r="LUT34" s="1884"/>
      <c r="LUU34" s="1884"/>
      <c r="LUV34" s="1884"/>
      <c r="LUW34" s="1884"/>
      <c r="LUX34" s="1884"/>
      <c r="LUY34" s="1884"/>
      <c r="LUZ34" s="1884"/>
      <c r="LVA34" s="1884"/>
      <c r="LVB34" s="1884"/>
      <c r="LVC34" s="1884"/>
      <c r="LVD34" s="1884"/>
      <c r="LVE34" s="1884"/>
      <c r="LVF34" s="1884"/>
      <c r="LVG34" s="1884"/>
      <c r="LVH34" s="1884"/>
      <c r="LVI34" s="1884"/>
      <c r="LVJ34" s="1884"/>
      <c r="LVK34" s="1884"/>
      <c r="LVL34" s="1884"/>
      <c r="LVM34" s="1884"/>
      <c r="LVN34" s="1884"/>
      <c r="LVO34" s="1884"/>
      <c r="LVP34" s="1884"/>
      <c r="LVQ34" s="1884"/>
      <c r="LVR34" s="1884"/>
      <c r="LVS34" s="1884"/>
      <c r="LVT34" s="1884"/>
      <c r="LVU34" s="1884"/>
      <c r="LVV34" s="1884"/>
      <c r="LVW34" s="1884"/>
      <c r="LVX34" s="1884"/>
      <c r="LVY34" s="1884"/>
      <c r="LVZ34" s="1884"/>
      <c r="LWA34" s="1884"/>
      <c r="LWB34" s="1884"/>
      <c r="LWC34" s="1884"/>
      <c r="LWD34" s="1884"/>
      <c r="LWE34" s="1884"/>
      <c r="LWF34" s="1884"/>
      <c r="LWG34" s="1884"/>
      <c r="LWH34" s="1884"/>
      <c r="LWI34" s="1884"/>
      <c r="LWJ34" s="1884"/>
      <c r="LWK34" s="1884"/>
      <c r="LWL34" s="1884"/>
      <c r="LWM34" s="1884"/>
      <c r="LWN34" s="1884"/>
      <c r="LWO34" s="1884"/>
      <c r="LWP34" s="1884"/>
      <c r="LWQ34" s="1884"/>
      <c r="LWR34" s="1884"/>
      <c r="LWS34" s="1884"/>
      <c r="LWT34" s="1884"/>
      <c r="LWU34" s="1884"/>
      <c r="LWV34" s="1884"/>
      <c r="LWW34" s="1884"/>
      <c r="LWX34" s="1884"/>
      <c r="LWY34" s="1884"/>
      <c r="LWZ34" s="1884"/>
      <c r="LXA34" s="1884"/>
      <c r="LXB34" s="1884"/>
      <c r="LXC34" s="1884"/>
      <c r="LXD34" s="1884"/>
      <c r="LXE34" s="1884"/>
      <c r="LXF34" s="1884"/>
      <c r="LXG34" s="1884"/>
      <c r="LXH34" s="1884"/>
      <c r="LXI34" s="1884"/>
      <c r="LXJ34" s="1884"/>
      <c r="LXK34" s="1884"/>
      <c r="LXL34" s="1884"/>
      <c r="LXM34" s="1884"/>
      <c r="LXN34" s="1884"/>
      <c r="LXO34" s="1884"/>
      <c r="LXP34" s="1884"/>
      <c r="LXQ34" s="1884"/>
      <c r="LXR34" s="1884"/>
      <c r="LXS34" s="1884"/>
      <c r="LXT34" s="1884"/>
      <c r="LXU34" s="1884"/>
      <c r="LXV34" s="1884"/>
      <c r="LXW34" s="1884"/>
      <c r="LXX34" s="1884"/>
      <c r="LXY34" s="1884"/>
      <c r="LXZ34" s="1884"/>
      <c r="LYA34" s="1884"/>
      <c r="LYB34" s="1884"/>
      <c r="LYC34" s="1884"/>
      <c r="LYD34" s="1884"/>
      <c r="LYE34" s="1884"/>
      <c r="LYF34" s="1884"/>
      <c r="LYG34" s="1884"/>
      <c r="LYH34" s="1884"/>
      <c r="LYI34" s="1884"/>
      <c r="LYJ34" s="1884"/>
      <c r="LYK34" s="1884"/>
      <c r="LYL34" s="1884"/>
      <c r="LYM34" s="1884"/>
      <c r="LYN34" s="1884"/>
      <c r="LYO34" s="1884"/>
      <c r="LYP34" s="1884"/>
      <c r="LYQ34" s="1884"/>
      <c r="LYR34" s="1884"/>
      <c r="LYS34" s="1884"/>
      <c r="LYT34" s="1884"/>
      <c r="LYU34" s="1884"/>
      <c r="LYV34" s="1884"/>
      <c r="LYW34" s="1884"/>
      <c r="LYX34" s="1884"/>
      <c r="LYY34" s="1884"/>
      <c r="LYZ34" s="1884"/>
      <c r="LZA34" s="1884"/>
      <c r="LZB34" s="1884"/>
      <c r="LZC34" s="1884"/>
      <c r="LZD34" s="1884"/>
      <c r="LZE34" s="1884"/>
      <c r="LZF34" s="1884"/>
      <c r="LZG34" s="1884"/>
      <c r="LZH34" s="1884"/>
      <c r="LZI34" s="1884"/>
      <c r="LZJ34" s="1884"/>
      <c r="LZK34" s="1884"/>
      <c r="LZL34" s="1884"/>
      <c r="LZM34" s="1884"/>
      <c r="LZN34" s="1884"/>
      <c r="LZO34" s="1884"/>
      <c r="LZP34" s="1884"/>
      <c r="LZQ34" s="1884"/>
      <c r="LZR34" s="1884"/>
      <c r="LZS34" s="1884"/>
      <c r="LZT34" s="1884"/>
      <c r="LZU34" s="1884"/>
      <c r="LZV34" s="1884"/>
      <c r="LZW34" s="1884"/>
      <c r="LZX34" s="1884"/>
      <c r="LZY34" s="1884"/>
      <c r="LZZ34" s="1884"/>
      <c r="MAA34" s="1884"/>
      <c r="MAB34" s="1884"/>
      <c r="MAC34" s="1884"/>
      <c r="MAD34" s="1884"/>
      <c r="MAE34" s="1884"/>
      <c r="MAF34" s="1884"/>
      <c r="MAG34" s="1884"/>
      <c r="MAH34" s="1884"/>
      <c r="MAI34" s="1884"/>
      <c r="MAJ34" s="1884"/>
      <c r="MAK34" s="1884"/>
      <c r="MAL34" s="1884"/>
      <c r="MAM34" s="1884"/>
      <c r="MAN34" s="1884"/>
      <c r="MAO34" s="1884"/>
      <c r="MAP34" s="1884"/>
      <c r="MAQ34" s="1884"/>
      <c r="MAR34" s="1884"/>
      <c r="MAS34" s="1884"/>
      <c r="MAT34" s="1884"/>
      <c r="MAU34" s="1884"/>
      <c r="MAV34" s="1884"/>
      <c r="MAW34" s="1884"/>
      <c r="MAX34" s="1884"/>
      <c r="MAY34" s="1884"/>
      <c r="MAZ34" s="1884"/>
      <c r="MBA34" s="1884"/>
      <c r="MBB34" s="1884"/>
      <c r="MBC34" s="1884"/>
      <c r="MBD34" s="1884"/>
      <c r="MBE34" s="1884"/>
      <c r="MBF34" s="1884"/>
      <c r="MBG34" s="1884"/>
      <c r="MBH34" s="1884"/>
      <c r="MBI34" s="1884"/>
      <c r="MBJ34" s="1884"/>
      <c r="MBK34" s="1884"/>
      <c r="MBL34" s="1884"/>
      <c r="MBM34" s="1884"/>
      <c r="MBN34" s="1884"/>
      <c r="MBO34" s="1884"/>
      <c r="MBP34" s="1884"/>
      <c r="MBQ34" s="1884"/>
      <c r="MBR34" s="1884"/>
      <c r="MBS34" s="1884"/>
      <c r="MBT34" s="1884"/>
      <c r="MBU34" s="1884"/>
      <c r="MBV34" s="1884"/>
      <c r="MBW34" s="1884"/>
      <c r="MBX34" s="1884"/>
      <c r="MBY34" s="1884"/>
      <c r="MBZ34" s="1884"/>
      <c r="MCA34" s="1884"/>
      <c r="MCB34" s="1884"/>
      <c r="MCC34" s="1884"/>
      <c r="MCD34" s="1884"/>
      <c r="MCE34" s="1884"/>
      <c r="MCF34" s="1884"/>
      <c r="MCG34" s="1884"/>
      <c r="MCH34" s="1884"/>
      <c r="MCI34" s="1884"/>
      <c r="MCJ34" s="1884"/>
      <c r="MCK34" s="1884"/>
      <c r="MCL34" s="1884"/>
      <c r="MCM34" s="1884"/>
      <c r="MCN34" s="1884"/>
      <c r="MCO34" s="1884"/>
      <c r="MCP34" s="1884"/>
      <c r="MCQ34" s="1884"/>
      <c r="MCR34" s="1884"/>
      <c r="MCS34" s="1884"/>
      <c r="MCT34" s="1884"/>
      <c r="MCU34" s="1884"/>
      <c r="MCV34" s="1884"/>
      <c r="MCW34" s="1884"/>
      <c r="MCX34" s="1884"/>
      <c r="MCY34" s="1884"/>
      <c r="MCZ34" s="1884"/>
      <c r="MDA34" s="1884"/>
      <c r="MDB34" s="1884"/>
      <c r="MDC34" s="1884"/>
      <c r="MDD34" s="1884"/>
      <c r="MDE34" s="1884"/>
      <c r="MDF34" s="1884"/>
      <c r="MDG34" s="1884"/>
      <c r="MDH34" s="1884"/>
      <c r="MDI34" s="1884"/>
      <c r="MDJ34" s="1884"/>
      <c r="MDK34" s="1884"/>
      <c r="MDL34" s="1884"/>
      <c r="MDM34" s="1884"/>
      <c r="MDN34" s="1884"/>
      <c r="MDO34" s="1884"/>
      <c r="MDP34" s="1884"/>
      <c r="MDQ34" s="1884"/>
      <c r="MDR34" s="1884"/>
      <c r="MDS34" s="1884"/>
      <c r="MDT34" s="1884"/>
      <c r="MDU34" s="1884"/>
      <c r="MDV34" s="1884"/>
      <c r="MDW34" s="1884"/>
      <c r="MDX34" s="1884"/>
      <c r="MDY34" s="1884"/>
      <c r="MDZ34" s="1884"/>
      <c r="MEA34" s="1884"/>
      <c r="MEB34" s="1884"/>
      <c r="MEC34" s="1884"/>
      <c r="MED34" s="1884"/>
      <c r="MEE34" s="1884"/>
      <c r="MEF34" s="1884"/>
      <c r="MEG34" s="1884"/>
      <c r="MEH34" s="1884"/>
      <c r="MEI34" s="1884"/>
      <c r="MEJ34" s="1884"/>
      <c r="MEK34" s="1884"/>
      <c r="MEL34" s="1884"/>
      <c r="MEM34" s="1884"/>
      <c r="MEN34" s="1884"/>
      <c r="MEO34" s="1884"/>
      <c r="MEP34" s="1884"/>
      <c r="MEQ34" s="1884"/>
      <c r="MER34" s="1884"/>
      <c r="MES34" s="1884"/>
      <c r="MET34" s="1884"/>
      <c r="MEU34" s="1884"/>
      <c r="MEV34" s="1884"/>
      <c r="MEW34" s="1884"/>
      <c r="MEX34" s="1884"/>
      <c r="MEY34" s="1884"/>
      <c r="MEZ34" s="1884"/>
      <c r="MFA34" s="1884"/>
      <c r="MFB34" s="1884"/>
      <c r="MFC34" s="1884"/>
      <c r="MFD34" s="1884"/>
      <c r="MFE34" s="1884"/>
      <c r="MFF34" s="1884"/>
      <c r="MFG34" s="1884"/>
      <c r="MFH34" s="1884"/>
      <c r="MFI34" s="1884"/>
      <c r="MFJ34" s="1884"/>
      <c r="MFK34" s="1884"/>
      <c r="MFL34" s="1884"/>
      <c r="MFM34" s="1884"/>
      <c r="MFN34" s="1884"/>
      <c r="MFO34" s="1884"/>
      <c r="MFP34" s="1884"/>
      <c r="MFQ34" s="1884"/>
      <c r="MFR34" s="1884"/>
      <c r="MFS34" s="1884"/>
      <c r="MFT34" s="1884"/>
      <c r="MFU34" s="1884"/>
      <c r="MFV34" s="1884"/>
      <c r="MFW34" s="1884"/>
      <c r="MFX34" s="1884"/>
      <c r="MFY34" s="1884"/>
      <c r="MFZ34" s="1884"/>
      <c r="MGA34" s="1884"/>
      <c r="MGB34" s="1884"/>
      <c r="MGC34" s="1884"/>
      <c r="MGD34" s="1884"/>
      <c r="MGE34" s="1884"/>
      <c r="MGF34" s="1884"/>
      <c r="MGG34" s="1884"/>
      <c r="MGH34" s="1884"/>
      <c r="MGI34" s="1884"/>
      <c r="MGJ34" s="1884"/>
      <c r="MGK34" s="1884"/>
      <c r="MGL34" s="1884"/>
      <c r="MGM34" s="1884"/>
      <c r="MGN34" s="1884"/>
      <c r="MGO34" s="1884"/>
      <c r="MGP34" s="1884"/>
      <c r="MGQ34" s="1884"/>
      <c r="MGR34" s="1884"/>
      <c r="MGS34" s="1884"/>
      <c r="MGT34" s="1884"/>
      <c r="MGU34" s="1884"/>
      <c r="MGV34" s="1884"/>
      <c r="MGW34" s="1884"/>
      <c r="MGX34" s="1884"/>
      <c r="MGY34" s="1884"/>
      <c r="MGZ34" s="1884"/>
      <c r="MHA34" s="1884"/>
      <c r="MHB34" s="1884"/>
      <c r="MHC34" s="1884"/>
      <c r="MHD34" s="1884"/>
      <c r="MHE34" s="1884"/>
      <c r="MHF34" s="1884"/>
      <c r="MHG34" s="1884"/>
      <c r="MHH34" s="1884"/>
      <c r="MHI34" s="1884"/>
      <c r="MHJ34" s="1884"/>
      <c r="MHK34" s="1884"/>
      <c r="MHL34" s="1884"/>
      <c r="MHM34" s="1884"/>
      <c r="MHN34" s="1884"/>
      <c r="MHO34" s="1884"/>
      <c r="MHP34" s="1884"/>
      <c r="MHQ34" s="1884"/>
      <c r="MHR34" s="1884"/>
      <c r="MHS34" s="1884"/>
      <c r="MHT34" s="1884"/>
      <c r="MHU34" s="1884"/>
      <c r="MHV34" s="1884"/>
      <c r="MHW34" s="1884"/>
      <c r="MHX34" s="1884"/>
      <c r="MHY34" s="1884"/>
      <c r="MHZ34" s="1884"/>
      <c r="MIA34" s="1884"/>
      <c r="MIB34" s="1884"/>
      <c r="MIC34" s="1884"/>
      <c r="MID34" s="1884"/>
      <c r="MIE34" s="1884"/>
      <c r="MIF34" s="1884"/>
      <c r="MIG34" s="1884"/>
      <c r="MIH34" s="1884"/>
      <c r="MII34" s="1884"/>
      <c r="MIJ34" s="1884"/>
      <c r="MIK34" s="1884"/>
      <c r="MIL34" s="1884"/>
      <c r="MIM34" s="1884"/>
      <c r="MIN34" s="1884"/>
      <c r="MIO34" s="1884"/>
      <c r="MIP34" s="1884"/>
      <c r="MIQ34" s="1884"/>
      <c r="MIR34" s="1884"/>
      <c r="MIS34" s="1884"/>
      <c r="MIT34" s="1884"/>
      <c r="MIU34" s="1884"/>
      <c r="MIV34" s="1884"/>
      <c r="MIW34" s="1884"/>
      <c r="MIX34" s="1884"/>
      <c r="MIY34" s="1884"/>
      <c r="MIZ34" s="1884"/>
      <c r="MJA34" s="1884"/>
      <c r="MJB34" s="1884"/>
      <c r="MJC34" s="1884"/>
      <c r="MJD34" s="1884"/>
      <c r="MJE34" s="1884"/>
      <c r="MJF34" s="1884"/>
      <c r="MJG34" s="1884"/>
      <c r="MJH34" s="1884"/>
      <c r="MJI34" s="1884"/>
      <c r="MJJ34" s="1884"/>
      <c r="MJK34" s="1884"/>
      <c r="MJL34" s="1884"/>
      <c r="MJM34" s="1884"/>
      <c r="MJN34" s="1884"/>
      <c r="MJO34" s="1884"/>
      <c r="MJP34" s="1884"/>
      <c r="MJQ34" s="1884"/>
      <c r="MJR34" s="1884"/>
      <c r="MJS34" s="1884"/>
      <c r="MJT34" s="1884"/>
      <c r="MJU34" s="1884"/>
      <c r="MJV34" s="1884"/>
      <c r="MJW34" s="1884"/>
      <c r="MJX34" s="1884"/>
      <c r="MJY34" s="1884"/>
      <c r="MJZ34" s="1884"/>
      <c r="MKA34" s="1884"/>
      <c r="MKB34" s="1884"/>
      <c r="MKC34" s="1884"/>
      <c r="MKD34" s="1884"/>
      <c r="MKE34" s="1884"/>
      <c r="MKF34" s="1884"/>
      <c r="MKG34" s="1884"/>
      <c r="MKH34" s="1884"/>
      <c r="MKI34" s="1884"/>
      <c r="MKJ34" s="1884"/>
      <c r="MKK34" s="1884"/>
      <c r="MKL34" s="1884"/>
      <c r="MKM34" s="1884"/>
      <c r="MKN34" s="1884"/>
      <c r="MKO34" s="1884"/>
      <c r="MKP34" s="1884"/>
      <c r="MKQ34" s="1884"/>
      <c r="MKR34" s="1884"/>
      <c r="MKS34" s="1884"/>
      <c r="MKT34" s="1884"/>
      <c r="MKU34" s="1884"/>
      <c r="MKV34" s="1884"/>
      <c r="MKW34" s="1884"/>
      <c r="MKX34" s="1884"/>
      <c r="MKY34" s="1884"/>
      <c r="MKZ34" s="1884"/>
      <c r="MLA34" s="1884"/>
      <c r="MLB34" s="1884"/>
      <c r="MLC34" s="1884"/>
      <c r="MLD34" s="1884"/>
      <c r="MLE34" s="1884"/>
      <c r="MLF34" s="1884"/>
      <c r="MLG34" s="1884"/>
      <c r="MLH34" s="1884"/>
      <c r="MLI34" s="1884"/>
      <c r="MLJ34" s="1884"/>
      <c r="MLK34" s="1884"/>
      <c r="MLL34" s="1884"/>
      <c r="MLM34" s="1884"/>
      <c r="MLN34" s="1884"/>
      <c r="MLO34" s="1884"/>
      <c r="MLP34" s="1884"/>
      <c r="MLQ34" s="1884"/>
      <c r="MLR34" s="1884"/>
      <c r="MLS34" s="1884"/>
      <c r="MLT34" s="1884"/>
      <c r="MLU34" s="1884"/>
      <c r="MLV34" s="1884"/>
      <c r="MLW34" s="1884"/>
      <c r="MLX34" s="1884"/>
      <c r="MLY34" s="1884"/>
      <c r="MLZ34" s="1884"/>
      <c r="MMA34" s="1884"/>
      <c r="MMB34" s="1884"/>
      <c r="MMC34" s="1884"/>
      <c r="MMD34" s="1884"/>
      <c r="MME34" s="1884"/>
      <c r="MMF34" s="1884"/>
      <c r="MMG34" s="1884"/>
      <c r="MMH34" s="1884"/>
      <c r="MMI34" s="1884"/>
      <c r="MMJ34" s="1884"/>
      <c r="MMK34" s="1884"/>
      <c r="MML34" s="1884"/>
      <c r="MMM34" s="1884"/>
      <c r="MMN34" s="1884"/>
      <c r="MMO34" s="1884"/>
      <c r="MMP34" s="1884"/>
      <c r="MMQ34" s="1884"/>
      <c r="MMR34" s="1884"/>
      <c r="MMS34" s="1884"/>
      <c r="MMT34" s="1884"/>
      <c r="MMU34" s="1884"/>
      <c r="MMV34" s="1884"/>
      <c r="MMW34" s="1884"/>
      <c r="MMX34" s="1884"/>
      <c r="MMY34" s="1884"/>
      <c r="MMZ34" s="1884"/>
      <c r="MNA34" s="1884"/>
      <c r="MNB34" s="1884"/>
      <c r="MNC34" s="1884"/>
      <c r="MND34" s="1884"/>
      <c r="MNE34" s="1884"/>
      <c r="MNF34" s="1884"/>
      <c r="MNG34" s="1884"/>
      <c r="MNH34" s="1884"/>
      <c r="MNI34" s="1884"/>
      <c r="MNJ34" s="1884"/>
      <c r="MNK34" s="1884"/>
      <c r="MNL34" s="1884"/>
      <c r="MNM34" s="1884"/>
      <c r="MNN34" s="1884"/>
      <c r="MNO34" s="1884"/>
      <c r="MNP34" s="1884"/>
      <c r="MNQ34" s="1884"/>
      <c r="MNR34" s="1884"/>
      <c r="MNS34" s="1884"/>
      <c r="MNT34" s="1884"/>
      <c r="MNU34" s="1884"/>
      <c r="MNV34" s="1884"/>
      <c r="MNW34" s="1884"/>
      <c r="MNX34" s="1884"/>
      <c r="MNY34" s="1884"/>
      <c r="MNZ34" s="1884"/>
      <c r="MOA34" s="1884"/>
      <c r="MOB34" s="1884"/>
      <c r="MOC34" s="1884"/>
      <c r="MOD34" s="1884"/>
      <c r="MOE34" s="1884"/>
      <c r="MOF34" s="1884"/>
      <c r="MOG34" s="1884"/>
      <c r="MOH34" s="1884"/>
      <c r="MOI34" s="1884"/>
      <c r="MOJ34" s="1884"/>
      <c r="MOK34" s="1884"/>
      <c r="MOL34" s="1884"/>
      <c r="MOM34" s="1884"/>
      <c r="MON34" s="1884"/>
      <c r="MOO34" s="1884"/>
      <c r="MOP34" s="1884"/>
      <c r="MOQ34" s="1884"/>
      <c r="MOR34" s="1884"/>
      <c r="MOS34" s="1884"/>
      <c r="MOT34" s="1884"/>
      <c r="MOU34" s="1884"/>
      <c r="MOV34" s="1884"/>
      <c r="MOW34" s="1884"/>
      <c r="MOX34" s="1884"/>
      <c r="MOY34" s="1884"/>
      <c r="MOZ34" s="1884"/>
      <c r="MPA34" s="1884"/>
      <c r="MPB34" s="1884"/>
      <c r="MPC34" s="1884"/>
      <c r="MPD34" s="1884"/>
      <c r="MPE34" s="1884"/>
      <c r="MPF34" s="1884"/>
      <c r="MPG34" s="1884"/>
      <c r="MPH34" s="1884"/>
      <c r="MPI34" s="1884"/>
      <c r="MPJ34" s="1884"/>
      <c r="MPK34" s="1884"/>
      <c r="MPL34" s="1884"/>
      <c r="MPM34" s="1884"/>
      <c r="MPN34" s="1884"/>
      <c r="MPO34" s="1884"/>
      <c r="MPP34" s="1884"/>
      <c r="MPQ34" s="1884"/>
      <c r="MPR34" s="1884"/>
      <c r="MPS34" s="1884"/>
      <c r="MPT34" s="1884"/>
      <c r="MPU34" s="1884"/>
      <c r="MPV34" s="1884"/>
      <c r="MPW34" s="1884"/>
      <c r="MPX34" s="1884"/>
      <c r="MPY34" s="1884"/>
      <c r="MPZ34" s="1884"/>
      <c r="MQA34" s="1884"/>
      <c r="MQB34" s="1884"/>
      <c r="MQC34" s="1884"/>
      <c r="MQD34" s="1884"/>
      <c r="MQE34" s="1884"/>
      <c r="MQF34" s="1884"/>
      <c r="MQG34" s="1884"/>
      <c r="MQH34" s="1884"/>
      <c r="MQI34" s="1884"/>
      <c r="MQJ34" s="1884"/>
      <c r="MQK34" s="1884"/>
      <c r="MQL34" s="1884"/>
      <c r="MQM34" s="1884"/>
      <c r="MQN34" s="1884"/>
      <c r="MQO34" s="1884"/>
      <c r="MQP34" s="1884"/>
      <c r="MQQ34" s="1884"/>
      <c r="MQR34" s="1884"/>
      <c r="MQS34" s="1884"/>
      <c r="MQT34" s="1884"/>
      <c r="MQU34" s="1884"/>
      <c r="MQV34" s="1884"/>
      <c r="MQW34" s="1884"/>
      <c r="MQX34" s="1884"/>
      <c r="MQY34" s="1884"/>
      <c r="MQZ34" s="1884"/>
      <c r="MRA34" s="1884"/>
      <c r="MRB34" s="1884"/>
      <c r="MRC34" s="1884"/>
      <c r="MRD34" s="1884"/>
      <c r="MRE34" s="1884"/>
      <c r="MRF34" s="1884"/>
      <c r="MRG34" s="1884"/>
      <c r="MRH34" s="1884"/>
      <c r="MRI34" s="1884"/>
      <c r="MRJ34" s="1884"/>
      <c r="MRK34" s="1884"/>
      <c r="MRL34" s="1884"/>
      <c r="MRM34" s="1884"/>
      <c r="MRN34" s="1884"/>
      <c r="MRO34" s="1884"/>
      <c r="MRP34" s="1884"/>
      <c r="MRQ34" s="1884"/>
      <c r="MRR34" s="1884"/>
      <c r="MRS34" s="1884"/>
      <c r="MRT34" s="1884"/>
      <c r="MRU34" s="1884"/>
      <c r="MRV34" s="1884"/>
      <c r="MRW34" s="1884"/>
      <c r="MRX34" s="1884"/>
      <c r="MRY34" s="1884"/>
      <c r="MRZ34" s="1884"/>
      <c r="MSA34" s="1884"/>
      <c r="MSB34" s="1884"/>
      <c r="MSC34" s="1884"/>
      <c r="MSD34" s="1884"/>
      <c r="MSE34" s="1884"/>
      <c r="MSF34" s="1884"/>
      <c r="MSG34" s="1884"/>
      <c r="MSH34" s="1884"/>
      <c r="MSI34" s="1884"/>
      <c r="MSJ34" s="1884"/>
      <c r="MSK34" s="1884"/>
      <c r="MSL34" s="1884"/>
      <c r="MSM34" s="1884"/>
      <c r="MSN34" s="1884"/>
      <c r="MSO34" s="1884"/>
      <c r="MSP34" s="1884"/>
      <c r="MSQ34" s="1884"/>
      <c r="MSR34" s="1884"/>
      <c r="MSS34" s="1884"/>
      <c r="MST34" s="1884"/>
      <c r="MSU34" s="1884"/>
      <c r="MSV34" s="1884"/>
      <c r="MSW34" s="1884"/>
      <c r="MSX34" s="1884"/>
      <c r="MSY34" s="1884"/>
      <c r="MSZ34" s="1884"/>
      <c r="MTA34" s="1884"/>
      <c r="MTB34" s="1884"/>
      <c r="MTC34" s="1884"/>
      <c r="MTD34" s="1884"/>
      <c r="MTE34" s="1884"/>
      <c r="MTF34" s="1884"/>
      <c r="MTG34" s="1884"/>
      <c r="MTH34" s="1884"/>
      <c r="MTI34" s="1884"/>
      <c r="MTJ34" s="1884"/>
      <c r="MTK34" s="1884"/>
      <c r="MTL34" s="1884"/>
      <c r="MTM34" s="1884"/>
      <c r="MTN34" s="1884"/>
      <c r="MTO34" s="1884"/>
      <c r="MTP34" s="1884"/>
      <c r="MTQ34" s="1884"/>
      <c r="MTR34" s="1884"/>
      <c r="MTS34" s="1884"/>
      <c r="MTT34" s="1884"/>
      <c r="MTU34" s="1884"/>
      <c r="MTV34" s="1884"/>
      <c r="MTW34" s="1884"/>
      <c r="MTX34" s="1884"/>
      <c r="MTY34" s="1884"/>
      <c r="MTZ34" s="1884"/>
      <c r="MUA34" s="1884"/>
      <c r="MUB34" s="1884"/>
      <c r="MUC34" s="1884"/>
      <c r="MUD34" s="1884"/>
      <c r="MUE34" s="1884"/>
      <c r="MUF34" s="1884"/>
      <c r="MUG34" s="1884"/>
      <c r="MUH34" s="1884"/>
      <c r="MUI34" s="1884"/>
      <c r="MUJ34" s="1884"/>
      <c r="MUK34" s="1884"/>
      <c r="MUL34" s="1884"/>
      <c r="MUM34" s="1884"/>
      <c r="MUN34" s="1884"/>
      <c r="MUO34" s="1884"/>
      <c r="MUP34" s="1884"/>
      <c r="MUQ34" s="1884"/>
      <c r="MUR34" s="1884"/>
      <c r="MUS34" s="1884"/>
      <c r="MUT34" s="1884"/>
      <c r="MUU34" s="1884"/>
      <c r="MUV34" s="1884"/>
      <c r="MUW34" s="1884"/>
      <c r="MUX34" s="1884"/>
      <c r="MUY34" s="1884"/>
      <c r="MUZ34" s="1884"/>
      <c r="MVA34" s="1884"/>
      <c r="MVB34" s="1884"/>
      <c r="MVC34" s="1884"/>
      <c r="MVD34" s="1884"/>
      <c r="MVE34" s="1884"/>
      <c r="MVF34" s="1884"/>
      <c r="MVG34" s="1884"/>
      <c r="MVH34" s="1884"/>
      <c r="MVI34" s="1884"/>
      <c r="MVJ34" s="1884"/>
      <c r="MVK34" s="1884"/>
      <c r="MVL34" s="1884"/>
      <c r="MVM34" s="1884"/>
      <c r="MVN34" s="1884"/>
      <c r="MVO34" s="1884"/>
      <c r="MVP34" s="1884"/>
      <c r="MVQ34" s="1884"/>
      <c r="MVR34" s="1884"/>
      <c r="MVS34" s="1884"/>
      <c r="MVT34" s="1884"/>
      <c r="MVU34" s="1884"/>
      <c r="MVV34" s="1884"/>
      <c r="MVW34" s="1884"/>
      <c r="MVX34" s="1884"/>
      <c r="MVY34" s="1884"/>
      <c r="MVZ34" s="1884"/>
      <c r="MWA34" s="1884"/>
      <c r="MWB34" s="1884"/>
      <c r="MWC34" s="1884"/>
      <c r="MWD34" s="1884"/>
      <c r="MWE34" s="1884"/>
      <c r="MWF34" s="1884"/>
      <c r="MWG34" s="1884"/>
      <c r="MWH34" s="1884"/>
      <c r="MWI34" s="1884"/>
      <c r="MWJ34" s="1884"/>
      <c r="MWK34" s="1884"/>
      <c r="MWL34" s="1884"/>
      <c r="MWM34" s="1884"/>
      <c r="MWN34" s="1884"/>
      <c r="MWO34" s="1884"/>
      <c r="MWP34" s="1884"/>
      <c r="MWQ34" s="1884"/>
      <c r="MWR34" s="1884"/>
      <c r="MWS34" s="1884"/>
      <c r="MWT34" s="1884"/>
      <c r="MWU34" s="1884"/>
      <c r="MWV34" s="1884"/>
      <c r="MWW34" s="1884"/>
      <c r="MWX34" s="1884"/>
      <c r="MWY34" s="1884"/>
      <c r="MWZ34" s="1884"/>
      <c r="MXA34" s="1884"/>
      <c r="MXB34" s="1884"/>
      <c r="MXC34" s="1884"/>
      <c r="MXD34" s="1884"/>
      <c r="MXE34" s="1884"/>
      <c r="MXF34" s="1884"/>
      <c r="MXG34" s="1884"/>
      <c r="MXH34" s="1884"/>
      <c r="MXI34" s="1884"/>
      <c r="MXJ34" s="1884"/>
      <c r="MXK34" s="1884"/>
      <c r="MXL34" s="1884"/>
      <c r="MXM34" s="1884"/>
      <c r="MXN34" s="1884"/>
      <c r="MXO34" s="1884"/>
      <c r="MXP34" s="1884"/>
      <c r="MXQ34" s="1884"/>
      <c r="MXR34" s="1884"/>
      <c r="MXS34" s="1884"/>
      <c r="MXT34" s="1884"/>
      <c r="MXU34" s="1884"/>
      <c r="MXV34" s="1884"/>
      <c r="MXW34" s="1884"/>
      <c r="MXX34" s="1884"/>
      <c r="MXY34" s="1884"/>
      <c r="MXZ34" s="1884"/>
      <c r="MYA34" s="1884"/>
      <c r="MYB34" s="1884"/>
      <c r="MYC34" s="1884"/>
      <c r="MYD34" s="1884"/>
      <c r="MYE34" s="1884"/>
      <c r="MYF34" s="1884"/>
      <c r="MYG34" s="1884"/>
      <c r="MYH34" s="1884"/>
      <c r="MYI34" s="1884"/>
      <c r="MYJ34" s="1884"/>
      <c r="MYK34" s="1884"/>
      <c r="MYL34" s="1884"/>
      <c r="MYM34" s="1884"/>
      <c r="MYN34" s="1884"/>
      <c r="MYO34" s="1884"/>
      <c r="MYP34" s="1884"/>
      <c r="MYQ34" s="1884"/>
      <c r="MYR34" s="1884"/>
      <c r="MYS34" s="1884"/>
      <c r="MYT34" s="1884"/>
      <c r="MYU34" s="1884"/>
      <c r="MYV34" s="1884"/>
      <c r="MYW34" s="1884"/>
      <c r="MYX34" s="1884"/>
      <c r="MYY34" s="1884"/>
      <c r="MYZ34" s="1884"/>
      <c r="MZA34" s="1884"/>
      <c r="MZB34" s="1884"/>
      <c r="MZC34" s="1884"/>
      <c r="MZD34" s="1884"/>
      <c r="MZE34" s="1884"/>
      <c r="MZF34" s="1884"/>
      <c r="MZG34" s="1884"/>
      <c r="MZH34" s="1884"/>
      <c r="MZI34" s="1884"/>
      <c r="MZJ34" s="1884"/>
      <c r="MZK34" s="1884"/>
      <c r="MZL34" s="1884"/>
      <c r="MZM34" s="1884"/>
      <c r="MZN34" s="1884"/>
      <c r="MZO34" s="1884"/>
      <c r="MZP34" s="1884"/>
      <c r="MZQ34" s="1884"/>
      <c r="MZR34" s="1884"/>
      <c r="MZS34" s="1884"/>
      <c r="MZT34" s="1884"/>
      <c r="MZU34" s="1884"/>
      <c r="MZV34" s="1884"/>
      <c r="MZW34" s="1884"/>
      <c r="MZX34" s="1884"/>
      <c r="MZY34" s="1884"/>
      <c r="MZZ34" s="1884"/>
      <c r="NAA34" s="1884"/>
      <c r="NAB34" s="1884"/>
      <c r="NAC34" s="1884"/>
      <c r="NAD34" s="1884"/>
      <c r="NAE34" s="1884"/>
      <c r="NAF34" s="1884"/>
      <c r="NAG34" s="1884"/>
      <c r="NAH34" s="1884"/>
      <c r="NAI34" s="1884"/>
      <c r="NAJ34" s="1884"/>
      <c r="NAK34" s="1884"/>
      <c r="NAL34" s="1884"/>
      <c r="NAM34" s="1884"/>
      <c r="NAN34" s="1884"/>
      <c r="NAO34" s="1884"/>
      <c r="NAP34" s="1884"/>
      <c r="NAQ34" s="1884"/>
      <c r="NAR34" s="1884"/>
      <c r="NAS34" s="1884"/>
      <c r="NAT34" s="1884"/>
      <c r="NAU34" s="1884"/>
      <c r="NAV34" s="1884"/>
      <c r="NAW34" s="1884"/>
      <c r="NAX34" s="1884"/>
      <c r="NAY34" s="1884"/>
      <c r="NAZ34" s="1884"/>
      <c r="NBA34" s="1884"/>
      <c r="NBB34" s="1884"/>
      <c r="NBC34" s="1884"/>
      <c r="NBD34" s="1884"/>
      <c r="NBE34" s="1884"/>
      <c r="NBF34" s="1884"/>
      <c r="NBG34" s="1884"/>
      <c r="NBH34" s="1884"/>
      <c r="NBI34" s="1884"/>
      <c r="NBJ34" s="1884"/>
      <c r="NBK34" s="1884"/>
      <c r="NBL34" s="1884"/>
      <c r="NBM34" s="1884"/>
      <c r="NBN34" s="1884"/>
      <c r="NBO34" s="1884"/>
      <c r="NBP34" s="1884"/>
      <c r="NBQ34" s="1884"/>
      <c r="NBR34" s="1884"/>
      <c r="NBS34" s="1884"/>
      <c r="NBT34" s="1884"/>
      <c r="NBU34" s="1884"/>
      <c r="NBV34" s="1884"/>
      <c r="NBW34" s="1884"/>
      <c r="NBX34" s="1884"/>
      <c r="NBY34" s="1884"/>
      <c r="NBZ34" s="1884"/>
      <c r="NCA34" s="1884"/>
      <c r="NCB34" s="1884"/>
      <c r="NCC34" s="1884"/>
      <c r="NCD34" s="1884"/>
      <c r="NCE34" s="1884"/>
      <c r="NCF34" s="1884"/>
      <c r="NCG34" s="1884"/>
      <c r="NCH34" s="1884"/>
      <c r="NCI34" s="1884"/>
      <c r="NCJ34" s="1884"/>
      <c r="NCK34" s="1884"/>
      <c r="NCL34" s="1884"/>
      <c r="NCM34" s="1884"/>
      <c r="NCN34" s="1884"/>
      <c r="NCO34" s="1884"/>
      <c r="NCP34" s="1884"/>
      <c r="NCQ34" s="1884"/>
      <c r="NCR34" s="1884"/>
      <c r="NCS34" s="1884"/>
      <c r="NCT34" s="1884"/>
      <c r="NCU34" s="1884"/>
      <c r="NCV34" s="1884"/>
      <c r="NCW34" s="1884"/>
      <c r="NCX34" s="1884"/>
      <c r="NCY34" s="1884"/>
      <c r="NCZ34" s="1884"/>
      <c r="NDA34" s="1884"/>
      <c r="NDB34" s="1884"/>
      <c r="NDC34" s="1884"/>
      <c r="NDD34" s="1884"/>
      <c r="NDE34" s="1884"/>
      <c r="NDF34" s="1884"/>
      <c r="NDG34" s="1884"/>
      <c r="NDH34" s="1884"/>
      <c r="NDI34" s="1884"/>
      <c r="NDJ34" s="1884"/>
      <c r="NDK34" s="1884"/>
      <c r="NDL34" s="1884"/>
      <c r="NDM34" s="1884"/>
      <c r="NDN34" s="1884"/>
      <c r="NDO34" s="1884"/>
      <c r="NDP34" s="1884"/>
      <c r="NDQ34" s="1884"/>
      <c r="NDR34" s="1884"/>
      <c r="NDS34" s="1884"/>
      <c r="NDT34" s="1884"/>
      <c r="NDU34" s="1884"/>
      <c r="NDV34" s="1884"/>
      <c r="NDW34" s="1884"/>
      <c r="NDX34" s="1884"/>
      <c r="NDY34" s="1884"/>
      <c r="NDZ34" s="1884"/>
      <c r="NEA34" s="1884"/>
      <c r="NEB34" s="1884"/>
      <c r="NEC34" s="1884"/>
      <c r="NED34" s="1884"/>
      <c r="NEE34" s="1884"/>
      <c r="NEF34" s="1884"/>
      <c r="NEG34" s="1884"/>
      <c r="NEH34" s="1884"/>
      <c r="NEI34" s="1884"/>
      <c r="NEJ34" s="1884"/>
      <c r="NEK34" s="1884"/>
      <c r="NEL34" s="1884"/>
      <c r="NEM34" s="1884"/>
      <c r="NEN34" s="1884"/>
      <c r="NEO34" s="1884"/>
      <c r="NEP34" s="1884"/>
      <c r="NEQ34" s="1884"/>
      <c r="NER34" s="1884"/>
      <c r="NES34" s="1884"/>
      <c r="NET34" s="1884"/>
      <c r="NEU34" s="1884"/>
      <c r="NEV34" s="1884"/>
      <c r="NEW34" s="1884"/>
      <c r="NEX34" s="1884"/>
      <c r="NEY34" s="1884"/>
      <c r="NEZ34" s="1884"/>
      <c r="NFA34" s="1884"/>
      <c r="NFB34" s="1884"/>
      <c r="NFC34" s="1884"/>
      <c r="NFD34" s="1884"/>
      <c r="NFE34" s="1884"/>
      <c r="NFF34" s="1884"/>
      <c r="NFG34" s="1884"/>
      <c r="NFH34" s="1884"/>
      <c r="NFI34" s="1884"/>
      <c r="NFJ34" s="1884"/>
      <c r="NFK34" s="1884"/>
      <c r="NFL34" s="1884"/>
      <c r="NFM34" s="1884"/>
      <c r="NFN34" s="1884"/>
      <c r="NFO34" s="1884"/>
      <c r="NFP34" s="1884"/>
      <c r="NFQ34" s="1884"/>
      <c r="NFR34" s="1884"/>
      <c r="NFS34" s="1884"/>
      <c r="NFT34" s="1884"/>
      <c r="NFU34" s="1884"/>
      <c r="NFV34" s="1884"/>
      <c r="NFW34" s="1884"/>
      <c r="NFX34" s="1884"/>
      <c r="NFY34" s="1884"/>
      <c r="NFZ34" s="1884"/>
      <c r="NGA34" s="1884"/>
      <c r="NGB34" s="1884"/>
      <c r="NGC34" s="1884"/>
      <c r="NGD34" s="1884"/>
      <c r="NGE34" s="1884"/>
      <c r="NGF34" s="1884"/>
      <c r="NGG34" s="1884"/>
      <c r="NGH34" s="1884"/>
      <c r="NGI34" s="1884"/>
      <c r="NGJ34" s="1884"/>
      <c r="NGK34" s="1884"/>
      <c r="NGL34" s="1884"/>
      <c r="NGM34" s="1884"/>
      <c r="NGN34" s="1884"/>
      <c r="NGO34" s="1884"/>
      <c r="NGP34" s="1884"/>
      <c r="NGQ34" s="1884"/>
      <c r="NGR34" s="1884"/>
      <c r="NGS34" s="1884"/>
      <c r="NGT34" s="1884"/>
      <c r="NGU34" s="1884"/>
      <c r="NGV34" s="1884"/>
      <c r="NGW34" s="1884"/>
      <c r="NGX34" s="1884"/>
      <c r="NGY34" s="1884"/>
      <c r="NGZ34" s="1884"/>
      <c r="NHA34" s="1884"/>
      <c r="NHB34" s="1884"/>
      <c r="NHC34" s="1884"/>
      <c r="NHD34" s="1884"/>
      <c r="NHE34" s="1884"/>
      <c r="NHF34" s="1884"/>
      <c r="NHG34" s="1884"/>
      <c r="NHH34" s="1884"/>
      <c r="NHI34" s="1884"/>
      <c r="NHJ34" s="1884"/>
      <c r="NHK34" s="1884"/>
      <c r="NHL34" s="1884"/>
      <c r="NHM34" s="1884"/>
      <c r="NHN34" s="1884"/>
      <c r="NHO34" s="1884"/>
      <c r="NHP34" s="1884"/>
      <c r="NHQ34" s="1884"/>
      <c r="NHR34" s="1884"/>
      <c r="NHS34" s="1884"/>
      <c r="NHT34" s="1884"/>
      <c r="NHU34" s="1884"/>
      <c r="NHV34" s="1884"/>
      <c r="NHW34" s="1884"/>
      <c r="NHX34" s="1884"/>
      <c r="NHY34" s="1884"/>
      <c r="NHZ34" s="1884"/>
      <c r="NIA34" s="1884"/>
      <c r="NIB34" s="1884"/>
      <c r="NIC34" s="1884"/>
      <c r="NID34" s="1884"/>
      <c r="NIE34" s="1884"/>
      <c r="NIF34" s="1884"/>
      <c r="NIG34" s="1884"/>
      <c r="NIH34" s="1884"/>
      <c r="NII34" s="1884"/>
      <c r="NIJ34" s="1884"/>
      <c r="NIK34" s="1884"/>
      <c r="NIL34" s="1884"/>
      <c r="NIM34" s="1884"/>
      <c r="NIN34" s="1884"/>
      <c r="NIO34" s="1884"/>
      <c r="NIP34" s="1884"/>
      <c r="NIQ34" s="1884"/>
      <c r="NIR34" s="1884"/>
      <c r="NIS34" s="1884"/>
      <c r="NIT34" s="1884"/>
      <c r="NIU34" s="1884"/>
      <c r="NIV34" s="1884"/>
      <c r="NIW34" s="1884"/>
      <c r="NIX34" s="1884"/>
      <c r="NIY34" s="1884"/>
      <c r="NIZ34" s="1884"/>
      <c r="NJA34" s="1884"/>
      <c r="NJB34" s="1884"/>
      <c r="NJC34" s="1884"/>
      <c r="NJD34" s="1884"/>
      <c r="NJE34" s="1884"/>
      <c r="NJF34" s="1884"/>
      <c r="NJG34" s="1884"/>
      <c r="NJH34" s="1884"/>
      <c r="NJI34" s="1884"/>
      <c r="NJJ34" s="1884"/>
      <c r="NJK34" s="1884"/>
      <c r="NJL34" s="1884"/>
      <c r="NJM34" s="1884"/>
      <c r="NJN34" s="1884"/>
      <c r="NJO34" s="1884"/>
      <c r="NJP34" s="1884"/>
      <c r="NJQ34" s="1884"/>
      <c r="NJR34" s="1884"/>
      <c r="NJS34" s="1884"/>
      <c r="NJT34" s="1884"/>
      <c r="NJU34" s="1884"/>
      <c r="NJV34" s="1884"/>
      <c r="NJW34" s="1884"/>
      <c r="NJX34" s="1884"/>
      <c r="NJY34" s="1884"/>
      <c r="NJZ34" s="1884"/>
      <c r="NKA34" s="1884"/>
      <c r="NKB34" s="1884"/>
      <c r="NKC34" s="1884"/>
      <c r="NKD34" s="1884"/>
      <c r="NKE34" s="1884"/>
      <c r="NKF34" s="1884"/>
      <c r="NKG34" s="1884"/>
      <c r="NKH34" s="1884"/>
      <c r="NKI34" s="1884"/>
      <c r="NKJ34" s="1884"/>
      <c r="NKK34" s="1884"/>
      <c r="NKL34" s="1884"/>
      <c r="NKM34" s="1884"/>
      <c r="NKN34" s="1884"/>
      <c r="NKO34" s="1884"/>
      <c r="NKP34" s="1884"/>
      <c r="NKQ34" s="1884"/>
      <c r="NKR34" s="1884"/>
      <c r="NKS34" s="1884"/>
      <c r="NKT34" s="1884"/>
      <c r="NKU34" s="1884"/>
      <c r="NKV34" s="1884"/>
      <c r="NKW34" s="1884"/>
      <c r="NKX34" s="1884"/>
      <c r="NKY34" s="1884"/>
      <c r="NKZ34" s="1884"/>
      <c r="NLA34" s="1884"/>
      <c r="NLB34" s="1884"/>
      <c r="NLC34" s="1884"/>
      <c r="NLD34" s="1884"/>
      <c r="NLE34" s="1884"/>
      <c r="NLF34" s="1884"/>
      <c r="NLG34" s="1884"/>
      <c r="NLH34" s="1884"/>
      <c r="NLI34" s="1884"/>
      <c r="NLJ34" s="1884"/>
      <c r="NLK34" s="1884"/>
      <c r="NLL34" s="1884"/>
      <c r="NLM34" s="1884"/>
      <c r="NLN34" s="1884"/>
      <c r="NLO34" s="1884"/>
      <c r="NLP34" s="1884"/>
      <c r="NLQ34" s="1884"/>
      <c r="NLR34" s="1884"/>
      <c r="NLS34" s="1884"/>
      <c r="NLT34" s="1884"/>
      <c r="NLU34" s="1884"/>
      <c r="NLV34" s="1884"/>
      <c r="NLW34" s="1884"/>
      <c r="NLX34" s="1884"/>
      <c r="NLY34" s="1884"/>
      <c r="NLZ34" s="1884"/>
      <c r="NMA34" s="1884"/>
      <c r="NMB34" s="1884"/>
      <c r="NMC34" s="1884"/>
      <c r="NMD34" s="1884"/>
      <c r="NME34" s="1884"/>
      <c r="NMF34" s="1884"/>
      <c r="NMG34" s="1884"/>
      <c r="NMH34" s="1884"/>
      <c r="NMI34" s="1884"/>
      <c r="NMJ34" s="1884"/>
      <c r="NMK34" s="1884"/>
      <c r="NML34" s="1884"/>
      <c r="NMM34" s="1884"/>
      <c r="NMN34" s="1884"/>
      <c r="NMO34" s="1884"/>
      <c r="NMP34" s="1884"/>
      <c r="NMQ34" s="1884"/>
      <c r="NMR34" s="1884"/>
      <c r="NMS34" s="1884"/>
      <c r="NMT34" s="1884"/>
      <c r="NMU34" s="1884"/>
      <c r="NMV34" s="1884"/>
      <c r="NMW34" s="1884"/>
      <c r="NMX34" s="1884"/>
      <c r="NMY34" s="1884"/>
      <c r="NMZ34" s="1884"/>
      <c r="NNA34" s="1884"/>
      <c r="NNB34" s="1884"/>
      <c r="NNC34" s="1884"/>
      <c r="NND34" s="1884"/>
      <c r="NNE34" s="1884"/>
      <c r="NNF34" s="1884"/>
      <c r="NNG34" s="1884"/>
      <c r="NNH34" s="1884"/>
      <c r="NNI34" s="1884"/>
      <c r="NNJ34" s="1884"/>
      <c r="NNK34" s="1884"/>
      <c r="NNL34" s="1884"/>
      <c r="NNM34" s="1884"/>
      <c r="NNN34" s="1884"/>
      <c r="NNO34" s="1884"/>
      <c r="NNP34" s="1884"/>
      <c r="NNQ34" s="1884"/>
      <c r="NNR34" s="1884"/>
      <c r="NNS34" s="1884"/>
      <c r="NNT34" s="1884"/>
      <c r="NNU34" s="1884"/>
      <c r="NNV34" s="1884"/>
      <c r="NNW34" s="1884"/>
      <c r="NNX34" s="1884"/>
      <c r="NNY34" s="1884"/>
      <c r="NNZ34" s="1884"/>
      <c r="NOA34" s="1884"/>
      <c r="NOB34" s="1884"/>
      <c r="NOC34" s="1884"/>
      <c r="NOD34" s="1884"/>
      <c r="NOE34" s="1884"/>
      <c r="NOF34" s="1884"/>
      <c r="NOG34" s="1884"/>
      <c r="NOH34" s="1884"/>
      <c r="NOI34" s="1884"/>
      <c r="NOJ34" s="1884"/>
      <c r="NOK34" s="1884"/>
      <c r="NOL34" s="1884"/>
      <c r="NOM34" s="1884"/>
      <c r="NON34" s="1884"/>
      <c r="NOO34" s="1884"/>
      <c r="NOP34" s="1884"/>
      <c r="NOQ34" s="1884"/>
      <c r="NOR34" s="1884"/>
      <c r="NOS34" s="1884"/>
      <c r="NOT34" s="1884"/>
      <c r="NOU34" s="1884"/>
      <c r="NOV34" s="1884"/>
      <c r="NOW34" s="1884"/>
      <c r="NOX34" s="1884"/>
      <c r="NOY34" s="1884"/>
      <c r="NOZ34" s="1884"/>
      <c r="NPA34" s="1884"/>
      <c r="NPB34" s="1884"/>
      <c r="NPC34" s="1884"/>
      <c r="NPD34" s="1884"/>
      <c r="NPE34" s="1884"/>
      <c r="NPF34" s="1884"/>
      <c r="NPG34" s="1884"/>
      <c r="NPH34" s="1884"/>
      <c r="NPI34" s="1884"/>
      <c r="NPJ34" s="1884"/>
      <c r="NPK34" s="1884"/>
      <c r="NPL34" s="1884"/>
      <c r="NPM34" s="1884"/>
      <c r="NPN34" s="1884"/>
      <c r="NPO34" s="1884"/>
      <c r="NPP34" s="1884"/>
      <c r="NPQ34" s="1884"/>
      <c r="NPR34" s="1884"/>
      <c r="NPS34" s="1884"/>
      <c r="NPT34" s="1884"/>
      <c r="NPU34" s="1884"/>
      <c r="NPV34" s="1884"/>
      <c r="NPW34" s="1884"/>
      <c r="NPX34" s="1884"/>
      <c r="NPY34" s="1884"/>
      <c r="NPZ34" s="1884"/>
      <c r="NQA34" s="1884"/>
      <c r="NQB34" s="1884"/>
      <c r="NQC34" s="1884"/>
      <c r="NQD34" s="1884"/>
      <c r="NQE34" s="1884"/>
      <c r="NQF34" s="1884"/>
      <c r="NQG34" s="1884"/>
      <c r="NQH34" s="1884"/>
      <c r="NQI34" s="1884"/>
      <c r="NQJ34" s="1884"/>
      <c r="NQK34" s="1884"/>
      <c r="NQL34" s="1884"/>
      <c r="NQM34" s="1884"/>
      <c r="NQN34" s="1884"/>
      <c r="NQO34" s="1884"/>
      <c r="NQP34" s="1884"/>
      <c r="NQQ34" s="1884"/>
      <c r="NQR34" s="1884"/>
      <c r="NQS34" s="1884"/>
      <c r="NQT34" s="1884"/>
      <c r="NQU34" s="1884"/>
      <c r="NQV34" s="1884"/>
      <c r="NQW34" s="1884"/>
      <c r="NQX34" s="1884"/>
      <c r="NQY34" s="1884"/>
      <c r="NQZ34" s="1884"/>
      <c r="NRA34" s="1884"/>
      <c r="NRB34" s="1884"/>
      <c r="NRC34" s="1884"/>
      <c r="NRD34" s="1884"/>
      <c r="NRE34" s="1884"/>
      <c r="NRF34" s="1884"/>
      <c r="NRG34" s="1884"/>
      <c r="NRH34" s="1884"/>
      <c r="NRI34" s="1884"/>
      <c r="NRJ34" s="1884"/>
      <c r="NRK34" s="1884"/>
      <c r="NRL34" s="1884"/>
      <c r="NRM34" s="1884"/>
      <c r="NRN34" s="1884"/>
      <c r="NRO34" s="1884"/>
      <c r="NRP34" s="1884"/>
      <c r="NRQ34" s="1884"/>
      <c r="NRR34" s="1884"/>
      <c r="NRS34" s="1884"/>
      <c r="NRT34" s="1884"/>
      <c r="NRU34" s="1884"/>
      <c r="NRV34" s="1884"/>
      <c r="NRW34" s="1884"/>
      <c r="NRX34" s="1884"/>
      <c r="NRY34" s="1884"/>
      <c r="NRZ34" s="1884"/>
      <c r="NSA34" s="1884"/>
      <c r="NSB34" s="1884"/>
      <c r="NSC34" s="1884"/>
      <c r="NSD34" s="1884"/>
      <c r="NSE34" s="1884"/>
      <c r="NSF34" s="1884"/>
      <c r="NSG34" s="1884"/>
      <c r="NSH34" s="1884"/>
      <c r="NSI34" s="1884"/>
      <c r="NSJ34" s="1884"/>
      <c r="NSK34" s="1884"/>
      <c r="NSL34" s="1884"/>
      <c r="NSM34" s="1884"/>
      <c r="NSN34" s="1884"/>
      <c r="NSO34" s="1884"/>
      <c r="NSP34" s="1884"/>
      <c r="NSQ34" s="1884"/>
      <c r="NSR34" s="1884"/>
      <c r="NSS34" s="1884"/>
      <c r="NST34" s="1884"/>
      <c r="NSU34" s="1884"/>
      <c r="NSV34" s="1884"/>
      <c r="NSW34" s="1884"/>
      <c r="NSX34" s="1884"/>
      <c r="NSY34" s="1884"/>
      <c r="NSZ34" s="1884"/>
      <c r="NTA34" s="1884"/>
      <c r="NTB34" s="1884"/>
      <c r="NTC34" s="1884"/>
      <c r="NTD34" s="1884"/>
      <c r="NTE34" s="1884"/>
      <c r="NTF34" s="1884"/>
      <c r="NTG34" s="1884"/>
      <c r="NTH34" s="1884"/>
      <c r="NTI34" s="1884"/>
      <c r="NTJ34" s="1884"/>
      <c r="NTK34" s="1884"/>
      <c r="NTL34" s="1884"/>
      <c r="NTM34" s="1884"/>
      <c r="NTN34" s="1884"/>
      <c r="NTO34" s="1884"/>
      <c r="NTP34" s="1884"/>
      <c r="NTQ34" s="1884"/>
      <c r="NTR34" s="1884"/>
      <c r="NTS34" s="1884"/>
      <c r="NTT34" s="1884"/>
      <c r="NTU34" s="1884"/>
      <c r="NTV34" s="1884"/>
      <c r="NTW34" s="1884"/>
      <c r="NTX34" s="1884"/>
      <c r="NTY34" s="1884"/>
      <c r="NTZ34" s="1884"/>
      <c r="NUA34" s="1884"/>
      <c r="NUB34" s="1884"/>
      <c r="NUC34" s="1884"/>
      <c r="NUD34" s="1884"/>
      <c r="NUE34" s="1884"/>
      <c r="NUF34" s="1884"/>
      <c r="NUG34" s="1884"/>
      <c r="NUH34" s="1884"/>
      <c r="NUI34" s="1884"/>
      <c r="NUJ34" s="1884"/>
      <c r="NUK34" s="1884"/>
      <c r="NUL34" s="1884"/>
      <c r="NUM34" s="1884"/>
      <c r="NUN34" s="1884"/>
      <c r="NUO34" s="1884"/>
      <c r="NUP34" s="1884"/>
      <c r="NUQ34" s="1884"/>
      <c r="NUR34" s="1884"/>
      <c r="NUS34" s="1884"/>
      <c r="NUT34" s="1884"/>
      <c r="NUU34" s="1884"/>
      <c r="NUV34" s="1884"/>
      <c r="NUW34" s="1884"/>
      <c r="NUX34" s="1884"/>
      <c r="NUY34" s="1884"/>
      <c r="NUZ34" s="1884"/>
      <c r="NVA34" s="1884"/>
      <c r="NVB34" s="1884"/>
      <c r="NVC34" s="1884"/>
      <c r="NVD34" s="1884"/>
      <c r="NVE34" s="1884"/>
      <c r="NVF34" s="1884"/>
      <c r="NVG34" s="1884"/>
      <c r="NVH34" s="1884"/>
      <c r="NVI34" s="1884"/>
      <c r="NVJ34" s="1884"/>
      <c r="NVK34" s="1884"/>
      <c r="NVL34" s="1884"/>
      <c r="NVM34" s="1884"/>
      <c r="NVN34" s="1884"/>
      <c r="NVO34" s="1884"/>
      <c r="NVP34" s="1884"/>
      <c r="NVQ34" s="1884"/>
      <c r="NVR34" s="1884"/>
      <c r="NVS34" s="1884"/>
      <c r="NVT34" s="1884"/>
      <c r="NVU34" s="1884"/>
      <c r="NVV34" s="1884"/>
      <c r="NVW34" s="1884"/>
      <c r="NVX34" s="1884"/>
      <c r="NVY34" s="1884"/>
      <c r="NVZ34" s="1884"/>
      <c r="NWA34" s="1884"/>
      <c r="NWB34" s="1884"/>
      <c r="NWC34" s="1884"/>
      <c r="NWD34" s="1884"/>
      <c r="NWE34" s="1884"/>
      <c r="NWF34" s="1884"/>
      <c r="NWG34" s="1884"/>
      <c r="NWH34" s="1884"/>
      <c r="NWI34" s="1884"/>
      <c r="NWJ34" s="1884"/>
      <c r="NWK34" s="1884"/>
      <c r="NWL34" s="1884"/>
      <c r="NWM34" s="1884"/>
      <c r="NWN34" s="1884"/>
      <c r="NWO34" s="1884"/>
      <c r="NWP34" s="1884"/>
      <c r="NWQ34" s="1884"/>
      <c r="NWR34" s="1884"/>
      <c r="NWS34" s="1884"/>
      <c r="NWT34" s="1884"/>
      <c r="NWU34" s="1884"/>
      <c r="NWV34" s="1884"/>
      <c r="NWW34" s="1884"/>
      <c r="NWX34" s="1884"/>
      <c r="NWY34" s="1884"/>
      <c r="NWZ34" s="1884"/>
      <c r="NXA34" s="1884"/>
      <c r="NXB34" s="1884"/>
      <c r="NXC34" s="1884"/>
      <c r="NXD34" s="1884"/>
      <c r="NXE34" s="1884"/>
      <c r="NXF34" s="1884"/>
      <c r="NXG34" s="1884"/>
      <c r="NXH34" s="1884"/>
      <c r="NXI34" s="1884"/>
      <c r="NXJ34" s="1884"/>
      <c r="NXK34" s="1884"/>
      <c r="NXL34" s="1884"/>
      <c r="NXM34" s="1884"/>
      <c r="NXN34" s="1884"/>
      <c r="NXO34" s="1884"/>
      <c r="NXP34" s="1884"/>
      <c r="NXQ34" s="1884"/>
      <c r="NXR34" s="1884"/>
      <c r="NXS34" s="1884"/>
      <c r="NXT34" s="1884"/>
      <c r="NXU34" s="1884"/>
      <c r="NXV34" s="1884"/>
      <c r="NXW34" s="1884"/>
      <c r="NXX34" s="1884"/>
      <c r="NXY34" s="1884"/>
      <c r="NXZ34" s="1884"/>
      <c r="NYA34" s="1884"/>
      <c r="NYB34" s="1884"/>
      <c r="NYC34" s="1884"/>
      <c r="NYD34" s="1884"/>
      <c r="NYE34" s="1884"/>
      <c r="NYF34" s="1884"/>
      <c r="NYG34" s="1884"/>
      <c r="NYH34" s="1884"/>
      <c r="NYI34" s="1884"/>
      <c r="NYJ34" s="1884"/>
      <c r="NYK34" s="1884"/>
      <c r="NYL34" s="1884"/>
      <c r="NYM34" s="1884"/>
      <c r="NYN34" s="1884"/>
      <c r="NYO34" s="1884"/>
      <c r="NYP34" s="1884"/>
      <c r="NYQ34" s="1884"/>
      <c r="NYR34" s="1884"/>
      <c r="NYS34" s="1884"/>
      <c r="NYT34" s="1884"/>
      <c r="NYU34" s="1884"/>
      <c r="NYV34" s="1884"/>
      <c r="NYW34" s="1884"/>
      <c r="NYX34" s="1884"/>
      <c r="NYY34" s="1884"/>
      <c r="NYZ34" s="1884"/>
      <c r="NZA34" s="1884"/>
      <c r="NZB34" s="1884"/>
      <c r="NZC34" s="1884"/>
      <c r="NZD34" s="1884"/>
      <c r="NZE34" s="1884"/>
      <c r="NZF34" s="1884"/>
      <c r="NZG34" s="1884"/>
      <c r="NZH34" s="1884"/>
      <c r="NZI34" s="1884"/>
      <c r="NZJ34" s="1884"/>
      <c r="NZK34" s="1884"/>
      <c r="NZL34" s="1884"/>
      <c r="NZM34" s="1884"/>
      <c r="NZN34" s="1884"/>
      <c r="NZO34" s="1884"/>
      <c r="NZP34" s="1884"/>
      <c r="NZQ34" s="1884"/>
      <c r="NZR34" s="1884"/>
      <c r="NZS34" s="1884"/>
      <c r="NZT34" s="1884"/>
      <c r="NZU34" s="1884"/>
      <c r="NZV34" s="1884"/>
      <c r="NZW34" s="1884"/>
      <c r="NZX34" s="1884"/>
      <c r="NZY34" s="1884"/>
      <c r="NZZ34" s="1884"/>
      <c r="OAA34" s="1884"/>
      <c r="OAB34" s="1884"/>
      <c r="OAC34" s="1884"/>
      <c r="OAD34" s="1884"/>
      <c r="OAE34" s="1884"/>
      <c r="OAF34" s="1884"/>
      <c r="OAG34" s="1884"/>
      <c r="OAH34" s="1884"/>
      <c r="OAI34" s="1884"/>
      <c r="OAJ34" s="1884"/>
      <c r="OAK34" s="1884"/>
      <c r="OAL34" s="1884"/>
      <c r="OAM34" s="1884"/>
      <c r="OAN34" s="1884"/>
      <c r="OAO34" s="1884"/>
      <c r="OAP34" s="1884"/>
      <c r="OAQ34" s="1884"/>
      <c r="OAR34" s="1884"/>
      <c r="OAS34" s="1884"/>
      <c r="OAT34" s="1884"/>
      <c r="OAU34" s="1884"/>
      <c r="OAV34" s="1884"/>
      <c r="OAW34" s="1884"/>
      <c r="OAX34" s="1884"/>
      <c r="OAY34" s="1884"/>
      <c r="OAZ34" s="1884"/>
      <c r="OBA34" s="1884"/>
      <c r="OBB34" s="1884"/>
      <c r="OBC34" s="1884"/>
      <c r="OBD34" s="1884"/>
      <c r="OBE34" s="1884"/>
      <c r="OBF34" s="1884"/>
      <c r="OBG34" s="1884"/>
      <c r="OBH34" s="1884"/>
      <c r="OBI34" s="1884"/>
      <c r="OBJ34" s="1884"/>
      <c r="OBK34" s="1884"/>
      <c r="OBL34" s="1884"/>
      <c r="OBM34" s="1884"/>
      <c r="OBN34" s="1884"/>
      <c r="OBO34" s="1884"/>
      <c r="OBP34" s="1884"/>
      <c r="OBQ34" s="1884"/>
      <c r="OBR34" s="1884"/>
      <c r="OBS34" s="1884"/>
      <c r="OBT34" s="1884"/>
      <c r="OBU34" s="1884"/>
      <c r="OBV34" s="1884"/>
      <c r="OBW34" s="1884"/>
      <c r="OBX34" s="1884"/>
      <c r="OBY34" s="1884"/>
      <c r="OBZ34" s="1884"/>
      <c r="OCA34" s="1884"/>
      <c r="OCB34" s="1884"/>
      <c r="OCC34" s="1884"/>
      <c r="OCD34" s="1884"/>
      <c r="OCE34" s="1884"/>
      <c r="OCF34" s="1884"/>
      <c r="OCG34" s="1884"/>
      <c r="OCH34" s="1884"/>
      <c r="OCI34" s="1884"/>
      <c r="OCJ34" s="1884"/>
      <c r="OCK34" s="1884"/>
      <c r="OCL34" s="1884"/>
      <c r="OCM34" s="1884"/>
      <c r="OCN34" s="1884"/>
      <c r="OCO34" s="1884"/>
      <c r="OCP34" s="1884"/>
      <c r="OCQ34" s="1884"/>
      <c r="OCR34" s="1884"/>
      <c r="OCS34" s="1884"/>
      <c r="OCT34" s="1884"/>
      <c r="OCU34" s="1884"/>
      <c r="OCV34" s="1884"/>
      <c r="OCW34" s="1884"/>
      <c r="OCX34" s="1884"/>
      <c r="OCY34" s="1884"/>
      <c r="OCZ34" s="1884"/>
      <c r="ODA34" s="1884"/>
      <c r="ODB34" s="1884"/>
      <c r="ODC34" s="1884"/>
      <c r="ODD34" s="1884"/>
      <c r="ODE34" s="1884"/>
      <c r="ODF34" s="1884"/>
      <c r="ODG34" s="1884"/>
      <c r="ODH34" s="1884"/>
      <c r="ODI34" s="1884"/>
      <c r="ODJ34" s="1884"/>
      <c r="ODK34" s="1884"/>
      <c r="ODL34" s="1884"/>
      <c r="ODM34" s="1884"/>
      <c r="ODN34" s="1884"/>
      <c r="ODO34" s="1884"/>
      <c r="ODP34" s="1884"/>
      <c r="ODQ34" s="1884"/>
      <c r="ODR34" s="1884"/>
      <c r="ODS34" s="1884"/>
      <c r="ODT34" s="1884"/>
      <c r="ODU34" s="1884"/>
      <c r="ODV34" s="1884"/>
      <c r="ODW34" s="1884"/>
      <c r="ODX34" s="1884"/>
      <c r="ODY34" s="1884"/>
      <c r="ODZ34" s="1884"/>
      <c r="OEA34" s="1884"/>
      <c r="OEB34" s="1884"/>
      <c r="OEC34" s="1884"/>
      <c r="OED34" s="1884"/>
      <c r="OEE34" s="1884"/>
      <c r="OEF34" s="1884"/>
      <c r="OEG34" s="1884"/>
      <c r="OEH34" s="1884"/>
      <c r="OEI34" s="1884"/>
      <c r="OEJ34" s="1884"/>
      <c r="OEK34" s="1884"/>
      <c r="OEL34" s="1884"/>
      <c r="OEM34" s="1884"/>
      <c r="OEN34" s="1884"/>
      <c r="OEO34" s="1884"/>
      <c r="OEP34" s="1884"/>
      <c r="OEQ34" s="1884"/>
      <c r="OER34" s="1884"/>
      <c r="OES34" s="1884"/>
      <c r="OET34" s="1884"/>
      <c r="OEU34" s="1884"/>
      <c r="OEV34" s="1884"/>
      <c r="OEW34" s="1884"/>
      <c r="OEX34" s="1884"/>
      <c r="OEY34" s="1884"/>
      <c r="OEZ34" s="1884"/>
      <c r="OFA34" s="1884"/>
      <c r="OFB34" s="1884"/>
      <c r="OFC34" s="1884"/>
      <c r="OFD34" s="1884"/>
      <c r="OFE34" s="1884"/>
      <c r="OFF34" s="1884"/>
      <c r="OFG34" s="1884"/>
      <c r="OFH34" s="1884"/>
      <c r="OFI34" s="1884"/>
      <c r="OFJ34" s="1884"/>
      <c r="OFK34" s="1884"/>
      <c r="OFL34" s="1884"/>
      <c r="OFM34" s="1884"/>
      <c r="OFN34" s="1884"/>
      <c r="OFO34" s="1884"/>
      <c r="OFP34" s="1884"/>
      <c r="OFQ34" s="1884"/>
      <c r="OFR34" s="1884"/>
      <c r="OFS34" s="1884"/>
      <c r="OFT34" s="1884"/>
      <c r="OFU34" s="1884"/>
      <c r="OFV34" s="1884"/>
      <c r="OFW34" s="1884"/>
      <c r="OFX34" s="1884"/>
      <c r="OFY34" s="1884"/>
      <c r="OFZ34" s="1884"/>
      <c r="OGA34" s="1884"/>
      <c r="OGB34" s="1884"/>
      <c r="OGC34" s="1884"/>
      <c r="OGD34" s="1884"/>
      <c r="OGE34" s="1884"/>
      <c r="OGF34" s="1884"/>
      <c r="OGG34" s="1884"/>
      <c r="OGH34" s="1884"/>
      <c r="OGI34" s="1884"/>
      <c r="OGJ34" s="1884"/>
      <c r="OGK34" s="1884"/>
      <c r="OGL34" s="1884"/>
      <c r="OGM34" s="1884"/>
      <c r="OGN34" s="1884"/>
      <c r="OGO34" s="1884"/>
      <c r="OGP34" s="1884"/>
      <c r="OGQ34" s="1884"/>
      <c r="OGR34" s="1884"/>
      <c r="OGS34" s="1884"/>
      <c r="OGT34" s="1884"/>
      <c r="OGU34" s="1884"/>
      <c r="OGV34" s="1884"/>
      <c r="OGW34" s="1884"/>
      <c r="OGX34" s="1884"/>
      <c r="OGY34" s="1884"/>
      <c r="OGZ34" s="1884"/>
      <c r="OHA34" s="1884"/>
      <c r="OHB34" s="1884"/>
      <c r="OHC34" s="1884"/>
      <c r="OHD34" s="1884"/>
      <c r="OHE34" s="1884"/>
      <c r="OHF34" s="1884"/>
      <c r="OHG34" s="1884"/>
      <c r="OHH34" s="1884"/>
      <c r="OHI34" s="1884"/>
      <c r="OHJ34" s="1884"/>
      <c r="OHK34" s="1884"/>
      <c r="OHL34" s="1884"/>
      <c r="OHM34" s="1884"/>
      <c r="OHN34" s="1884"/>
      <c r="OHO34" s="1884"/>
      <c r="OHP34" s="1884"/>
      <c r="OHQ34" s="1884"/>
      <c r="OHR34" s="1884"/>
      <c r="OHS34" s="1884"/>
      <c r="OHT34" s="1884"/>
      <c r="OHU34" s="1884"/>
      <c r="OHV34" s="1884"/>
      <c r="OHW34" s="1884"/>
      <c r="OHX34" s="1884"/>
      <c r="OHY34" s="1884"/>
      <c r="OHZ34" s="1884"/>
      <c r="OIA34" s="1884"/>
      <c r="OIB34" s="1884"/>
      <c r="OIC34" s="1884"/>
      <c r="OID34" s="1884"/>
      <c r="OIE34" s="1884"/>
      <c r="OIF34" s="1884"/>
      <c r="OIG34" s="1884"/>
      <c r="OIH34" s="1884"/>
      <c r="OII34" s="1884"/>
      <c r="OIJ34" s="1884"/>
      <c r="OIK34" s="1884"/>
      <c r="OIL34" s="1884"/>
      <c r="OIM34" s="1884"/>
      <c r="OIN34" s="1884"/>
      <c r="OIO34" s="1884"/>
      <c r="OIP34" s="1884"/>
      <c r="OIQ34" s="1884"/>
      <c r="OIR34" s="1884"/>
      <c r="OIS34" s="1884"/>
      <c r="OIT34" s="1884"/>
      <c r="OIU34" s="1884"/>
      <c r="OIV34" s="1884"/>
      <c r="OIW34" s="1884"/>
      <c r="OIX34" s="1884"/>
      <c r="OIY34" s="1884"/>
      <c r="OIZ34" s="1884"/>
      <c r="OJA34" s="1884"/>
      <c r="OJB34" s="1884"/>
      <c r="OJC34" s="1884"/>
      <c r="OJD34" s="1884"/>
      <c r="OJE34" s="1884"/>
      <c r="OJF34" s="1884"/>
      <c r="OJG34" s="1884"/>
      <c r="OJH34" s="1884"/>
      <c r="OJI34" s="1884"/>
      <c r="OJJ34" s="1884"/>
      <c r="OJK34" s="1884"/>
      <c r="OJL34" s="1884"/>
      <c r="OJM34" s="1884"/>
      <c r="OJN34" s="1884"/>
      <c r="OJO34" s="1884"/>
      <c r="OJP34" s="1884"/>
      <c r="OJQ34" s="1884"/>
      <c r="OJR34" s="1884"/>
      <c r="OJS34" s="1884"/>
      <c r="OJT34" s="1884"/>
      <c r="OJU34" s="1884"/>
      <c r="OJV34" s="1884"/>
      <c r="OJW34" s="1884"/>
      <c r="OJX34" s="1884"/>
      <c r="OJY34" s="1884"/>
      <c r="OJZ34" s="1884"/>
      <c r="OKA34" s="1884"/>
      <c r="OKB34" s="1884"/>
      <c r="OKC34" s="1884"/>
      <c r="OKD34" s="1884"/>
      <c r="OKE34" s="1884"/>
      <c r="OKF34" s="1884"/>
      <c r="OKG34" s="1884"/>
      <c r="OKH34" s="1884"/>
      <c r="OKI34" s="1884"/>
      <c r="OKJ34" s="1884"/>
      <c r="OKK34" s="1884"/>
      <c r="OKL34" s="1884"/>
      <c r="OKM34" s="1884"/>
      <c r="OKN34" s="1884"/>
      <c r="OKO34" s="1884"/>
      <c r="OKP34" s="1884"/>
      <c r="OKQ34" s="1884"/>
      <c r="OKR34" s="1884"/>
      <c r="OKS34" s="1884"/>
      <c r="OKT34" s="1884"/>
      <c r="OKU34" s="1884"/>
      <c r="OKV34" s="1884"/>
      <c r="OKW34" s="1884"/>
      <c r="OKX34" s="1884"/>
      <c r="OKY34" s="1884"/>
      <c r="OKZ34" s="1884"/>
      <c r="OLA34" s="1884"/>
      <c r="OLB34" s="1884"/>
      <c r="OLC34" s="1884"/>
      <c r="OLD34" s="1884"/>
      <c r="OLE34" s="1884"/>
      <c r="OLF34" s="1884"/>
      <c r="OLG34" s="1884"/>
      <c r="OLH34" s="1884"/>
      <c r="OLI34" s="1884"/>
      <c r="OLJ34" s="1884"/>
      <c r="OLK34" s="1884"/>
      <c r="OLL34" s="1884"/>
      <c r="OLM34" s="1884"/>
      <c r="OLN34" s="1884"/>
      <c r="OLO34" s="1884"/>
      <c r="OLP34" s="1884"/>
      <c r="OLQ34" s="1884"/>
      <c r="OLR34" s="1884"/>
      <c r="OLS34" s="1884"/>
      <c r="OLT34" s="1884"/>
      <c r="OLU34" s="1884"/>
      <c r="OLV34" s="1884"/>
      <c r="OLW34" s="1884"/>
      <c r="OLX34" s="1884"/>
      <c r="OLY34" s="1884"/>
      <c r="OLZ34" s="1884"/>
      <c r="OMA34" s="1884"/>
      <c r="OMB34" s="1884"/>
      <c r="OMC34" s="1884"/>
      <c r="OMD34" s="1884"/>
      <c r="OME34" s="1884"/>
      <c r="OMF34" s="1884"/>
      <c r="OMG34" s="1884"/>
      <c r="OMH34" s="1884"/>
      <c r="OMI34" s="1884"/>
      <c r="OMJ34" s="1884"/>
      <c r="OMK34" s="1884"/>
      <c r="OML34" s="1884"/>
      <c r="OMM34" s="1884"/>
      <c r="OMN34" s="1884"/>
      <c r="OMO34" s="1884"/>
      <c r="OMP34" s="1884"/>
      <c r="OMQ34" s="1884"/>
      <c r="OMR34" s="1884"/>
      <c r="OMS34" s="1884"/>
      <c r="OMT34" s="1884"/>
      <c r="OMU34" s="1884"/>
      <c r="OMV34" s="1884"/>
      <c r="OMW34" s="1884"/>
      <c r="OMX34" s="1884"/>
      <c r="OMY34" s="1884"/>
      <c r="OMZ34" s="1884"/>
      <c r="ONA34" s="1884"/>
      <c r="ONB34" s="1884"/>
      <c r="ONC34" s="1884"/>
      <c r="OND34" s="1884"/>
      <c r="ONE34" s="1884"/>
      <c r="ONF34" s="1884"/>
      <c r="ONG34" s="1884"/>
      <c r="ONH34" s="1884"/>
      <c r="ONI34" s="1884"/>
      <c r="ONJ34" s="1884"/>
      <c r="ONK34" s="1884"/>
      <c r="ONL34" s="1884"/>
      <c r="ONM34" s="1884"/>
      <c r="ONN34" s="1884"/>
      <c r="ONO34" s="1884"/>
      <c r="ONP34" s="1884"/>
      <c r="ONQ34" s="1884"/>
      <c r="ONR34" s="1884"/>
      <c r="ONS34" s="1884"/>
      <c r="ONT34" s="1884"/>
      <c r="ONU34" s="1884"/>
      <c r="ONV34" s="1884"/>
      <c r="ONW34" s="1884"/>
      <c r="ONX34" s="1884"/>
      <c r="ONY34" s="1884"/>
      <c r="ONZ34" s="1884"/>
      <c r="OOA34" s="1884"/>
      <c r="OOB34" s="1884"/>
      <c r="OOC34" s="1884"/>
      <c r="OOD34" s="1884"/>
      <c r="OOE34" s="1884"/>
      <c r="OOF34" s="1884"/>
      <c r="OOG34" s="1884"/>
      <c r="OOH34" s="1884"/>
      <c r="OOI34" s="1884"/>
      <c r="OOJ34" s="1884"/>
      <c r="OOK34" s="1884"/>
      <c r="OOL34" s="1884"/>
      <c r="OOM34" s="1884"/>
      <c r="OON34" s="1884"/>
      <c r="OOO34" s="1884"/>
      <c r="OOP34" s="1884"/>
      <c r="OOQ34" s="1884"/>
      <c r="OOR34" s="1884"/>
      <c r="OOS34" s="1884"/>
      <c r="OOT34" s="1884"/>
      <c r="OOU34" s="1884"/>
      <c r="OOV34" s="1884"/>
      <c r="OOW34" s="1884"/>
      <c r="OOX34" s="1884"/>
      <c r="OOY34" s="1884"/>
      <c r="OOZ34" s="1884"/>
      <c r="OPA34" s="1884"/>
      <c r="OPB34" s="1884"/>
      <c r="OPC34" s="1884"/>
      <c r="OPD34" s="1884"/>
      <c r="OPE34" s="1884"/>
      <c r="OPF34" s="1884"/>
      <c r="OPG34" s="1884"/>
      <c r="OPH34" s="1884"/>
      <c r="OPI34" s="1884"/>
      <c r="OPJ34" s="1884"/>
      <c r="OPK34" s="1884"/>
      <c r="OPL34" s="1884"/>
      <c r="OPM34" s="1884"/>
      <c r="OPN34" s="1884"/>
      <c r="OPO34" s="1884"/>
      <c r="OPP34" s="1884"/>
      <c r="OPQ34" s="1884"/>
      <c r="OPR34" s="1884"/>
      <c r="OPS34" s="1884"/>
      <c r="OPT34" s="1884"/>
      <c r="OPU34" s="1884"/>
      <c r="OPV34" s="1884"/>
      <c r="OPW34" s="1884"/>
      <c r="OPX34" s="1884"/>
      <c r="OPY34" s="1884"/>
      <c r="OPZ34" s="1884"/>
      <c r="OQA34" s="1884"/>
      <c r="OQB34" s="1884"/>
      <c r="OQC34" s="1884"/>
      <c r="OQD34" s="1884"/>
      <c r="OQE34" s="1884"/>
      <c r="OQF34" s="1884"/>
      <c r="OQG34" s="1884"/>
      <c r="OQH34" s="1884"/>
      <c r="OQI34" s="1884"/>
      <c r="OQJ34" s="1884"/>
      <c r="OQK34" s="1884"/>
      <c r="OQL34" s="1884"/>
      <c r="OQM34" s="1884"/>
      <c r="OQN34" s="1884"/>
      <c r="OQO34" s="1884"/>
      <c r="OQP34" s="1884"/>
      <c r="OQQ34" s="1884"/>
      <c r="OQR34" s="1884"/>
      <c r="OQS34" s="1884"/>
      <c r="OQT34" s="1884"/>
      <c r="OQU34" s="1884"/>
      <c r="OQV34" s="1884"/>
      <c r="OQW34" s="1884"/>
      <c r="OQX34" s="1884"/>
      <c r="OQY34" s="1884"/>
      <c r="OQZ34" s="1884"/>
      <c r="ORA34" s="1884"/>
      <c r="ORB34" s="1884"/>
      <c r="ORC34" s="1884"/>
      <c r="ORD34" s="1884"/>
      <c r="ORE34" s="1884"/>
      <c r="ORF34" s="1884"/>
      <c r="ORG34" s="1884"/>
      <c r="ORH34" s="1884"/>
      <c r="ORI34" s="1884"/>
      <c r="ORJ34" s="1884"/>
      <c r="ORK34" s="1884"/>
      <c r="ORL34" s="1884"/>
      <c r="ORM34" s="1884"/>
      <c r="ORN34" s="1884"/>
      <c r="ORO34" s="1884"/>
      <c r="ORP34" s="1884"/>
      <c r="ORQ34" s="1884"/>
      <c r="ORR34" s="1884"/>
      <c r="ORS34" s="1884"/>
      <c r="ORT34" s="1884"/>
      <c r="ORU34" s="1884"/>
      <c r="ORV34" s="1884"/>
      <c r="ORW34" s="1884"/>
      <c r="ORX34" s="1884"/>
      <c r="ORY34" s="1884"/>
      <c r="ORZ34" s="1884"/>
      <c r="OSA34" s="1884"/>
      <c r="OSB34" s="1884"/>
      <c r="OSC34" s="1884"/>
      <c r="OSD34" s="1884"/>
      <c r="OSE34" s="1884"/>
      <c r="OSF34" s="1884"/>
      <c r="OSG34" s="1884"/>
      <c r="OSH34" s="1884"/>
      <c r="OSI34" s="1884"/>
      <c r="OSJ34" s="1884"/>
      <c r="OSK34" s="1884"/>
      <c r="OSL34" s="1884"/>
      <c r="OSM34" s="1884"/>
      <c r="OSN34" s="1884"/>
      <c r="OSO34" s="1884"/>
      <c r="OSP34" s="1884"/>
      <c r="OSQ34" s="1884"/>
      <c r="OSR34" s="1884"/>
      <c r="OSS34" s="1884"/>
      <c r="OST34" s="1884"/>
      <c r="OSU34" s="1884"/>
      <c r="OSV34" s="1884"/>
      <c r="OSW34" s="1884"/>
      <c r="OSX34" s="1884"/>
      <c r="OSY34" s="1884"/>
      <c r="OSZ34" s="1884"/>
      <c r="OTA34" s="1884"/>
      <c r="OTB34" s="1884"/>
      <c r="OTC34" s="1884"/>
      <c r="OTD34" s="1884"/>
      <c r="OTE34" s="1884"/>
      <c r="OTF34" s="1884"/>
      <c r="OTG34" s="1884"/>
      <c r="OTH34" s="1884"/>
      <c r="OTI34" s="1884"/>
      <c r="OTJ34" s="1884"/>
      <c r="OTK34" s="1884"/>
      <c r="OTL34" s="1884"/>
      <c r="OTM34" s="1884"/>
      <c r="OTN34" s="1884"/>
      <c r="OTO34" s="1884"/>
      <c r="OTP34" s="1884"/>
      <c r="OTQ34" s="1884"/>
      <c r="OTR34" s="1884"/>
      <c r="OTS34" s="1884"/>
      <c r="OTT34" s="1884"/>
      <c r="OTU34" s="1884"/>
      <c r="OTV34" s="1884"/>
      <c r="OTW34" s="1884"/>
      <c r="OTX34" s="1884"/>
      <c r="OTY34" s="1884"/>
      <c r="OTZ34" s="1884"/>
      <c r="OUA34" s="1884"/>
      <c r="OUB34" s="1884"/>
      <c r="OUC34" s="1884"/>
      <c r="OUD34" s="1884"/>
      <c r="OUE34" s="1884"/>
      <c r="OUF34" s="1884"/>
      <c r="OUG34" s="1884"/>
      <c r="OUH34" s="1884"/>
      <c r="OUI34" s="1884"/>
      <c r="OUJ34" s="1884"/>
      <c r="OUK34" s="1884"/>
      <c r="OUL34" s="1884"/>
      <c r="OUM34" s="1884"/>
      <c r="OUN34" s="1884"/>
      <c r="OUO34" s="1884"/>
      <c r="OUP34" s="1884"/>
      <c r="OUQ34" s="1884"/>
      <c r="OUR34" s="1884"/>
      <c r="OUS34" s="1884"/>
      <c r="OUT34" s="1884"/>
      <c r="OUU34" s="1884"/>
      <c r="OUV34" s="1884"/>
      <c r="OUW34" s="1884"/>
      <c r="OUX34" s="1884"/>
      <c r="OUY34" s="1884"/>
      <c r="OUZ34" s="1884"/>
      <c r="OVA34" s="1884"/>
      <c r="OVB34" s="1884"/>
      <c r="OVC34" s="1884"/>
      <c r="OVD34" s="1884"/>
      <c r="OVE34" s="1884"/>
      <c r="OVF34" s="1884"/>
      <c r="OVG34" s="1884"/>
      <c r="OVH34" s="1884"/>
      <c r="OVI34" s="1884"/>
      <c r="OVJ34" s="1884"/>
      <c r="OVK34" s="1884"/>
      <c r="OVL34" s="1884"/>
      <c r="OVM34" s="1884"/>
      <c r="OVN34" s="1884"/>
      <c r="OVO34" s="1884"/>
      <c r="OVP34" s="1884"/>
      <c r="OVQ34" s="1884"/>
      <c r="OVR34" s="1884"/>
      <c r="OVS34" s="1884"/>
      <c r="OVT34" s="1884"/>
      <c r="OVU34" s="1884"/>
      <c r="OVV34" s="1884"/>
      <c r="OVW34" s="1884"/>
      <c r="OVX34" s="1884"/>
      <c r="OVY34" s="1884"/>
      <c r="OVZ34" s="1884"/>
      <c r="OWA34" s="1884"/>
      <c r="OWB34" s="1884"/>
      <c r="OWC34" s="1884"/>
      <c r="OWD34" s="1884"/>
      <c r="OWE34" s="1884"/>
      <c r="OWF34" s="1884"/>
      <c r="OWG34" s="1884"/>
      <c r="OWH34" s="1884"/>
      <c r="OWI34" s="1884"/>
      <c r="OWJ34" s="1884"/>
      <c r="OWK34" s="1884"/>
      <c r="OWL34" s="1884"/>
      <c r="OWM34" s="1884"/>
      <c r="OWN34" s="1884"/>
      <c r="OWO34" s="1884"/>
      <c r="OWP34" s="1884"/>
      <c r="OWQ34" s="1884"/>
      <c r="OWR34" s="1884"/>
      <c r="OWS34" s="1884"/>
      <c r="OWT34" s="1884"/>
      <c r="OWU34" s="1884"/>
      <c r="OWV34" s="1884"/>
      <c r="OWW34" s="1884"/>
      <c r="OWX34" s="1884"/>
      <c r="OWY34" s="1884"/>
      <c r="OWZ34" s="1884"/>
      <c r="OXA34" s="1884"/>
      <c r="OXB34" s="1884"/>
      <c r="OXC34" s="1884"/>
      <c r="OXD34" s="1884"/>
      <c r="OXE34" s="1884"/>
      <c r="OXF34" s="1884"/>
      <c r="OXG34" s="1884"/>
      <c r="OXH34" s="1884"/>
      <c r="OXI34" s="1884"/>
      <c r="OXJ34" s="1884"/>
      <c r="OXK34" s="1884"/>
      <c r="OXL34" s="1884"/>
      <c r="OXM34" s="1884"/>
      <c r="OXN34" s="1884"/>
      <c r="OXO34" s="1884"/>
      <c r="OXP34" s="1884"/>
      <c r="OXQ34" s="1884"/>
      <c r="OXR34" s="1884"/>
      <c r="OXS34" s="1884"/>
      <c r="OXT34" s="1884"/>
      <c r="OXU34" s="1884"/>
      <c r="OXV34" s="1884"/>
      <c r="OXW34" s="1884"/>
      <c r="OXX34" s="1884"/>
      <c r="OXY34" s="1884"/>
      <c r="OXZ34" s="1884"/>
      <c r="OYA34" s="1884"/>
      <c r="OYB34" s="1884"/>
      <c r="OYC34" s="1884"/>
      <c r="OYD34" s="1884"/>
      <c r="OYE34" s="1884"/>
      <c r="OYF34" s="1884"/>
      <c r="OYG34" s="1884"/>
      <c r="OYH34" s="1884"/>
      <c r="OYI34" s="1884"/>
      <c r="OYJ34" s="1884"/>
      <c r="OYK34" s="1884"/>
      <c r="OYL34" s="1884"/>
      <c r="OYM34" s="1884"/>
      <c r="OYN34" s="1884"/>
      <c r="OYO34" s="1884"/>
      <c r="OYP34" s="1884"/>
      <c r="OYQ34" s="1884"/>
      <c r="OYR34" s="1884"/>
      <c r="OYS34" s="1884"/>
      <c r="OYT34" s="1884"/>
      <c r="OYU34" s="1884"/>
      <c r="OYV34" s="1884"/>
      <c r="OYW34" s="1884"/>
      <c r="OYX34" s="1884"/>
      <c r="OYY34" s="1884"/>
      <c r="OYZ34" s="1884"/>
      <c r="OZA34" s="1884"/>
      <c r="OZB34" s="1884"/>
      <c r="OZC34" s="1884"/>
      <c r="OZD34" s="1884"/>
      <c r="OZE34" s="1884"/>
      <c r="OZF34" s="1884"/>
      <c r="OZG34" s="1884"/>
      <c r="OZH34" s="1884"/>
      <c r="OZI34" s="1884"/>
      <c r="OZJ34" s="1884"/>
      <c r="OZK34" s="1884"/>
      <c r="OZL34" s="1884"/>
      <c r="OZM34" s="1884"/>
      <c r="OZN34" s="1884"/>
      <c r="OZO34" s="1884"/>
      <c r="OZP34" s="1884"/>
      <c r="OZQ34" s="1884"/>
      <c r="OZR34" s="1884"/>
      <c r="OZS34" s="1884"/>
      <c r="OZT34" s="1884"/>
      <c r="OZU34" s="1884"/>
      <c r="OZV34" s="1884"/>
      <c r="OZW34" s="1884"/>
      <c r="OZX34" s="1884"/>
      <c r="OZY34" s="1884"/>
      <c r="OZZ34" s="1884"/>
      <c r="PAA34" s="1884"/>
      <c r="PAB34" s="1884"/>
      <c r="PAC34" s="1884"/>
      <c r="PAD34" s="1884"/>
      <c r="PAE34" s="1884"/>
      <c r="PAF34" s="1884"/>
      <c r="PAG34" s="1884"/>
      <c r="PAH34" s="1884"/>
      <c r="PAI34" s="1884"/>
      <c r="PAJ34" s="1884"/>
      <c r="PAK34" s="1884"/>
      <c r="PAL34" s="1884"/>
      <c r="PAM34" s="1884"/>
      <c r="PAN34" s="1884"/>
      <c r="PAO34" s="1884"/>
      <c r="PAP34" s="1884"/>
      <c r="PAQ34" s="1884"/>
      <c r="PAR34" s="1884"/>
      <c r="PAS34" s="1884"/>
      <c r="PAT34" s="1884"/>
      <c r="PAU34" s="1884"/>
      <c r="PAV34" s="1884"/>
      <c r="PAW34" s="1884"/>
      <c r="PAX34" s="1884"/>
      <c r="PAY34" s="1884"/>
      <c r="PAZ34" s="1884"/>
      <c r="PBA34" s="1884"/>
      <c r="PBB34" s="1884"/>
      <c r="PBC34" s="1884"/>
      <c r="PBD34" s="1884"/>
      <c r="PBE34" s="1884"/>
      <c r="PBF34" s="1884"/>
      <c r="PBG34" s="1884"/>
      <c r="PBH34" s="1884"/>
      <c r="PBI34" s="1884"/>
      <c r="PBJ34" s="1884"/>
      <c r="PBK34" s="1884"/>
      <c r="PBL34" s="1884"/>
      <c r="PBM34" s="1884"/>
      <c r="PBN34" s="1884"/>
      <c r="PBO34" s="1884"/>
      <c r="PBP34" s="1884"/>
      <c r="PBQ34" s="1884"/>
      <c r="PBR34" s="1884"/>
      <c r="PBS34" s="1884"/>
      <c r="PBT34" s="1884"/>
      <c r="PBU34" s="1884"/>
      <c r="PBV34" s="1884"/>
      <c r="PBW34" s="1884"/>
      <c r="PBX34" s="1884"/>
      <c r="PBY34" s="1884"/>
      <c r="PBZ34" s="1884"/>
      <c r="PCA34" s="1884"/>
      <c r="PCB34" s="1884"/>
      <c r="PCC34" s="1884"/>
      <c r="PCD34" s="1884"/>
      <c r="PCE34" s="1884"/>
      <c r="PCF34" s="1884"/>
      <c r="PCG34" s="1884"/>
      <c r="PCH34" s="1884"/>
      <c r="PCI34" s="1884"/>
      <c r="PCJ34" s="1884"/>
      <c r="PCK34" s="1884"/>
      <c r="PCL34" s="1884"/>
      <c r="PCM34" s="1884"/>
      <c r="PCN34" s="1884"/>
      <c r="PCO34" s="1884"/>
      <c r="PCP34" s="1884"/>
      <c r="PCQ34" s="1884"/>
      <c r="PCR34" s="1884"/>
      <c r="PCS34" s="1884"/>
      <c r="PCT34" s="1884"/>
      <c r="PCU34" s="1884"/>
      <c r="PCV34" s="1884"/>
      <c r="PCW34" s="1884"/>
      <c r="PCX34" s="1884"/>
      <c r="PCY34" s="1884"/>
      <c r="PCZ34" s="1884"/>
      <c r="PDA34" s="1884"/>
      <c r="PDB34" s="1884"/>
      <c r="PDC34" s="1884"/>
      <c r="PDD34" s="1884"/>
      <c r="PDE34" s="1884"/>
      <c r="PDF34" s="1884"/>
      <c r="PDG34" s="1884"/>
      <c r="PDH34" s="1884"/>
      <c r="PDI34" s="1884"/>
      <c r="PDJ34" s="1884"/>
      <c r="PDK34" s="1884"/>
      <c r="PDL34" s="1884"/>
      <c r="PDM34" s="1884"/>
      <c r="PDN34" s="1884"/>
      <c r="PDO34" s="1884"/>
      <c r="PDP34" s="1884"/>
      <c r="PDQ34" s="1884"/>
      <c r="PDR34" s="1884"/>
      <c r="PDS34" s="1884"/>
      <c r="PDT34" s="1884"/>
      <c r="PDU34" s="1884"/>
      <c r="PDV34" s="1884"/>
      <c r="PDW34" s="1884"/>
      <c r="PDX34" s="1884"/>
      <c r="PDY34" s="1884"/>
      <c r="PDZ34" s="1884"/>
      <c r="PEA34" s="1884"/>
      <c r="PEB34" s="1884"/>
      <c r="PEC34" s="1884"/>
      <c r="PED34" s="1884"/>
      <c r="PEE34" s="1884"/>
      <c r="PEF34" s="1884"/>
      <c r="PEG34" s="1884"/>
      <c r="PEH34" s="1884"/>
      <c r="PEI34" s="1884"/>
      <c r="PEJ34" s="1884"/>
      <c r="PEK34" s="1884"/>
      <c r="PEL34" s="1884"/>
      <c r="PEM34" s="1884"/>
      <c r="PEN34" s="1884"/>
      <c r="PEO34" s="1884"/>
      <c r="PEP34" s="1884"/>
      <c r="PEQ34" s="1884"/>
      <c r="PER34" s="1884"/>
      <c r="PES34" s="1884"/>
      <c r="PET34" s="1884"/>
      <c r="PEU34" s="1884"/>
      <c r="PEV34" s="1884"/>
      <c r="PEW34" s="1884"/>
      <c r="PEX34" s="1884"/>
      <c r="PEY34" s="1884"/>
      <c r="PEZ34" s="1884"/>
      <c r="PFA34" s="1884"/>
      <c r="PFB34" s="1884"/>
      <c r="PFC34" s="1884"/>
      <c r="PFD34" s="1884"/>
      <c r="PFE34" s="1884"/>
      <c r="PFF34" s="1884"/>
      <c r="PFG34" s="1884"/>
      <c r="PFH34" s="1884"/>
      <c r="PFI34" s="1884"/>
      <c r="PFJ34" s="1884"/>
      <c r="PFK34" s="1884"/>
      <c r="PFL34" s="1884"/>
      <c r="PFM34" s="1884"/>
      <c r="PFN34" s="1884"/>
      <c r="PFO34" s="1884"/>
      <c r="PFP34" s="1884"/>
      <c r="PFQ34" s="1884"/>
      <c r="PFR34" s="1884"/>
      <c r="PFS34" s="1884"/>
      <c r="PFT34" s="1884"/>
      <c r="PFU34" s="1884"/>
      <c r="PFV34" s="1884"/>
      <c r="PFW34" s="1884"/>
      <c r="PFX34" s="1884"/>
      <c r="PFY34" s="1884"/>
      <c r="PFZ34" s="1884"/>
      <c r="PGA34" s="1884"/>
      <c r="PGB34" s="1884"/>
      <c r="PGC34" s="1884"/>
      <c r="PGD34" s="1884"/>
      <c r="PGE34" s="1884"/>
      <c r="PGF34" s="1884"/>
      <c r="PGG34" s="1884"/>
      <c r="PGH34" s="1884"/>
      <c r="PGI34" s="1884"/>
      <c r="PGJ34" s="1884"/>
      <c r="PGK34" s="1884"/>
      <c r="PGL34" s="1884"/>
      <c r="PGM34" s="1884"/>
      <c r="PGN34" s="1884"/>
      <c r="PGO34" s="1884"/>
      <c r="PGP34" s="1884"/>
      <c r="PGQ34" s="1884"/>
      <c r="PGR34" s="1884"/>
      <c r="PGS34" s="1884"/>
      <c r="PGT34" s="1884"/>
      <c r="PGU34" s="1884"/>
      <c r="PGV34" s="1884"/>
      <c r="PGW34" s="1884"/>
      <c r="PGX34" s="1884"/>
      <c r="PGY34" s="1884"/>
      <c r="PGZ34" s="1884"/>
      <c r="PHA34" s="1884"/>
      <c r="PHB34" s="1884"/>
      <c r="PHC34" s="1884"/>
      <c r="PHD34" s="1884"/>
      <c r="PHE34" s="1884"/>
      <c r="PHF34" s="1884"/>
      <c r="PHG34" s="1884"/>
      <c r="PHH34" s="1884"/>
      <c r="PHI34" s="1884"/>
      <c r="PHJ34" s="1884"/>
      <c r="PHK34" s="1884"/>
      <c r="PHL34" s="1884"/>
      <c r="PHM34" s="1884"/>
      <c r="PHN34" s="1884"/>
      <c r="PHO34" s="1884"/>
      <c r="PHP34" s="1884"/>
      <c r="PHQ34" s="1884"/>
      <c r="PHR34" s="1884"/>
      <c r="PHS34" s="1884"/>
      <c r="PHT34" s="1884"/>
      <c r="PHU34" s="1884"/>
      <c r="PHV34" s="1884"/>
      <c r="PHW34" s="1884"/>
      <c r="PHX34" s="1884"/>
      <c r="PHY34" s="1884"/>
      <c r="PHZ34" s="1884"/>
      <c r="PIA34" s="1884"/>
      <c r="PIB34" s="1884"/>
      <c r="PIC34" s="1884"/>
      <c r="PID34" s="1884"/>
      <c r="PIE34" s="1884"/>
      <c r="PIF34" s="1884"/>
      <c r="PIG34" s="1884"/>
      <c r="PIH34" s="1884"/>
      <c r="PII34" s="1884"/>
      <c r="PIJ34" s="1884"/>
      <c r="PIK34" s="1884"/>
      <c r="PIL34" s="1884"/>
      <c r="PIM34" s="1884"/>
      <c r="PIN34" s="1884"/>
      <c r="PIO34" s="1884"/>
      <c r="PIP34" s="1884"/>
      <c r="PIQ34" s="1884"/>
      <c r="PIR34" s="1884"/>
      <c r="PIS34" s="1884"/>
      <c r="PIT34" s="1884"/>
      <c r="PIU34" s="1884"/>
      <c r="PIV34" s="1884"/>
      <c r="PIW34" s="1884"/>
      <c r="PIX34" s="1884"/>
      <c r="PIY34" s="1884"/>
      <c r="PIZ34" s="1884"/>
      <c r="PJA34" s="1884"/>
      <c r="PJB34" s="1884"/>
      <c r="PJC34" s="1884"/>
      <c r="PJD34" s="1884"/>
      <c r="PJE34" s="1884"/>
      <c r="PJF34" s="1884"/>
      <c r="PJG34" s="1884"/>
      <c r="PJH34" s="1884"/>
      <c r="PJI34" s="1884"/>
      <c r="PJJ34" s="1884"/>
      <c r="PJK34" s="1884"/>
      <c r="PJL34" s="1884"/>
      <c r="PJM34" s="1884"/>
      <c r="PJN34" s="1884"/>
      <c r="PJO34" s="1884"/>
      <c r="PJP34" s="1884"/>
      <c r="PJQ34" s="1884"/>
      <c r="PJR34" s="1884"/>
      <c r="PJS34" s="1884"/>
      <c r="PJT34" s="1884"/>
      <c r="PJU34" s="1884"/>
      <c r="PJV34" s="1884"/>
      <c r="PJW34" s="1884"/>
      <c r="PJX34" s="1884"/>
      <c r="PJY34" s="1884"/>
      <c r="PJZ34" s="1884"/>
      <c r="PKA34" s="1884"/>
      <c r="PKB34" s="1884"/>
      <c r="PKC34" s="1884"/>
      <c r="PKD34" s="1884"/>
      <c r="PKE34" s="1884"/>
      <c r="PKF34" s="1884"/>
      <c r="PKG34" s="1884"/>
      <c r="PKH34" s="1884"/>
      <c r="PKI34" s="1884"/>
      <c r="PKJ34" s="1884"/>
      <c r="PKK34" s="1884"/>
      <c r="PKL34" s="1884"/>
      <c r="PKM34" s="1884"/>
      <c r="PKN34" s="1884"/>
      <c r="PKO34" s="1884"/>
      <c r="PKP34" s="1884"/>
      <c r="PKQ34" s="1884"/>
      <c r="PKR34" s="1884"/>
      <c r="PKS34" s="1884"/>
      <c r="PKT34" s="1884"/>
      <c r="PKU34" s="1884"/>
      <c r="PKV34" s="1884"/>
      <c r="PKW34" s="1884"/>
      <c r="PKX34" s="1884"/>
      <c r="PKY34" s="1884"/>
      <c r="PKZ34" s="1884"/>
      <c r="PLA34" s="1884"/>
      <c r="PLB34" s="1884"/>
      <c r="PLC34" s="1884"/>
      <c r="PLD34" s="1884"/>
      <c r="PLE34" s="1884"/>
      <c r="PLF34" s="1884"/>
      <c r="PLG34" s="1884"/>
      <c r="PLH34" s="1884"/>
      <c r="PLI34" s="1884"/>
      <c r="PLJ34" s="1884"/>
      <c r="PLK34" s="1884"/>
      <c r="PLL34" s="1884"/>
      <c r="PLM34" s="1884"/>
      <c r="PLN34" s="1884"/>
      <c r="PLO34" s="1884"/>
      <c r="PLP34" s="1884"/>
      <c r="PLQ34" s="1884"/>
      <c r="PLR34" s="1884"/>
      <c r="PLS34" s="1884"/>
      <c r="PLT34" s="1884"/>
      <c r="PLU34" s="1884"/>
      <c r="PLV34" s="1884"/>
      <c r="PLW34" s="1884"/>
      <c r="PLX34" s="1884"/>
      <c r="PLY34" s="1884"/>
      <c r="PLZ34" s="1884"/>
      <c r="PMA34" s="1884"/>
      <c r="PMB34" s="1884"/>
      <c r="PMC34" s="1884"/>
      <c r="PMD34" s="1884"/>
      <c r="PME34" s="1884"/>
      <c r="PMF34" s="1884"/>
      <c r="PMG34" s="1884"/>
      <c r="PMH34" s="1884"/>
      <c r="PMI34" s="1884"/>
      <c r="PMJ34" s="1884"/>
      <c r="PMK34" s="1884"/>
      <c r="PML34" s="1884"/>
      <c r="PMM34" s="1884"/>
      <c r="PMN34" s="1884"/>
      <c r="PMO34" s="1884"/>
      <c r="PMP34" s="1884"/>
      <c r="PMQ34" s="1884"/>
      <c r="PMR34" s="1884"/>
      <c r="PMS34" s="1884"/>
      <c r="PMT34" s="1884"/>
      <c r="PMU34" s="1884"/>
      <c r="PMV34" s="1884"/>
      <c r="PMW34" s="1884"/>
      <c r="PMX34" s="1884"/>
      <c r="PMY34" s="1884"/>
      <c r="PMZ34" s="1884"/>
      <c r="PNA34" s="1884"/>
      <c r="PNB34" s="1884"/>
      <c r="PNC34" s="1884"/>
      <c r="PND34" s="1884"/>
      <c r="PNE34" s="1884"/>
      <c r="PNF34" s="1884"/>
      <c r="PNG34" s="1884"/>
      <c r="PNH34" s="1884"/>
      <c r="PNI34" s="1884"/>
      <c r="PNJ34" s="1884"/>
      <c r="PNK34" s="1884"/>
      <c r="PNL34" s="1884"/>
      <c r="PNM34" s="1884"/>
      <c r="PNN34" s="1884"/>
      <c r="PNO34" s="1884"/>
      <c r="PNP34" s="1884"/>
      <c r="PNQ34" s="1884"/>
      <c r="PNR34" s="1884"/>
      <c r="PNS34" s="1884"/>
      <c r="PNT34" s="1884"/>
      <c r="PNU34" s="1884"/>
      <c r="PNV34" s="1884"/>
      <c r="PNW34" s="1884"/>
      <c r="PNX34" s="1884"/>
      <c r="PNY34" s="1884"/>
      <c r="PNZ34" s="1884"/>
      <c r="POA34" s="1884"/>
      <c r="POB34" s="1884"/>
      <c r="POC34" s="1884"/>
      <c r="POD34" s="1884"/>
      <c r="POE34" s="1884"/>
      <c r="POF34" s="1884"/>
      <c r="POG34" s="1884"/>
      <c r="POH34" s="1884"/>
      <c r="POI34" s="1884"/>
      <c r="POJ34" s="1884"/>
      <c r="POK34" s="1884"/>
      <c r="POL34" s="1884"/>
      <c r="POM34" s="1884"/>
      <c r="PON34" s="1884"/>
      <c r="POO34" s="1884"/>
      <c r="POP34" s="1884"/>
      <c r="POQ34" s="1884"/>
      <c r="POR34" s="1884"/>
      <c r="POS34" s="1884"/>
      <c r="POT34" s="1884"/>
      <c r="POU34" s="1884"/>
      <c r="POV34" s="1884"/>
      <c r="POW34" s="1884"/>
      <c r="POX34" s="1884"/>
      <c r="POY34" s="1884"/>
      <c r="POZ34" s="1884"/>
      <c r="PPA34" s="1884"/>
      <c r="PPB34" s="1884"/>
      <c r="PPC34" s="1884"/>
      <c r="PPD34" s="1884"/>
      <c r="PPE34" s="1884"/>
      <c r="PPF34" s="1884"/>
      <c r="PPG34" s="1884"/>
      <c r="PPH34" s="1884"/>
      <c r="PPI34" s="1884"/>
      <c r="PPJ34" s="1884"/>
      <c r="PPK34" s="1884"/>
      <c r="PPL34" s="1884"/>
      <c r="PPM34" s="1884"/>
      <c r="PPN34" s="1884"/>
      <c r="PPO34" s="1884"/>
      <c r="PPP34" s="1884"/>
      <c r="PPQ34" s="1884"/>
      <c r="PPR34" s="1884"/>
      <c r="PPS34" s="1884"/>
      <c r="PPT34" s="1884"/>
      <c r="PPU34" s="1884"/>
      <c r="PPV34" s="1884"/>
      <c r="PPW34" s="1884"/>
      <c r="PPX34" s="1884"/>
      <c r="PPY34" s="1884"/>
      <c r="PPZ34" s="1884"/>
      <c r="PQA34" s="1884"/>
      <c r="PQB34" s="1884"/>
      <c r="PQC34" s="1884"/>
      <c r="PQD34" s="1884"/>
      <c r="PQE34" s="1884"/>
      <c r="PQF34" s="1884"/>
      <c r="PQG34" s="1884"/>
      <c r="PQH34" s="1884"/>
      <c r="PQI34" s="1884"/>
      <c r="PQJ34" s="1884"/>
      <c r="PQK34" s="1884"/>
      <c r="PQL34" s="1884"/>
      <c r="PQM34" s="1884"/>
      <c r="PQN34" s="1884"/>
      <c r="PQO34" s="1884"/>
      <c r="PQP34" s="1884"/>
      <c r="PQQ34" s="1884"/>
      <c r="PQR34" s="1884"/>
      <c r="PQS34" s="1884"/>
      <c r="PQT34" s="1884"/>
      <c r="PQU34" s="1884"/>
      <c r="PQV34" s="1884"/>
      <c r="PQW34" s="1884"/>
      <c r="PQX34" s="1884"/>
      <c r="PQY34" s="1884"/>
      <c r="PQZ34" s="1884"/>
      <c r="PRA34" s="1884"/>
      <c r="PRB34" s="1884"/>
      <c r="PRC34" s="1884"/>
      <c r="PRD34" s="1884"/>
      <c r="PRE34" s="1884"/>
      <c r="PRF34" s="1884"/>
      <c r="PRG34" s="1884"/>
      <c r="PRH34" s="1884"/>
      <c r="PRI34" s="1884"/>
      <c r="PRJ34" s="1884"/>
      <c r="PRK34" s="1884"/>
      <c r="PRL34" s="1884"/>
      <c r="PRM34" s="1884"/>
      <c r="PRN34" s="1884"/>
      <c r="PRO34" s="1884"/>
      <c r="PRP34" s="1884"/>
      <c r="PRQ34" s="1884"/>
      <c r="PRR34" s="1884"/>
      <c r="PRS34" s="1884"/>
      <c r="PRT34" s="1884"/>
      <c r="PRU34" s="1884"/>
      <c r="PRV34" s="1884"/>
      <c r="PRW34" s="1884"/>
      <c r="PRX34" s="1884"/>
      <c r="PRY34" s="1884"/>
      <c r="PRZ34" s="1884"/>
      <c r="PSA34" s="1884"/>
      <c r="PSB34" s="1884"/>
      <c r="PSC34" s="1884"/>
      <c r="PSD34" s="1884"/>
      <c r="PSE34" s="1884"/>
      <c r="PSF34" s="1884"/>
      <c r="PSG34" s="1884"/>
      <c r="PSH34" s="1884"/>
      <c r="PSI34" s="1884"/>
      <c r="PSJ34" s="1884"/>
      <c r="PSK34" s="1884"/>
      <c r="PSL34" s="1884"/>
      <c r="PSM34" s="1884"/>
      <c r="PSN34" s="1884"/>
      <c r="PSO34" s="1884"/>
      <c r="PSP34" s="1884"/>
      <c r="PSQ34" s="1884"/>
      <c r="PSR34" s="1884"/>
      <c r="PSS34" s="1884"/>
      <c r="PST34" s="1884"/>
      <c r="PSU34" s="1884"/>
      <c r="PSV34" s="1884"/>
      <c r="PSW34" s="1884"/>
      <c r="PSX34" s="1884"/>
      <c r="PSY34" s="1884"/>
      <c r="PSZ34" s="1884"/>
      <c r="PTA34" s="1884"/>
      <c r="PTB34" s="1884"/>
      <c r="PTC34" s="1884"/>
      <c r="PTD34" s="1884"/>
      <c r="PTE34" s="1884"/>
      <c r="PTF34" s="1884"/>
      <c r="PTG34" s="1884"/>
      <c r="PTH34" s="1884"/>
      <c r="PTI34" s="1884"/>
      <c r="PTJ34" s="1884"/>
      <c r="PTK34" s="1884"/>
      <c r="PTL34" s="1884"/>
      <c r="PTM34" s="1884"/>
      <c r="PTN34" s="1884"/>
      <c r="PTO34" s="1884"/>
      <c r="PTP34" s="1884"/>
      <c r="PTQ34" s="1884"/>
      <c r="PTR34" s="1884"/>
      <c r="PTS34" s="1884"/>
      <c r="PTT34" s="1884"/>
      <c r="PTU34" s="1884"/>
      <c r="PTV34" s="1884"/>
      <c r="PTW34" s="1884"/>
      <c r="PTX34" s="1884"/>
      <c r="PTY34" s="1884"/>
      <c r="PTZ34" s="1884"/>
      <c r="PUA34" s="1884"/>
      <c r="PUB34" s="1884"/>
      <c r="PUC34" s="1884"/>
      <c r="PUD34" s="1884"/>
      <c r="PUE34" s="1884"/>
      <c r="PUF34" s="1884"/>
      <c r="PUG34" s="1884"/>
      <c r="PUH34" s="1884"/>
      <c r="PUI34" s="1884"/>
      <c r="PUJ34" s="1884"/>
      <c r="PUK34" s="1884"/>
      <c r="PUL34" s="1884"/>
      <c r="PUM34" s="1884"/>
      <c r="PUN34" s="1884"/>
      <c r="PUO34" s="1884"/>
      <c r="PUP34" s="1884"/>
      <c r="PUQ34" s="1884"/>
      <c r="PUR34" s="1884"/>
      <c r="PUS34" s="1884"/>
      <c r="PUT34" s="1884"/>
      <c r="PUU34" s="1884"/>
      <c r="PUV34" s="1884"/>
      <c r="PUW34" s="1884"/>
      <c r="PUX34" s="1884"/>
      <c r="PUY34" s="1884"/>
      <c r="PUZ34" s="1884"/>
      <c r="PVA34" s="1884"/>
      <c r="PVB34" s="1884"/>
      <c r="PVC34" s="1884"/>
      <c r="PVD34" s="1884"/>
      <c r="PVE34" s="1884"/>
      <c r="PVF34" s="1884"/>
      <c r="PVG34" s="1884"/>
      <c r="PVH34" s="1884"/>
      <c r="PVI34" s="1884"/>
      <c r="PVJ34" s="1884"/>
      <c r="PVK34" s="1884"/>
      <c r="PVL34" s="1884"/>
      <c r="PVM34" s="1884"/>
      <c r="PVN34" s="1884"/>
      <c r="PVO34" s="1884"/>
      <c r="PVP34" s="1884"/>
      <c r="PVQ34" s="1884"/>
      <c r="PVR34" s="1884"/>
      <c r="PVS34" s="1884"/>
      <c r="PVT34" s="1884"/>
      <c r="PVU34" s="1884"/>
      <c r="PVV34" s="1884"/>
      <c r="PVW34" s="1884"/>
      <c r="PVX34" s="1884"/>
      <c r="PVY34" s="1884"/>
      <c r="PVZ34" s="1884"/>
      <c r="PWA34" s="1884"/>
      <c r="PWB34" s="1884"/>
      <c r="PWC34" s="1884"/>
      <c r="PWD34" s="1884"/>
      <c r="PWE34" s="1884"/>
      <c r="PWF34" s="1884"/>
      <c r="PWG34" s="1884"/>
      <c r="PWH34" s="1884"/>
      <c r="PWI34" s="1884"/>
      <c r="PWJ34" s="1884"/>
      <c r="PWK34" s="1884"/>
      <c r="PWL34" s="1884"/>
      <c r="PWM34" s="1884"/>
      <c r="PWN34" s="1884"/>
      <c r="PWO34" s="1884"/>
      <c r="PWP34" s="1884"/>
      <c r="PWQ34" s="1884"/>
      <c r="PWR34" s="1884"/>
      <c r="PWS34" s="1884"/>
      <c r="PWT34" s="1884"/>
      <c r="PWU34" s="1884"/>
      <c r="PWV34" s="1884"/>
      <c r="PWW34" s="1884"/>
      <c r="PWX34" s="1884"/>
      <c r="PWY34" s="1884"/>
      <c r="PWZ34" s="1884"/>
      <c r="PXA34" s="1884"/>
      <c r="PXB34" s="1884"/>
      <c r="PXC34" s="1884"/>
      <c r="PXD34" s="1884"/>
      <c r="PXE34" s="1884"/>
      <c r="PXF34" s="1884"/>
      <c r="PXG34" s="1884"/>
      <c r="PXH34" s="1884"/>
      <c r="PXI34" s="1884"/>
      <c r="PXJ34" s="1884"/>
      <c r="PXK34" s="1884"/>
      <c r="PXL34" s="1884"/>
      <c r="PXM34" s="1884"/>
      <c r="PXN34" s="1884"/>
      <c r="PXO34" s="1884"/>
      <c r="PXP34" s="1884"/>
      <c r="PXQ34" s="1884"/>
      <c r="PXR34" s="1884"/>
      <c r="PXS34" s="1884"/>
      <c r="PXT34" s="1884"/>
      <c r="PXU34" s="1884"/>
      <c r="PXV34" s="1884"/>
      <c r="PXW34" s="1884"/>
      <c r="PXX34" s="1884"/>
      <c r="PXY34" s="1884"/>
      <c r="PXZ34" s="1884"/>
      <c r="PYA34" s="1884"/>
      <c r="PYB34" s="1884"/>
      <c r="PYC34" s="1884"/>
      <c r="PYD34" s="1884"/>
      <c r="PYE34" s="1884"/>
      <c r="PYF34" s="1884"/>
      <c r="PYG34" s="1884"/>
      <c r="PYH34" s="1884"/>
      <c r="PYI34" s="1884"/>
      <c r="PYJ34" s="1884"/>
      <c r="PYK34" s="1884"/>
      <c r="PYL34" s="1884"/>
      <c r="PYM34" s="1884"/>
      <c r="PYN34" s="1884"/>
      <c r="PYO34" s="1884"/>
      <c r="PYP34" s="1884"/>
      <c r="PYQ34" s="1884"/>
      <c r="PYR34" s="1884"/>
      <c r="PYS34" s="1884"/>
      <c r="PYT34" s="1884"/>
      <c r="PYU34" s="1884"/>
      <c r="PYV34" s="1884"/>
      <c r="PYW34" s="1884"/>
      <c r="PYX34" s="1884"/>
      <c r="PYY34" s="1884"/>
      <c r="PYZ34" s="1884"/>
      <c r="PZA34" s="1884"/>
      <c r="PZB34" s="1884"/>
      <c r="PZC34" s="1884"/>
      <c r="PZD34" s="1884"/>
      <c r="PZE34" s="1884"/>
      <c r="PZF34" s="1884"/>
      <c r="PZG34" s="1884"/>
      <c r="PZH34" s="1884"/>
      <c r="PZI34" s="1884"/>
      <c r="PZJ34" s="1884"/>
      <c r="PZK34" s="1884"/>
      <c r="PZL34" s="1884"/>
      <c r="PZM34" s="1884"/>
      <c r="PZN34" s="1884"/>
      <c r="PZO34" s="1884"/>
      <c r="PZP34" s="1884"/>
      <c r="PZQ34" s="1884"/>
      <c r="PZR34" s="1884"/>
      <c r="PZS34" s="1884"/>
      <c r="PZT34" s="1884"/>
      <c r="PZU34" s="1884"/>
      <c r="PZV34" s="1884"/>
      <c r="PZW34" s="1884"/>
      <c r="PZX34" s="1884"/>
      <c r="PZY34" s="1884"/>
      <c r="PZZ34" s="1884"/>
      <c r="QAA34" s="1884"/>
      <c r="QAB34" s="1884"/>
      <c r="QAC34" s="1884"/>
      <c r="QAD34" s="1884"/>
      <c r="QAE34" s="1884"/>
      <c r="QAF34" s="1884"/>
      <c r="QAG34" s="1884"/>
      <c r="QAH34" s="1884"/>
      <c r="QAI34" s="1884"/>
      <c r="QAJ34" s="1884"/>
      <c r="QAK34" s="1884"/>
      <c r="QAL34" s="1884"/>
      <c r="QAM34" s="1884"/>
      <c r="QAN34" s="1884"/>
      <c r="QAO34" s="1884"/>
      <c r="QAP34" s="1884"/>
      <c r="QAQ34" s="1884"/>
      <c r="QAR34" s="1884"/>
      <c r="QAS34" s="1884"/>
      <c r="QAT34" s="1884"/>
      <c r="QAU34" s="1884"/>
      <c r="QAV34" s="1884"/>
      <c r="QAW34" s="1884"/>
      <c r="QAX34" s="1884"/>
      <c r="QAY34" s="1884"/>
      <c r="QAZ34" s="1884"/>
      <c r="QBA34" s="1884"/>
      <c r="QBB34" s="1884"/>
      <c r="QBC34" s="1884"/>
      <c r="QBD34" s="1884"/>
      <c r="QBE34" s="1884"/>
      <c r="QBF34" s="1884"/>
      <c r="QBG34" s="1884"/>
      <c r="QBH34" s="1884"/>
      <c r="QBI34" s="1884"/>
      <c r="QBJ34" s="1884"/>
      <c r="QBK34" s="1884"/>
      <c r="QBL34" s="1884"/>
      <c r="QBM34" s="1884"/>
      <c r="QBN34" s="1884"/>
      <c r="QBO34" s="1884"/>
      <c r="QBP34" s="1884"/>
      <c r="QBQ34" s="1884"/>
      <c r="QBR34" s="1884"/>
      <c r="QBS34" s="1884"/>
      <c r="QBT34" s="1884"/>
      <c r="QBU34" s="1884"/>
      <c r="QBV34" s="1884"/>
      <c r="QBW34" s="1884"/>
      <c r="QBX34" s="1884"/>
      <c r="QBY34" s="1884"/>
      <c r="QBZ34" s="1884"/>
      <c r="QCA34" s="1884"/>
      <c r="QCB34" s="1884"/>
      <c r="QCC34" s="1884"/>
      <c r="QCD34" s="1884"/>
      <c r="QCE34" s="1884"/>
      <c r="QCF34" s="1884"/>
      <c r="QCG34" s="1884"/>
      <c r="QCH34" s="1884"/>
      <c r="QCI34" s="1884"/>
      <c r="QCJ34" s="1884"/>
      <c r="QCK34" s="1884"/>
      <c r="QCL34" s="1884"/>
      <c r="QCM34" s="1884"/>
      <c r="QCN34" s="1884"/>
      <c r="QCO34" s="1884"/>
      <c r="QCP34" s="1884"/>
      <c r="QCQ34" s="1884"/>
      <c r="QCR34" s="1884"/>
      <c r="QCS34" s="1884"/>
      <c r="QCT34" s="1884"/>
      <c r="QCU34" s="1884"/>
      <c r="QCV34" s="1884"/>
      <c r="QCW34" s="1884"/>
      <c r="QCX34" s="1884"/>
      <c r="QCY34" s="1884"/>
      <c r="QCZ34" s="1884"/>
      <c r="QDA34" s="1884"/>
      <c r="QDB34" s="1884"/>
      <c r="QDC34" s="1884"/>
      <c r="QDD34" s="1884"/>
      <c r="QDE34" s="1884"/>
      <c r="QDF34" s="1884"/>
      <c r="QDG34" s="1884"/>
      <c r="QDH34" s="1884"/>
      <c r="QDI34" s="1884"/>
      <c r="QDJ34" s="1884"/>
      <c r="QDK34" s="1884"/>
      <c r="QDL34" s="1884"/>
      <c r="QDM34" s="1884"/>
      <c r="QDN34" s="1884"/>
      <c r="QDO34" s="1884"/>
      <c r="QDP34" s="1884"/>
      <c r="QDQ34" s="1884"/>
      <c r="QDR34" s="1884"/>
      <c r="QDS34" s="1884"/>
      <c r="QDT34" s="1884"/>
      <c r="QDU34" s="1884"/>
      <c r="QDV34" s="1884"/>
      <c r="QDW34" s="1884"/>
      <c r="QDX34" s="1884"/>
      <c r="QDY34" s="1884"/>
      <c r="QDZ34" s="1884"/>
      <c r="QEA34" s="1884"/>
      <c r="QEB34" s="1884"/>
      <c r="QEC34" s="1884"/>
      <c r="QED34" s="1884"/>
      <c r="QEE34" s="1884"/>
      <c r="QEF34" s="1884"/>
      <c r="QEG34" s="1884"/>
      <c r="QEH34" s="1884"/>
      <c r="QEI34" s="1884"/>
      <c r="QEJ34" s="1884"/>
      <c r="QEK34" s="1884"/>
      <c r="QEL34" s="1884"/>
      <c r="QEM34" s="1884"/>
      <c r="QEN34" s="1884"/>
      <c r="QEO34" s="1884"/>
      <c r="QEP34" s="1884"/>
      <c r="QEQ34" s="1884"/>
      <c r="QER34" s="1884"/>
      <c r="QES34" s="1884"/>
      <c r="QET34" s="1884"/>
      <c r="QEU34" s="1884"/>
      <c r="QEV34" s="1884"/>
      <c r="QEW34" s="1884"/>
      <c r="QEX34" s="1884"/>
      <c r="QEY34" s="1884"/>
      <c r="QEZ34" s="1884"/>
      <c r="QFA34" s="1884"/>
      <c r="QFB34" s="1884"/>
      <c r="QFC34" s="1884"/>
      <c r="QFD34" s="1884"/>
      <c r="QFE34" s="1884"/>
      <c r="QFF34" s="1884"/>
      <c r="QFG34" s="1884"/>
      <c r="QFH34" s="1884"/>
      <c r="QFI34" s="1884"/>
      <c r="QFJ34" s="1884"/>
      <c r="QFK34" s="1884"/>
      <c r="QFL34" s="1884"/>
      <c r="QFM34" s="1884"/>
      <c r="QFN34" s="1884"/>
      <c r="QFO34" s="1884"/>
      <c r="QFP34" s="1884"/>
      <c r="QFQ34" s="1884"/>
      <c r="QFR34" s="1884"/>
      <c r="QFS34" s="1884"/>
      <c r="QFT34" s="1884"/>
      <c r="QFU34" s="1884"/>
      <c r="QFV34" s="1884"/>
      <c r="QFW34" s="1884"/>
      <c r="QFX34" s="1884"/>
      <c r="QFY34" s="1884"/>
      <c r="QFZ34" s="1884"/>
      <c r="QGA34" s="1884"/>
      <c r="QGB34" s="1884"/>
      <c r="QGC34" s="1884"/>
      <c r="QGD34" s="1884"/>
      <c r="QGE34" s="1884"/>
      <c r="QGF34" s="1884"/>
      <c r="QGG34" s="1884"/>
      <c r="QGH34" s="1884"/>
      <c r="QGI34" s="1884"/>
      <c r="QGJ34" s="1884"/>
      <c r="QGK34" s="1884"/>
      <c r="QGL34" s="1884"/>
      <c r="QGM34" s="1884"/>
      <c r="QGN34" s="1884"/>
      <c r="QGO34" s="1884"/>
      <c r="QGP34" s="1884"/>
      <c r="QGQ34" s="1884"/>
      <c r="QGR34" s="1884"/>
      <c r="QGS34" s="1884"/>
      <c r="QGT34" s="1884"/>
      <c r="QGU34" s="1884"/>
      <c r="QGV34" s="1884"/>
      <c r="QGW34" s="1884"/>
      <c r="QGX34" s="1884"/>
      <c r="QGY34" s="1884"/>
      <c r="QGZ34" s="1884"/>
      <c r="QHA34" s="1884"/>
      <c r="QHB34" s="1884"/>
      <c r="QHC34" s="1884"/>
      <c r="QHD34" s="1884"/>
      <c r="QHE34" s="1884"/>
      <c r="QHF34" s="1884"/>
      <c r="QHG34" s="1884"/>
      <c r="QHH34" s="1884"/>
      <c r="QHI34" s="1884"/>
      <c r="QHJ34" s="1884"/>
      <c r="QHK34" s="1884"/>
      <c r="QHL34" s="1884"/>
      <c r="QHM34" s="1884"/>
      <c r="QHN34" s="1884"/>
      <c r="QHO34" s="1884"/>
      <c r="QHP34" s="1884"/>
      <c r="QHQ34" s="1884"/>
      <c r="QHR34" s="1884"/>
      <c r="QHS34" s="1884"/>
      <c r="QHT34" s="1884"/>
      <c r="QHU34" s="1884"/>
      <c r="QHV34" s="1884"/>
      <c r="QHW34" s="1884"/>
      <c r="QHX34" s="1884"/>
      <c r="QHY34" s="1884"/>
      <c r="QHZ34" s="1884"/>
      <c r="QIA34" s="1884"/>
      <c r="QIB34" s="1884"/>
      <c r="QIC34" s="1884"/>
      <c r="QID34" s="1884"/>
      <c r="QIE34" s="1884"/>
      <c r="QIF34" s="1884"/>
      <c r="QIG34" s="1884"/>
      <c r="QIH34" s="1884"/>
      <c r="QII34" s="1884"/>
      <c r="QIJ34" s="1884"/>
      <c r="QIK34" s="1884"/>
      <c r="QIL34" s="1884"/>
      <c r="QIM34" s="1884"/>
      <c r="QIN34" s="1884"/>
      <c r="QIO34" s="1884"/>
      <c r="QIP34" s="1884"/>
      <c r="QIQ34" s="1884"/>
      <c r="QIR34" s="1884"/>
      <c r="QIS34" s="1884"/>
      <c r="QIT34" s="1884"/>
      <c r="QIU34" s="1884"/>
      <c r="QIV34" s="1884"/>
      <c r="QIW34" s="1884"/>
      <c r="QIX34" s="1884"/>
      <c r="QIY34" s="1884"/>
      <c r="QIZ34" s="1884"/>
      <c r="QJA34" s="1884"/>
      <c r="QJB34" s="1884"/>
      <c r="QJC34" s="1884"/>
      <c r="QJD34" s="1884"/>
      <c r="QJE34" s="1884"/>
      <c r="QJF34" s="1884"/>
      <c r="QJG34" s="1884"/>
      <c r="QJH34" s="1884"/>
      <c r="QJI34" s="1884"/>
      <c r="QJJ34" s="1884"/>
      <c r="QJK34" s="1884"/>
      <c r="QJL34" s="1884"/>
      <c r="QJM34" s="1884"/>
      <c r="QJN34" s="1884"/>
      <c r="QJO34" s="1884"/>
      <c r="QJP34" s="1884"/>
      <c r="QJQ34" s="1884"/>
      <c r="QJR34" s="1884"/>
      <c r="QJS34" s="1884"/>
      <c r="QJT34" s="1884"/>
      <c r="QJU34" s="1884"/>
      <c r="QJV34" s="1884"/>
      <c r="QJW34" s="1884"/>
      <c r="QJX34" s="1884"/>
      <c r="QJY34" s="1884"/>
      <c r="QJZ34" s="1884"/>
      <c r="QKA34" s="1884"/>
      <c r="QKB34" s="1884"/>
      <c r="QKC34" s="1884"/>
      <c r="QKD34" s="1884"/>
      <c r="QKE34" s="1884"/>
      <c r="QKF34" s="1884"/>
      <c r="QKG34" s="1884"/>
      <c r="QKH34" s="1884"/>
      <c r="QKI34" s="1884"/>
      <c r="QKJ34" s="1884"/>
      <c r="QKK34" s="1884"/>
      <c r="QKL34" s="1884"/>
      <c r="QKM34" s="1884"/>
      <c r="QKN34" s="1884"/>
      <c r="QKO34" s="1884"/>
      <c r="QKP34" s="1884"/>
      <c r="QKQ34" s="1884"/>
      <c r="QKR34" s="1884"/>
      <c r="QKS34" s="1884"/>
      <c r="QKT34" s="1884"/>
      <c r="QKU34" s="1884"/>
      <c r="QKV34" s="1884"/>
      <c r="QKW34" s="1884"/>
      <c r="QKX34" s="1884"/>
      <c r="QKY34" s="1884"/>
      <c r="QKZ34" s="1884"/>
      <c r="QLA34" s="1884"/>
      <c r="QLB34" s="1884"/>
      <c r="QLC34" s="1884"/>
      <c r="QLD34" s="1884"/>
      <c r="QLE34" s="1884"/>
      <c r="QLF34" s="1884"/>
      <c r="QLG34" s="1884"/>
      <c r="QLH34" s="1884"/>
      <c r="QLI34" s="1884"/>
      <c r="QLJ34" s="1884"/>
      <c r="QLK34" s="1884"/>
      <c r="QLL34" s="1884"/>
      <c r="QLM34" s="1884"/>
      <c r="QLN34" s="1884"/>
      <c r="QLO34" s="1884"/>
      <c r="QLP34" s="1884"/>
      <c r="QLQ34" s="1884"/>
      <c r="QLR34" s="1884"/>
      <c r="QLS34" s="1884"/>
      <c r="QLT34" s="1884"/>
      <c r="QLU34" s="1884"/>
      <c r="QLV34" s="1884"/>
      <c r="QLW34" s="1884"/>
      <c r="QLX34" s="1884"/>
      <c r="QLY34" s="1884"/>
      <c r="QLZ34" s="1884"/>
      <c r="QMA34" s="1884"/>
      <c r="QMB34" s="1884"/>
      <c r="QMC34" s="1884"/>
      <c r="QMD34" s="1884"/>
      <c r="QME34" s="1884"/>
      <c r="QMF34" s="1884"/>
      <c r="QMG34" s="1884"/>
      <c r="QMH34" s="1884"/>
      <c r="QMI34" s="1884"/>
      <c r="QMJ34" s="1884"/>
      <c r="QMK34" s="1884"/>
      <c r="QML34" s="1884"/>
      <c r="QMM34" s="1884"/>
      <c r="QMN34" s="1884"/>
      <c r="QMO34" s="1884"/>
      <c r="QMP34" s="1884"/>
      <c r="QMQ34" s="1884"/>
      <c r="QMR34" s="1884"/>
      <c r="QMS34" s="1884"/>
      <c r="QMT34" s="1884"/>
      <c r="QMU34" s="1884"/>
      <c r="QMV34" s="1884"/>
      <c r="QMW34" s="1884"/>
      <c r="QMX34" s="1884"/>
      <c r="QMY34" s="1884"/>
      <c r="QMZ34" s="1884"/>
      <c r="QNA34" s="1884"/>
      <c r="QNB34" s="1884"/>
      <c r="QNC34" s="1884"/>
      <c r="QND34" s="1884"/>
      <c r="QNE34" s="1884"/>
      <c r="QNF34" s="1884"/>
      <c r="QNG34" s="1884"/>
      <c r="QNH34" s="1884"/>
      <c r="QNI34" s="1884"/>
      <c r="QNJ34" s="1884"/>
      <c r="QNK34" s="1884"/>
      <c r="QNL34" s="1884"/>
      <c r="QNM34" s="1884"/>
      <c r="QNN34" s="1884"/>
      <c r="QNO34" s="1884"/>
      <c r="QNP34" s="1884"/>
      <c r="QNQ34" s="1884"/>
      <c r="QNR34" s="1884"/>
      <c r="QNS34" s="1884"/>
      <c r="QNT34" s="1884"/>
      <c r="QNU34" s="1884"/>
      <c r="QNV34" s="1884"/>
      <c r="QNW34" s="1884"/>
      <c r="QNX34" s="1884"/>
      <c r="QNY34" s="1884"/>
      <c r="QNZ34" s="1884"/>
      <c r="QOA34" s="1884"/>
      <c r="QOB34" s="1884"/>
      <c r="QOC34" s="1884"/>
      <c r="QOD34" s="1884"/>
      <c r="QOE34" s="1884"/>
      <c r="QOF34" s="1884"/>
      <c r="QOG34" s="1884"/>
      <c r="QOH34" s="1884"/>
      <c r="QOI34" s="1884"/>
      <c r="QOJ34" s="1884"/>
      <c r="QOK34" s="1884"/>
      <c r="QOL34" s="1884"/>
      <c r="QOM34" s="1884"/>
      <c r="QON34" s="1884"/>
      <c r="QOO34" s="1884"/>
      <c r="QOP34" s="1884"/>
      <c r="QOQ34" s="1884"/>
      <c r="QOR34" s="1884"/>
      <c r="QOS34" s="1884"/>
      <c r="QOT34" s="1884"/>
      <c r="QOU34" s="1884"/>
      <c r="QOV34" s="1884"/>
      <c r="QOW34" s="1884"/>
      <c r="QOX34" s="1884"/>
      <c r="QOY34" s="1884"/>
      <c r="QOZ34" s="1884"/>
      <c r="QPA34" s="1884"/>
      <c r="QPB34" s="1884"/>
      <c r="QPC34" s="1884"/>
      <c r="QPD34" s="1884"/>
      <c r="QPE34" s="1884"/>
      <c r="QPF34" s="1884"/>
      <c r="QPG34" s="1884"/>
      <c r="QPH34" s="1884"/>
      <c r="QPI34" s="1884"/>
      <c r="QPJ34" s="1884"/>
      <c r="QPK34" s="1884"/>
      <c r="QPL34" s="1884"/>
      <c r="QPM34" s="1884"/>
      <c r="QPN34" s="1884"/>
      <c r="QPO34" s="1884"/>
      <c r="QPP34" s="1884"/>
      <c r="QPQ34" s="1884"/>
      <c r="QPR34" s="1884"/>
      <c r="QPS34" s="1884"/>
      <c r="QPT34" s="1884"/>
      <c r="QPU34" s="1884"/>
      <c r="QPV34" s="1884"/>
      <c r="QPW34" s="1884"/>
      <c r="QPX34" s="1884"/>
      <c r="QPY34" s="1884"/>
      <c r="QPZ34" s="1884"/>
      <c r="QQA34" s="1884"/>
      <c r="QQB34" s="1884"/>
      <c r="QQC34" s="1884"/>
      <c r="QQD34" s="1884"/>
      <c r="QQE34" s="1884"/>
      <c r="QQF34" s="1884"/>
      <c r="QQG34" s="1884"/>
      <c r="QQH34" s="1884"/>
      <c r="QQI34" s="1884"/>
      <c r="QQJ34" s="1884"/>
      <c r="QQK34" s="1884"/>
      <c r="QQL34" s="1884"/>
      <c r="QQM34" s="1884"/>
      <c r="QQN34" s="1884"/>
      <c r="QQO34" s="1884"/>
      <c r="QQP34" s="1884"/>
      <c r="QQQ34" s="1884"/>
      <c r="QQR34" s="1884"/>
      <c r="QQS34" s="1884"/>
      <c r="QQT34" s="1884"/>
      <c r="QQU34" s="1884"/>
      <c r="QQV34" s="1884"/>
      <c r="QQW34" s="1884"/>
      <c r="QQX34" s="1884"/>
      <c r="QQY34" s="1884"/>
      <c r="QQZ34" s="1884"/>
      <c r="QRA34" s="1884"/>
      <c r="QRB34" s="1884"/>
      <c r="QRC34" s="1884"/>
      <c r="QRD34" s="1884"/>
      <c r="QRE34" s="1884"/>
      <c r="QRF34" s="1884"/>
      <c r="QRG34" s="1884"/>
      <c r="QRH34" s="1884"/>
      <c r="QRI34" s="1884"/>
      <c r="QRJ34" s="1884"/>
      <c r="QRK34" s="1884"/>
      <c r="QRL34" s="1884"/>
      <c r="QRM34" s="1884"/>
      <c r="QRN34" s="1884"/>
      <c r="QRO34" s="1884"/>
      <c r="QRP34" s="1884"/>
      <c r="QRQ34" s="1884"/>
      <c r="QRR34" s="1884"/>
      <c r="QRS34" s="1884"/>
      <c r="QRT34" s="1884"/>
      <c r="QRU34" s="1884"/>
      <c r="QRV34" s="1884"/>
      <c r="QRW34" s="1884"/>
      <c r="QRX34" s="1884"/>
      <c r="QRY34" s="1884"/>
      <c r="QRZ34" s="1884"/>
      <c r="QSA34" s="1884"/>
      <c r="QSB34" s="1884"/>
      <c r="QSC34" s="1884"/>
      <c r="QSD34" s="1884"/>
      <c r="QSE34" s="1884"/>
      <c r="QSF34" s="1884"/>
      <c r="QSG34" s="1884"/>
      <c r="QSH34" s="1884"/>
      <c r="QSI34" s="1884"/>
      <c r="QSJ34" s="1884"/>
      <c r="QSK34" s="1884"/>
      <c r="QSL34" s="1884"/>
      <c r="QSM34" s="1884"/>
      <c r="QSN34" s="1884"/>
      <c r="QSO34" s="1884"/>
      <c r="QSP34" s="1884"/>
      <c r="QSQ34" s="1884"/>
      <c r="QSR34" s="1884"/>
      <c r="QSS34" s="1884"/>
      <c r="QST34" s="1884"/>
      <c r="QSU34" s="1884"/>
      <c r="QSV34" s="1884"/>
      <c r="QSW34" s="1884"/>
      <c r="QSX34" s="1884"/>
      <c r="QSY34" s="1884"/>
      <c r="QSZ34" s="1884"/>
      <c r="QTA34" s="1884"/>
      <c r="QTB34" s="1884"/>
      <c r="QTC34" s="1884"/>
      <c r="QTD34" s="1884"/>
      <c r="QTE34" s="1884"/>
      <c r="QTF34" s="1884"/>
      <c r="QTG34" s="1884"/>
      <c r="QTH34" s="1884"/>
      <c r="QTI34" s="1884"/>
      <c r="QTJ34" s="1884"/>
      <c r="QTK34" s="1884"/>
      <c r="QTL34" s="1884"/>
      <c r="QTM34" s="1884"/>
      <c r="QTN34" s="1884"/>
      <c r="QTO34" s="1884"/>
      <c r="QTP34" s="1884"/>
      <c r="QTQ34" s="1884"/>
      <c r="QTR34" s="1884"/>
      <c r="QTS34" s="1884"/>
      <c r="QTT34" s="1884"/>
      <c r="QTU34" s="1884"/>
      <c r="QTV34" s="1884"/>
      <c r="QTW34" s="1884"/>
      <c r="QTX34" s="1884"/>
      <c r="QTY34" s="1884"/>
      <c r="QTZ34" s="1884"/>
      <c r="QUA34" s="1884"/>
      <c r="QUB34" s="1884"/>
      <c r="QUC34" s="1884"/>
      <c r="QUD34" s="1884"/>
      <c r="QUE34" s="1884"/>
      <c r="QUF34" s="1884"/>
      <c r="QUG34" s="1884"/>
      <c r="QUH34" s="1884"/>
      <c r="QUI34" s="1884"/>
      <c r="QUJ34" s="1884"/>
      <c r="QUK34" s="1884"/>
      <c r="QUL34" s="1884"/>
      <c r="QUM34" s="1884"/>
      <c r="QUN34" s="1884"/>
      <c r="QUO34" s="1884"/>
      <c r="QUP34" s="1884"/>
      <c r="QUQ34" s="1884"/>
      <c r="QUR34" s="1884"/>
      <c r="QUS34" s="1884"/>
      <c r="QUT34" s="1884"/>
      <c r="QUU34" s="1884"/>
      <c r="QUV34" s="1884"/>
      <c r="QUW34" s="1884"/>
      <c r="QUX34" s="1884"/>
      <c r="QUY34" s="1884"/>
      <c r="QUZ34" s="1884"/>
      <c r="QVA34" s="1884"/>
      <c r="QVB34" s="1884"/>
      <c r="QVC34" s="1884"/>
      <c r="QVD34" s="1884"/>
      <c r="QVE34" s="1884"/>
      <c r="QVF34" s="1884"/>
      <c r="QVG34" s="1884"/>
      <c r="QVH34" s="1884"/>
      <c r="QVI34" s="1884"/>
      <c r="QVJ34" s="1884"/>
      <c r="QVK34" s="1884"/>
      <c r="QVL34" s="1884"/>
      <c r="QVM34" s="1884"/>
      <c r="QVN34" s="1884"/>
      <c r="QVO34" s="1884"/>
      <c r="QVP34" s="1884"/>
      <c r="QVQ34" s="1884"/>
      <c r="QVR34" s="1884"/>
      <c r="QVS34" s="1884"/>
      <c r="QVT34" s="1884"/>
      <c r="QVU34" s="1884"/>
      <c r="QVV34" s="1884"/>
      <c r="QVW34" s="1884"/>
      <c r="QVX34" s="1884"/>
      <c r="QVY34" s="1884"/>
      <c r="QVZ34" s="1884"/>
      <c r="QWA34" s="1884"/>
      <c r="QWB34" s="1884"/>
      <c r="QWC34" s="1884"/>
      <c r="QWD34" s="1884"/>
      <c r="QWE34" s="1884"/>
      <c r="QWF34" s="1884"/>
      <c r="QWG34" s="1884"/>
      <c r="QWH34" s="1884"/>
      <c r="QWI34" s="1884"/>
      <c r="QWJ34" s="1884"/>
      <c r="QWK34" s="1884"/>
      <c r="QWL34" s="1884"/>
      <c r="QWM34" s="1884"/>
      <c r="QWN34" s="1884"/>
      <c r="QWO34" s="1884"/>
      <c r="QWP34" s="1884"/>
      <c r="QWQ34" s="1884"/>
      <c r="QWR34" s="1884"/>
      <c r="QWS34" s="1884"/>
      <c r="QWT34" s="1884"/>
      <c r="QWU34" s="1884"/>
      <c r="QWV34" s="1884"/>
      <c r="QWW34" s="1884"/>
      <c r="QWX34" s="1884"/>
      <c r="QWY34" s="1884"/>
      <c r="QWZ34" s="1884"/>
      <c r="QXA34" s="1884"/>
      <c r="QXB34" s="1884"/>
      <c r="QXC34" s="1884"/>
      <c r="QXD34" s="1884"/>
      <c r="QXE34" s="1884"/>
      <c r="QXF34" s="1884"/>
      <c r="QXG34" s="1884"/>
      <c r="QXH34" s="1884"/>
      <c r="QXI34" s="1884"/>
      <c r="QXJ34" s="1884"/>
      <c r="QXK34" s="1884"/>
      <c r="QXL34" s="1884"/>
      <c r="QXM34" s="1884"/>
      <c r="QXN34" s="1884"/>
      <c r="QXO34" s="1884"/>
      <c r="QXP34" s="1884"/>
      <c r="QXQ34" s="1884"/>
      <c r="QXR34" s="1884"/>
      <c r="QXS34" s="1884"/>
      <c r="QXT34" s="1884"/>
      <c r="QXU34" s="1884"/>
      <c r="QXV34" s="1884"/>
      <c r="QXW34" s="1884"/>
      <c r="QXX34" s="1884"/>
      <c r="QXY34" s="1884"/>
      <c r="QXZ34" s="1884"/>
      <c r="QYA34" s="1884"/>
      <c r="QYB34" s="1884"/>
      <c r="QYC34" s="1884"/>
      <c r="QYD34" s="1884"/>
      <c r="QYE34" s="1884"/>
      <c r="QYF34" s="1884"/>
      <c r="QYG34" s="1884"/>
      <c r="QYH34" s="1884"/>
      <c r="QYI34" s="1884"/>
      <c r="QYJ34" s="1884"/>
      <c r="QYK34" s="1884"/>
      <c r="QYL34" s="1884"/>
      <c r="QYM34" s="1884"/>
      <c r="QYN34" s="1884"/>
      <c r="QYO34" s="1884"/>
      <c r="QYP34" s="1884"/>
      <c r="QYQ34" s="1884"/>
      <c r="QYR34" s="1884"/>
      <c r="QYS34" s="1884"/>
      <c r="QYT34" s="1884"/>
      <c r="QYU34" s="1884"/>
      <c r="QYV34" s="1884"/>
      <c r="QYW34" s="1884"/>
      <c r="QYX34" s="1884"/>
      <c r="QYY34" s="1884"/>
      <c r="QYZ34" s="1884"/>
      <c r="QZA34" s="1884"/>
      <c r="QZB34" s="1884"/>
      <c r="QZC34" s="1884"/>
      <c r="QZD34" s="1884"/>
      <c r="QZE34" s="1884"/>
      <c r="QZF34" s="1884"/>
      <c r="QZG34" s="1884"/>
      <c r="QZH34" s="1884"/>
      <c r="QZI34" s="1884"/>
      <c r="QZJ34" s="1884"/>
      <c r="QZK34" s="1884"/>
      <c r="QZL34" s="1884"/>
      <c r="QZM34" s="1884"/>
      <c r="QZN34" s="1884"/>
      <c r="QZO34" s="1884"/>
      <c r="QZP34" s="1884"/>
      <c r="QZQ34" s="1884"/>
      <c r="QZR34" s="1884"/>
      <c r="QZS34" s="1884"/>
      <c r="QZT34" s="1884"/>
      <c r="QZU34" s="1884"/>
      <c r="QZV34" s="1884"/>
      <c r="QZW34" s="1884"/>
      <c r="QZX34" s="1884"/>
      <c r="QZY34" s="1884"/>
      <c r="QZZ34" s="1884"/>
      <c r="RAA34" s="1884"/>
      <c r="RAB34" s="1884"/>
      <c r="RAC34" s="1884"/>
      <c r="RAD34" s="1884"/>
      <c r="RAE34" s="1884"/>
      <c r="RAF34" s="1884"/>
      <c r="RAG34" s="1884"/>
      <c r="RAH34" s="1884"/>
      <c r="RAI34" s="1884"/>
      <c r="RAJ34" s="1884"/>
      <c r="RAK34" s="1884"/>
      <c r="RAL34" s="1884"/>
      <c r="RAM34" s="1884"/>
      <c r="RAN34" s="1884"/>
      <c r="RAO34" s="1884"/>
      <c r="RAP34" s="1884"/>
      <c r="RAQ34" s="1884"/>
      <c r="RAR34" s="1884"/>
      <c r="RAS34" s="1884"/>
      <c r="RAT34" s="1884"/>
      <c r="RAU34" s="1884"/>
      <c r="RAV34" s="1884"/>
      <c r="RAW34" s="1884"/>
      <c r="RAX34" s="1884"/>
      <c r="RAY34" s="1884"/>
      <c r="RAZ34" s="1884"/>
      <c r="RBA34" s="1884"/>
      <c r="RBB34" s="1884"/>
      <c r="RBC34" s="1884"/>
      <c r="RBD34" s="1884"/>
      <c r="RBE34" s="1884"/>
      <c r="RBF34" s="1884"/>
      <c r="RBG34" s="1884"/>
      <c r="RBH34" s="1884"/>
      <c r="RBI34" s="1884"/>
      <c r="RBJ34" s="1884"/>
      <c r="RBK34" s="1884"/>
      <c r="RBL34" s="1884"/>
      <c r="RBM34" s="1884"/>
      <c r="RBN34" s="1884"/>
      <c r="RBO34" s="1884"/>
      <c r="RBP34" s="1884"/>
      <c r="RBQ34" s="1884"/>
      <c r="RBR34" s="1884"/>
      <c r="RBS34" s="1884"/>
      <c r="RBT34" s="1884"/>
      <c r="RBU34" s="1884"/>
      <c r="RBV34" s="1884"/>
      <c r="RBW34" s="1884"/>
      <c r="RBX34" s="1884"/>
      <c r="RBY34" s="1884"/>
      <c r="RBZ34" s="1884"/>
      <c r="RCA34" s="1884"/>
      <c r="RCB34" s="1884"/>
      <c r="RCC34" s="1884"/>
      <c r="RCD34" s="1884"/>
      <c r="RCE34" s="1884"/>
      <c r="RCF34" s="1884"/>
      <c r="RCG34" s="1884"/>
      <c r="RCH34" s="1884"/>
      <c r="RCI34" s="1884"/>
      <c r="RCJ34" s="1884"/>
      <c r="RCK34" s="1884"/>
      <c r="RCL34" s="1884"/>
      <c r="RCM34" s="1884"/>
      <c r="RCN34" s="1884"/>
      <c r="RCO34" s="1884"/>
      <c r="RCP34" s="1884"/>
      <c r="RCQ34" s="1884"/>
      <c r="RCR34" s="1884"/>
      <c r="RCS34" s="1884"/>
      <c r="RCT34" s="1884"/>
      <c r="RCU34" s="1884"/>
      <c r="RCV34" s="1884"/>
      <c r="RCW34" s="1884"/>
      <c r="RCX34" s="1884"/>
      <c r="RCY34" s="1884"/>
      <c r="RCZ34" s="1884"/>
      <c r="RDA34" s="1884"/>
      <c r="RDB34" s="1884"/>
      <c r="RDC34" s="1884"/>
      <c r="RDD34" s="1884"/>
      <c r="RDE34" s="1884"/>
      <c r="RDF34" s="1884"/>
      <c r="RDG34" s="1884"/>
      <c r="RDH34" s="1884"/>
      <c r="RDI34" s="1884"/>
      <c r="RDJ34" s="1884"/>
      <c r="RDK34" s="1884"/>
      <c r="RDL34" s="1884"/>
      <c r="RDM34" s="1884"/>
      <c r="RDN34" s="1884"/>
      <c r="RDO34" s="1884"/>
      <c r="RDP34" s="1884"/>
      <c r="RDQ34" s="1884"/>
      <c r="RDR34" s="1884"/>
      <c r="RDS34" s="1884"/>
      <c r="RDT34" s="1884"/>
      <c r="RDU34" s="1884"/>
      <c r="RDV34" s="1884"/>
      <c r="RDW34" s="1884"/>
      <c r="RDX34" s="1884"/>
      <c r="RDY34" s="1884"/>
      <c r="RDZ34" s="1884"/>
      <c r="REA34" s="1884"/>
      <c r="REB34" s="1884"/>
      <c r="REC34" s="1884"/>
      <c r="RED34" s="1884"/>
      <c r="REE34" s="1884"/>
      <c r="REF34" s="1884"/>
      <c r="REG34" s="1884"/>
      <c r="REH34" s="1884"/>
      <c r="REI34" s="1884"/>
      <c r="REJ34" s="1884"/>
      <c r="REK34" s="1884"/>
      <c r="REL34" s="1884"/>
      <c r="REM34" s="1884"/>
      <c r="REN34" s="1884"/>
      <c r="REO34" s="1884"/>
      <c r="REP34" s="1884"/>
      <c r="REQ34" s="1884"/>
      <c r="RER34" s="1884"/>
      <c r="RES34" s="1884"/>
      <c r="RET34" s="1884"/>
      <c r="REU34" s="1884"/>
      <c r="REV34" s="1884"/>
      <c r="REW34" s="1884"/>
      <c r="REX34" s="1884"/>
      <c r="REY34" s="1884"/>
      <c r="REZ34" s="1884"/>
      <c r="RFA34" s="1884"/>
      <c r="RFB34" s="1884"/>
      <c r="RFC34" s="1884"/>
      <c r="RFD34" s="1884"/>
      <c r="RFE34" s="1884"/>
      <c r="RFF34" s="1884"/>
      <c r="RFG34" s="1884"/>
      <c r="RFH34" s="1884"/>
      <c r="RFI34" s="1884"/>
      <c r="RFJ34" s="1884"/>
      <c r="RFK34" s="1884"/>
      <c r="RFL34" s="1884"/>
      <c r="RFM34" s="1884"/>
      <c r="RFN34" s="1884"/>
      <c r="RFO34" s="1884"/>
      <c r="RFP34" s="1884"/>
      <c r="RFQ34" s="1884"/>
      <c r="RFR34" s="1884"/>
      <c r="RFS34" s="1884"/>
      <c r="RFT34" s="1884"/>
      <c r="RFU34" s="1884"/>
      <c r="RFV34" s="1884"/>
      <c r="RFW34" s="1884"/>
      <c r="RFX34" s="1884"/>
      <c r="RFY34" s="1884"/>
      <c r="RFZ34" s="1884"/>
      <c r="RGA34" s="1884"/>
      <c r="RGB34" s="1884"/>
      <c r="RGC34" s="1884"/>
      <c r="RGD34" s="1884"/>
      <c r="RGE34" s="1884"/>
      <c r="RGF34" s="1884"/>
      <c r="RGG34" s="1884"/>
      <c r="RGH34" s="1884"/>
      <c r="RGI34" s="1884"/>
      <c r="RGJ34" s="1884"/>
      <c r="RGK34" s="1884"/>
      <c r="RGL34" s="1884"/>
      <c r="RGM34" s="1884"/>
      <c r="RGN34" s="1884"/>
      <c r="RGO34" s="1884"/>
      <c r="RGP34" s="1884"/>
      <c r="RGQ34" s="1884"/>
      <c r="RGR34" s="1884"/>
      <c r="RGS34" s="1884"/>
      <c r="RGT34" s="1884"/>
      <c r="RGU34" s="1884"/>
      <c r="RGV34" s="1884"/>
      <c r="RGW34" s="1884"/>
      <c r="RGX34" s="1884"/>
      <c r="RGY34" s="1884"/>
      <c r="RGZ34" s="1884"/>
      <c r="RHA34" s="1884"/>
      <c r="RHB34" s="1884"/>
      <c r="RHC34" s="1884"/>
      <c r="RHD34" s="1884"/>
      <c r="RHE34" s="1884"/>
      <c r="RHF34" s="1884"/>
      <c r="RHG34" s="1884"/>
      <c r="RHH34" s="1884"/>
      <c r="RHI34" s="1884"/>
      <c r="RHJ34" s="1884"/>
      <c r="RHK34" s="1884"/>
      <c r="RHL34" s="1884"/>
      <c r="RHM34" s="1884"/>
      <c r="RHN34" s="1884"/>
      <c r="RHO34" s="1884"/>
      <c r="RHP34" s="1884"/>
      <c r="RHQ34" s="1884"/>
      <c r="RHR34" s="1884"/>
      <c r="RHS34" s="1884"/>
      <c r="RHT34" s="1884"/>
      <c r="RHU34" s="1884"/>
      <c r="RHV34" s="1884"/>
      <c r="RHW34" s="1884"/>
      <c r="RHX34" s="1884"/>
      <c r="RHY34" s="1884"/>
      <c r="RHZ34" s="1884"/>
      <c r="RIA34" s="1884"/>
      <c r="RIB34" s="1884"/>
      <c r="RIC34" s="1884"/>
      <c r="RID34" s="1884"/>
      <c r="RIE34" s="1884"/>
      <c r="RIF34" s="1884"/>
      <c r="RIG34" s="1884"/>
      <c r="RIH34" s="1884"/>
      <c r="RII34" s="1884"/>
      <c r="RIJ34" s="1884"/>
      <c r="RIK34" s="1884"/>
      <c r="RIL34" s="1884"/>
      <c r="RIM34" s="1884"/>
      <c r="RIN34" s="1884"/>
      <c r="RIO34" s="1884"/>
      <c r="RIP34" s="1884"/>
      <c r="RIQ34" s="1884"/>
      <c r="RIR34" s="1884"/>
      <c r="RIS34" s="1884"/>
      <c r="RIT34" s="1884"/>
      <c r="RIU34" s="1884"/>
      <c r="RIV34" s="1884"/>
      <c r="RIW34" s="1884"/>
      <c r="RIX34" s="1884"/>
      <c r="RIY34" s="1884"/>
      <c r="RIZ34" s="1884"/>
      <c r="RJA34" s="1884"/>
      <c r="RJB34" s="1884"/>
      <c r="RJC34" s="1884"/>
      <c r="RJD34" s="1884"/>
      <c r="RJE34" s="1884"/>
      <c r="RJF34" s="1884"/>
      <c r="RJG34" s="1884"/>
      <c r="RJH34" s="1884"/>
      <c r="RJI34" s="1884"/>
      <c r="RJJ34" s="1884"/>
      <c r="RJK34" s="1884"/>
      <c r="RJL34" s="1884"/>
      <c r="RJM34" s="1884"/>
      <c r="RJN34" s="1884"/>
      <c r="RJO34" s="1884"/>
      <c r="RJP34" s="1884"/>
      <c r="RJQ34" s="1884"/>
      <c r="RJR34" s="1884"/>
      <c r="RJS34" s="1884"/>
      <c r="RJT34" s="1884"/>
      <c r="RJU34" s="1884"/>
      <c r="RJV34" s="1884"/>
      <c r="RJW34" s="1884"/>
      <c r="RJX34" s="1884"/>
      <c r="RJY34" s="1884"/>
      <c r="RJZ34" s="1884"/>
      <c r="RKA34" s="1884"/>
      <c r="RKB34" s="1884"/>
      <c r="RKC34" s="1884"/>
      <c r="RKD34" s="1884"/>
      <c r="RKE34" s="1884"/>
      <c r="RKF34" s="1884"/>
      <c r="RKG34" s="1884"/>
      <c r="RKH34" s="1884"/>
      <c r="RKI34" s="1884"/>
      <c r="RKJ34" s="1884"/>
      <c r="RKK34" s="1884"/>
      <c r="RKL34" s="1884"/>
      <c r="RKM34" s="1884"/>
      <c r="RKN34" s="1884"/>
      <c r="RKO34" s="1884"/>
      <c r="RKP34" s="1884"/>
      <c r="RKQ34" s="1884"/>
      <c r="RKR34" s="1884"/>
      <c r="RKS34" s="1884"/>
      <c r="RKT34" s="1884"/>
      <c r="RKU34" s="1884"/>
      <c r="RKV34" s="1884"/>
      <c r="RKW34" s="1884"/>
      <c r="RKX34" s="1884"/>
      <c r="RKY34" s="1884"/>
      <c r="RKZ34" s="1884"/>
      <c r="RLA34" s="1884"/>
      <c r="RLB34" s="1884"/>
      <c r="RLC34" s="1884"/>
      <c r="RLD34" s="1884"/>
      <c r="RLE34" s="1884"/>
      <c r="RLF34" s="1884"/>
      <c r="RLG34" s="1884"/>
      <c r="RLH34" s="1884"/>
      <c r="RLI34" s="1884"/>
      <c r="RLJ34" s="1884"/>
      <c r="RLK34" s="1884"/>
      <c r="RLL34" s="1884"/>
      <c r="RLM34" s="1884"/>
      <c r="RLN34" s="1884"/>
      <c r="RLO34" s="1884"/>
      <c r="RLP34" s="1884"/>
      <c r="RLQ34" s="1884"/>
      <c r="RLR34" s="1884"/>
      <c r="RLS34" s="1884"/>
      <c r="RLT34" s="1884"/>
      <c r="RLU34" s="1884"/>
      <c r="RLV34" s="1884"/>
      <c r="RLW34" s="1884"/>
      <c r="RLX34" s="1884"/>
      <c r="RLY34" s="1884"/>
      <c r="RLZ34" s="1884"/>
      <c r="RMA34" s="1884"/>
      <c r="RMB34" s="1884"/>
      <c r="RMC34" s="1884"/>
      <c r="RMD34" s="1884"/>
      <c r="RME34" s="1884"/>
      <c r="RMF34" s="1884"/>
      <c r="RMG34" s="1884"/>
      <c r="RMH34" s="1884"/>
      <c r="RMI34" s="1884"/>
      <c r="RMJ34" s="1884"/>
      <c r="RMK34" s="1884"/>
      <c r="RML34" s="1884"/>
      <c r="RMM34" s="1884"/>
      <c r="RMN34" s="1884"/>
      <c r="RMO34" s="1884"/>
      <c r="RMP34" s="1884"/>
      <c r="RMQ34" s="1884"/>
      <c r="RMR34" s="1884"/>
      <c r="RMS34" s="1884"/>
      <c r="RMT34" s="1884"/>
      <c r="RMU34" s="1884"/>
      <c r="RMV34" s="1884"/>
      <c r="RMW34" s="1884"/>
      <c r="RMX34" s="1884"/>
      <c r="RMY34" s="1884"/>
      <c r="RMZ34" s="1884"/>
      <c r="RNA34" s="1884"/>
      <c r="RNB34" s="1884"/>
      <c r="RNC34" s="1884"/>
      <c r="RND34" s="1884"/>
      <c r="RNE34" s="1884"/>
      <c r="RNF34" s="1884"/>
      <c r="RNG34" s="1884"/>
      <c r="RNH34" s="1884"/>
      <c r="RNI34" s="1884"/>
      <c r="RNJ34" s="1884"/>
      <c r="RNK34" s="1884"/>
      <c r="RNL34" s="1884"/>
      <c r="RNM34" s="1884"/>
      <c r="RNN34" s="1884"/>
      <c r="RNO34" s="1884"/>
      <c r="RNP34" s="1884"/>
      <c r="RNQ34" s="1884"/>
      <c r="RNR34" s="1884"/>
      <c r="RNS34" s="1884"/>
      <c r="RNT34" s="1884"/>
      <c r="RNU34" s="1884"/>
      <c r="RNV34" s="1884"/>
      <c r="RNW34" s="1884"/>
      <c r="RNX34" s="1884"/>
      <c r="RNY34" s="1884"/>
      <c r="RNZ34" s="1884"/>
      <c r="ROA34" s="1884"/>
      <c r="ROB34" s="1884"/>
      <c r="ROC34" s="1884"/>
      <c r="ROD34" s="1884"/>
      <c r="ROE34" s="1884"/>
      <c r="ROF34" s="1884"/>
      <c r="ROG34" s="1884"/>
      <c r="ROH34" s="1884"/>
      <c r="ROI34" s="1884"/>
      <c r="ROJ34" s="1884"/>
      <c r="ROK34" s="1884"/>
      <c r="ROL34" s="1884"/>
      <c r="ROM34" s="1884"/>
      <c r="RON34" s="1884"/>
      <c r="ROO34" s="1884"/>
      <c r="ROP34" s="1884"/>
      <c r="ROQ34" s="1884"/>
      <c r="ROR34" s="1884"/>
      <c r="ROS34" s="1884"/>
      <c r="ROT34" s="1884"/>
      <c r="ROU34" s="1884"/>
      <c r="ROV34" s="1884"/>
      <c r="ROW34" s="1884"/>
      <c r="ROX34" s="1884"/>
      <c r="ROY34" s="1884"/>
      <c r="ROZ34" s="1884"/>
      <c r="RPA34" s="1884"/>
      <c r="RPB34" s="1884"/>
      <c r="RPC34" s="1884"/>
      <c r="RPD34" s="1884"/>
      <c r="RPE34" s="1884"/>
      <c r="RPF34" s="1884"/>
      <c r="RPG34" s="1884"/>
      <c r="RPH34" s="1884"/>
      <c r="RPI34" s="1884"/>
      <c r="RPJ34" s="1884"/>
      <c r="RPK34" s="1884"/>
      <c r="RPL34" s="1884"/>
      <c r="RPM34" s="1884"/>
      <c r="RPN34" s="1884"/>
      <c r="RPO34" s="1884"/>
      <c r="RPP34" s="1884"/>
      <c r="RPQ34" s="1884"/>
      <c r="RPR34" s="1884"/>
      <c r="RPS34" s="1884"/>
      <c r="RPT34" s="1884"/>
      <c r="RPU34" s="1884"/>
      <c r="RPV34" s="1884"/>
      <c r="RPW34" s="1884"/>
      <c r="RPX34" s="1884"/>
      <c r="RPY34" s="1884"/>
      <c r="RPZ34" s="1884"/>
      <c r="RQA34" s="1884"/>
      <c r="RQB34" s="1884"/>
      <c r="RQC34" s="1884"/>
      <c r="RQD34" s="1884"/>
      <c r="RQE34" s="1884"/>
      <c r="RQF34" s="1884"/>
      <c r="RQG34" s="1884"/>
      <c r="RQH34" s="1884"/>
      <c r="RQI34" s="1884"/>
      <c r="RQJ34" s="1884"/>
      <c r="RQK34" s="1884"/>
      <c r="RQL34" s="1884"/>
      <c r="RQM34" s="1884"/>
      <c r="RQN34" s="1884"/>
      <c r="RQO34" s="1884"/>
      <c r="RQP34" s="1884"/>
      <c r="RQQ34" s="1884"/>
      <c r="RQR34" s="1884"/>
      <c r="RQS34" s="1884"/>
      <c r="RQT34" s="1884"/>
      <c r="RQU34" s="1884"/>
      <c r="RQV34" s="1884"/>
      <c r="RQW34" s="1884"/>
      <c r="RQX34" s="1884"/>
      <c r="RQY34" s="1884"/>
      <c r="RQZ34" s="1884"/>
      <c r="RRA34" s="1884"/>
      <c r="RRB34" s="1884"/>
      <c r="RRC34" s="1884"/>
      <c r="RRD34" s="1884"/>
      <c r="RRE34" s="1884"/>
      <c r="RRF34" s="1884"/>
      <c r="RRG34" s="1884"/>
      <c r="RRH34" s="1884"/>
      <c r="RRI34" s="1884"/>
      <c r="RRJ34" s="1884"/>
      <c r="RRK34" s="1884"/>
      <c r="RRL34" s="1884"/>
      <c r="RRM34" s="1884"/>
      <c r="RRN34" s="1884"/>
      <c r="RRO34" s="1884"/>
      <c r="RRP34" s="1884"/>
      <c r="RRQ34" s="1884"/>
      <c r="RRR34" s="1884"/>
      <c r="RRS34" s="1884"/>
      <c r="RRT34" s="1884"/>
      <c r="RRU34" s="1884"/>
      <c r="RRV34" s="1884"/>
      <c r="RRW34" s="1884"/>
      <c r="RRX34" s="1884"/>
      <c r="RRY34" s="1884"/>
      <c r="RRZ34" s="1884"/>
      <c r="RSA34" s="1884"/>
      <c r="RSB34" s="1884"/>
      <c r="RSC34" s="1884"/>
      <c r="RSD34" s="1884"/>
      <c r="RSE34" s="1884"/>
      <c r="RSF34" s="1884"/>
      <c r="RSG34" s="1884"/>
      <c r="RSH34" s="1884"/>
      <c r="RSI34" s="1884"/>
      <c r="RSJ34" s="1884"/>
      <c r="RSK34" s="1884"/>
      <c r="RSL34" s="1884"/>
      <c r="RSM34" s="1884"/>
      <c r="RSN34" s="1884"/>
      <c r="RSO34" s="1884"/>
      <c r="RSP34" s="1884"/>
      <c r="RSQ34" s="1884"/>
      <c r="RSR34" s="1884"/>
      <c r="RSS34" s="1884"/>
      <c r="RST34" s="1884"/>
      <c r="RSU34" s="1884"/>
      <c r="RSV34" s="1884"/>
      <c r="RSW34" s="1884"/>
      <c r="RSX34" s="1884"/>
      <c r="RSY34" s="1884"/>
      <c r="RSZ34" s="1884"/>
      <c r="RTA34" s="1884"/>
      <c r="RTB34" s="1884"/>
      <c r="RTC34" s="1884"/>
      <c r="RTD34" s="1884"/>
      <c r="RTE34" s="1884"/>
      <c r="RTF34" s="1884"/>
      <c r="RTG34" s="1884"/>
      <c r="RTH34" s="1884"/>
      <c r="RTI34" s="1884"/>
      <c r="RTJ34" s="1884"/>
      <c r="RTK34" s="1884"/>
      <c r="RTL34" s="1884"/>
      <c r="RTM34" s="1884"/>
      <c r="RTN34" s="1884"/>
      <c r="RTO34" s="1884"/>
      <c r="RTP34" s="1884"/>
      <c r="RTQ34" s="1884"/>
      <c r="RTR34" s="1884"/>
      <c r="RTS34" s="1884"/>
      <c r="RTT34" s="1884"/>
      <c r="RTU34" s="1884"/>
      <c r="RTV34" s="1884"/>
      <c r="RTW34" s="1884"/>
      <c r="RTX34" s="1884"/>
      <c r="RTY34" s="1884"/>
      <c r="RTZ34" s="1884"/>
      <c r="RUA34" s="1884"/>
      <c r="RUB34" s="1884"/>
      <c r="RUC34" s="1884"/>
      <c r="RUD34" s="1884"/>
      <c r="RUE34" s="1884"/>
      <c r="RUF34" s="1884"/>
      <c r="RUG34" s="1884"/>
      <c r="RUH34" s="1884"/>
      <c r="RUI34" s="1884"/>
      <c r="RUJ34" s="1884"/>
      <c r="RUK34" s="1884"/>
      <c r="RUL34" s="1884"/>
      <c r="RUM34" s="1884"/>
      <c r="RUN34" s="1884"/>
      <c r="RUO34" s="1884"/>
      <c r="RUP34" s="1884"/>
      <c r="RUQ34" s="1884"/>
      <c r="RUR34" s="1884"/>
      <c r="RUS34" s="1884"/>
      <c r="RUT34" s="1884"/>
      <c r="RUU34" s="1884"/>
      <c r="RUV34" s="1884"/>
      <c r="RUW34" s="1884"/>
      <c r="RUX34" s="1884"/>
      <c r="RUY34" s="1884"/>
      <c r="RUZ34" s="1884"/>
      <c r="RVA34" s="1884"/>
      <c r="RVB34" s="1884"/>
      <c r="RVC34" s="1884"/>
      <c r="RVD34" s="1884"/>
      <c r="RVE34" s="1884"/>
      <c r="RVF34" s="1884"/>
      <c r="RVG34" s="1884"/>
      <c r="RVH34" s="1884"/>
      <c r="RVI34" s="1884"/>
      <c r="RVJ34" s="1884"/>
      <c r="RVK34" s="1884"/>
      <c r="RVL34" s="1884"/>
      <c r="RVM34" s="1884"/>
      <c r="RVN34" s="1884"/>
      <c r="RVO34" s="1884"/>
      <c r="RVP34" s="1884"/>
      <c r="RVQ34" s="1884"/>
      <c r="RVR34" s="1884"/>
      <c r="RVS34" s="1884"/>
      <c r="RVT34" s="1884"/>
      <c r="RVU34" s="1884"/>
      <c r="RVV34" s="1884"/>
      <c r="RVW34" s="1884"/>
      <c r="RVX34" s="1884"/>
      <c r="RVY34" s="1884"/>
      <c r="RVZ34" s="1884"/>
      <c r="RWA34" s="1884"/>
      <c r="RWB34" s="1884"/>
      <c r="RWC34" s="1884"/>
      <c r="RWD34" s="1884"/>
      <c r="RWE34" s="1884"/>
      <c r="RWF34" s="1884"/>
      <c r="RWG34" s="1884"/>
      <c r="RWH34" s="1884"/>
      <c r="RWI34" s="1884"/>
      <c r="RWJ34" s="1884"/>
      <c r="RWK34" s="1884"/>
      <c r="RWL34" s="1884"/>
      <c r="RWM34" s="1884"/>
      <c r="RWN34" s="1884"/>
      <c r="RWO34" s="1884"/>
      <c r="RWP34" s="1884"/>
      <c r="RWQ34" s="1884"/>
      <c r="RWR34" s="1884"/>
      <c r="RWS34" s="1884"/>
      <c r="RWT34" s="1884"/>
      <c r="RWU34" s="1884"/>
      <c r="RWV34" s="1884"/>
      <c r="RWW34" s="1884"/>
      <c r="RWX34" s="1884"/>
      <c r="RWY34" s="1884"/>
      <c r="RWZ34" s="1884"/>
      <c r="RXA34" s="1884"/>
      <c r="RXB34" s="1884"/>
      <c r="RXC34" s="1884"/>
      <c r="RXD34" s="1884"/>
      <c r="RXE34" s="1884"/>
      <c r="RXF34" s="1884"/>
      <c r="RXG34" s="1884"/>
      <c r="RXH34" s="1884"/>
      <c r="RXI34" s="1884"/>
      <c r="RXJ34" s="1884"/>
      <c r="RXK34" s="1884"/>
      <c r="RXL34" s="1884"/>
      <c r="RXM34" s="1884"/>
      <c r="RXN34" s="1884"/>
      <c r="RXO34" s="1884"/>
      <c r="RXP34" s="1884"/>
      <c r="RXQ34" s="1884"/>
      <c r="RXR34" s="1884"/>
      <c r="RXS34" s="1884"/>
      <c r="RXT34" s="1884"/>
      <c r="RXU34" s="1884"/>
      <c r="RXV34" s="1884"/>
      <c r="RXW34" s="1884"/>
      <c r="RXX34" s="1884"/>
      <c r="RXY34" s="1884"/>
      <c r="RXZ34" s="1884"/>
      <c r="RYA34" s="1884"/>
      <c r="RYB34" s="1884"/>
      <c r="RYC34" s="1884"/>
      <c r="RYD34" s="1884"/>
      <c r="RYE34" s="1884"/>
      <c r="RYF34" s="1884"/>
      <c r="RYG34" s="1884"/>
      <c r="RYH34" s="1884"/>
      <c r="RYI34" s="1884"/>
      <c r="RYJ34" s="1884"/>
      <c r="RYK34" s="1884"/>
      <c r="RYL34" s="1884"/>
      <c r="RYM34" s="1884"/>
      <c r="RYN34" s="1884"/>
      <c r="RYO34" s="1884"/>
      <c r="RYP34" s="1884"/>
      <c r="RYQ34" s="1884"/>
      <c r="RYR34" s="1884"/>
      <c r="RYS34" s="1884"/>
      <c r="RYT34" s="1884"/>
      <c r="RYU34" s="1884"/>
      <c r="RYV34" s="1884"/>
      <c r="RYW34" s="1884"/>
      <c r="RYX34" s="1884"/>
      <c r="RYY34" s="1884"/>
      <c r="RYZ34" s="1884"/>
      <c r="RZA34" s="1884"/>
      <c r="RZB34" s="1884"/>
      <c r="RZC34" s="1884"/>
      <c r="RZD34" s="1884"/>
      <c r="RZE34" s="1884"/>
      <c r="RZF34" s="1884"/>
      <c r="RZG34" s="1884"/>
      <c r="RZH34" s="1884"/>
      <c r="RZI34" s="1884"/>
      <c r="RZJ34" s="1884"/>
      <c r="RZK34" s="1884"/>
      <c r="RZL34" s="1884"/>
      <c r="RZM34" s="1884"/>
      <c r="RZN34" s="1884"/>
      <c r="RZO34" s="1884"/>
      <c r="RZP34" s="1884"/>
      <c r="RZQ34" s="1884"/>
      <c r="RZR34" s="1884"/>
      <c r="RZS34" s="1884"/>
      <c r="RZT34" s="1884"/>
      <c r="RZU34" s="1884"/>
      <c r="RZV34" s="1884"/>
      <c r="RZW34" s="1884"/>
      <c r="RZX34" s="1884"/>
      <c r="RZY34" s="1884"/>
      <c r="RZZ34" s="1884"/>
      <c r="SAA34" s="1884"/>
      <c r="SAB34" s="1884"/>
      <c r="SAC34" s="1884"/>
      <c r="SAD34" s="1884"/>
      <c r="SAE34" s="1884"/>
      <c r="SAF34" s="1884"/>
      <c r="SAG34" s="1884"/>
      <c r="SAH34" s="1884"/>
      <c r="SAI34" s="1884"/>
      <c r="SAJ34" s="1884"/>
      <c r="SAK34" s="1884"/>
      <c r="SAL34" s="1884"/>
      <c r="SAM34" s="1884"/>
      <c r="SAN34" s="1884"/>
      <c r="SAO34" s="1884"/>
      <c r="SAP34" s="1884"/>
      <c r="SAQ34" s="1884"/>
      <c r="SAR34" s="1884"/>
      <c r="SAS34" s="1884"/>
      <c r="SAT34" s="1884"/>
      <c r="SAU34" s="1884"/>
      <c r="SAV34" s="1884"/>
      <c r="SAW34" s="1884"/>
      <c r="SAX34" s="1884"/>
      <c r="SAY34" s="1884"/>
      <c r="SAZ34" s="1884"/>
      <c r="SBA34" s="1884"/>
      <c r="SBB34" s="1884"/>
      <c r="SBC34" s="1884"/>
      <c r="SBD34" s="1884"/>
      <c r="SBE34" s="1884"/>
      <c r="SBF34" s="1884"/>
      <c r="SBG34" s="1884"/>
      <c r="SBH34" s="1884"/>
      <c r="SBI34" s="1884"/>
      <c r="SBJ34" s="1884"/>
      <c r="SBK34" s="1884"/>
      <c r="SBL34" s="1884"/>
      <c r="SBM34" s="1884"/>
      <c r="SBN34" s="1884"/>
      <c r="SBO34" s="1884"/>
      <c r="SBP34" s="1884"/>
      <c r="SBQ34" s="1884"/>
      <c r="SBR34" s="1884"/>
      <c r="SBS34" s="1884"/>
      <c r="SBT34" s="1884"/>
      <c r="SBU34" s="1884"/>
      <c r="SBV34" s="1884"/>
      <c r="SBW34" s="1884"/>
      <c r="SBX34" s="1884"/>
      <c r="SBY34" s="1884"/>
      <c r="SBZ34" s="1884"/>
      <c r="SCA34" s="1884"/>
      <c r="SCB34" s="1884"/>
      <c r="SCC34" s="1884"/>
      <c r="SCD34" s="1884"/>
      <c r="SCE34" s="1884"/>
      <c r="SCF34" s="1884"/>
      <c r="SCG34" s="1884"/>
      <c r="SCH34" s="1884"/>
      <c r="SCI34" s="1884"/>
      <c r="SCJ34" s="1884"/>
      <c r="SCK34" s="1884"/>
      <c r="SCL34" s="1884"/>
      <c r="SCM34" s="1884"/>
      <c r="SCN34" s="1884"/>
      <c r="SCO34" s="1884"/>
      <c r="SCP34" s="1884"/>
      <c r="SCQ34" s="1884"/>
      <c r="SCR34" s="1884"/>
      <c r="SCS34" s="1884"/>
      <c r="SCT34" s="1884"/>
      <c r="SCU34" s="1884"/>
      <c r="SCV34" s="1884"/>
      <c r="SCW34" s="1884"/>
      <c r="SCX34" s="1884"/>
      <c r="SCY34" s="1884"/>
      <c r="SCZ34" s="1884"/>
      <c r="SDA34" s="1884"/>
      <c r="SDB34" s="1884"/>
      <c r="SDC34" s="1884"/>
      <c r="SDD34" s="1884"/>
      <c r="SDE34" s="1884"/>
      <c r="SDF34" s="1884"/>
      <c r="SDG34" s="1884"/>
      <c r="SDH34" s="1884"/>
      <c r="SDI34" s="1884"/>
      <c r="SDJ34" s="1884"/>
      <c r="SDK34" s="1884"/>
      <c r="SDL34" s="1884"/>
      <c r="SDM34" s="1884"/>
      <c r="SDN34" s="1884"/>
      <c r="SDO34" s="1884"/>
      <c r="SDP34" s="1884"/>
      <c r="SDQ34" s="1884"/>
      <c r="SDR34" s="1884"/>
      <c r="SDS34" s="1884"/>
      <c r="SDT34" s="1884"/>
      <c r="SDU34" s="1884"/>
      <c r="SDV34" s="1884"/>
      <c r="SDW34" s="1884"/>
      <c r="SDX34" s="1884"/>
      <c r="SDY34" s="1884"/>
      <c r="SDZ34" s="1884"/>
      <c r="SEA34" s="1884"/>
      <c r="SEB34" s="1884"/>
      <c r="SEC34" s="1884"/>
      <c r="SED34" s="1884"/>
      <c r="SEE34" s="1884"/>
      <c r="SEF34" s="1884"/>
      <c r="SEG34" s="1884"/>
      <c r="SEH34" s="1884"/>
      <c r="SEI34" s="1884"/>
      <c r="SEJ34" s="1884"/>
      <c r="SEK34" s="1884"/>
      <c r="SEL34" s="1884"/>
      <c r="SEM34" s="1884"/>
      <c r="SEN34" s="1884"/>
      <c r="SEO34" s="1884"/>
      <c r="SEP34" s="1884"/>
      <c r="SEQ34" s="1884"/>
      <c r="SER34" s="1884"/>
      <c r="SES34" s="1884"/>
      <c r="SET34" s="1884"/>
      <c r="SEU34" s="1884"/>
      <c r="SEV34" s="1884"/>
      <c r="SEW34" s="1884"/>
      <c r="SEX34" s="1884"/>
      <c r="SEY34" s="1884"/>
      <c r="SEZ34" s="1884"/>
      <c r="SFA34" s="1884"/>
      <c r="SFB34" s="1884"/>
      <c r="SFC34" s="1884"/>
      <c r="SFD34" s="1884"/>
      <c r="SFE34" s="1884"/>
      <c r="SFF34" s="1884"/>
      <c r="SFG34" s="1884"/>
      <c r="SFH34" s="1884"/>
      <c r="SFI34" s="1884"/>
      <c r="SFJ34" s="1884"/>
      <c r="SFK34" s="1884"/>
      <c r="SFL34" s="1884"/>
      <c r="SFM34" s="1884"/>
      <c r="SFN34" s="1884"/>
      <c r="SFO34" s="1884"/>
      <c r="SFP34" s="1884"/>
      <c r="SFQ34" s="1884"/>
      <c r="SFR34" s="1884"/>
      <c r="SFS34" s="1884"/>
      <c r="SFT34" s="1884"/>
      <c r="SFU34" s="1884"/>
      <c r="SFV34" s="1884"/>
      <c r="SFW34" s="1884"/>
      <c r="SFX34" s="1884"/>
      <c r="SFY34" s="1884"/>
      <c r="SFZ34" s="1884"/>
      <c r="SGA34" s="1884"/>
      <c r="SGB34" s="1884"/>
      <c r="SGC34" s="1884"/>
      <c r="SGD34" s="1884"/>
      <c r="SGE34" s="1884"/>
      <c r="SGF34" s="1884"/>
      <c r="SGG34" s="1884"/>
      <c r="SGH34" s="1884"/>
      <c r="SGI34" s="1884"/>
      <c r="SGJ34" s="1884"/>
      <c r="SGK34" s="1884"/>
      <c r="SGL34" s="1884"/>
      <c r="SGM34" s="1884"/>
      <c r="SGN34" s="1884"/>
      <c r="SGO34" s="1884"/>
      <c r="SGP34" s="1884"/>
      <c r="SGQ34" s="1884"/>
      <c r="SGR34" s="1884"/>
      <c r="SGS34" s="1884"/>
      <c r="SGT34" s="1884"/>
      <c r="SGU34" s="1884"/>
      <c r="SGV34" s="1884"/>
      <c r="SGW34" s="1884"/>
      <c r="SGX34" s="1884"/>
      <c r="SGY34" s="1884"/>
      <c r="SGZ34" s="1884"/>
      <c r="SHA34" s="1884"/>
      <c r="SHB34" s="1884"/>
      <c r="SHC34" s="1884"/>
      <c r="SHD34" s="1884"/>
      <c r="SHE34" s="1884"/>
      <c r="SHF34" s="1884"/>
      <c r="SHG34" s="1884"/>
      <c r="SHH34" s="1884"/>
      <c r="SHI34" s="1884"/>
      <c r="SHJ34" s="1884"/>
      <c r="SHK34" s="1884"/>
      <c r="SHL34" s="1884"/>
      <c r="SHM34" s="1884"/>
      <c r="SHN34" s="1884"/>
      <c r="SHO34" s="1884"/>
      <c r="SHP34" s="1884"/>
      <c r="SHQ34" s="1884"/>
      <c r="SHR34" s="1884"/>
      <c r="SHS34" s="1884"/>
      <c r="SHT34" s="1884"/>
      <c r="SHU34" s="1884"/>
      <c r="SHV34" s="1884"/>
      <c r="SHW34" s="1884"/>
      <c r="SHX34" s="1884"/>
      <c r="SHY34" s="1884"/>
      <c r="SHZ34" s="1884"/>
      <c r="SIA34" s="1884"/>
      <c r="SIB34" s="1884"/>
      <c r="SIC34" s="1884"/>
      <c r="SID34" s="1884"/>
      <c r="SIE34" s="1884"/>
      <c r="SIF34" s="1884"/>
      <c r="SIG34" s="1884"/>
      <c r="SIH34" s="1884"/>
      <c r="SII34" s="1884"/>
      <c r="SIJ34" s="1884"/>
      <c r="SIK34" s="1884"/>
      <c r="SIL34" s="1884"/>
      <c r="SIM34" s="1884"/>
      <c r="SIN34" s="1884"/>
      <c r="SIO34" s="1884"/>
      <c r="SIP34" s="1884"/>
      <c r="SIQ34" s="1884"/>
      <c r="SIR34" s="1884"/>
      <c r="SIS34" s="1884"/>
      <c r="SIT34" s="1884"/>
      <c r="SIU34" s="1884"/>
      <c r="SIV34" s="1884"/>
      <c r="SIW34" s="1884"/>
      <c r="SIX34" s="1884"/>
      <c r="SIY34" s="1884"/>
      <c r="SIZ34" s="1884"/>
      <c r="SJA34" s="1884"/>
      <c r="SJB34" s="1884"/>
      <c r="SJC34" s="1884"/>
      <c r="SJD34" s="1884"/>
      <c r="SJE34" s="1884"/>
      <c r="SJF34" s="1884"/>
      <c r="SJG34" s="1884"/>
      <c r="SJH34" s="1884"/>
      <c r="SJI34" s="1884"/>
      <c r="SJJ34" s="1884"/>
      <c r="SJK34" s="1884"/>
      <c r="SJL34" s="1884"/>
      <c r="SJM34" s="1884"/>
      <c r="SJN34" s="1884"/>
      <c r="SJO34" s="1884"/>
      <c r="SJP34" s="1884"/>
      <c r="SJQ34" s="1884"/>
      <c r="SJR34" s="1884"/>
      <c r="SJS34" s="1884"/>
      <c r="SJT34" s="1884"/>
      <c r="SJU34" s="1884"/>
      <c r="SJV34" s="1884"/>
      <c r="SJW34" s="1884"/>
      <c r="SJX34" s="1884"/>
      <c r="SJY34" s="1884"/>
      <c r="SJZ34" s="1884"/>
      <c r="SKA34" s="1884"/>
      <c r="SKB34" s="1884"/>
      <c r="SKC34" s="1884"/>
      <c r="SKD34" s="1884"/>
      <c r="SKE34" s="1884"/>
      <c r="SKF34" s="1884"/>
      <c r="SKG34" s="1884"/>
      <c r="SKH34" s="1884"/>
      <c r="SKI34" s="1884"/>
      <c r="SKJ34" s="1884"/>
      <c r="SKK34" s="1884"/>
      <c r="SKL34" s="1884"/>
      <c r="SKM34" s="1884"/>
      <c r="SKN34" s="1884"/>
      <c r="SKO34" s="1884"/>
      <c r="SKP34" s="1884"/>
      <c r="SKQ34" s="1884"/>
      <c r="SKR34" s="1884"/>
      <c r="SKS34" s="1884"/>
      <c r="SKT34" s="1884"/>
      <c r="SKU34" s="1884"/>
      <c r="SKV34" s="1884"/>
      <c r="SKW34" s="1884"/>
      <c r="SKX34" s="1884"/>
      <c r="SKY34" s="1884"/>
      <c r="SKZ34" s="1884"/>
      <c r="SLA34" s="1884"/>
      <c r="SLB34" s="1884"/>
      <c r="SLC34" s="1884"/>
      <c r="SLD34" s="1884"/>
      <c r="SLE34" s="1884"/>
      <c r="SLF34" s="1884"/>
      <c r="SLG34" s="1884"/>
      <c r="SLH34" s="1884"/>
      <c r="SLI34" s="1884"/>
      <c r="SLJ34" s="1884"/>
      <c r="SLK34" s="1884"/>
      <c r="SLL34" s="1884"/>
      <c r="SLM34" s="1884"/>
      <c r="SLN34" s="1884"/>
      <c r="SLO34" s="1884"/>
      <c r="SLP34" s="1884"/>
      <c r="SLQ34" s="1884"/>
      <c r="SLR34" s="1884"/>
      <c r="SLS34" s="1884"/>
      <c r="SLT34" s="1884"/>
      <c r="SLU34" s="1884"/>
      <c r="SLV34" s="1884"/>
      <c r="SLW34" s="1884"/>
      <c r="SLX34" s="1884"/>
      <c r="SLY34" s="1884"/>
      <c r="SLZ34" s="1884"/>
      <c r="SMA34" s="1884"/>
      <c r="SMB34" s="1884"/>
      <c r="SMC34" s="1884"/>
      <c r="SMD34" s="1884"/>
      <c r="SME34" s="1884"/>
      <c r="SMF34" s="1884"/>
      <c r="SMG34" s="1884"/>
      <c r="SMH34" s="1884"/>
      <c r="SMI34" s="1884"/>
      <c r="SMJ34" s="1884"/>
      <c r="SMK34" s="1884"/>
      <c r="SML34" s="1884"/>
      <c r="SMM34" s="1884"/>
      <c r="SMN34" s="1884"/>
      <c r="SMO34" s="1884"/>
      <c r="SMP34" s="1884"/>
      <c r="SMQ34" s="1884"/>
      <c r="SMR34" s="1884"/>
      <c r="SMS34" s="1884"/>
      <c r="SMT34" s="1884"/>
      <c r="SMU34" s="1884"/>
      <c r="SMV34" s="1884"/>
      <c r="SMW34" s="1884"/>
      <c r="SMX34" s="1884"/>
      <c r="SMY34" s="1884"/>
      <c r="SMZ34" s="1884"/>
      <c r="SNA34" s="1884"/>
      <c r="SNB34" s="1884"/>
      <c r="SNC34" s="1884"/>
      <c r="SND34" s="1884"/>
      <c r="SNE34" s="1884"/>
      <c r="SNF34" s="1884"/>
      <c r="SNG34" s="1884"/>
      <c r="SNH34" s="1884"/>
      <c r="SNI34" s="1884"/>
      <c r="SNJ34" s="1884"/>
      <c r="SNK34" s="1884"/>
      <c r="SNL34" s="1884"/>
      <c r="SNM34" s="1884"/>
      <c r="SNN34" s="1884"/>
      <c r="SNO34" s="1884"/>
      <c r="SNP34" s="1884"/>
      <c r="SNQ34" s="1884"/>
      <c r="SNR34" s="1884"/>
      <c r="SNS34" s="1884"/>
      <c r="SNT34" s="1884"/>
      <c r="SNU34" s="1884"/>
      <c r="SNV34" s="1884"/>
      <c r="SNW34" s="1884"/>
      <c r="SNX34" s="1884"/>
      <c r="SNY34" s="1884"/>
      <c r="SNZ34" s="1884"/>
      <c r="SOA34" s="1884"/>
      <c r="SOB34" s="1884"/>
      <c r="SOC34" s="1884"/>
      <c r="SOD34" s="1884"/>
      <c r="SOE34" s="1884"/>
      <c r="SOF34" s="1884"/>
      <c r="SOG34" s="1884"/>
      <c r="SOH34" s="1884"/>
      <c r="SOI34" s="1884"/>
      <c r="SOJ34" s="1884"/>
      <c r="SOK34" s="1884"/>
      <c r="SOL34" s="1884"/>
      <c r="SOM34" s="1884"/>
      <c r="SON34" s="1884"/>
      <c r="SOO34" s="1884"/>
      <c r="SOP34" s="1884"/>
      <c r="SOQ34" s="1884"/>
      <c r="SOR34" s="1884"/>
      <c r="SOS34" s="1884"/>
      <c r="SOT34" s="1884"/>
      <c r="SOU34" s="1884"/>
      <c r="SOV34" s="1884"/>
      <c r="SOW34" s="1884"/>
      <c r="SOX34" s="1884"/>
      <c r="SOY34" s="1884"/>
      <c r="SOZ34" s="1884"/>
      <c r="SPA34" s="1884"/>
      <c r="SPB34" s="1884"/>
      <c r="SPC34" s="1884"/>
      <c r="SPD34" s="1884"/>
      <c r="SPE34" s="1884"/>
      <c r="SPF34" s="1884"/>
      <c r="SPG34" s="1884"/>
      <c r="SPH34" s="1884"/>
      <c r="SPI34" s="1884"/>
      <c r="SPJ34" s="1884"/>
      <c r="SPK34" s="1884"/>
      <c r="SPL34" s="1884"/>
      <c r="SPM34" s="1884"/>
      <c r="SPN34" s="1884"/>
      <c r="SPO34" s="1884"/>
      <c r="SPP34" s="1884"/>
      <c r="SPQ34" s="1884"/>
      <c r="SPR34" s="1884"/>
      <c r="SPS34" s="1884"/>
      <c r="SPT34" s="1884"/>
      <c r="SPU34" s="1884"/>
      <c r="SPV34" s="1884"/>
      <c r="SPW34" s="1884"/>
      <c r="SPX34" s="1884"/>
      <c r="SPY34" s="1884"/>
      <c r="SPZ34" s="1884"/>
      <c r="SQA34" s="1884"/>
      <c r="SQB34" s="1884"/>
      <c r="SQC34" s="1884"/>
      <c r="SQD34" s="1884"/>
      <c r="SQE34" s="1884"/>
      <c r="SQF34" s="1884"/>
      <c r="SQG34" s="1884"/>
      <c r="SQH34" s="1884"/>
      <c r="SQI34" s="1884"/>
      <c r="SQJ34" s="1884"/>
      <c r="SQK34" s="1884"/>
      <c r="SQL34" s="1884"/>
      <c r="SQM34" s="1884"/>
      <c r="SQN34" s="1884"/>
      <c r="SQO34" s="1884"/>
      <c r="SQP34" s="1884"/>
      <c r="SQQ34" s="1884"/>
      <c r="SQR34" s="1884"/>
      <c r="SQS34" s="1884"/>
      <c r="SQT34" s="1884"/>
      <c r="SQU34" s="1884"/>
      <c r="SQV34" s="1884"/>
      <c r="SQW34" s="1884"/>
      <c r="SQX34" s="1884"/>
      <c r="SQY34" s="1884"/>
      <c r="SQZ34" s="1884"/>
      <c r="SRA34" s="1884"/>
      <c r="SRB34" s="1884"/>
      <c r="SRC34" s="1884"/>
      <c r="SRD34" s="1884"/>
      <c r="SRE34" s="1884"/>
      <c r="SRF34" s="1884"/>
      <c r="SRG34" s="1884"/>
      <c r="SRH34" s="1884"/>
      <c r="SRI34" s="1884"/>
      <c r="SRJ34" s="1884"/>
      <c r="SRK34" s="1884"/>
      <c r="SRL34" s="1884"/>
      <c r="SRM34" s="1884"/>
      <c r="SRN34" s="1884"/>
      <c r="SRO34" s="1884"/>
      <c r="SRP34" s="1884"/>
      <c r="SRQ34" s="1884"/>
      <c r="SRR34" s="1884"/>
      <c r="SRS34" s="1884"/>
      <c r="SRT34" s="1884"/>
      <c r="SRU34" s="1884"/>
      <c r="SRV34" s="1884"/>
      <c r="SRW34" s="1884"/>
      <c r="SRX34" s="1884"/>
      <c r="SRY34" s="1884"/>
      <c r="SRZ34" s="1884"/>
      <c r="SSA34" s="1884"/>
      <c r="SSB34" s="1884"/>
      <c r="SSC34" s="1884"/>
      <c r="SSD34" s="1884"/>
      <c r="SSE34" s="1884"/>
      <c r="SSF34" s="1884"/>
      <c r="SSG34" s="1884"/>
      <c r="SSH34" s="1884"/>
      <c r="SSI34" s="1884"/>
      <c r="SSJ34" s="1884"/>
      <c r="SSK34" s="1884"/>
      <c r="SSL34" s="1884"/>
      <c r="SSM34" s="1884"/>
      <c r="SSN34" s="1884"/>
      <c r="SSO34" s="1884"/>
      <c r="SSP34" s="1884"/>
      <c r="SSQ34" s="1884"/>
      <c r="SSR34" s="1884"/>
      <c r="SSS34" s="1884"/>
      <c r="SST34" s="1884"/>
      <c r="SSU34" s="1884"/>
      <c r="SSV34" s="1884"/>
      <c r="SSW34" s="1884"/>
      <c r="SSX34" s="1884"/>
      <c r="SSY34" s="1884"/>
      <c r="SSZ34" s="1884"/>
      <c r="STA34" s="1884"/>
      <c r="STB34" s="1884"/>
      <c r="STC34" s="1884"/>
      <c r="STD34" s="1884"/>
      <c r="STE34" s="1884"/>
      <c r="STF34" s="1884"/>
      <c r="STG34" s="1884"/>
      <c r="STH34" s="1884"/>
      <c r="STI34" s="1884"/>
      <c r="STJ34" s="1884"/>
      <c r="STK34" s="1884"/>
      <c r="STL34" s="1884"/>
      <c r="STM34" s="1884"/>
      <c r="STN34" s="1884"/>
      <c r="STO34" s="1884"/>
      <c r="STP34" s="1884"/>
      <c r="STQ34" s="1884"/>
      <c r="STR34" s="1884"/>
      <c r="STS34" s="1884"/>
      <c r="STT34" s="1884"/>
      <c r="STU34" s="1884"/>
      <c r="STV34" s="1884"/>
      <c r="STW34" s="1884"/>
      <c r="STX34" s="1884"/>
      <c r="STY34" s="1884"/>
      <c r="STZ34" s="1884"/>
      <c r="SUA34" s="1884"/>
      <c r="SUB34" s="1884"/>
      <c r="SUC34" s="1884"/>
      <c r="SUD34" s="1884"/>
      <c r="SUE34" s="1884"/>
      <c r="SUF34" s="1884"/>
      <c r="SUG34" s="1884"/>
      <c r="SUH34" s="1884"/>
      <c r="SUI34" s="1884"/>
      <c r="SUJ34" s="1884"/>
      <c r="SUK34" s="1884"/>
      <c r="SUL34" s="1884"/>
      <c r="SUM34" s="1884"/>
      <c r="SUN34" s="1884"/>
      <c r="SUO34" s="1884"/>
      <c r="SUP34" s="1884"/>
      <c r="SUQ34" s="1884"/>
      <c r="SUR34" s="1884"/>
      <c r="SUS34" s="1884"/>
      <c r="SUT34" s="1884"/>
      <c r="SUU34" s="1884"/>
      <c r="SUV34" s="1884"/>
      <c r="SUW34" s="1884"/>
      <c r="SUX34" s="1884"/>
      <c r="SUY34" s="1884"/>
      <c r="SUZ34" s="1884"/>
      <c r="SVA34" s="1884"/>
      <c r="SVB34" s="1884"/>
      <c r="SVC34" s="1884"/>
      <c r="SVD34" s="1884"/>
      <c r="SVE34" s="1884"/>
      <c r="SVF34" s="1884"/>
      <c r="SVG34" s="1884"/>
      <c r="SVH34" s="1884"/>
      <c r="SVI34" s="1884"/>
      <c r="SVJ34" s="1884"/>
      <c r="SVK34" s="1884"/>
      <c r="SVL34" s="1884"/>
      <c r="SVM34" s="1884"/>
      <c r="SVN34" s="1884"/>
      <c r="SVO34" s="1884"/>
      <c r="SVP34" s="1884"/>
      <c r="SVQ34" s="1884"/>
      <c r="SVR34" s="1884"/>
      <c r="SVS34" s="1884"/>
      <c r="SVT34" s="1884"/>
      <c r="SVU34" s="1884"/>
      <c r="SVV34" s="1884"/>
      <c r="SVW34" s="1884"/>
      <c r="SVX34" s="1884"/>
      <c r="SVY34" s="1884"/>
      <c r="SVZ34" s="1884"/>
      <c r="SWA34" s="1884"/>
      <c r="SWB34" s="1884"/>
      <c r="SWC34" s="1884"/>
      <c r="SWD34" s="1884"/>
      <c r="SWE34" s="1884"/>
      <c r="SWF34" s="1884"/>
      <c r="SWG34" s="1884"/>
      <c r="SWH34" s="1884"/>
      <c r="SWI34" s="1884"/>
      <c r="SWJ34" s="1884"/>
      <c r="SWK34" s="1884"/>
      <c r="SWL34" s="1884"/>
      <c r="SWM34" s="1884"/>
      <c r="SWN34" s="1884"/>
      <c r="SWO34" s="1884"/>
      <c r="SWP34" s="1884"/>
      <c r="SWQ34" s="1884"/>
      <c r="SWR34" s="1884"/>
      <c r="SWS34" s="1884"/>
      <c r="SWT34" s="1884"/>
      <c r="SWU34" s="1884"/>
      <c r="SWV34" s="1884"/>
      <c r="SWW34" s="1884"/>
      <c r="SWX34" s="1884"/>
      <c r="SWY34" s="1884"/>
      <c r="SWZ34" s="1884"/>
      <c r="SXA34" s="1884"/>
      <c r="SXB34" s="1884"/>
      <c r="SXC34" s="1884"/>
      <c r="SXD34" s="1884"/>
      <c r="SXE34" s="1884"/>
      <c r="SXF34" s="1884"/>
      <c r="SXG34" s="1884"/>
      <c r="SXH34" s="1884"/>
      <c r="SXI34" s="1884"/>
      <c r="SXJ34" s="1884"/>
      <c r="SXK34" s="1884"/>
      <c r="SXL34" s="1884"/>
      <c r="SXM34" s="1884"/>
      <c r="SXN34" s="1884"/>
      <c r="SXO34" s="1884"/>
      <c r="SXP34" s="1884"/>
      <c r="SXQ34" s="1884"/>
      <c r="SXR34" s="1884"/>
      <c r="SXS34" s="1884"/>
      <c r="SXT34" s="1884"/>
      <c r="SXU34" s="1884"/>
      <c r="SXV34" s="1884"/>
      <c r="SXW34" s="1884"/>
      <c r="SXX34" s="1884"/>
      <c r="SXY34" s="1884"/>
      <c r="SXZ34" s="1884"/>
      <c r="SYA34" s="1884"/>
      <c r="SYB34" s="1884"/>
      <c r="SYC34" s="1884"/>
      <c r="SYD34" s="1884"/>
      <c r="SYE34" s="1884"/>
      <c r="SYF34" s="1884"/>
      <c r="SYG34" s="1884"/>
      <c r="SYH34" s="1884"/>
      <c r="SYI34" s="1884"/>
      <c r="SYJ34" s="1884"/>
      <c r="SYK34" s="1884"/>
      <c r="SYL34" s="1884"/>
      <c r="SYM34" s="1884"/>
      <c r="SYN34" s="1884"/>
      <c r="SYO34" s="1884"/>
      <c r="SYP34" s="1884"/>
      <c r="SYQ34" s="1884"/>
      <c r="SYR34" s="1884"/>
      <c r="SYS34" s="1884"/>
      <c r="SYT34" s="1884"/>
      <c r="SYU34" s="1884"/>
      <c r="SYV34" s="1884"/>
      <c r="SYW34" s="1884"/>
      <c r="SYX34" s="1884"/>
      <c r="SYY34" s="1884"/>
      <c r="SYZ34" s="1884"/>
      <c r="SZA34" s="1884"/>
      <c r="SZB34" s="1884"/>
      <c r="SZC34" s="1884"/>
      <c r="SZD34" s="1884"/>
      <c r="SZE34" s="1884"/>
      <c r="SZF34" s="1884"/>
      <c r="SZG34" s="1884"/>
      <c r="SZH34" s="1884"/>
      <c r="SZI34" s="1884"/>
      <c r="SZJ34" s="1884"/>
      <c r="SZK34" s="1884"/>
      <c r="SZL34" s="1884"/>
      <c r="SZM34" s="1884"/>
      <c r="SZN34" s="1884"/>
      <c r="SZO34" s="1884"/>
      <c r="SZP34" s="1884"/>
      <c r="SZQ34" s="1884"/>
      <c r="SZR34" s="1884"/>
      <c r="SZS34" s="1884"/>
      <c r="SZT34" s="1884"/>
      <c r="SZU34" s="1884"/>
      <c r="SZV34" s="1884"/>
      <c r="SZW34" s="1884"/>
      <c r="SZX34" s="1884"/>
      <c r="SZY34" s="1884"/>
      <c r="SZZ34" s="1884"/>
      <c r="TAA34" s="1884"/>
      <c r="TAB34" s="1884"/>
      <c r="TAC34" s="1884"/>
      <c r="TAD34" s="1884"/>
      <c r="TAE34" s="1884"/>
      <c r="TAF34" s="1884"/>
      <c r="TAG34" s="1884"/>
      <c r="TAH34" s="1884"/>
      <c r="TAI34" s="1884"/>
      <c r="TAJ34" s="1884"/>
      <c r="TAK34" s="1884"/>
      <c r="TAL34" s="1884"/>
      <c r="TAM34" s="1884"/>
      <c r="TAN34" s="1884"/>
      <c r="TAO34" s="1884"/>
      <c r="TAP34" s="1884"/>
      <c r="TAQ34" s="1884"/>
      <c r="TAR34" s="1884"/>
      <c r="TAS34" s="1884"/>
      <c r="TAT34" s="1884"/>
      <c r="TAU34" s="1884"/>
      <c r="TAV34" s="1884"/>
      <c r="TAW34" s="1884"/>
      <c r="TAX34" s="1884"/>
      <c r="TAY34" s="1884"/>
      <c r="TAZ34" s="1884"/>
      <c r="TBA34" s="1884"/>
      <c r="TBB34" s="1884"/>
      <c r="TBC34" s="1884"/>
      <c r="TBD34" s="1884"/>
      <c r="TBE34" s="1884"/>
      <c r="TBF34" s="1884"/>
      <c r="TBG34" s="1884"/>
      <c r="TBH34" s="1884"/>
      <c r="TBI34" s="1884"/>
      <c r="TBJ34" s="1884"/>
      <c r="TBK34" s="1884"/>
      <c r="TBL34" s="1884"/>
      <c r="TBM34" s="1884"/>
      <c r="TBN34" s="1884"/>
      <c r="TBO34" s="1884"/>
      <c r="TBP34" s="1884"/>
      <c r="TBQ34" s="1884"/>
      <c r="TBR34" s="1884"/>
      <c r="TBS34" s="1884"/>
      <c r="TBT34" s="1884"/>
      <c r="TBU34" s="1884"/>
      <c r="TBV34" s="1884"/>
      <c r="TBW34" s="1884"/>
      <c r="TBX34" s="1884"/>
      <c r="TBY34" s="1884"/>
      <c r="TBZ34" s="1884"/>
      <c r="TCA34" s="1884"/>
      <c r="TCB34" s="1884"/>
      <c r="TCC34" s="1884"/>
      <c r="TCD34" s="1884"/>
      <c r="TCE34" s="1884"/>
      <c r="TCF34" s="1884"/>
      <c r="TCG34" s="1884"/>
      <c r="TCH34" s="1884"/>
      <c r="TCI34" s="1884"/>
      <c r="TCJ34" s="1884"/>
      <c r="TCK34" s="1884"/>
      <c r="TCL34" s="1884"/>
      <c r="TCM34" s="1884"/>
      <c r="TCN34" s="1884"/>
      <c r="TCO34" s="1884"/>
      <c r="TCP34" s="1884"/>
      <c r="TCQ34" s="1884"/>
      <c r="TCR34" s="1884"/>
      <c r="TCS34" s="1884"/>
      <c r="TCT34" s="1884"/>
      <c r="TCU34" s="1884"/>
      <c r="TCV34" s="1884"/>
      <c r="TCW34" s="1884"/>
      <c r="TCX34" s="1884"/>
      <c r="TCY34" s="1884"/>
      <c r="TCZ34" s="1884"/>
      <c r="TDA34" s="1884"/>
      <c r="TDB34" s="1884"/>
      <c r="TDC34" s="1884"/>
      <c r="TDD34" s="1884"/>
      <c r="TDE34" s="1884"/>
      <c r="TDF34" s="1884"/>
      <c r="TDG34" s="1884"/>
      <c r="TDH34" s="1884"/>
      <c r="TDI34" s="1884"/>
      <c r="TDJ34" s="1884"/>
      <c r="TDK34" s="1884"/>
      <c r="TDL34" s="1884"/>
      <c r="TDM34" s="1884"/>
      <c r="TDN34" s="1884"/>
      <c r="TDO34" s="1884"/>
      <c r="TDP34" s="1884"/>
      <c r="TDQ34" s="1884"/>
      <c r="TDR34" s="1884"/>
      <c r="TDS34" s="1884"/>
      <c r="TDT34" s="1884"/>
      <c r="TDU34" s="1884"/>
      <c r="TDV34" s="1884"/>
      <c r="TDW34" s="1884"/>
      <c r="TDX34" s="1884"/>
      <c r="TDY34" s="1884"/>
      <c r="TDZ34" s="1884"/>
      <c r="TEA34" s="1884"/>
      <c r="TEB34" s="1884"/>
      <c r="TEC34" s="1884"/>
      <c r="TED34" s="1884"/>
      <c r="TEE34" s="1884"/>
      <c r="TEF34" s="1884"/>
      <c r="TEG34" s="1884"/>
      <c r="TEH34" s="1884"/>
      <c r="TEI34" s="1884"/>
      <c r="TEJ34" s="1884"/>
      <c r="TEK34" s="1884"/>
      <c r="TEL34" s="1884"/>
      <c r="TEM34" s="1884"/>
      <c r="TEN34" s="1884"/>
      <c r="TEO34" s="1884"/>
      <c r="TEP34" s="1884"/>
      <c r="TEQ34" s="1884"/>
      <c r="TER34" s="1884"/>
      <c r="TES34" s="1884"/>
      <c r="TET34" s="1884"/>
      <c r="TEU34" s="1884"/>
      <c r="TEV34" s="1884"/>
      <c r="TEW34" s="1884"/>
      <c r="TEX34" s="1884"/>
      <c r="TEY34" s="1884"/>
      <c r="TEZ34" s="1884"/>
      <c r="TFA34" s="1884"/>
      <c r="TFB34" s="1884"/>
      <c r="TFC34" s="1884"/>
      <c r="TFD34" s="1884"/>
      <c r="TFE34" s="1884"/>
      <c r="TFF34" s="1884"/>
      <c r="TFG34" s="1884"/>
      <c r="TFH34" s="1884"/>
      <c r="TFI34" s="1884"/>
      <c r="TFJ34" s="1884"/>
      <c r="TFK34" s="1884"/>
      <c r="TFL34" s="1884"/>
      <c r="TFM34" s="1884"/>
      <c r="TFN34" s="1884"/>
      <c r="TFO34" s="1884"/>
      <c r="TFP34" s="1884"/>
      <c r="TFQ34" s="1884"/>
      <c r="TFR34" s="1884"/>
      <c r="TFS34" s="1884"/>
      <c r="TFT34" s="1884"/>
      <c r="TFU34" s="1884"/>
      <c r="TFV34" s="1884"/>
      <c r="TFW34" s="1884"/>
      <c r="TFX34" s="1884"/>
      <c r="TFY34" s="1884"/>
      <c r="TFZ34" s="1884"/>
      <c r="TGA34" s="1884"/>
      <c r="TGB34" s="1884"/>
      <c r="TGC34" s="1884"/>
      <c r="TGD34" s="1884"/>
      <c r="TGE34" s="1884"/>
      <c r="TGF34" s="1884"/>
      <c r="TGG34" s="1884"/>
      <c r="TGH34" s="1884"/>
      <c r="TGI34" s="1884"/>
      <c r="TGJ34" s="1884"/>
      <c r="TGK34" s="1884"/>
      <c r="TGL34" s="1884"/>
      <c r="TGM34" s="1884"/>
      <c r="TGN34" s="1884"/>
      <c r="TGO34" s="1884"/>
      <c r="TGP34" s="1884"/>
      <c r="TGQ34" s="1884"/>
      <c r="TGR34" s="1884"/>
      <c r="TGS34" s="1884"/>
      <c r="TGT34" s="1884"/>
      <c r="TGU34" s="1884"/>
      <c r="TGV34" s="1884"/>
      <c r="TGW34" s="1884"/>
      <c r="TGX34" s="1884"/>
      <c r="TGY34" s="1884"/>
      <c r="TGZ34" s="1884"/>
      <c r="THA34" s="1884"/>
      <c r="THB34" s="1884"/>
      <c r="THC34" s="1884"/>
      <c r="THD34" s="1884"/>
      <c r="THE34" s="1884"/>
      <c r="THF34" s="1884"/>
      <c r="THG34" s="1884"/>
      <c r="THH34" s="1884"/>
      <c r="THI34" s="1884"/>
      <c r="THJ34" s="1884"/>
      <c r="THK34" s="1884"/>
      <c r="THL34" s="1884"/>
      <c r="THM34" s="1884"/>
      <c r="THN34" s="1884"/>
      <c r="THO34" s="1884"/>
      <c r="THP34" s="1884"/>
      <c r="THQ34" s="1884"/>
      <c r="THR34" s="1884"/>
      <c r="THS34" s="1884"/>
      <c r="THT34" s="1884"/>
      <c r="THU34" s="1884"/>
      <c r="THV34" s="1884"/>
      <c r="THW34" s="1884"/>
      <c r="THX34" s="1884"/>
      <c r="THY34" s="1884"/>
      <c r="THZ34" s="1884"/>
      <c r="TIA34" s="1884"/>
      <c r="TIB34" s="1884"/>
      <c r="TIC34" s="1884"/>
      <c r="TID34" s="1884"/>
      <c r="TIE34" s="1884"/>
      <c r="TIF34" s="1884"/>
      <c r="TIG34" s="1884"/>
      <c r="TIH34" s="1884"/>
      <c r="TII34" s="1884"/>
      <c r="TIJ34" s="1884"/>
      <c r="TIK34" s="1884"/>
      <c r="TIL34" s="1884"/>
      <c r="TIM34" s="1884"/>
      <c r="TIN34" s="1884"/>
      <c r="TIO34" s="1884"/>
      <c r="TIP34" s="1884"/>
      <c r="TIQ34" s="1884"/>
      <c r="TIR34" s="1884"/>
      <c r="TIS34" s="1884"/>
      <c r="TIT34" s="1884"/>
      <c r="TIU34" s="1884"/>
      <c r="TIV34" s="1884"/>
      <c r="TIW34" s="1884"/>
      <c r="TIX34" s="1884"/>
      <c r="TIY34" s="1884"/>
      <c r="TIZ34" s="1884"/>
      <c r="TJA34" s="1884"/>
      <c r="TJB34" s="1884"/>
      <c r="TJC34" s="1884"/>
      <c r="TJD34" s="1884"/>
      <c r="TJE34" s="1884"/>
      <c r="TJF34" s="1884"/>
      <c r="TJG34" s="1884"/>
      <c r="TJH34" s="1884"/>
      <c r="TJI34" s="1884"/>
      <c r="TJJ34" s="1884"/>
      <c r="TJK34" s="1884"/>
      <c r="TJL34" s="1884"/>
      <c r="TJM34" s="1884"/>
      <c r="TJN34" s="1884"/>
      <c r="TJO34" s="1884"/>
      <c r="TJP34" s="1884"/>
      <c r="TJQ34" s="1884"/>
      <c r="TJR34" s="1884"/>
      <c r="TJS34" s="1884"/>
      <c r="TJT34" s="1884"/>
      <c r="TJU34" s="1884"/>
      <c r="TJV34" s="1884"/>
      <c r="TJW34" s="1884"/>
      <c r="TJX34" s="1884"/>
      <c r="TJY34" s="1884"/>
      <c r="TJZ34" s="1884"/>
      <c r="TKA34" s="1884"/>
      <c r="TKB34" s="1884"/>
      <c r="TKC34" s="1884"/>
      <c r="TKD34" s="1884"/>
      <c r="TKE34" s="1884"/>
      <c r="TKF34" s="1884"/>
      <c r="TKG34" s="1884"/>
      <c r="TKH34" s="1884"/>
      <c r="TKI34" s="1884"/>
      <c r="TKJ34" s="1884"/>
      <c r="TKK34" s="1884"/>
      <c r="TKL34" s="1884"/>
      <c r="TKM34" s="1884"/>
      <c r="TKN34" s="1884"/>
      <c r="TKO34" s="1884"/>
      <c r="TKP34" s="1884"/>
      <c r="TKQ34" s="1884"/>
      <c r="TKR34" s="1884"/>
      <c r="TKS34" s="1884"/>
      <c r="TKT34" s="1884"/>
      <c r="TKU34" s="1884"/>
      <c r="TKV34" s="1884"/>
      <c r="TKW34" s="1884"/>
      <c r="TKX34" s="1884"/>
      <c r="TKY34" s="1884"/>
      <c r="TKZ34" s="1884"/>
      <c r="TLA34" s="1884"/>
      <c r="TLB34" s="1884"/>
      <c r="TLC34" s="1884"/>
      <c r="TLD34" s="1884"/>
      <c r="TLE34" s="1884"/>
      <c r="TLF34" s="1884"/>
      <c r="TLG34" s="1884"/>
      <c r="TLH34" s="1884"/>
      <c r="TLI34" s="1884"/>
      <c r="TLJ34" s="1884"/>
      <c r="TLK34" s="1884"/>
      <c r="TLL34" s="1884"/>
      <c r="TLM34" s="1884"/>
      <c r="TLN34" s="1884"/>
      <c r="TLO34" s="1884"/>
      <c r="TLP34" s="1884"/>
      <c r="TLQ34" s="1884"/>
      <c r="TLR34" s="1884"/>
      <c r="TLS34" s="1884"/>
      <c r="TLT34" s="1884"/>
      <c r="TLU34" s="1884"/>
      <c r="TLV34" s="1884"/>
      <c r="TLW34" s="1884"/>
      <c r="TLX34" s="1884"/>
      <c r="TLY34" s="1884"/>
      <c r="TLZ34" s="1884"/>
      <c r="TMA34" s="1884"/>
      <c r="TMB34" s="1884"/>
      <c r="TMC34" s="1884"/>
      <c r="TMD34" s="1884"/>
      <c r="TME34" s="1884"/>
      <c r="TMF34" s="1884"/>
      <c r="TMG34" s="1884"/>
      <c r="TMH34" s="1884"/>
      <c r="TMI34" s="1884"/>
      <c r="TMJ34" s="1884"/>
      <c r="TMK34" s="1884"/>
      <c r="TML34" s="1884"/>
      <c r="TMM34" s="1884"/>
      <c r="TMN34" s="1884"/>
      <c r="TMO34" s="1884"/>
      <c r="TMP34" s="1884"/>
      <c r="TMQ34" s="1884"/>
      <c r="TMR34" s="1884"/>
      <c r="TMS34" s="1884"/>
      <c r="TMT34" s="1884"/>
      <c r="TMU34" s="1884"/>
      <c r="TMV34" s="1884"/>
      <c r="TMW34" s="1884"/>
      <c r="TMX34" s="1884"/>
      <c r="TMY34" s="1884"/>
      <c r="TMZ34" s="1884"/>
      <c r="TNA34" s="1884"/>
      <c r="TNB34" s="1884"/>
      <c r="TNC34" s="1884"/>
      <c r="TND34" s="1884"/>
      <c r="TNE34" s="1884"/>
      <c r="TNF34" s="1884"/>
      <c r="TNG34" s="1884"/>
      <c r="TNH34" s="1884"/>
      <c r="TNI34" s="1884"/>
      <c r="TNJ34" s="1884"/>
      <c r="TNK34" s="1884"/>
      <c r="TNL34" s="1884"/>
      <c r="TNM34" s="1884"/>
      <c r="TNN34" s="1884"/>
      <c r="TNO34" s="1884"/>
      <c r="TNP34" s="1884"/>
      <c r="TNQ34" s="1884"/>
      <c r="TNR34" s="1884"/>
      <c r="TNS34" s="1884"/>
      <c r="TNT34" s="1884"/>
      <c r="TNU34" s="1884"/>
      <c r="TNV34" s="1884"/>
      <c r="TNW34" s="1884"/>
      <c r="TNX34" s="1884"/>
      <c r="TNY34" s="1884"/>
      <c r="TNZ34" s="1884"/>
      <c r="TOA34" s="1884"/>
      <c r="TOB34" s="1884"/>
      <c r="TOC34" s="1884"/>
      <c r="TOD34" s="1884"/>
      <c r="TOE34" s="1884"/>
      <c r="TOF34" s="1884"/>
      <c r="TOG34" s="1884"/>
      <c r="TOH34" s="1884"/>
      <c r="TOI34" s="1884"/>
      <c r="TOJ34" s="1884"/>
      <c r="TOK34" s="1884"/>
      <c r="TOL34" s="1884"/>
      <c r="TOM34" s="1884"/>
      <c r="TON34" s="1884"/>
      <c r="TOO34" s="1884"/>
      <c r="TOP34" s="1884"/>
      <c r="TOQ34" s="1884"/>
      <c r="TOR34" s="1884"/>
      <c r="TOS34" s="1884"/>
      <c r="TOT34" s="1884"/>
      <c r="TOU34" s="1884"/>
      <c r="TOV34" s="1884"/>
      <c r="TOW34" s="1884"/>
      <c r="TOX34" s="1884"/>
      <c r="TOY34" s="1884"/>
      <c r="TOZ34" s="1884"/>
      <c r="TPA34" s="1884"/>
      <c r="TPB34" s="1884"/>
      <c r="TPC34" s="1884"/>
      <c r="TPD34" s="1884"/>
      <c r="TPE34" s="1884"/>
      <c r="TPF34" s="1884"/>
      <c r="TPG34" s="1884"/>
      <c r="TPH34" s="1884"/>
      <c r="TPI34" s="1884"/>
      <c r="TPJ34" s="1884"/>
      <c r="TPK34" s="1884"/>
      <c r="TPL34" s="1884"/>
      <c r="TPM34" s="1884"/>
      <c r="TPN34" s="1884"/>
      <c r="TPO34" s="1884"/>
      <c r="TPP34" s="1884"/>
      <c r="TPQ34" s="1884"/>
      <c r="TPR34" s="1884"/>
      <c r="TPS34" s="1884"/>
      <c r="TPT34" s="1884"/>
      <c r="TPU34" s="1884"/>
      <c r="TPV34" s="1884"/>
      <c r="TPW34" s="1884"/>
      <c r="TPX34" s="1884"/>
      <c r="TPY34" s="1884"/>
      <c r="TPZ34" s="1884"/>
      <c r="TQA34" s="1884"/>
      <c r="TQB34" s="1884"/>
      <c r="TQC34" s="1884"/>
      <c r="TQD34" s="1884"/>
      <c r="TQE34" s="1884"/>
      <c r="TQF34" s="1884"/>
      <c r="TQG34" s="1884"/>
      <c r="TQH34" s="1884"/>
      <c r="TQI34" s="1884"/>
      <c r="TQJ34" s="1884"/>
      <c r="TQK34" s="1884"/>
      <c r="TQL34" s="1884"/>
      <c r="TQM34" s="1884"/>
      <c r="TQN34" s="1884"/>
      <c r="TQO34" s="1884"/>
      <c r="TQP34" s="1884"/>
      <c r="TQQ34" s="1884"/>
      <c r="TQR34" s="1884"/>
      <c r="TQS34" s="1884"/>
      <c r="TQT34" s="1884"/>
      <c r="TQU34" s="1884"/>
      <c r="TQV34" s="1884"/>
      <c r="TQW34" s="1884"/>
      <c r="TQX34" s="1884"/>
      <c r="TQY34" s="1884"/>
      <c r="TQZ34" s="1884"/>
      <c r="TRA34" s="1884"/>
      <c r="TRB34" s="1884"/>
      <c r="TRC34" s="1884"/>
      <c r="TRD34" s="1884"/>
      <c r="TRE34" s="1884"/>
      <c r="TRF34" s="1884"/>
      <c r="TRG34" s="1884"/>
      <c r="TRH34" s="1884"/>
      <c r="TRI34" s="1884"/>
      <c r="TRJ34" s="1884"/>
      <c r="TRK34" s="1884"/>
      <c r="TRL34" s="1884"/>
      <c r="TRM34" s="1884"/>
      <c r="TRN34" s="1884"/>
      <c r="TRO34" s="1884"/>
      <c r="TRP34" s="1884"/>
      <c r="TRQ34" s="1884"/>
      <c r="TRR34" s="1884"/>
      <c r="TRS34" s="1884"/>
      <c r="TRT34" s="1884"/>
      <c r="TRU34" s="1884"/>
      <c r="TRV34" s="1884"/>
      <c r="TRW34" s="1884"/>
      <c r="TRX34" s="1884"/>
      <c r="TRY34" s="1884"/>
      <c r="TRZ34" s="1884"/>
      <c r="TSA34" s="1884"/>
      <c r="TSB34" s="1884"/>
      <c r="TSC34" s="1884"/>
      <c r="TSD34" s="1884"/>
      <c r="TSE34" s="1884"/>
      <c r="TSF34" s="1884"/>
      <c r="TSG34" s="1884"/>
      <c r="TSH34" s="1884"/>
      <c r="TSI34" s="1884"/>
      <c r="TSJ34" s="1884"/>
      <c r="TSK34" s="1884"/>
      <c r="TSL34" s="1884"/>
      <c r="TSM34" s="1884"/>
      <c r="TSN34" s="1884"/>
      <c r="TSO34" s="1884"/>
      <c r="TSP34" s="1884"/>
      <c r="TSQ34" s="1884"/>
      <c r="TSR34" s="1884"/>
      <c r="TSS34" s="1884"/>
      <c r="TST34" s="1884"/>
      <c r="TSU34" s="1884"/>
      <c r="TSV34" s="1884"/>
      <c r="TSW34" s="1884"/>
      <c r="TSX34" s="1884"/>
      <c r="TSY34" s="1884"/>
      <c r="TSZ34" s="1884"/>
      <c r="TTA34" s="1884"/>
      <c r="TTB34" s="1884"/>
      <c r="TTC34" s="1884"/>
      <c r="TTD34" s="1884"/>
      <c r="TTE34" s="1884"/>
      <c r="TTF34" s="1884"/>
      <c r="TTG34" s="1884"/>
      <c r="TTH34" s="1884"/>
      <c r="TTI34" s="1884"/>
      <c r="TTJ34" s="1884"/>
      <c r="TTK34" s="1884"/>
      <c r="TTL34" s="1884"/>
      <c r="TTM34" s="1884"/>
      <c r="TTN34" s="1884"/>
      <c r="TTO34" s="1884"/>
      <c r="TTP34" s="1884"/>
      <c r="TTQ34" s="1884"/>
      <c r="TTR34" s="1884"/>
      <c r="TTS34" s="1884"/>
      <c r="TTT34" s="1884"/>
      <c r="TTU34" s="1884"/>
      <c r="TTV34" s="1884"/>
      <c r="TTW34" s="1884"/>
      <c r="TTX34" s="1884"/>
      <c r="TTY34" s="1884"/>
      <c r="TTZ34" s="1884"/>
      <c r="TUA34" s="1884"/>
      <c r="TUB34" s="1884"/>
      <c r="TUC34" s="1884"/>
      <c r="TUD34" s="1884"/>
      <c r="TUE34" s="1884"/>
      <c r="TUF34" s="1884"/>
      <c r="TUG34" s="1884"/>
      <c r="TUH34" s="1884"/>
      <c r="TUI34" s="1884"/>
      <c r="TUJ34" s="1884"/>
      <c r="TUK34" s="1884"/>
      <c r="TUL34" s="1884"/>
      <c r="TUM34" s="1884"/>
      <c r="TUN34" s="1884"/>
      <c r="TUO34" s="1884"/>
      <c r="TUP34" s="1884"/>
      <c r="TUQ34" s="1884"/>
      <c r="TUR34" s="1884"/>
      <c r="TUS34" s="1884"/>
      <c r="TUT34" s="1884"/>
      <c r="TUU34" s="1884"/>
      <c r="TUV34" s="1884"/>
      <c r="TUW34" s="1884"/>
      <c r="TUX34" s="1884"/>
      <c r="TUY34" s="1884"/>
      <c r="TUZ34" s="1884"/>
      <c r="TVA34" s="1884"/>
      <c r="TVB34" s="1884"/>
      <c r="TVC34" s="1884"/>
      <c r="TVD34" s="1884"/>
      <c r="TVE34" s="1884"/>
      <c r="TVF34" s="1884"/>
      <c r="TVG34" s="1884"/>
      <c r="TVH34" s="1884"/>
      <c r="TVI34" s="1884"/>
      <c r="TVJ34" s="1884"/>
      <c r="TVK34" s="1884"/>
      <c r="TVL34" s="1884"/>
      <c r="TVM34" s="1884"/>
      <c r="TVN34" s="1884"/>
      <c r="TVO34" s="1884"/>
      <c r="TVP34" s="1884"/>
      <c r="TVQ34" s="1884"/>
      <c r="TVR34" s="1884"/>
      <c r="TVS34" s="1884"/>
      <c r="TVT34" s="1884"/>
      <c r="TVU34" s="1884"/>
      <c r="TVV34" s="1884"/>
      <c r="TVW34" s="1884"/>
      <c r="TVX34" s="1884"/>
      <c r="TVY34" s="1884"/>
      <c r="TVZ34" s="1884"/>
      <c r="TWA34" s="1884"/>
      <c r="TWB34" s="1884"/>
      <c r="TWC34" s="1884"/>
      <c r="TWD34" s="1884"/>
      <c r="TWE34" s="1884"/>
      <c r="TWF34" s="1884"/>
      <c r="TWG34" s="1884"/>
      <c r="TWH34" s="1884"/>
      <c r="TWI34" s="1884"/>
      <c r="TWJ34" s="1884"/>
      <c r="TWK34" s="1884"/>
      <c r="TWL34" s="1884"/>
      <c r="TWM34" s="1884"/>
      <c r="TWN34" s="1884"/>
      <c r="TWO34" s="1884"/>
      <c r="TWP34" s="1884"/>
      <c r="TWQ34" s="1884"/>
      <c r="TWR34" s="1884"/>
      <c r="TWS34" s="1884"/>
      <c r="TWT34" s="1884"/>
      <c r="TWU34" s="1884"/>
      <c r="TWV34" s="1884"/>
      <c r="TWW34" s="1884"/>
      <c r="TWX34" s="1884"/>
      <c r="TWY34" s="1884"/>
      <c r="TWZ34" s="1884"/>
      <c r="TXA34" s="1884"/>
      <c r="TXB34" s="1884"/>
      <c r="TXC34" s="1884"/>
      <c r="TXD34" s="1884"/>
      <c r="TXE34" s="1884"/>
      <c r="TXF34" s="1884"/>
      <c r="TXG34" s="1884"/>
      <c r="TXH34" s="1884"/>
      <c r="TXI34" s="1884"/>
      <c r="TXJ34" s="1884"/>
      <c r="TXK34" s="1884"/>
      <c r="TXL34" s="1884"/>
      <c r="TXM34" s="1884"/>
      <c r="TXN34" s="1884"/>
      <c r="TXO34" s="1884"/>
      <c r="TXP34" s="1884"/>
      <c r="TXQ34" s="1884"/>
      <c r="TXR34" s="1884"/>
      <c r="TXS34" s="1884"/>
      <c r="TXT34" s="1884"/>
      <c r="TXU34" s="1884"/>
      <c r="TXV34" s="1884"/>
      <c r="TXW34" s="1884"/>
      <c r="TXX34" s="1884"/>
      <c r="TXY34" s="1884"/>
      <c r="TXZ34" s="1884"/>
      <c r="TYA34" s="1884"/>
      <c r="TYB34" s="1884"/>
      <c r="TYC34" s="1884"/>
      <c r="TYD34" s="1884"/>
      <c r="TYE34" s="1884"/>
      <c r="TYF34" s="1884"/>
      <c r="TYG34" s="1884"/>
      <c r="TYH34" s="1884"/>
      <c r="TYI34" s="1884"/>
      <c r="TYJ34" s="1884"/>
      <c r="TYK34" s="1884"/>
      <c r="TYL34" s="1884"/>
      <c r="TYM34" s="1884"/>
      <c r="TYN34" s="1884"/>
      <c r="TYO34" s="1884"/>
      <c r="TYP34" s="1884"/>
      <c r="TYQ34" s="1884"/>
      <c r="TYR34" s="1884"/>
      <c r="TYS34" s="1884"/>
      <c r="TYT34" s="1884"/>
      <c r="TYU34" s="1884"/>
      <c r="TYV34" s="1884"/>
      <c r="TYW34" s="1884"/>
      <c r="TYX34" s="1884"/>
      <c r="TYY34" s="1884"/>
      <c r="TYZ34" s="1884"/>
      <c r="TZA34" s="1884"/>
      <c r="TZB34" s="1884"/>
      <c r="TZC34" s="1884"/>
      <c r="TZD34" s="1884"/>
      <c r="TZE34" s="1884"/>
      <c r="TZF34" s="1884"/>
      <c r="TZG34" s="1884"/>
      <c r="TZH34" s="1884"/>
      <c r="TZI34" s="1884"/>
      <c r="TZJ34" s="1884"/>
      <c r="TZK34" s="1884"/>
      <c r="TZL34" s="1884"/>
      <c r="TZM34" s="1884"/>
      <c r="TZN34" s="1884"/>
      <c r="TZO34" s="1884"/>
      <c r="TZP34" s="1884"/>
      <c r="TZQ34" s="1884"/>
      <c r="TZR34" s="1884"/>
      <c r="TZS34" s="1884"/>
      <c r="TZT34" s="1884"/>
      <c r="TZU34" s="1884"/>
      <c r="TZV34" s="1884"/>
      <c r="TZW34" s="1884"/>
      <c r="TZX34" s="1884"/>
      <c r="TZY34" s="1884"/>
      <c r="TZZ34" s="1884"/>
      <c r="UAA34" s="1884"/>
      <c r="UAB34" s="1884"/>
      <c r="UAC34" s="1884"/>
      <c r="UAD34" s="1884"/>
      <c r="UAE34" s="1884"/>
      <c r="UAF34" s="1884"/>
      <c r="UAG34" s="1884"/>
      <c r="UAH34" s="1884"/>
      <c r="UAI34" s="1884"/>
      <c r="UAJ34" s="1884"/>
      <c r="UAK34" s="1884"/>
      <c r="UAL34" s="1884"/>
      <c r="UAM34" s="1884"/>
      <c r="UAN34" s="1884"/>
      <c r="UAO34" s="1884"/>
      <c r="UAP34" s="1884"/>
      <c r="UAQ34" s="1884"/>
      <c r="UAR34" s="1884"/>
      <c r="UAS34" s="1884"/>
      <c r="UAT34" s="1884"/>
      <c r="UAU34" s="1884"/>
      <c r="UAV34" s="1884"/>
      <c r="UAW34" s="1884"/>
      <c r="UAX34" s="1884"/>
      <c r="UAY34" s="1884"/>
      <c r="UAZ34" s="1884"/>
      <c r="UBA34" s="1884"/>
      <c r="UBB34" s="1884"/>
      <c r="UBC34" s="1884"/>
      <c r="UBD34" s="1884"/>
      <c r="UBE34" s="1884"/>
      <c r="UBF34" s="1884"/>
      <c r="UBG34" s="1884"/>
      <c r="UBH34" s="1884"/>
      <c r="UBI34" s="1884"/>
      <c r="UBJ34" s="1884"/>
      <c r="UBK34" s="1884"/>
      <c r="UBL34" s="1884"/>
      <c r="UBM34" s="1884"/>
      <c r="UBN34" s="1884"/>
      <c r="UBO34" s="1884"/>
      <c r="UBP34" s="1884"/>
      <c r="UBQ34" s="1884"/>
      <c r="UBR34" s="1884"/>
      <c r="UBS34" s="1884"/>
      <c r="UBT34" s="1884"/>
      <c r="UBU34" s="1884"/>
      <c r="UBV34" s="1884"/>
      <c r="UBW34" s="1884"/>
      <c r="UBX34" s="1884"/>
      <c r="UBY34" s="1884"/>
      <c r="UBZ34" s="1884"/>
      <c r="UCA34" s="1884"/>
      <c r="UCB34" s="1884"/>
      <c r="UCC34" s="1884"/>
      <c r="UCD34" s="1884"/>
      <c r="UCE34" s="1884"/>
      <c r="UCF34" s="1884"/>
      <c r="UCG34" s="1884"/>
      <c r="UCH34" s="1884"/>
      <c r="UCI34" s="1884"/>
      <c r="UCJ34" s="1884"/>
      <c r="UCK34" s="1884"/>
      <c r="UCL34" s="1884"/>
      <c r="UCM34" s="1884"/>
      <c r="UCN34" s="1884"/>
      <c r="UCO34" s="1884"/>
      <c r="UCP34" s="1884"/>
      <c r="UCQ34" s="1884"/>
      <c r="UCR34" s="1884"/>
      <c r="UCS34" s="1884"/>
      <c r="UCT34" s="1884"/>
      <c r="UCU34" s="1884"/>
      <c r="UCV34" s="1884"/>
      <c r="UCW34" s="1884"/>
      <c r="UCX34" s="1884"/>
      <c r="UCY34" s="1884"/>
      <c r="UCZ34" s="1884"/>
      <c r="UDA34" s="1884"/>
      <c r="UDB34" s="1884"/>
      <c r="UDC34" s="1884"/>
      <c r="UDD34" s="1884"/>
      <c r="UDE34" s="1884"/>
      <c r="UDF34" s="1884"/>
      <c r="UDG34" s="1884"/>
      <c r="UDH34" s="1884"/>
      <c r="UDI34" s="1884"/>
      <c r="UDJ34" s="1884"/>
      <c r="UDK34" s="1884"/>
      <c r="UDL34" s="1884"/>
      <c r="UDM34" s="1884"/>
      <c r="UDN34" s="1884"/>
      <c r="UDO34" s="1884"/>
      <c r="UDP34" s="1884"/>
      <c r="UDQ34" s="1884"/>
      <c r="UDR34" s="1884"/>
      <c r="UDS34" s="1884"/>
      <c r="UDT34" s="1884"/>
      <c r="UDU34" s="1884"/>
      <c r="UDV34" s="1884"/>
      <c r="UDW34" s="1884"/>
      <c r="UDX34" s="1884"/>
      <c r="UDY34" s="1884"/>
      <c r="UDZ34" s="1884"/>
      <c r="UEA34" s="1884"/>
      <c r="UEB34" s="1884"/>
      <c r="UEC34" s="1884"/>
      <c r="UED34" s="1884"/>
      <c r="UEE34" s="1884"/>
      <c r="UEF34" s="1884"/>
      <c r="UEG34" s="1884"/>
      <c r="UEH34" s="1884"/>
      <c r="UEI34" s="1884"/>
      <c r="UEJ34" s="1884"/>
      <c r="UEK34" s="1884"/>
      <c r="UEL34" s="1884"/>
      <c r="UEM34" s="1884"/>
      <c r="UEN34" s="1884"/>
      <c r="UEO34" s="1884"/>
      <c r="UEP34" s="1884"/>
      <c r="UEQ34" s="1884"/>
      <c r="UER34" s="1884"/>
      <c r="UES34" s="1884"/>
      <c r="UET34" s="1884"/>
      <c r="UEU34" s="1884"/>
      <c r="UEV34" s="1884"/>
      <c r="UEW34" s="1884"/>
      <c r="UEX34" s="1884"/>
      <c r="UEY34" s="1884"/>
      <c r="UEZ34" s="1884"/>
      <c r="UFA34" s="1884"/>
      <c r="UFB34" s="1884"/>
      <c r="UFC34" s="1884"/>
      <c r="UFD34" s="1884"/>
      <c r="UFE34" s="1884"/>
      <c r="UFF34" s="1884"/>
      <c r="UFG34" s="1884"/>
      <c r="UFH34" s="1884"/>
      <c r="UFI34" s="1884"/>
      <c r="UFJ34" s="1884"/>
      <c r="UFK34" s="1884"/>
      <c r="UFL34" s="1884"/>
      <c r="UFM34" s="1884"/>
      <c r="UFN34" s="1884"/>
      <c r="UFO34" s="1884"/>
      <c r="UFP34" s="1884"/>
      <c r="UFQ34" s="1884"/>
      <c r="UFR34" s="1884"/>
      <c r="UFS34" s="1884"/>
      <c r="UFT34" s="1884"/>
      <c r="UFU34" s="1884"/>
      <c r="UFV34" s="1884"/>
      <c r="UFW34" s="1884"/>
      <c r="UFX34" s="1884"/>
      <c r="UFY34" s="1884"/>
      <c r="UFZ34" s="1884"/>
      <c r="UGA34" s="1884"/>
      <c r="UGB34" s="1884"/>
      <c r="UGC34" s="1884"/>
      <c r="UGD34" s="1884"/>
      <c r="UGE34" s="1884"/>
      <c r="UGF34" s="1884"/>
      <c r="UGG34" s="1884"/>
      <c r="UGH34" s="1884"/>
      <c r="UGI34" s="1884"/>
      <c r="UGJ34" s="1884"/>
      <c r="UGK34" s="1884"/>
      <c r="UGL34" s="1884"/>
      <c r="UGM34" s="1884"/>
      <c r="UGN34" s="1884"/>
      <c r="UGO34" s="1884"/>
      <c r="UGP34" s="1884"/>
      <c r="UGQ34" s="1884"/>
      <c r="UGR34" s="1884"/>
      <c r="UGS34" s="1884"/>
      <c r="UGT34" s="1884"/>
      <c r="UGU34" s="1884"/>
      <c r="UGV34" s="1884"/>
      <c r="UGW34" s="1884"/>
      <c r="UGX34" s="1884"/>
      <c r="UGY34" s="1884"/>
      <c r="UGZ34" s="1884"/>
      <c r="UHA34" s="1884"/>
      <c r="UHB34" s="1884"/>
      <c r="UHC34" s="1884"/>
      <c r="UHD34" s="1884"/>
      <c r="UHE34" s="1884"/>
      <c r="UHF34" s="1884"/>
      <c r="UHG34" s="1884"/>
      <c r="UHH34" s="1884"/>
      <c r="UHI34" s="1884"/>
      <c r="UHJ34" s="1884"/>
      <c r="UHK34" s="1884"/>
      <c r="UHL34" s="1884"/>
      <c r="UHM34" s="1884"/>
      <c r="UHN34" s="1884"/>
      <c r="UHO34" s="1884"/>
      <c r="UHP34" s="1884"/>
      <c r="UHQ34" s="1884"/>
      <c r="UHR34" s="1884"/>
      <c r="UHS34" s="1884"/>
      <c r="UHT34" s="1884"/>
      <c r="UHU34" s="1884"/>
      <c r="UHV34" s="1884"/>
      <c r="UHW34" s="1884"/>
      <c r="UHX34" s="1884"/>
      <c r="UHY34" s="1884"/>
      <c r="UHZ34" s="1884"/>
      <c r="UIA34" s="1884"/>
      <c r="UIB34" s="1884"/>
      <c r="UIC34" s="1884"/>
      <c r="UID34" s="1884"/>
      <c r="UIE34" s="1884"/>
      <c r="UIF34" s="1884"/>
      <c r="UIG34" s="1884"/>
      <c r="UIH34" s="1884"/>
      <c r="UII34" s="1884"/>
      <c r="UIJ34" s="1884"/>
      <c r="UIK34" s="1884"/>
      <c r="UIL34" s="1884"/>
      <c r="UIM34" s="1884"/>
      <c r="UIN34" s="1884"/>
      <c r="UIO34" s="1884"/>
      <c r="UIP34" s="1884"/>
      <c r="UIQ34" s="1884"/>
      <c r="UIR34" s="1884"/>
      <c r="UIS34" s="1884"/>
      <c r="UIT34" s="1884"/>
      <c r="UIU34" s="1884"/>
      <c r="UIV34" s="1884"/>
      <c r="UIW34" s="1884"/>
      <c r="UIX34" s="1884"/>
      <c r="UIY34" s="1884"/>
      <c r="UIZ34" s="1884"/>
      <c r="UJA34" s="1884"/>
      <c r="UJB34" s="1884"/>
      <c r="UJC34" s="1884"/>
      <c r="UJD34" s="1884"/>
      <c r="UJE34" s="1884"/>
      <c r="UJF34" s="1884"/>
      <c r="UJG34" s="1884"/>
      <c r="UJH34" s="1884"/>
      <c r="UJI34" s="1884"/>
      <c r="UJJ34" s="1884"/>
      <c r="UJK34" s="1884"/>
      <c r="UJL34" s="1884"/>
      <c r="UJM34" s="1884"/>
      <c r="UJN34" s="1884"/>
      <c r="UJO34" s="1884"/>
      <c r="UJP34" s="1884"/>
      <c r="UJQ34" s="1884"/>
      <c r="UJR34" s="1884"/>
      <c r="UJS34" s="1884"/>
      <c r="UJT34" s="1884"/>
      <c r="UJU34" s="1884"/>
      <c r="UJV34" s="1884"/>
      <c r="UJW34" s="1884"/>
      <c r="UJX34" s="1884"/>
      <c r="UJY34" s="1884"/>
      <c r="UJZ34" s="1884"/>
      <c r="UKA34" s="1884"/>
      <c r="UKB34" s="1884"/>
      <c r="UKC34" s="1884"/>
      <c r="UKD34" s="1884"/>
      <c r="UKE34" s="1884"/>
      <c r="UKF34" s="1884"/>
      <c r="UKG34" s="1884"/>
      <c r="UKH34" s="1884"/>
      <c r="UKI34" s="1884"/>
      <c r="UKJ34" s="1884"/>
      <c r="UKK34" s="1884"/>
      <c r="UKL34" s="1884"/>
      <c r="UKM34" s="1884"/>
      <c r="UKN34" s="1884"/>
      <c r="UKO34" s="1884"/>
      <c r="UKP34" s="1884"/>
      <c r="UKQ34" s="1884"/>
      <c r="UKR34" s="1884"/>
      <c r="UKS34" s="1884"/>
      <c r="UKT34" s="1884"/>
      <c r="UKU34" s="1884"/>
      <c r="UKV34" s="1884"/>
      <c r="UKW34" s="1884"/>
      <c r="UKX34" s="1884"/>
      <c r="UKY34" s="1884"/>
      <c r="UKZ34" s="1884"/>
      <c r="ULA34" s="1884"/>
      <c r="ULB34" s="1884"/>
      <c r="ULC34" s="1884"/>
      <c r="ULD34" s="1884"/>
      <c r="ULE34" s="1884"/>
      <c r="ULF34" s="1884"/>
      <c r="ULG34" s="1884"/>
      <c r="ULH34" s="1884"/>
      <c r="ULI34" s="1884"/>
      <c r="ULJ34" s="1884"/>
      <c r="ULK34" s="1884"/>
      <c r="ULL34" s="1884"/>
      <c r="ULM34" s="1884"/>
      <c r="ULN34" s="1884"/>
      <c r="ULO34" s="1884"/>
      <c r="ULP34" s="1884"/>
      <c r="ULQ34" s="1884"/>
      <c r="ULR34" s="1884"/>
      <c r="ULS34" s="1884"/>
      <c r="ULT34" s="1884"/>
      <c r="ULU34" s="1884"/>
      <c r="ULV34" s="1884"/>
      <c r="ULW34" s="1884"/>
      <c r="ULX34" s="1884"/>
      <c r="ULY34" s="1884"/>
      <c r="ULZ34" s="1884"/>
      <c r="UMA34" s="1884"/>
      <c r="UMB34" s="1884"/>
      <c r="UMC34" s="1884"/>
      <c r="UMD34" s="1884"/>
      <c r="UME34" s="1884"/>
      <c r="UMF34" s="1884"/>
      <c r="UMG34" s="1884"/>
      <c r="UMH34" s="1884"/>
      <c r="UMI34" s="1884"/>
      <c r="UMJ34" s="1884"/>
      <c r="UMK34" s="1884"/>
      <c r="UML34" s="1884"/>
      <c r="UMM34" s="1884"/>
      <c r="UMN34" s="1884"/>
      <c r="UMO34" s="1884"/>
      <c r="UMP34" s="1884"/>
      <c r="UMQ34" s="1884"/>
      <c r="UMR34" s="1884"/>
      <c r="UMS34" s="1884"/>
      <c r="UMT34" s="1884"/>
      <c r="UMU34" s="1884"/>
      <c r="UMV34" s="1884"/>
      <c r="UMW34" s="1884"/>
      <c r="UMX34" s="1884"/>
      <c r="UMY34" s="1884"/>
      <c r="UMZ34" s="1884"/>
      <c r="UNA34" s="1884"/>
      <c r="UNB34" s="1884"/>
      <c r="UNC34" s="1884"/>
      <c r="UND34" s="1884"/>
      <c r="UNE34" s="1884"/>
      <c r="UNF34" s="1884"/>
      <c r="UNG34" s="1884"/>
      <c r="UNH34" s="1884"/>
      <c r="UNI34" s="1884"/>
      <c r="UNJ34" s="1884"/>
      <c r="UNK34" s="1884"/>
      <c r="UNL34" s="1884"/>
      <c r="UNM34" s="1884"/>
      <c r="UNN34" s="1884"/>
      <c r="UNO34" s="1884"/>
      <c r="UNP34" s="1884"/>
      <c r="UNQ34" s="1884"/>
      <c r="UNR34" s="1884"/>
      <c r="UNS34" s="1884"/>
      <c r="UNT34" s="1884"/>
      <c r="UNU34" s="1884"/>
      <c r="UNV34" s="1884"/>
      <c r="UNW34" s="1884"/>
      <c r="UNX34" s="1884"/>
      <c r="UNY34" s="1884"/>
      <c r="UNZ34" s="1884"/>
      <c r="UOA34" s="1884"/>
      <c r="UOB34" s="1884"/>
      <c r="UOC34" s="1884"/>
      <c r="UOD34" s="1884"/>
      <c r="UOE34" s="1884"/>
      <c r="UOF34" s="1884"/>
      <c r="UOG34" s="1884"/>
      <c r="UOH34" s="1884"/>
      <c r="UOI34" s="1884"/>
      <c r="UOJ34" s="1884"/>
      <c r="UOK34" s="1884"/>
      <c r="UOL34" s="1884"/>
      <c r="UOM34" s="1884"/>
      <c r="UON34" s="1884"/>
      <c r="UOO34" s="1884"/>
      <c r="UOP34" s="1884"/>
      <c r="UOQ34" s="1884"/>
      <c r="UOR34" s="1884"/>
      <c r="UOS34" s="1884"/>
      <c r="UOT34" s="1884"/>
      <c r="UOU34" s="1884"/>
      <c r="UOV34" s="1884"/>
      <c r="UOW34" s="1884"/>
      <c r="UOX34" s="1884"/>
      <c r="UOY34" s="1884"/>
      <c r="UOZ34" s="1884"/>
      <c r="UPA34" s="1884"/>
      <c r="UPB34" s="1884"/>
      <c r="UPC34" s="1884"/>
      <c r="UPD34" s="1884"/>
      <c r="UPE34" s="1884"/>
      <c r="UPF34" s="1884"/>
      <c r="UPG34" s="1884"/>
      <c r="UPH34" s="1884"/>
      <c r="UPI34" s="1884"/>
      <c r="UPJ34" s="1884"/>
      <c r="UPK34" s="1884"/>
      <c r="UPL34" s="1884"/>
      <c r="UPM34" s="1884"/>
      <c r="UPN34" s="1884"/>
      <c r="UPO34" s="1884"/>
      <c r="UPP34" s="1884"/>
      <c r="UPQ34" s="1884"/>
      <c r="UPR34" s="1884"/>
      <c r="UPS34" s="1884"/>
      <c r="UPT34" s="1884"/>
      <c r="UPU34" s="1884"/>
      <c r="UPV34" s="1884"/>
      <c r="UPW34" s="1884"/>
      <c r="UPX34" s="1884"/>
      <c r="UPY34" s="1884"/>
      <c r="UPZ34" s="1884"/>
      <c r="UQA34" s="1884"/>
      <c r="UQB34" s="1884"/>
      <c r="UQC34" s="1884"/>
      <c r="UQD34" s="1884"/>
      <c r="UQE34" s="1884"/>
      <c r="UQF34" s="1884"/>
      <c r="UQG34" s="1884"/>
      <c r="UQH34" s="1884"/>
      <c r="UQI34" s="1884"/>
      <c r="UQJ34" s="1884"/>
      <c r="UQK34" s="1884"/>
      <c r="UQL34" s="1884"/>
      <c r="UQM34" s="1884"/>
      <c r="UQN34" s="1884"/>
      <c r="UQO34" s="1884"/>
      <c r="UQP34" s="1884"/>
      <c r="UQQ34" s="1884"/>
      <c r="UQR34" s="1884"/>
      <c r="UQS34" s="1884"/>
      <c r="UQT34" s="1884"/>
      <c r="UQU34" s="1884"/>
      <c r="UQV34" s="1884"/>
      <c r="UQW34" s="1884"/>
      <c r="UQX34" s="1884"/>
      <c r="UQY34" s="1884"/>
      <c r="UQZ34" s="1884"/>
      <c r="URA34" s="1884"/>
      <c r="URB34" s="1884"/>
      <c r="URC34" s="1884"/>
      <c r="URD34" s="1884"/>
      <c r="URE34" s="1884"/>
      <c r="URF34" s="1884"/>
      <c r="URG34" s="1884"/>
      <c r="URH34" s="1884"/>
      <c r="URI34" s="1884"/>
      <c r="URJ34" s="1884"/>
      <c r="URK34" s="1884"/>
      <c r="URL34" s="1884"/>
      <c r="URM34" s="1884"/>
      <c r="URN34" s="1884"/>
      <c r="URO34" s="1884"/>
      <c r="URP34" s="1884"/>
      <c r="URQ34" s="1884"/>
      <c r="URR34" s="1884"/>
      <c r="URS34" s="1884"/>
      <c r="URT34" s="1884"/>
      <c r="URU34" s="1884"/>
      <c r="URV34" s="1884"/>
      <c r="URW34" s="1884"/>
      <c r="URX34" s="1884"/>
      <c r="URY34" s="1884"/>
      <c r="URZ34" s="1884"/>
      <c r="USA34" s="1884"/>
      <c r="USB34" s="1884"/>
      <c r="USC34" s="1884"/>
      <c r="USD34" s="1884"/>
      <c r="USE34" s="1884"/>
      <c r="USF34" s="1884"/>
      <c r="USG34" s="1884"/>
      <c r="USH34" s="1884"/>
      <c r="USI34" s="1884"/>
      <c r="USJ34" s="1884"/>
      <c r="USK34" s="1884"/>
      <c r="USL34" s="1884"/>
      <c r="USM34" s="1884"/>
      <c r="USN34" s="1884"/>
      <c r="USO34" s="1884"/>
      <c r="USP34" s="1884"/>
      <c r="USQ34" s="1884"/>
      <c r="USR34" s="1884"/>
      <c r="USS34" s="1884"/>
      <c r="UST34" s="1884"/>
      <c r="USU34" s="1884"/>
      <c r="USV34" s="1884"/>
      <c r="USW34" s="1884"/>
      <c r="USX34" s="1884"/>
      <c r="USY34" s="1884"/>
      <c r="USZ34" s="1884"/>
      <c r="UTA34" s="1884"/>
      <c r="UTB34" s="1884"/>
      <c r="UTC34" s="1884"/>
      <c r="UTD34" s="1884"/>
      <c r="UTE34" s="1884"/>
      <c r="UTF34" s="1884"/>
      <c r="UTG34" s="1884"/>
      <c r="UTH34" s="1884"/>
      <c r="UTI34" s="1884"/>
      <c r="UTJ34" s="1884"/>
      <c r="UTK34" s="1884"/>
      <c r="UTL34" s="1884"/>
      <c r="UTM34" s="1884"/>
      <c r="UTN34" s="1884"/>
      <c r="UTO34" s="1884"/>
      <c r="UTP34" s="1884"/>
      <c r="UTQ34" s="1884"/>
      <c r="UTR34" s="1884"/>
      <c r="UTS34" s="1884"/>
      <c r="UTT34" s="1884"/>
      <c r="UTU34" s="1884"/>
      <c r="UTV34" s="1884"/>
      <c r="UTW34" s="1884"/>
      <c r="UTX34" s="1884"/>
      <c r="UTY34" s="1884"/>
      <c r="UTZ34" s="1884"/>
      <c r="UUA34" s="1884"/>
      <c r="UUB34" s="1884"/>
      <c r="UUC34" s="1884"/>
      <c r="UUD34" s="1884"/>
      <c r="UUE34" s="1884"/>
      <c r="UUF34" s="1884"/>
      <c r="UUG34" s="1884"/>
      <c r="UUH34" s="1884"/>
      <c r="UUI34" s="1884"/>
      <c r="UUJ34" s="1884"/>
      <c r="UUK34" s="1884"/>
      <c r="UUL34" s="1884"/>
      <c r="UUM34" s="1884"/>
      <c r="UUN34" s="1884"/>
      <c r="UUO34" s="1884"/>
      <c r="UUP34" s="1884"/>
      <c r="UUQ34" s="1884"/>
      <c r="UUR34" s="1884"/>
      <c r="UUS34" s="1884"/>
      <c r="UUT34" s="1884"/>
      <c r="UUU34" s="1884"/>
      <c r="UUV34" s="1884"/>
      <c r="UUW34" s="1884"/>
      <c r="UUX34" s="1884"/>
      <c r="UUY34" s="1884"/>
      <c r="UUZ34" s="1884"/>
      <c r="UVA34" s="1884"/>
      <c r="UVB34" s="1884"/>
      <c r="UVC34" s="1884"/>
      <c r="UVD34" s="1884"/>
      <c r="UVE34" s="1884"/>
      <c r="UVF34" s="1884"/>
      <c r="UVG34" s="1884"/>
      <c r="UVH34" s="1884"/>
      <c r="UVI34" s="1884"/>
      <c r="UVJ34" s="1884"/>
      <c r="UVK34" s="1884"/>
      <c r="UVL34" s="1884"/>
      <c r="UVM34" s="1884"/>
      <c r="UVN34" s="1884"/>
      <c r="UVO34" s="1884"/>
      <c r="UVP34" s="1884"/>
      <c r="UVQ34" s="1884"/>
      <c r="UVR34" s="1884"/>
      <c r="UVS34" s="1884"/>
      <c r="UVT34" s="1884"/>
      <c r="UVU34" s="1884"/>
      <c r="UVV34" s="1884"/>
      <c r="UVW34" s="1884"/>
      <c r="UVX34" s="1884"/>
      <c r="UVY34" s="1884"/>
      <c r="UVZ34" s="1884"/>
      <c r="UWA34" s="1884"/>
      <c r="UWB34" s="1884"/>
      <c r="UWC34" s="1884"/>
      <c r="UWD34" s="1884"/>
      <c r="UWE34" s="1884"/>
      <c r="UWF34" s="1884"/>
      <c r="UWG34" s="1884"/>
      <c r="UWH34" s="1884"/>
      <c r="UWI34" s="1884"/>
      <c r="UWJ34" s="1884"/>
      <c r="UWK34" s="1884"/>
      <c r="UWL34" s="1884"/>
      <c r="UWM34" s="1884"/>
      <c r="UWN34" s="1884"/>
      <c r="UWO34" s="1884"/>
      <c r="UWP34" s="1884"/>
      <c r="UWQ34" s="1884"/>
      <c r="UWR34" s="1884"/>
      <c r="UWS34" s="1884"/>
      <c r="UWT34" s="1884"/>
      <c r="UWU34" s="1884"/>
      <c r="UWV34" s="1884"/>
      <c r="UWW34" s="1884"/>
      <c r="UWX34" s="1884"/>
      <c r="UWY34" s="1884"/>
      <c r="UWZ34" s="1884"/>
      <c r="UXA34" s="1884"/>
      <c r="UXB34" s="1884"/>
      <c r="UXC34" s="1884"/>
      <c r="UXD34" s="1884"/>
      <c r="UXE34" s="1884"/>
      <c r="UXF34" s="1884"/>
      <c r="UXG34" s="1884"/>
      <c r="UXH34" s="1884"/>
      <c r="UXI34" s="1884"/>
      <c r="UXJ34" s="1884"/>
      <c r="UXK34" s="1884"/>
      <c r="UXL34" s="1884"/>
      <c r="UXM34" s="1884"/>
      <c r="UXN34" s="1884"/>
      <c r="UXO34" s="1884"/>
      <c r="UXP34" s="1884"/>
      <c r="UXQ34" s="1884"/>
      <c r="UXR34" s="1884"/>
      <c r="UXS34" s="1884"/>
      <c r="UXT34" s="1884"/>
      <c r="UXU34" s="1884"/>
      <c r="UXV34" s="1884"/>
      <c r="UXW34" s="1884"/>
      <c r="UXX34" s="1884"/>
      <c r="UXY34" s="1884"/>
      <c r="UXZ34" s="1884"/>
      <c r="UYA34" s="1884"/>
      <c r="UYB34" s="1884"/>
      <c r="UYC34" s="1884"/>
      <c r="UYD34" s="1884"/>
      <c r="UYE34" s="1884"/>
      <c r="UYF34" s="1884"/>
      <c r="UYG34" s="1884"/>
      <c r="UYH34" s="1884"/>
      <c r="UYI34" s="1884"/>
      <c r="UYJ34" s="1884"/>
      <c r="UYK34" s="1884"/>
      <c r="UYL34" s="1884"/>
      <c r="UYM34" s="1884"/>
      <c r="UYN34" s="1884"/>
      <c r="UYO34" s="1884"/>
      <c r="UYP34" s="1884"/>
      <c r="UYQ34" s="1884"/>
      <c r="UYR34" s="1884"/>
      <c r="UYS34" s="1884"/>
      <c r="UYT34" s="1884"/>
      <c r="UYU34" s="1884"/>
      <c r="UYV34" s="1884"/>
      <c r="UYW34" s="1884"/>
      <c r="UYX34" s="1884"/>
      <c r="UYY34" s="1884"/>
      <c r="UYZ34" s="1884"/>
      <c r="UZA34" s="1884"/>
      <c r="UZB34" s="1884"/>
      <c r="UZC34" s="1884"/>
      <c r="UZD34" s="1884"/>
      <c r="UZE34" s="1884"/>
      <c r="UZF34" s="1884"/>
      <c r="UZG34" s="1884"/>
      <c r="UZH34" s="1884"/>
      <c r="UZI34" s="1884"/>
      <c r="UZJ34" s="1884"/>
      <c r="UZK34" s="1884"/>
      <c r="UZL34" s="1884"/>
      <c r="UZM34" s="1884"/>
      <c r="UZN34" s="1884"/>
      <c r="UZO34" s="1884"/>
      <c r="UZP34" s="1884"/>
      <c r="UZQ34" s="1884"/>
      <c r="UZR34" s="1884"/>
      <c r="UZS34" s="1884"/>
      <c r="UZT34" s="1884"/>
      <c r="UZU34" s="1884"/>
      <c r="UZV34" s="1884"/>
      <c r="UZW34" s="1884"/>
      <c r="UZX34" s="1884"/>
      <c r="UZY34" s="1884"/>
      <c r="UZZ34" s="1884"/>
      <c r="VAA34" s="1884"/>
      <c r="VAB34" s="1884"/>
      <c r="VAC34" s="1884"/>
      <c r="VAD34" s="1884"/>
      <c r="VAE34" s="1884"/>
      <c r="VAF34" s="1884"/>
      <c r="VAG34" s="1884"/>
      <c r="VAH34" s="1884"/>
      <c r="VAI34" s="1884"/>
      <c r="VAJ34" s="1884"/>
      <c r="VAK34" s="1884"/>
      <c r="VAL34" s="1884"/>
      <c r="VAM34" s="1884"/>
      <c r="VAN34" s="1884"/>
      <c r="VAO34" s="1884"/>
      <c r="VAP34" s="1884"/>
      <c r="VAQ34" s="1884"/>
      <c r="VAR34" s="1884"/>
      <c r="VAS34" s="1884"/>
      <c r="VAT34" s="1884"/>
      <c r="VAU34" s="1884"/>
      <c r="VAV34" s="1884"/>
      <c r="VAW34" s="1884"/>
      <c r="VAX34" s="1884"/>
      <c r="VAY34" s="1884"/>
      <c r="VAZ34" s="1884"/>
      <c r="VBA34" s="1884"/>
      <c r="VBB34" s="1884"/>
      <c r="VBC34" s="1884"/>
      <c r="VBD34" s="1884"/>
      <c r="VBE34" s="1884"/>
      <c r="VBF34" s="1884"/>
      <c r="VBG34" s="1884"/>
      <c r="VBH34" s="1884"/>
      <c r="VBI34" s="1884"/>
      <c r="VBJ34" s="1884"/>
      <c r="VBK34" s="1884"/>
      <c r="VBL34" s="1884"/>
      <c r="VBM34" s="1884"/>
      <c r="VBN34" s="1884"/>
      <c r="VBO34" s="1884"/>
      <c r="VBP34" s="1884"/>
      <c r="VBQ34" s="1884"/>
      <c r="VBR34" s="1884"/>
      <c r="VBS34" s="1884"/>
      <c r="VBT34" s="1884"/>
      <c r="VBU34" s="1884"/>
      <c r="VBV34" s="1884"/>
      <c r="VBW34" s="1884"/>
      <c r="VBX34" s="1884"/>
      <c r="VBY34" s="1884"/>
      <c r="VBZ34" s="1884"/>
      <c r="VCA34" s="1884"/>
      <c r="VCB34" s="1884"/>
      <c r="VCC34" s="1884"/>
      <c r="VCD34" s="1884"/>
      <c r="VCE34" s="1884"/>
      <c r="VCF34" s="1884"/>
      <c r="VCG34" s="1884"/>
      <c r="VCH34" s="1884"/>
      <c r="VCI34" s="1884"/>
      <c r="VCJ34" s="1884"/>
      <c r="VCK34" s="1884"/>
      <c r="VCL34" s="1884"/>
      <c r="VCM34" s="1884"/>
      <c r="VCN34" s="1884"/>
      <c r="VCO34" s="1884"/>
      <c r="VCP34" s="1884"/>
      <c r="VCQ34" s="1884"/>
      <c r="VCR34" s="1884"/>
      <c r="VCS34" s="1884"/>
      <c r="VCT34" s="1884"/>
      <c r="VCU34" s="1884"/>
      <c r="VCV34" s="1884"/>
      <c r="VCW34" s="1884"/>
      <c r="VCX34" s="1884"/>
      <c r="VCY34" s="1884"/>
      <c r="VCZ34" s="1884"/>
      <c r="VDA34" s="1884"/>
      <c r="VDB34" s="1884"/>
      <c r="VDC34" s="1884"/>
      <c r="VDD34" s="1884"/>
      <c r="VDE34" s="1884"/>
      <c r="VDF34" s="1884"/>
      <c r="VDG34" s="1884"/>
      <c r="VDH34" s="1884"/>
      <c r="VDI34" s="1884"/>
      <c r="VDJ34" s="1884"/>
      <c r="VDK34" s="1884"/>
      <c r="VDL34" s="1884"/>
      <c r="VDM34" s="1884"/>
      <c r="VDN34" s="1884"/>
      <c r="VDO34" s="1884"/>
      <c r="VDP34" s="1884"/>
      <c r="VDQ34" s="1884"/>
      <c r="VDR34" s="1884"/>
      <c r="VDS34" s="1884"/>
      <c r="VDT34" s="1884"/>
      <c r="VDU34" s="1884"/>
      <c r="VDV34" s="1884"/>
      <c r="VDW34" s="1884"/>
      <c r="VDX34" s="1884"/>
      <c r="VDY34" s="1884"/>
      <c r="VDZ34" s="1884"/>
      <c r="VEA34" s="1884"/>
      <c r="VEB34" s="1884"/>
      <c r="VEC34" s="1884"/>
      <c r="VED34" s="1884"/>
      <c r="VEE34" s="1884"/>
      <c r="VEF34" s="1884"/>
      <c r="VEG34" s="1884"/>
      <c r="VEH34" s="1884"/>
      <c r="VEI34" s="1884"/>
      <c r="VEJ34" s="1884"/>
      <c r="VEK34" s="1884"/>
      <c r="VEL34" s="1884"/>
      <c r="VEM34" s="1884"/>
      <c r="VEN34" s="1884"/>
      <c r="VEO34" s="1884"/>
      <c r="VEP34" s="1884"/>
      <c r="VEQ34" s="1884"/>
      <c r="VER34" s="1884"/>
      <c r="VES34" s="1884"/>
      <c r="VET34" s="1884"/>
      <c r="VEU34" s="1884"/>
      <c r="VEV34" s="1884"/>
      <c r="VEW34" s="1884"/>
      <c r="VEX34" s="1884"/>
      <c r="VEY34" s="1884"/>
      <c r="VEZ34" s="1884"/>
      <c r="VFA34" s="1884"/>
      <c r="VFB34" s="1884"/>
      <c r="VFC34" s="1884"/>
      <c r="VFD34" s="1884"/>
      <c r="VFE34" s="1884"/>
      <c r="VFF34" s="1884"/>
      <c r="VFG34" s="1884"/>
      <c r="VFH34" s="1884"/>
      <c r="VFI34" s="1884"/>
      <c r="VFJ34" s="1884"/>
      <c r="VFK34" s="1884"/>
      <c r="VFL34" s="1884"/>
      <c r="VFM34" s="1884"/>
      <c r="VFN34" s="1884"/>
      <c r="VFO34" s="1884"/>
      <c r="VFP34" s="1884"/>
      <c r="VFQ34" s="1884"/>
      <c r="VFR34" s="1884"/>
      <c r="VFS34" s="1884"/>
      <c r="VFT34" s="1884"/>
      <c r="VFU34" s="1884"/>
      <c r="VFV34" s="1884"/>
      <c r="VFW34" s="1884"/>
      <c r="VFX34" s="1884"/>
      <c r="VFY34" s="1884"/>
      <c r="VFZ34" s="1884"/>
      <c r="VGA34" s="1884"/>
      <c r="VGB34" s="1884"/>
      <c r="VGC34" s="1884"/>
      <c r="VGD34" s="1884"/>
      <c r="VGE34" s="1884"/>
      <c r="VGF34" s="1884"/>
      <c r="VGG34" s="1884"/>
      <c r="VGH34" s="1884"/>
      <c r="VGI34" s="1884"/>
      <c r="VGJ34" s="1884"/>
      <c r="VGK34" s="1884"/>
      <c r="VGL34" s="1884"/>
      <c r="VGM34" s="1884"/>
      <c r="VGN34" s="1884"/>
      <c r="VGO34" s="1884"/>
      <c r="VGP34" s="1884"/>
      <c r="VGQ34" s="1884"/>
      <c r="VGR34" s="1884"/>
      <c r="VGS34" s="1884"/>
      <c r="VGT34" s="1884"/>
      <c r="VGU34" s="1884"/>
      <c r="VGV34" s="1884"/>
      <c r="VGW34" s="1884"/>
      <c r="VGX34" s="1884"/>
      <c r="VGY34" s="1884"/>
      <c r="VGZ34" s="1884"/>
      <c r="VHA34" s="1884"/>
      <c r="VHB34" s="1884"/>
      <c r="VHC34" s="1884"/>
      <c r="VHD34" s="1884"/>
      <c r="VHE34" s="1884"/>
      <c r="VHF34" s="1884"/>
      <c r="VHG34" s="1884"/>
      <c r="VHH34" s="1884"/>
      <c r="VHI34" s="1884"/>
      <c r="VHJ34" s="1884"/>
      <c r="VHK34" s="1884"/>
      <c r="VHL34" s="1884"/>
      <c r="VHM34" s="1884"/>
      <c r="VHN34" s="1884"/>
      <c r="VHO34" s="1884"/>
      <c r="VHP34" s="1884"/>
      <c r="VHQ34" s="1884"/>
      <c r="VHR34" s="1884"/>
      <c r="VHS34" s="1884"/>
      <c r="VHT34" s="1884"/>
      <c r="VHU34" s="1884"/>
      <c r="VHV34" s="1884"/>
      <c r="VHW34" s="1884"/>
      <c r="VHX34" s="1884"/>
      <c r="VHY34" s="1884"/>
      <c r="VHZ34" s="1884"/>
      <c r="VIA34" s="1884"/>
      <c r="VIB34" s="1884"/>
      <c r="VIC34" s="1884"/>
      <c r="VID34" s="1884"/>
      <c r="VIE34" s="1884"/>
      <c r="VIF34" s="1884"/>
      <c r="VIG34" s="1884"/>
      <c r="VIH34" s="1884"/>
      <c r="VII34" s="1884"/>
      <c r="VIJ34" s="1884"/>
      <c r="VIK34" s="1884"/>
      <c r="VIL34" s="1884"/>
      <c r="VIM34" s="1884"/>
      <c r="VIN34" s="1884"/>
      <c r="VIO34" s="1884"/>
      <c r="VIP34" s="1884"/>
      <c r="VIQ34" s="1884"/>
      <c r="VIR34" s="1884"/>
      <c r="VIS34" s="1884"/>
      <c r="VIT34" s="1884"/>
      <c r="VIU34" s="1884"/>
      <c r="VIV34" s="1884"/>
      <c r="VIW34" s="1884"/>
      <c r="VIX34" s="1884"/>
      <c r="VIY34" s="1884"/>
      <c r="VIZ34" s="1884"/>
      <c r="VJA34" s="1884"/>
      <c r="VJB34" s="1884"/>
      <c r="VJC34" s="1884"/>
      <c r="VJD34" s="1884"/>
      <c r="VJE34" s="1884"/>
      <c r="VJF34" s="1884"/>
      <c r="VJG34" s="1884"/>
      <c r="VJH34" s="1884"/>
      <c r="VJI34" s="1884"/>
      <c r="VJJ34" s="1884"/>
      <c r="VJK34" s="1884"/>
      <c r="VJL34" s="1884"/>
      <c r="VJM34" s="1884"/>
      <c r="VJN34" s="1884"/>
      <c r="VJO34" s="1884"/>
      <c r="VJP34" s="1884"/>
      <c r="VJQ34" s="1884"/>
      <c r="VJR34" s="1884"/>
      <c r="VJS34" s="1884"/>
      <c r="VJT34" s="1884"/>
      <c r="VJU34" s="1884"/>
      <c r="VJV34" s="1884"/>
      <c r="VJW34" s="1884"/>
      <c r="VJX34" s="1884"/>
      <c r="VJY34" s="1884"/>
      <c r="VJZ34" s="1884"/>
      <c r="VKA34" s="1884"/>
      <c r="VKB34" s="1884"/>
      <c r="VKC34" s="1884"/>
      <c r="VKD34" s="1884"/>
      <c r="VKE34" s="1884"/>
      <c r="VKF34" s="1884"/>
      <c r="VKG34" s="1884"/>
      <c r="VKH34" s="1884"/>
      <c r="VKI34" s="1884"/>
      <c r="VKJ34" s="1884"/>
      <c r="VKK34" s="1884"/>
      <c r="VKL34" s="1884"/>
      <c r="VKM34" s="1884"/>
      <c r="VKN34" s="1884"/>
      <c r="VKO34" s="1884"/>
      <c r="VKP34" s="1884"/>
      <c r="VKQ34" s="1884"/>
      <c r="VKR34" s="1884"/>
      <c r="VKS34" s="1884"/>
      <c r="VKT34" s="1884"/>
      <c r="VKU34" s="1884"/>
      <c r="VKV34" s="1884"/>
      <c r="VKW34" s="1884"/>
      <c r="VKX34" s="1884"/>
      <c r="VKY34" s="1884"/>
      <c r="VKZ34" s="1884"/>
      <c r="VLA34" s="1884"/>
      <c r="VLB34" s="1884"/>
      <c r="VLC34" s="1884"/>
      <c r="VLD34" s="1884"/>
      <c r="VLE34" s="1884"/>
      <c r="VLF34" s="1884"/>
      <c r="VLG34" s="1884"/>
      <c r="VLH34" s="1884"/>
      <c r="VLI34" s="1884"/>
      <c r="VLJ34" s="1884"/>
      <c r="VLK34" s="1884"/>
      <c r="VLL34" s="1884"/>
      <c r="VLM34" s="1884"/>
      <c r="VLN34" s="1884"/>
      <c r="VLO34" s="1884"/>
      <c r="VLP34" s="1884"/>
      <c r="VLQ34" s="1884"/>
      <c r="VLR34" s="1884"/>
      <c r="VLS34" s="1884"/>
      <c r="VLT34" s="1884"/>
      <c r="VLU34" s="1884"/>
      <c r="VLV34" s="1884"/>
      <c r="VLW34" s="1884"/>
      <c r="VLX34" s="1884"/>
      <c r="VLY34" s="1884"/>
      <c r="VLZ34" s="1884"/>
      <c r="VMA34" s="1884"/>
      <c r="VMB34" s="1884"/>
      <c r="VMC34" s="1884"/>
      <c r="VMD34" s="1884"/>
      <c r="VME34" s="1884"/>
      <c r="VMF34" s="1884"/>
      <c r="VMG34" s="1884"/>
      <c r="VMH34" s="1884"/>
      <c r="VMI34" s="1884"/>
      <c r="VMJ34" s="1884"/>
      <c r="VMK34" s="1884"/>
      <c r="VML34" s="1884"/>
      <c r="VMM34" s="1884"/>
      <c r="VMN34" s="1884"/>
      <c r="VMO34" s="1884"/>
      <c r="VMP34" s="1884"/>
      <c r="VMQ34" s="1884"/>
      <c r="VMR34" s="1884"/>
      <c r="VMS34" s="1884"/>
      <c r="VMT34" s="1884"/>
      <c r="VMU34" s="1884"/>
      <c r="VMV34" s="1884"/>
      <c r="VMW34" s="1884"/>
      <c r="VMX34" s="1884"/>
      <c r="VMY34" s="1884"/>
      <c r="VMZ34" s="1884"/>
      <c r="VNA34" s="1884"/>
      <c r="VNB34" s="1884"/>
      <c r="VNC34" s="1884"/>
      <c r="VND34" s="1884"/>
      <c r="VNE34" s="1884"/>
      <c r="VNF34" s="1884"/>
      <c r="VNG34" s="1884"/>
      <c r="VNH34" s="1884"/>
      <c r="VNI34" s="1884"/>
      <c r="VNJ34" s="1884"/>
      <c r="VNK34" s="1884"/>
      <c r="VNL34" s="1884"/>
      <c r="VNM34" s="1884"/>
      <c r="VNN34" s="1884"/>
      <c r="VNO34" s="1884"/>
      <c r="VNP34" s="1884"/>
      <c r="VNQ34" s="1884"/>
      <c r="VNR34" s="1884"/>
      <c r="VNS34" s="1884"/>
      <c r="VNT34" s="1884"/>
      <c r="VNU34" s="1884"/>
      <c r="VNV34" s="1884"/>
      <c r="VNW34" s="1884"/>
      <c r="VNX34" s="1884"/>
      <c r="VNY34" s="1884"/>
      <c r="VNZ34" s="1884"/>
      <c r="VOA34" s="1884"/>
      <c r="VOB34" s="1884"/>
      <c r="VOC34" s="1884"/>
      <c r="VOD34" s="1884"/>
      <c r="VOE34" s="1884"/>
      <c r="VOF34" s="1884"/>
      <c r="VOG34" s="1884"/>
      <c r="VOH34" s="1884"/>
      <c r="VOI34" s="1884"/>
      <c r="VOJ34" s="1884"/>
      <c r="VOK34" s="1884"/>
      <c r="VOL34" s="1884"/>
      <c r="VOM34" s="1884"/>
      <c r="VON34" s="1884"/>
      <c r="VOO34" s="1884"/>
      <c r="VOP34" s="1884"/>
      <c r="VOQ34" s="1884"/>
      <c r="VOR34" s="1884"/>
      <c r="VOS34" s="1884"/>
      <c r="VOT34" s="1884"/>
      <c r="VOU34" s="1884"/>
      <c r="VOV34" s="1884"/>
      <c r="VOW34" s="1884"/>
      <c r="VOX34" s="1884"/>
      <c r="VOY34" s="1884"/>
      <c r="VOZ34" s="1884"/>
      <c r="VPA34" s="1884"/>
      <c r="VPB34" s="1884"/>
      <c r="VPC34" s="1884"/>
      <c r="VPD34" s="1884"/>
      <c r="VPE34" s="1884"/>
      <c r="VPF34" s="1884"/>
      <c r="VPG34" s="1884"/>
      <c r="VPH34" s="1884"/>
      <c r="VPI34" s="1884"/>
      <c r="VPJ34" s="1884"/>
      <c r="VPK34" s="1884"/>
      <c r="VPL34" s="1884"/>
      <c r="VPM34" s="1884"/>
      <c r="VPN34" s="1884"/>
      <c r="VPO34" s="1884"/>
      <c r="VPP34" s="1884"/>
      <c r="VPQ34" s="1884"/>
      <c r="VPR34" s="1884"/>
      <c r="VPS34" s="1884"/>
      <c r="VPT34" s="1884"/>
      <c r="VPU34" s="1884"/>
      <c r="VPV34" s="1884"/>
      <c r="VPW34" s="1884"/>
      <c r="VPX34" s="1884"/>
      <c r="VPY34" s="1884"/>
      <c r="VPZ34" s="1884"/>
      <c r="VQA34" s="1884"/>
      <c r="VQB34" s="1884"/>
      <c r="VQC34" s="1884"/>
      <c r="VQD34" s="1884"/>
      <c r="VQE34" s="1884"/>
      <c r="VQF34" s="1884"/>
      <c r="VQG34" s="1884"/>
      <c r="VQH34" s="1884"/>
      <c r="VQI34" s="1884"/>
      <c r="VQJ34" s="1884"/>
      <c r="VQK34" s="1884"/>
      <c r="VQL34" s="1884"/>
      <c r="VQM34" s="1884"/>
      <c r="VQN34" s="1884"/>
      <c r="VQO34" s="1884"/>
      <c r="VQP34" s="1884"/>
      <c r="VQQ34" s="1884"/>
      <c r="VQR34" s="1884"/>
      <c r="VQS34" s="1884"/>
      <c r="VQT34" s="1884"/>
      <c r="VQU34" s="1884"/>
      <c r="VQV34" s="1884"/>
      <c r="VQW34" s="1884"/>
      <c r="VQX34" s="1884"/>
      <c r="VQY34" s="1884"/>
      <c r="VQZ34" s="1884"/>
      <c r="VRA34" s="1884"/>
      <c r="VRB34" s="1884"/>
      <c r="VRC34" s="1884"/>
      <c r="VRD34" s="1884"/>
      <c r="VRE34" s="1884"/>
      <c r="VRF34" s="1884"/>
      <c r="VRG34" s="1884"/>
      <c r="VRH34" s="1884"/>
      <c r="VRI34" s="1884"/>
      <c r="VRJ34" s="1884"/>
      <c r="VRK34" s="1884"/>
      <c r="VRL34" s="1884"/>
      <c r="VRM34" s="1884"/>
      <c r="VRN34" s="1884"/>
      <c r="VRO34" s="1884"/>
      <c r="VRP34" s="1884"/>
      <c r="VRQ34" s="1884"/>
      <c r="VRR34" s="1884"/>
      <c r="VRS34" s="1884"/>
      <c r="VRT34" s="1884"/>
      <c r="VRU34" s="1884"/>
      <c r="VRV34" s="1884"/>
      <c r="VRW34" s="1884"/>
      <c r="VRX34" s="1884"/>
      <c r="VRY34" s="1884"/>
      <c r="VRZ34" s="1884"/>
      <c r="VSA34" s="1884"/>
      <c r="VSB34" s="1884"/>
      <c r="VSC34" s="1884"/>
      <c r="VSD34" s="1884"/>
      <c r="VSE34" s="1884"/>
      <c r="VSF34" s="1884"/>
      <c r="VSG34" s="1884"/>
      <c r="VSH34" s="1884"/>
      <c r="VSI34" s="1884"/>
      <c r="VSJ34" s="1884"/>
      <c r="VSK34" s="1884"/>
      <c r="VSL34" s="1884"/>
      <c r="VSM34" s="1884"/>
      <c r="VSN34" s="1884"/>
      <c r="VSO34" s="1884"/>
      <c r="VSP34" s="1884"/>
      <c r="VSQ34" s="1884"/>
      <c r="VSR34" s="1884"/>
      <c r="VSS34" s="1884"/>
      <c r="VST34" s="1884"/>
      <c r="VSU34" s="1884"/>
      <c r="VSV34" s="1884"/>
      <c r="VSW34" s="1884"/>
      <c r="VSX34" s="1884"/>
      <c r="VSY34" s="1884"/>
      <c r="VSZ34" s="1884"/>
      <c r="VTA34" s="1884"/>
      <c r="VTB34" s="1884"/>
      <c r="VTC34" s="1884"/>
      <c r="VTD34" s="1884"/>
      <c r="VTE34" s="1884"/>
      <c r="VTF34" s="1884"/>
      <c r="VTG34" s="1884"/>
      <c r="VTH34" s="1884"/>
      <c r="VTI34" s="1884"/>
      <c r="VTJ34" s="1884"/>
      <c r="VTK34" s="1884"/>
      <c r="VTL34" s="1884"/>
      <c r="VTM34" s="1884"/>
      <c r="VTN34" s="1884"/>
      <c r="VTO34" s="1884"/>
      <c r="VTP34" s="1884"/>
      <c r="VTQ34" s="1884"/>
      <c r="VTR34" s="1884"/>
      <c r="VTS34" s="1884"/>
      <c r="VTT34" s="1884"/>
      <c r="VTU34" s="1884"/>
      <c r="VTV34" s="1884"/>
      <c r="VTW34" s="1884"/>
      <c r="VTX34" s="1884"/>
      <c r="VTY34" s="1884"/>
      <c r="VTZ34" s="1884"/>
      <c r="VUA34" s="1884"/>
      <c r="VUB34" s="1884"/>
      <c r="VUC34" s="1884"/>
      <c r="VUD34" s="1884"/>
      <c r="VUE34" s="1884"/>
      <c r="VUF34" s="1884"/>
      <c r="VUG34" s="1884"/>
      <c r="VUH34" s="1884"/>
      <c r="VUI34" s="1884"/>
      <c r="VUJ34" s="1884"/>
      <c r="VUK34" s="1884"/>
      <c r="VUL34" s="1884"/>
      <c r="VUM34" s="1884"/>
      <c r="VUN34" s="1884"/>
      <c r="VUO34" s="1884"/>
      <c r="VUP34" s="1884"/>
      <c r="VUQ34" s="1884"/>
      <c r="VUR34" s="1884"/>
      <c r="VUS34" s="1884"/>
      <c r="VUT34" s="1884"/>
      <c r="VUU34" s="1884"/>
      <c r="VUV34" s="1884"/>
      <c r="VUW34" s="1884"/>
      <c r="VUX34" s="1884"/>
      <c r="VUY34" s="1884"/>
      <c r="VUZ34" s="1884"/>
      <c r="VVA34" s="1884"/>
      <c r="VVB34" s="1884"/>
      <c r="VVC34" s="1884"/>
      <c r="VVD34" s="1884"/>
      <c r="VVE34" s="1884"/>
      <c r="VVF34" s="1884"/>
      <c r="VVG34" s="1884"/>
      <c r="VVH34" s="1884"/>
      <c r="VVI34" s="1884"/>
      <c r="VVJ34" s="1884"/>
      <c r="VVK34" s="1884"/>
      <c r="VVL34" s="1884"/>
      <c r="VVM34" s="1884"/>
      <c r="VVN34" s="1884"/>
      <c r="VVO34" s="1884"/>
      <c r="VVP34" s="1884"/>
      <c r="VVQ34" s="1884"/>
      <c r="VVR34" s="1884"/>
      <c r="VVS34" s="1884"/>
      <c r="VVT34" s="1884"/>
      <c r="VVU34" s="1884"/>
      <c r="VVV34" s="1884"/>
      <c r="VVW34" s="1884"/>
      <c r="VVX34" s="1884"/>
      <c r="VVY34" s="1884"/>
      <c r="VVZ34" s="1884"/>
      <c r="VWA34" s="1884"/>
      <c r="VWB34" s="1884"/>
      <c r="VWC34" s="1884"/>
      <c r="VWD34" s="1884"/>
      <c r="VWE34" s="1884"/>
      <c r="VWF34" s="1884"/>
      <c r="VWG34" s="1884"/>
      <c r="VWH34" s="1884"/>
      <c r="VWI34" s="1884"/>
      <c r="VWJ34" s="1884"/>
      <c r="VWK34" s="1884"/>
      <c r="VWL34" s="1884"/>
      <c r="VWM34" s="1884"/>
      <c r="VWN34" s="1884"/>
      <c r="VWO34" s="1884"/>
      <c r="VWP34" s="1884"/>
      <c r="VWQ34" s="1884"/>
      <c r="VWR34" s="1884"/>
      <c r="VWS34" s="1884"/>
      <c r="VWT34" s="1884"/>
      <c r="VWU34" s="1884"/>
      <c r="VWV34" s="1884"/>
      <c r="VWW34" s="1884"/>
      <c r="VWX34" s="1884"/>
      <c r="VWY34" s="1884"/>
      <c r="VWZ34" s="1884"/>
      <c r="VXA34" s="1884"/>
      <c r="VXB34" s="1884"/>
      <c r="VXC34" s="1884"/>
      <c r="VXD34" s="1884"/>
      <c r="VXE34" s="1884"/>
      <c r="VXF34" s="1884"/>
      <c r="VXG34" s="1884"/>
      <c r="VXH34" s="1884"/>
      <c r="VXI34" s="1884"/>
      <c r="VXJ34" s="1884"/>
      <c r="VXK34" s="1884"/>
      <c r="VXL34" s="1884"/>
      <c r="VXM34" s="1884"/>
      <c r="VXN34" s="1884"/>
      <c r="VXO34" s="1884"/>
      <c r="VXP34" s="1884"/>
      <c r="VXQ34" s="1884"/>
      <c r="VXR34" s="1884"/>
      <c r="VXS34" s="1884"/>
      <c r="VXT34" s="1884"/>
      <c r="VXU34" s="1884"/>
      <c r="VXV34" s="1884"/>
      <c r="VXW34" s="1884"/>
      <c r="VXX34" s="1884"/>
      <c r="VXY34" s="1884"/>
      <c r="VXZ34" s="1884"/>
      <c r="VYA34" s="1884"/>
      <c r="VYB34" s="1884"/>
      <c r="VYC34" s="1884"/>
      <c r="VYD34" s="1884"/>
      <c r="VYE34" s="1884"/>
      <c r="VYF34" s="1884"/>
      <c r="VYG34" s="1884"/>
      <c r="VYH34" s="1884"/>
      <c r="VYI34" s="1884"/>
      <c r="VYJ34" s="1884"/>
      <c r="VYK34" s="1884"/>
      <c r="VYL34" s="1884"/>
      <c r="VYM34" s="1884"/>
      <c r="VYN34" s="1884"/>
      <c r="VYO34" s="1884"/>
      <c r="VYP34" s="1884"/>
      <c r="VYQ34" s="1884"/>
      <c r="VYR34" s="1884"/>
      <c r="VYS34" s="1884"/>
      <c r="VYT34" s="1884"/>
      <c r="VYU34" s="1884"/>
      <c r="VYV34" s="1884"/>
      <c r="VYW34" s="1884"/>
      <c r="VYX34" s="1884"/>
      <c r="VYY34" s="1884"/>
      <c r="VYZ34" s="1884"/>
      <c r="VZA34" s="1884"/>
      <c r="VZB34" s="1884"/>
      <c r="VZC34" s="1884"/>
      <c r="VZD34" s="1884"/>
      <c r="VZE34" s="1884"/>
      <c r="VZF34" s="1884"/>
      <c r="VZG34" s="1884"/>
      <c r="VZH34" s="1884"/>
      <c r="VZI34" s="1884"/>
      <c r="VZJ34" s="1884"/>
      <c r="VZK34" s="1884"/>
      <c r="VZL34" s="1884"/>
      <c r="VZM34" s="1884"/>
      <c r="VZN34" s="1884"/>
      <c r="VZO34" s="1884"/>
      <c r="VZP34" s="1884"/>
      <c r="VZQ34" s="1884"/>
      <c r="VZR34" s="1884"/>
      <c r="VZS34" s="1884"/>
      <c r="VZT34" s="1884"/>
      <c r="VZU34" s="1884"/>
      <c r="VZV34" s="1884"/>
      <c r="VZW34" s="1884"/>
      <c r="VZX34" s="1884"/>
      <c r="VZY34" s="1884"/>
      <c r="VZZ34" s="1884"/>
      <c r="WAA34" s="1884"/>
      <c r="WAB34" s="1884"/>
      <c r="WAC34" s="1884"/>
      <c r="WAD34" s="1884"/>
      <c r="WAE34" s="1884"/>
      <c r="WAF34" s="1884"/>
      <c r="WAG34" s="1884"/>
      <c r="WAH34" s="1884"/>
      <c r="WAI34" s="1884"/>
      <c r="WAJ34" s="1884"/>
      <c r="WAK34" s="1884"/>
      <c r="WAL34" s="1884"/>
      <c r="WAM34" s="1884"/>
      <c r="WAN34" s="1884"/>
      <c r="WAO34" s="1884"/>
      <c r="WAP34" s="1884"/>
      <c r="WAQ34" s="1884"/>
      <c r="WAR34" s="1884"/>
      <c r="WAS34" s="1884"/>
      <c r="WAT34" s="1884"/>
      <c r="WAU34" s="1884"/>
      <c r="WAV34" s="1884"/>
      <c r="WAW34" s="1884"/>
      <c r="WAX34" s="1884"/>
      <c r="WAY34" s="1884"/>
      <c r="WAZ34" s="1884"/>
      <c r="WBA34" s="1884"/>
      <c r="WBB34" s="1884"/>
      <c r="WBC34" s="1884"/>
      <c r="WBD34" s="1884"/>
      <c r="WBE34" s="1884"/>
      <c r="WBF34" s="1884"/>
      <c r="WBG34" s="1884"/>
      <c r="WBH34" s="1884"/>
      <c r="WBI34" s="1884"/>
      <c r="WBJ34" s="1884"/>
      <c r="WBK34" s="1884"/>
      <c r="WBL34" s="1884"/>
      <c r="WBM34" s="1884"/>
      <c r="WBN34" s="1884"/>
      <c r="WBO34" s="1884"/>
      <c r="WBP34" s="1884"/>
      <c r="WBQ34" s="1884"/>
      <c r="WBR34" s="1884"/>
      <c r="WBS34" s="1884"/>
      <c r="WBT34" s="1884"/>
      <c r="WBU34" s="1884"/>
      <c r="WBV34" s="1884"/>
      <c r="WBW34" s="1884"/>
      <c r="WBX34" s="1884"/>
      <c r="WBY34" s="1884"/>
      <c r="WBZ34" s="1884"/>
      <c r="WCA34" s="1884"/>
      <c r="WCB34" s="1884"/>
      <c r="WCC34" s="1884"/>
      <c r="WCD34" s="1884"/>
      <c r="WCE34" s="1884"/>
      <c r="WCF34" s="1884"/>
      <c r="WCG34" s="1884"/>
      <c r="WCH34" s="1884"/>
      <c r="WCI34" s="1884"/>
      <c r="WCJ34" s="1884"/>
      <c r="WCK34" s="1884"/>
      <c r="WCL34" s="1884"/>
      <c r="WCM34" s="1884"/>
      <c r="WCN34" s="1884"/>
      <c r="WCO34" s="1884"/>
      <c r="WCP34" s="1884"/>
      <c r="WCQ34" s="1884"/>
      <c r="WCR34" s="1884"/>
      <c r="WCS34" s="1884"/>
      <c r="WCT34" s="1884"/>
      <c r="WCU34" s="1884"/>
      <c r="WCV34" s="1884"/>
      <c r="WCW34" s="1884"/>
      <c r="WCX34" s="1884"/>
      <c r="WCY34" s="1884"/>
      <c r="WCZ34" s="1884"/>
      <c r="WDA34" s="1884"/>
      <c r="WDB34" s="1884"/>
      <c r="WDC34" s="1884"/>
      <c r="WDD34" s="1884"/>
      <c r="WDE34" s="1884"/>
      <c r="WDF34" s="1884"/>
      <c r="WDG34" s="1884"/>
      <c r="WDH34" s="1884"/>
      <c r="WDI34" s="1884"/>
      <c r="WDJ34" s="1884"/>
      <c r="WDK34" s="1884"/>
      <c r="WDL34" s="1884"/>
      <c r="WDM34" s="1884"/>
      <c r="WDN34" s="1884"/>
      <c r="WDO34" s="1884"/>
      <c r="WDP34" s="1884"/>
      <c r="WDQ34" s="1884"/>
      <c r="WDR34" s="1884"/>
      <c r="WDS34" s="1884"/>
      <c r="WDT34" s="1884"/>
      <c r="WDU34" s="1884"/>
      <c r="WDV34" s="1884"/>
      <c r="WDW34" s="1884"/>
      <c r="WDX34" s="1884"/>
      <c r="WDY34" s="1884"/>
      <c r="WDZ34" s="1884"/>
      <c r="WEA34" s="1884"/>
      <c r="WEB34" s="1884"/>
      <c r="WEC34" s="1884"/>
      <c r="WED34" s="1884"/>
      <c r="WEE34" s="1884"/>
      <c r="WEF34" s="1884"/>
      <c r="WEG34" s="1884"/>
      <c r="WEH34" s="1884"/>
      <c r="WEI34" s="1884"/>
      <c r="WEJ34" s="1884"/>
      <c r="WEK34" s="1884"/>
      <c r="WEL34" s="1884"/>
      <c r="WEM34" s="1884"/>
      <c r="WEN34" s="1884"/>
      <c r="WEO34" s="1884"/>
      <c r="WEP34" s="1884"/>
      <c r="WEQ34" s="1884"/>
      <c r="WER34" s="1884"/>
      <c r="WES34" s="1884"/>
      <c r="WET34" s="1884"/>
      <c r="WEU34" s="1884"/>
      <c r="WEV34" s="1884"/>
      <c r="WEW34" s="1884"/>
      <c r="WEX34" s="1884"/>
      <c r="WEY34" s="1884"/>
      <c r="WEZ34" s="1884"/>
      <c r="WFA34" s="1884"/>
      <c r="WFB34" s="1884"/>
      <c r="WFC34" s="1884"/>
      <c r="WFD34" s="1884"/>
      <c r="WFE34" s="1884"/>
      <c r="WFF34" s="1884"/>
      <c r="WFG34" s="1884"/>
      <c r="WFH34" s="1884"/>
      <c r="WFI34" s="1884"/>
      <c r="WFJ34" s="1884"/>
      <c r="WFK34" s="1884"/>
      <c r="WFL34" s="1884"/>
      <c r="WFM34" s="1884"/>
      <c r="WFN34" s="1884"/>
      <c r="WFO34" s="1884"/>
      <c r="WFP34" s="1884"/>
      <c r="WFQ34" s="1884"/>
      <c r="WFR34" s="1884"/>
      <c r="WFS34" s="1884"/>
      <c r="WFT34" s="1884"/>
      <c r="WFU34" s="1884"/>
      <c r="WFV34" s="1884"/>
      <c r="WFW34" s="1884"/>
      <c r="WFX34" s="1884"/>
      <c r="WFY34" s="1884"/>
      <c r="WFZ34" s="1884"/>
      <c r="WGA34" s="1884"/>
      <c r="WGB34" s="1884"/>
      <c r="WGC34" s="1884"/>
      <c r="WGD34" s="1884"/>
      <c r="WGE34" s="1884"/>
      <c r="WGF34" s="1884"/>
      <c r="WGG34" s="1884"/>
      <c r="WGH34" s="1884"/>
      <c r="WGI34" s="1884"/>
      <c r="WGJ34" s="1884"/>
      <c r="WGK34" s="1884"/>
      <c r="WGL34" s="1884"/>
      <c r="WGM34" s="1884"/>
      <c r="WGN34" s="1884"/>
      <c r="WGO34" s="1884"/>
      <c r="WGP34" s="1884"/>
      <c r="WGQ34" s="1884"/>
      <c r="WGR34" s="1884"/>
      <c r="WGS34" s="1884"/>
      <c r="WGT34" s="1884"/>
      <c r="WGU34" s="1884"/>
      <c r="WGV34" s="1884"/>
      <c r="WGW34" s="1884"/>
      <c r="WGX34" s="1884"/>
      <c r="WGY34" s="1884"/>
      <c r="WGZ34" s="1884"/>
      <c r="WHA34" s="1884"/>
      <c r="WHB34" s="1884"/>
      <c r="WHC34" s="1884"/>
      <c r="WHD34" s="1884"/>
      <c r="WHE34" s="1884"/>
      <c r="WHF34" s="1884"/>
      <c r="WHG34" s="1884"/>
      <c r="WHH34" s="1884"/>
      <c r="WHI34" s="1884"/>
      <c r="WHJ34" s="1884"/>
      <c r="WHK34" s="1884"/>
      <c r="WHL34" s="1884"/>
      <c r="WHM34" s="1884"/>
      <c r="WHN34" s="1884"/>
      <c r="WHO34" s="1884"/>
      <c r="WHP34" s="1884"/>
      <c r="WHQ34" s="1884"/>
      <c r="WHR34" s="1884"/>
      <c r="WHS34" s="1884"/>
      <c r="WHT34" s="1884"/>
      <c r="WHU34" s="1884"/>
      <c r="WHV34" s="1884"/>
      <c r="WHW34" s="1884"/>
      <c r="WHX34" s="1884"/>
      <c r="WHY34" s="1884"/>
      <c r="WHZ34" s="1884"/>
      <c r="WIA34" s="1884"/>
      <c r="WIB34" s="1884"/>
      <c r="WIC34" s="1884"/>
      <c r="WID34" s="1884"/>
      <c r="WIE34" s="1884"/>
      <c r="WIF34" s="1884"/>
      <c r="WIG34" s="1884"/>
      <c r="WIH34" s="1884"/>
      <c r="WII34" s="1884"/>
      <c r="WIJ34" s="1884"/>
      <c r="WIK34" s="1884"/>
      <c r="WIL34" s="1884"/>
      <c r="WIM34" s="1884"/>
      <c r="WIN34" s="1884"/>
      <c r="WIO34" s="1884"/>
      <c r="WIP34" s="1884"/>
      <c r="WIQ34" s="1884"/>
      <c r="WIR34" s="1884"/>
      <c r="WIS34" s="1884"/>
      <c r="WIT34" s="1884"/>
      <c r="WIU34" s="1884"/>
      <c r="WIV34" s="1884"/>
      <c r="WIW34" s="1884"/>
      <c r="WIX34" s="1884"/>
      <c r="WIY34" s="1884"/>
      <c r="WIZ34" s="1884"/>
      <c r="WJA34" s="1884"/>
      <c r="WJB34" s="1884"/>
      <c r="WJC34" s="1884"/>
      <c r="WJD34" s="1884"/>
      <c r="WJE34" s="1884"/>
      <c r="WJF34" s="1884"/>
      <c r="WJG34" s="1884"/>
      <c r="WJH34" s="1884"/>
      <c r="WJI34" s="1884"/>
      <c r="WJJ34" s="1884"/>
      <c r="WJK34" s="1884"/>
      <c r="WJL34" s="1884"/>
      <c r="WJM34" s="1884"/>
      <c r="WJN34" s="1884"/>
      <c r="WJO34" s="1884"/>
      <c r="WJP34" s="1884"/>
      <c r="WJQ34" s="1884"/>
      <c r="WJR34" s="1884"/>
      <c r="WJS34" s="1884"/>
      <c r="WJT34" s="1884"/>
      <c r="WJU34" s="1884"/>
      <c r="WJV34" s="1884"/>
      <c r="WJW34" s="1884"/>
      <c r="WJX34" s="1884"/>
      <c r="WJY34" s="1884"/>
      <c r="WJZ34" s="1884"/>
      <c r="WKA34" s="1884"/>
      <c r="WKB34" s="1884"/>
      <c r="WKC34" s="1884"/>
      <c r="WKD34" s="1884"/>
      <c r="WKE34" s="1884"/>
      <c r="WKF34" s="1884"/>
      <c r="WKG34" s="1884"/>
      <c r="WKH34" s="1884"/>
      <c r="WKI34" s="1884"/>
      <c r="WKJ34" s="1884"/>
      <c r="WKK34" s="1884"/>
      <c r="WKL34" s="1884"/>
      <c r="WKM34" s="1884"/>
      <c r="WKN34" s="1884"/>
      <c r="WKO34" s="1884"/>
      <c r="WKP34" s="1884"/>
      <c r="WKQ34" s="1884"/>
      <c r="WKR34" s="1884"/>
      <c r="WKS34" s="1884"/>
      <c r="WKT34" s="1884"/>
      <c r="WKU34" s="1884"/>
      <c r="WKV34" s="1884"/>
      <c r="WKW34" s="1884"/>
      <c r="WKX34" s="1884"/>
      <c r="WKY34" s="1884"/>
      <c r="WKZ34" s="1884"/>
      <c r="WLA34" s="1884"/>
      <c r="WLB34" s="1884"/>
      <c r="WLC34" s="1884"/>
      <c r="WLD34" s="1884"/>
      <c r="WLE34" s="1884"/>
      <c r="WLF34" s="1884"/>
      <c r="WLG34" s="1884"/>
      <c r="WLH34" s="1884"/>
      <c r="WLI34" s="1884"/>
      <c r="WLJ34" s="1884"/>
      <c r="WLK34" s="1884"/>
      <c r="WLL34" s="1884"/>
      <c r="WLM34" s="1884"/>
      <c r="WLN34" s="1884"/>
      <c r="WLO34" s="1884"/>
      <c r="WLP34" s="1884"/>
      <c r="WLQ34" s="1884"/>
      <c r="WLR34" s="1884"/>
      <c r="WLS34" s="1884"/>
      <c r="WLT34" s="1884"/>
      <c r="WLU34" s="1884"/>
      <c r="WLV34" s="1884"/>
      <c r="WLW34" s="1884"/>
      <c r="WLX34" s="1884"/>
      <c r="WLY34" s="1884"/>
      <c r="WLZ34" s="1884"/>
      <c r="WMA34" s="1884"/>
      <c r="WMB34" s="1884"/>
      <c r="WMC34" s="1884"/>
      <c r="WMD34" s="1884"/>
      <c r="WME34" s="1884"/>
      <c r="WMF34" s="1884"/>
      <c r="WMG34" s="1884"/>
      <c r="WMH34" s="1884"/>
      <c r="WMI34" s="1884"/>
      <c r="WMJ34" s="1884"/>
      <c r="WMK34" s="1884"/>
      <c r="WML34" s="1884"/>
      <c r="WMM34" s="1884"/>
      <c r="WMN34" s="1884"/>
      <c r="WMO34" s="1884"/>
      <c r="WMP34" s="1884"/>
      <c r="WMQ34" s="1884"/>
      <c r="WMR34" s="1884"/>
      <c r="WMS34" s="1884"/>
      <c r="WMT34" s="1884"/>
      <c r="WMU34" s="1884"/>
      <c r="WMV34" s="1884"/>
      <c r="WMW34" s="1884"/>
      <c r="WMX34" s="1884"/>
      <c r="WMY34" s="1884"/>
      <c r="WMZ34" s="1884"/>
      <c r="WNA34" s="1884"/>
      <c r="WNB34" s="1884"/>
      <c r="WNC34" s="1884"/>
      <c r="WND34" s="1884"/>
      <c r="WNE34" s="1884"/>
      <c r="WNF34" s="1884"/>
      <c r="WNG34" s="1884"/>
      <c r="WNH34" s="1884"/>
      <c r="WNI34" s="1884"/>
      <c r="WNJ34" s="1884"/>
      <c r="WNK34" s="1884"/>
      <c r="WNL34" s="1884"/>
      <c r="WNM34" s="1884"/>
      <c r="WNN34" s="1884"/>
      <c r="WNO34" s="1884"/>
      <c r="WNP34" s="1884"/>
      <c r="WNQ34" s="1884"/>
      <c r="WNR34" s="1884"/>
      <c r="WNS34" s="1884"/>
      <c r="WNT34" s="1884"/>
      <c r="WNU34" s="1884"/>
      <c r="WNV34" s="1884"/>
      <c r="WNW34" s="1884"/>
      <c r="WNX34" s="1884"/>
      <c r="WNY34" s="1884"/>
      <c r="WNZ34" s="1884"/>
      <c r="WOA34" s="1884"/>
      <c r="WOB34" s="1884"/>
      <c r="WOC34" s="1884"/>
      <c r="WOD34" s="1884"/>
      <c r="WOE34" s="1884"/>
      <c r="WOF34" s="1884"/>
      <c r="WOG34" s="1884"/>
      <c r="WOH34" s="1884"/>
      <c r="WOI34" s="1884"/>
      <c r="WOJ34" s="1884"/>
      <c r="WOK34" s="1884"/>
      <c r="WOL34" s="1884"/>
      <c r="WOM34" s="1884"/>
      <c r="WON34" s="1884"/>
      <c r="WOO34" s="1884"/>
      <c r="WOP34" s="1884"/>
      <c r="WOQ34" s="1884"/>
      <c r="WOR34" s="1884"/>
      <c r="WOS34" s="1884"/>
      <c r="WOT34" s="1884"/>
      <c r="WOU34" s="1884"/>
      <c r="WOV34" s="1884"/>
      <c r="WOW34" s="1884"/>
      <c r="WOX34" s="1884"/>
      <c r="WOY34" s="1884"/>
      <c r="WOZ34" s="1884"/>
      <c r="WPA34" s="1884"/>
      <c r="WPB34" s="1884"/>
      <c r="WPC34" s="1884"/>
      <c r="WPD34" s="1884"/>
      <c r="WPE34" s="1884"/>
      <c r="WPF34" s="1884"/>
      <c r="WPG34" s="1884"/>
      <c r="WPH34" s="1884"/>
      <c r="WPI34" s="1884"/>
      <c r="WPJ34" s="1884"/>
      <c r="WPK34" s="1884"/>
      <c r="WPL34" s="1884"/>
      <c r="WPM34" s="1884"/>
      <c r="WPN34" s="1884"/>
      <c r="WPO34" s="1884"/>
      <c r="WPP34" s="1884"/>
      <c r="WPQ34" s="1884"/>
      <c r="WPR34" s="1884"/>
      <c r="WPS34" s="1884"/>
      <c r="WPT34" s="1884"/>
      <c r="WPU34" s="1884"/>
      <c r="WPV34" s="1884"/>
      <c r="WPW34" s="1884"/>
      <c r="WPX34" s="1884"/>
      <c r="WPY34" s="1884"/>
      <c r="WPZ34" s="1884"/>
      <c r="WQA34" s="1884"/>
      <c r="WQB34" s="1884"/>
      <c r="WQC34" s="1884"/>
      <c r="WQD34" s="1884"/>
      <c r="WQE34" s="1884"/>
      <c r="WQF34" s="1884"/>
      <c r="WQG34" s="1884"/>
      <c r="WQH34" s="1884"/>
      <c r="WQI34" s="1884"/>
      <c r="WQJ34" s="1884"/>
      <c r="WQK34" s="1884"/>
      <c r="WQL34" s="1884"/>
      <c r="WQM34" s="1884"/>
      <c r="WQN34" s="1884"/>
      <c r="WQO34" s="1884"/>
      <c r="WQP34" s="1884"/>
      <c r="WQQ34" s="1884"/>
      <c r="WQR34" s="1884"/>
      <c r="WQS34" s="1884"/>
      <c r="WQT34" s="1884"/>
      <c r="WQU34" s="1884"/>
      <c r="WQV34" s="1884"/>
      <c r="WQW34" s="1884"/>
      <c r="WQX34" s="1884"/>
      <c r="WQY34" s="1884"/>
      <c r="WQZ34" s="1884"/>
      <c r="WRA34" s="1884"/>
      <c r="WRB34" s="1884"/>
      <c r="WRC34" s="1884"/>
      <c r="WRD34" s="1884"/>
      <c r="WRE34" s="1884"/>
      <c r="WRF34" s="1884"/>
      <c r="WRG34" s="1884"/>
      <c r="WRH34" s="1884"/>
      <c r="WRI34" s="1884"/>
      <c r="WRJ34" s="1884"/>
      <c r="WRK34" s="1884"/>
      <c r="WRL34" s="1884"/>
      <c r="WRM34" s="1884"/>
      <c r="WRN34" s="1884"/>
      <c r="WRO34" s="1884"/>
      <c r="WRP34" s="1884"/>
      <c r="WRQ34" s="1884"/>
      <c r="WRR34" s="1884"/>
      <c r="WRS34" s="1884"/>
      <c r="WRT34" s="1884"/>
      <c r="WRU34" s="1884"/>
      <c r="WRV34" s="1884"/>
      <c r="WRW34" s="1884"/>
      <c r="WRX34" s="1884"/>
      <c r="WRY34" s="1884"/>
      <c r="WRZ34" s="1884"/>
      <c r="WSA34" s="1884"/>
      <c r="WSB34" s="1884"/>
      <c r="WSC34" s="1884"/>
      <c r="WSD34" s="1884"/>
      <c r="WSE34" s="1884"/>
      <c r="WSF34" s="1884"/>
      <c r="WSG34" s="1884"/>
      <c r="WSH34" s="1884"/>
      <c r="WSI34" s="1884"/>
      <c r="WSJ34" s="1884"/>
      <c r="WSK34" s="1884"/>
      <c r="WSL34" s="1884"/>
      <c r="WSM34" s="1884"/>
      <c r="WSN34" s="1884"/>
      <c r="WSO34" s="1884"/>
      <c r="WSP34" s="1884"/>
      <c r="WSQ34" s="1884"/>
      <c r="WSR34" s="1884"/>
      <c r="WSS34" s="1884"/>
      <c r="WST34" s="1884"/>
      <c r="WSU34" s="1884"/>
      <c r="WSV34" s="1884"/>
      <c r="WSW34" s="1884"/>
      <c r="WSX34" s="1884"/>
      <c r="WSY34" s="1884"/>
      <c r="WSZ34" s="1884"/>
      <c r="WTA34" s="1884"/>
      <c r="WTB34" s="1884"/>
      <c r="WTC34" s="1884"/>
      <c r="WTD34" s="1884"/>
      <c r="WTE34" s="1884"/>
      <c r="WTF34" s="1884"/>
      <c r="WTG34" s="1884"/>
      <c r="WTH34" s="1884"/>
      <c r="WTI34" s="1884"/>
      <c r="WTJ34" s="1884"/>
      <c r="WTK34" s="1884"/>
      <c r="WTL34" s="1884"/>
      <c r="WTM34" s="1884"/>
      <c r="WTN34" s="1884"/>
      <c r="WTO34" s="1884"/>
      <c r="WTP34" s="1884"/>
      <c r="WTQ34" s="1884"/>
      <c r="WTR34" s="1884"/>
      <c r="WTS34" s="1884"/>
      <c r="WTT34" s="1884"/>
      <c r="WTU34" s="1884"/>
      <c r="WTV34" s="1884"/>
      <c r="WTW34" s="1884"/>
      <c r="WTX34" s="1884"/>
      <c r="WTY34" s="1884"/>
      <c r="WTZ34" s="1884"/>
      <c r="WUA34" s="1884"/>
      <c r="WUB34" s="1884"/>
      <c r="WUC34" s="1884"/>
      <c r="WUD34" s="1884"/>
      <c r="WUE34" s="1884"/>
      <c r="WUF34" s="1884"/>
      <c r="WUG34" s="1884"/>
      <c r="WUH34" s="1884"/>
      <c r="WUI34" s="1884"/>
      <c r="WUJ34" s="1884"/>
      <c r="WUK34" s="1884"/>
      <c r="WUL34" s="1884"/>
      <c r="WUM34" s="1884"/>
      <c r="WUN34" s="1884"/>
      <c r="WUO34" s="1884"/>
      <c r="WUP34" s="1884"/>
      <c r="WUQ34" s="1884"/>
      <c r="WUR34" s="1884"/>
      <c r="WUS34" s="1884"/>
      <c r="WUT34" s="1884"/>
      <c r="WUU34" s="1884"/>
      <c r="WUV34" s="1884"/>
      <c r="WUW34" s="1884"/>
      <c r="WUX34" s="1884"/>
      <c r="WUY34" s="1884"/>
      <c r="WUZ34" s="1884"/>
      <c r="WVA34" s="1884"/>
      <c r="WVB34" s="1884"/>
      <c r="WVC34" s="1884"/>
      <c r="WVD34" s="1884"/>
      <c r="WVE34" s="1884"/>
      <c r="WVF34" s="1884"/>
      <c r="WVG34" s="1884"/>
      <c r="WVH34" s="1884"/>
      <c r="WVI34" s="1884"/>
      <c r="WVJ34" s="1884"/>
      <c r="WVK34" s="1884"/>
      <c r="WVL34" s="1884"/>
      <c r="WVM34" s="1884"/>
      <c r="WVN34" s="1884"/>
      <c r="WVO34" s="1884"/>
      <c r="WVP34" s="1884"/>
      <c r="WVQ34" s="1884"/>
      <c r="WVR34" s="1884"/>
      <c r="WVS34" s="1884"/>
      <c r="WVT34" s="1884"/>
      <c r="WVU34" s="1884"/>
      <c r="WVV34" s="1884"/>
      <c r="WVW34" s="1884"/>
      <c r="WVX34" s="1884"/>
      <c r="WVY34" s="1884"/>
      <c r="WVZ34" s="1884"/>
      <c r="WWA34" s="1884"/>
      <c r="WWB34" s="1884"/>
      <c r="WWC34" s="1884"/>
      <c r="WWD34" s="1884"/>
      <c r="WWE34" s="1884"/>
      <c r="WWF34" s="1884"/>
      <c r="WWG34" s="1884"/>
      <c r="WWH34" s="1884"/>
      <c r="WWI34" s="1884"/>
      <c r="WWJ34" s="1884"/>
      <c r="WWK34" s="1884"/>
      <c r="WWL34" s="1884"/>
      <c r="WWM34" s="1884"/>
      <c r="WWN34" s="1884"/>
      <c r="WWO34" s="1884"/>
      <c r="WWP34" s="1884"/>
      <c r="WWQ34" s="1884"/>
      <c r="WWR34" s="1884"/>
      <c r="WWS34" s="1884"/>
      <c r="WWT34" s="1884"/>
      <c r="WWU34" s="1884"/>
      <c r="WWV34" s="1884"/>
      <c r="WWW34" s="1884"/>
      <c r="WWX34" s="1884"/>
      <c r="WWY34" s="1884"/>
      <c r="WWZ34" s="1884"/>
      <c r="WXA34" s="1884"/>
      <c r="WXB34" s="1884"/>
      <c r="WXC34" s="1884"/>
      <c r="WXD34" s="1884"/>
      <c r="WXE34" s="1884"/>
      <c r="WXF34" s="1884"/>
      <c r="WXG34" s="1884"/>
      <c r="WXH34" s="1884"/>
      <c r="WXI34" s="1884"/>
      <c r="WXJ34" s="1884"/>
      <c r="WXK34" s="1884"/>
      <c r="WXL34" s="1884"/>
      <c r="WXM34" s="1884"/>
      <c r="WXN34" s="1884"/>
      <c r="WXO34" s="1884"/>
      <c r="WXP34" s="1884"/>
      <c r="WXQ34" s="1884"/>
      <c r="WXR34" s="1884"/>
      <c r="WXS34" s="1884"/>
      <c r="WXT34" s="1884"/>
      <c r="WXU34" s="1884"/>
      <c r="WXV34" s="1884"/>
      <c r="WXW34" s="1884"/>
      <c r="WXX34" s="1884"/>
      <c r="WXY34" s="1884"/>
      <c r="WXZ34" s="1884"/>
      <c r="WYA34" s="1884"/>
      <c r="WYB34" s="1884"/>
      <c r="WYC34" s="1884"/>
      <c r="WYD34" s="1884"/>
      <c r="WYE34" s="1884"/>
      <c r="WYF34" s="1884"/>
      <c r="WYG34" s="1884"/>
      <c r="WYH34" s="1884"/>
      <c r="WYI34" s="1884"/>
      <c r="WYJ34" s="1884"/>
      <c r="WYK34" s="1884"/>
      <c r="WYL34" s="1884"/>
      <c r="WYM34" s="1884"/>
      <c r="WYN34" s="1884"/>
      <c r="WYO34" s="1884"/>
      <c r="WYP34" s="1884"/>
      <c r="WYQ34" s="1884"/>
      <c r="WYR34" s="1884"/>
      <c r="WYS34" s="1884"/>
      <c r="WYT34" s="1884"/>
      <c r="WYU34" s="1884"/>
      <c r="WYV34" s="1884"/>
      <c r="WYW34" s="1884"/>
      <c r="WYX34" s="1884"/>
      <c r="WYY34" s="1884"/>
      <c r="WYZ34" s="1884"/>
      <c r="WZA34" s="1884"/>
      <c r="WZB34" s="1884"/>
      <c r="WZC34" s="1884"/>
      <c r="WZD34" s="1884"/>
      <c r="WZE34" s="1884"/>
      <c r="WZF34" s="1884"/>
      <c r="WZG34" s="1884"/>
      <c r="WZH34" s="1884"/>
      <c r="WZI34" s="1884"/>
      <c r="WZJ34" s="1884"/>
      <c r="WZK34" s="1884"/>
      <c r="WZL34" s="1884"/>
      <c r="WZM34" s="1884"/>
      <c r="WZN34" s="1884"/>
      <c r="WZO34" s="1884"/>
      <c r="WZP34" s="1884"/>
      <c r="WZQ34" s="1884"/>
      <c r="WZR34" s="1884"/>
      <c r="WZS34" s="1884"/>
      <c r="WZT34" s="1884"/>
      <c r="WZU34" s="1884"/>
      <c r="WZV34" s="1884"/>
      <c r="WZW34" s="1884"/>
      <c r="WZX34" s="1884"/>
      <c r="WZY34" s="1884"/>
      <c r="WZZ34" s="1884"/>
      <c r="XAA34" s="1884"/>
      <c r="XAB34" s="1884"/>
      <c r="XAC34" s="1884"/>
      <c r="XAD34" s="1884"/>
      <c r="XAE34" s="1884"/>
      <c r="XAF34" s="1884"/>
      <c r="XAG34" s="1884"/>
      <c r="XAH34" s="1884"/>
      <c r="XAI34" s="1884"/>
      <c r="XAJ34" s="1884"/>
      <c r="XAK34" s="1884"/>
      <c r="XAL34" s="1884"/>
      <c r="XAM34" s="1884"/>
      <c r="XAN34" s="1884"/>
      <c r="XAO34" s="1884"/>
      <c r="XAP34" s="1884"/>
      <c r="XAQ34" s="1884"/>
      <c r="XAR34" s="1884"/>
      <c r="XAS34" s="1884"/>
      <c r="XAT34" s="1884"/>
      <c r="XAU34" s="1884"/>
      <c r="XAV34" s="1884"/>
      <c r="XAW34" s="1884"/>
      <c r="XAX34" s="1884"/>
      <c r="XAY34" s="1884"/>
      <c r="XAZ34" s="1884"/>
      <c r="XBA34" s="1884"/>
      <c r="XBB34" s="1884"/>
      <c r="XBC34" s="1884"/>
      <c r="XBD34" s="1884"/>
      <c r="XBE34" s="1884"/>
      <c r="XBF34" s="1884"/>
      <c r="XBG34" s="1884"/>
      <c r="XBH34" s="1884"/>
      <c r="XBI34" s="1884"/>
      <c r="XBJ34" s="1884"/>
      <c r="XBK34" s="1884"/>
      <c r="XBL34" s="1884"/>
      <c r="XBM34" s="1884"/>
      <c r="XBN34" s="1884"/>
      <c r="XBO34" s="1884"/>
      <c r="XBP34" s="1884"/>
      <c r="XBQ34" s="1884"/>
      <c r="XBR34" s="1884"/>
      <c r="XBS34" s="1884"/>
      <c r="XBT34" s="1884"/>
      <c r="XBU34" s="1884"/>
      <c r="XBV34" s="1884"/>
      <c r="XBW34" s="1884"/>
      <c r="XBX34" s="1884"/>
      <c r="XBY34" s="1884"/>
      <c r="XBZ34" s="1884"/>
      <c r="XCA34" s="1884"/>
      <c r="XCB34" s="1884"/>
      <c r="XCC34" s="1884"/>
      <c r="XCD34" s="1884"/>
      <c r="XCE34" s="1884"/>
      <c r="XCF34" s="1884"/>
      <c r="XCG34" s="1884"/>
      <c r="XCH34" s="1884"/>
      <c r="XCI34" s="1884"/>
      <c r="XCJ34" s="1884"/>
      <c r="XCK34" s="1884"/>
      <c r="XCL34" s="1884"/>
      <c r="XCM34" s="1884"/>
      <c r="XCN34" s="1884"/>
      <c r="XCO34" s="1884"/>
      <c r="XCP34" s="1884"/>
      <c r="XCQ34" s="1884"/>
      <c r="XCR34" s="1884"/>
      <c r="XCS34" s="1884"/>
      <c r="XCT34" s="1884"/>
      <c r="XCU34" s="1884"/>
      <c r="XCV34" s="1884"/>
      <c r="XCW34" s="1884"/>
      <c r="XCX34" s="1884"/>
      <c r="XCY34" s="1884"/>
      <c r="XCZ34" s="1884"/>
      <c r="XDA34" s="1884"/>
      <c r="XDB34" s="1884"/>
      <c r="XDC34" s="1884"/>
      <c r="XDD34" s="1884"/>
      <c r="XDE34" s="1884"/>
      <c r="XDF34" s="1884"/>
      <c r="XDG34" s="1884"/>
      <c r="XDH34" s="1884"/>
      <c r="XDI34" s="1884"/>
      <c r="XDJ34" s="1884"/>
      <c r="XDK34" s="1884"/>
      <c r="XDL34" s="1884"/>
      <c r="XDM34" s="1884"/>
      <c r="XDN34" s="1884"/>
      <c r="XDO34" s="1884"/>
      <c r="XDP34" s="1884"/>
      <c r="XDQ34" s="1884"/>
      <c r="XDR34" s="1884"/>
      <c r="XDS34" s="1884"/>
      <c r="XDT34" s="1884"/>
      <c r="XDU34" s="1884"/>
      <c r="XDV34" s="1884"/>
      <c r="XDW34" s="1884"/>
      <c r="XDX34" s="1884"/>
      <c r="XDY34" s="1884"/>
      <c r="XDZ34" s="1884"/>
      <c r="XEA34" s="1884"/>
      <c r="XEB34" s="1884"/>
      <c r="XEC34" s="1884"/>
      <c r="XED34" s="1884"/>
      <c r="XEE34" s="1884"/>
      <c r="XEF34" s="1884"/>
      <c r="XEG34" s="1884"/>
      <c r="XEH34" s="1884"/>
      <c r="XEI34" s="1884"/>
      <c r="XEJ34" s="1884"/>
      <c r="XEK34" s="1884"/>
      <c r="XEL34" s="1884"/>
      <c r="XEM34" s="1884"/>
      <c r="XEN34" s="1884"/>
      <c r="XEO34" s="1884"/>
      <c r="XEP34" s="1884"/>
      <c r="XEQ34" s="1884"/>
      <c r="XER34" s="1884"/>
      <c r="XES34" s="1884"/>
      <c r="XET34" s="1884"/>
      <c r="XEU34" s="1884"/>
      <c r="XEV34" s="1884"/>
      <c r="XEW34" s="1884"/>
      <c r="XEX34" s="1884"/>
      <c r="XEY34" s="1884"/>
      <c r="XEZ34" s="1884"/>
      <c r="XFA34" s="1884"/>
      <c r="XFB34" s="1884"/>
      <c r="XFC34" s="1884"/>
      <c r="XFD34" s="1884"/>
    </row>
    <row r="35" spans="1:16384" ht="18">
      <c r="A35" s="1890" t="s">
        <v>626</v>
      </c>
      <c r="B35" s="1884"/>
      <c r="C35" s="1884"/>
      <c r="D35" s="1884"/>
      <c r="E35" s="1884"/>
      <c r="F35" s="1884"/>
      <c r="G35" s="1884"/>
      <c r="H35" s="1884"/>
      <c r="I35" s="1884"/>
      <c r="J35" s="1884"/>
      <c r="K35" s="1884"/>
      <c r="L35" s="1884"/>
      <c r="M35" s="1884"/>
      <c r="N35" s="1884"/>
      <c r="O35" s="1884"/>
      <c r="P35" s="1884"/>
      <c r="Q35" s="1884"/>
      <c r="R35" s="1884"/>
      <c r="S35" s="1884"/>
      <c r="T35" s="1884"/>
      <c r="U35" s="1884"/>
      <c r="V35" s="1884"/>
      <c r="W35" s="1884"/>
      <c r="X35" s="1884"/>
      <c r="Y35" s="1884"/>
      <c r="Z35" s="1884"/>
      <c r="AA35" s="1884"/>
      <c r="AB35" s="1884"/>
      <c r="AC35" s="1884"/>
      <c r="AD35" s="1884"/>
      <c r="AE35" s="1884"/>
      <c r="AF35" s="1884"/>
      <c r="AG35" s="1884"/>
      <c r="AH35" s="1884"/>
      <c r="AI35" s="1884"/>
      <c r="AJ35" s="1884"/>
      <c r="AK35" s="1884"/>
      <c r="AL35" s="1884"/>
      <c r="AM35" s="1884"/>
      <c r="AN35" s="1884"/>
      <c r="AO35" s="1884"/>
      <c r="AP35" s="1884"/>
      <c r="AQ35" s="1884"/>
      <c r="AR35" s="1884"/>
      <c r="AS35" s="1884"/>
      <c r="AT35" s="1884"/>
      <c r="AU35" s="1884"/>
      <c r="AV35" s="1884"/>
      <c r="AW35" s="1884"/>
      <c r="AX35" s="1884"/>
      <c r="AY35" s="1884"/>
      <c r="AZ35" s="1884"/>
      <c r="BA35" s="1884"/>
      <c r="BB35" s="1884"/>
      <c r="BC35" s="1884"/>
      <c r="BD35" s="1884"/>
      <c r="BE35" s="1884"/>
      <c r="BF35" s="1884"/>
      <c r="BG35" s="1884"/>
      <c r="BH35" s="1884"/>
      <c r="BI35" s="1884"/>
      <c r="BJ35" s="1884"/>
      <c r="BK35" s="1884"/>
      <c r="BL35" s="1884"/>
      <c r="BM35" s="1884"/>
      <c r="BN35" s="1884"/>
      <c r="BO35" s="1884"/>
      <c r="BP35" s="1884"/>
      <c r="BQ35" s="1884"/>
      <c r="BR35" s="1884"/>
      <c r="BS35" s="1884"/>
      <c r="BT35" s="1884"/>
      <c r="BU35" s="1884"/>
      <c r="BV35" s="1884"/>
      <c r="BW35" s="1884"/>
      <c r="BX35" s="1884"/>
      <c r="BY35" s="1884"/>
      <c r="BZ35" s="1884"/>
      <c r="CA35" s="1884"/>
      <c r="CB35" s="1884"/>
      <c r="CC35" s="1884"/>
      <c r="CD35" s="1884"/>
      <c r="CE35" s="1884"/>
      <c r="CF35" s="1884"/>
      <c r="CG35" s="1884"/>
      <c r="CH35" s="1884"/>
      <c r="CI35" s="1884"/>
      <c r="CJ35" s="1884"/>
      <c r="CK35" s="1884"/>
      <c r="CL35" s="1884"/>
      <c r="CM35" s="1884"/>
      <c r="CN35" s="1884"/>
      <c r="CO35" s="1884"/>
      <c r="CP35" s="1884"/>
      <c r="CQ35" s="1884"/>
      <c r="CR35" s="1884"/>
      <c r="CS35" s="1884"/>
      <c r="CT35" s="1884"/>
      <c r="CU35" s="1884"/>
      <c r="CV35" s="1884"/>
      <c r="CW35" s="1884"/>
      <c r="CX35" s="1884"/>
      <c r="CY35" s="1884"/>
      <c r="CZ35" s="1884"/>
      <c r="DA35" s="1884"/>
      <c r="DB35" s="1884"/>
      <c r="DC35" s="1884"/>
      <c r="DD35" s="1884"/>
      <c r="DE35" s="1884"/>
      <c r="DF35" s="1884"/>
      <c r="DG35" s="1884"/>
      <c r="DH35" s="1884"/>
      <c r="DI35" s="1884"/>
      <c r="DJ35" s="1884"/>
      <c r="DK35" s="1884"/>
      <c r="DL35" s="1884"/>
      <c r="DM35" s="1884"/>
      <c r="DN35" s="1884"/>
      <c r="DO35" s="1884"/>
      <c r="DP35" s="1884"/>
      <c r="DQ35" s="1884"/>
      <c r="DR35" s="1884"/>
      <c r="DS35" s="1884"/>
      <c r="DT35" s="1884"/>
      <c r="DU35" s="1884"/>
      <c r="DV35" s="1884"/>
      <c r="DW35" s="1884"/>
      <c r="DX35" s="1884"/>
      <c r="DY35" s="1884"/>
      <c r="DZ35" s="1884"/>
      <c r="EA35" s="1884"/>
      <c r="EB35" s="1884"/>
      <c r="EC35" s="1884"/>
      <c r="ED35" s="1884"/>
      <c r="EE35" s="1884"/>
      <c r="EF35" s="1884"/>
      <c r="EG35" s="1884"/>
      <c r="EH35" s="1884"/>
      <c r="EI35" s="1884"/>
      <c r="EJ35" s="1884"/>
      <c r="EK35" s="1884"/>
      <c r="EL35" s="1884"/>
      <c r="EM35" s="1884"/>
      <c r="EN35" s="1884"/>
      <c r="EO35" s="1884"/>
      <c r="EP35" s="1884"/>
      <c r="EQ35" s="1884"/>
      <c r="ER35" s="1884"/>
      <c r="ES35" s="1884"/>
      <c r="ET35" s="1884"/>
      <c r="EU35" s="1884"/>
      <c r="EV35" s="1884"/>
      <c r="EW35" s="1884"/>
      <c r="EX35" s="1884"/>
      <c r="EY35" s="1884"/>
      <c r="EZ35" s="1884"/>
      <c r="FA35" s="1884"/>
      <c r="FB35" s="1884"/>
      <c r="FC35" s="1884"/>
      <c r="FD35" s="1884"/>
      <c r="FE35" s="1884"/>
      <c r="FF35" s="1884"/>
      <c r="FG35" s="1884"/>
      <c r="FH35" s="1884"/>
      <c r="FI35" s="1884"/>
      <c r="FJ35" s="1884"/>
      <c r="FK35" s="1884"/>
      <c r="FL35" s="1884"/>
      <c r="FM35" s="1884"/>
      <c r="FN35" s="1884"/>
      <c r="FO35" s="1884"/>
      <c r="FP35" s="1884"/>
      <c r="FQ35" s="1884"/>
      <c r="FR35" s="1884"/>
      <c r="FS35" s="1884"/>
      <c r="FT35" s="1884"/>
      <c r="FU35" s="1884"/>
      <c r="FV35" s="1884"/>
      <c r="FW35" s="1884"/>
      <c r="FX35" s="1884"/>
      <c r="FY35" s="1884"/>
      <c r="FZ35" s="1884"/>
      <c r="GA35" s="1884"/>
      <c r="GB35" s="1884"/>
      <c r="GC35" s="1884"/>
      <c r="GD35" s="1884"/>
      <c r="GE35" s="1884"/>
      <c r="GF35" s="1884"/>
      <c r="GG35" s="1884"/>
      <c r="GH35" s="1884"/>
      <c r="GI35" s="1884"/>
      <c r="GJ35" s="1884"/>
      <c r="GK35" s="1884"/>
      <c r="GL35" s="1884"/>
      <c r="GM35" s="1884"/>
      <c r="GN35" s="1884"/>
      <c r="GO35" s="1884"/>
      <c r="GP35" s="1884"/>
      <c r="GQ35" s="1884"/>
      <c r="GR35" s="1884"/>
      <c r="GS35" s="1884"/>
      <c r="GT35" s="1884"/>
      <c r="GU35" s="1884"/>
      <c r="GV35" s="1884"/>
      <c r="GW35" s="1884"/>
      <c r="GX35" s="1884"/>
      <c r="GY35" s="1884"/>
      <c r="GZ35" s="1884"/>
      <c r="HA35" s="1884"/>
      <c r="HB35" s="1884"/>
      <c r="HC35" s="1884"/>
      <c r="HD35" s="1884"/>
      <c r="HE35" s="1884"/>
      <c r="HF35" s="1884"/>
      <c r="HG35" s="1884"/>
      <c r="HH35" s="1884"/>
      <c r="HI35" s="1884"/>
      <c r="HJ35" s="1884"/>
      <c r="HK35" s="1884"/>
      <c r="HL35" s="1884"/>
      <c r="HM35" s="1884"/>
      <c r="HN35" s="1884"/>
      <c r="HO35" s="1884"/>
      <c r="HP35" s="1884"/>
      <c r="HQ35" s="1884"/>
      <c r="HR35" s="1884"/>
      <c r="HS35" s="1884"/>
      <c r="HT35" s="1884"/>
      <c r="HU35" s="1884"/>
      <c r="HV35" s="1884"/>
      <c r="HW35" s="1884"/>
      <c r="HX35" s="1884"/>
      <c r="HY35" s="1884"/>
      <c r="HZ35" s="1884"/>
      <c r="IA35" s="1884"/>
      <c r="IB35" s="1884"/>
      <c r="IC35" s="1884"/>
      <c r="ID35" s="1884"/>
      <c r="IE35" s="1884"/>
      <c r="IF35" s="1884"/>
      <c r="IG35" s="1884"/>
      <c r="IH35" s="1884"/>
      <c r="II35" s="1884"/>
      <c r="IJ35" s="1884"/>
      <c r="IK35" s="1884"/>
      <c r="IL35" s="1884"/>
      <c r="IM35" s="1884"/>
      <c r="IN35" s="1884"/>
      <c r="IO35" s="1884"/>
      <c r="IP35" s="1884"/>
      <c r="IQ35" s="1884"/>
      <c r="IR35" s="1884"/>
      <c r="IS35" s="1884"/>
      <c r="IT35" s="1884"/>
      <c r="IU35" s="1884"/>
      <c r="IV35" s="1884"/>
      <c r="IW35" s="1884"/>
      <c r="IX35" s="1884"/>
      <c r="IY35" s="1884"/>
      <c r="IZ35" s="1884"/>
      <c r="JA35" s="1884"/>
      <c r="JB35" s="1884"/>
      <c r="JC35" s="1884"/>
      <c r="JD35" s="1884"/>
      <c r="JE35" s="1884"/>
      <c r="JF35" s="1884"/>
      <c r="JG35" s="1884"/>
      <c r="JH35" s="1884"/>
      <c r="JI35" s="1884"/>
      <c r="JJ35" s="1884"/>
      <c r="JK35" s="1884"/>
      <c r="JL35" s="1884"/>
      <c r="JM35" s="1884"/>
      <c r="JN35" s="1884"/>
      <c r="JO35" s="1884"/>
      <c r="JP35" s="1884"/>
      <c r="JQ35" s="1884"/>
      <c r="JR35" s="1884"/>
      <c r="JS35" s="1884"/>
      <c r="JT35" s="1884"/>
      <c r="JU35" s="1884"/>
      <c r="JV35" s="1884"/>
      <c r="JW35" s="1884"/>
      <c r="JX35" s="1884"/>
      <c r="JY35" s="1884"/>
      <c r="JZ35" s="1884"/>
      <c r="KA35" s="1884"/>
      <c r="KB35" s="1884"/>
      <c r="KC35" s="1884"/>
      <c r="KD35" s="1884"/>
      <c r="KE35" s="1884"/>
      <c r="KF35" s="1884"/>
      <c r="KG35" s="1884"/>
      <c r="KH35" s="1884"/>
      <c r="KI35" s="1884"/>
      <c r="KJ35" s="1884"/>
      <c r="KK35" s="1884"/>
      <c r="KL35" s="1884"/>
      <c r="KM35" s="1884"/>
      <c r="KN35" s="1884"/>
      <c r="KO35" s="1884"/>
      <c r="KP35" s="1884"/>
      <c r="KQ35" s="1884"/>
      <c r="KR35" s="1884"/>
      <c r="KS35" s="1884"/>
      <c r="KT35" s="1884"/>
      <c r="KU35" s="1884"/>
      <c r="KV35" s="1884"/>
      <c r="KW35" s="1884"/>
      <c r="KX35" s="1884"/>
      <c r="KY35" s="1884"/>
      <c r="KZ35" s="1884"/>
      <c r="LA35" s="1884"/>
      <c r="LB35" s="1884"/>
      <c r="LC35" s="1884"/>
      <c r="LD35" s="1884"/>
      <c r="LE35" s="1884"/>
      <c r="LF35" s="1884"/>
      <c r="LG35" s="1884"/>
      <c r="LH35" s="1884"/>
      <c r="LI35" s="1884"/>
      <c r="LJ35" s="1884"/>
      <c r="LK35" s="1884"/>
      <c r="LL35" s="1884"/>
      <c r="LM35" s="1884"/>
      <c r="LN35" s="1884"/>
      <c r="LO35" s="1884"/>
      <c r="LP35" s="1884"/>
      <c r="LQ35" s="1884"/>
      <c r="LR35" s="1884"/>
      <c r="LS35" s="1884"/>
      <c r="LT35" s="1884"/>
      <c r="LU35" s="1884"/>
      <c r="LV35" s="1884"/>
      <c r="LW35" s="1884"/>
      <c r="LX35" s="1884"/>
      <c r="LY35" s="1884"/>
      <c r="LZ35" s="1884"/>
      <c r="MA35" s="1884"/>
      <c r="MB35" s="1884"/>
      <c r="MC35" s="1884"/>
      <c r="MD35" s="1884"/>
      <c r="ME35" s="1884"/>
      <c r="MF35" s="1884"/>
      <c r="MG35" s="1884"/>
      <c r="MH35" s="1884"/>
      <c r="MI35" s="1884"/>
      <c r="MJ35" s="1884"/>
      <c r="MK35" s="1884"/>
      <c r="ML35" s="1884"/>
      <c r="MM35" s="1884"/>
      <c r="MN35" s="1884"/>
      <c r="MO35" s="1884"/>
      <c r="MP35" s="1884"/>
      <c r="MQ35" s="1884"/>
      <c r="MR35" s="1884"/>
      <c r="MS35" s="1884"/>
      <c r="MT35" s="1884"/>
      <c r="MU35" s="1884"/>
      <c r="MV35" s="1884"/>
      <c r="MW35" s="1884"/>
      <c r="MX35" s="1884"/>
      <c r="MY35" s="1884"/>
      <c r="MZ35" s="1884"/>
      <c r="NA35" s="1884"/>
      <c r="NB35" s="1884"/>
      <c r="NC35" s="1884"/>
      <c r="ND35" s="1884"/>
      <c r="NE35" s="1884"/>
      <c r="NF35" s="1884"/>
      <c r="NG35" s="1884"/>
      <c r="NH35" s="1884"/>
      <c r="NI35" s="1884"/>
      <c r="NJ35" s="1884"/>
      <c r="NK35" s="1884"/>
      <c r="NL35" s="1884"/>
      <c r="NM35" s="1884"/>
      <c r="NN35" s="1884"/>
      <c r="NO35" s="1884"/>
      <c r="NP35" s="1884"/>
      <c r="NQ35" s="1884"/>
      <c r="NR35" s="1884"/>
      <c r="NS35" s="1884"/>
      <c r="NT35" s="1884"/>
      <c r="NU35" s="1884"/>
      <c r="NV35" s="1884"/>
      <c r="NW35" s="1884"/>
      <c r="NX35" s="1884"/>
      <c r="NY35" s="1884"/>
      <c r="NZ35" s="1884"/>
      <c r="OA35" s="1884"/>
      <c r="OB35" s="1884"/>
      <c r="OC35" s="1884"/>
      <c r="OD35" s="1884"/>
      <c r="OE35" s="1884"/>
      <c r="OF35" s="1884"/>
      <c r="OG35" s="1884"/>
      <c r="OH35" s="1884"/>
      <c r="OI35" s="1884"/>
      <c r="OJ35" s="1884"/>
      <c r="OK35" s="1884"/>
      <c r="OL35" s="1884"/>
      <c r="OM35" s="1884"/>
      <c r="ON35" s="1884"/>
      <c r="OO35" s="1884"/>
      <c r="OP35" s="1884"/>
      <c r="OQ35" s="1884"/>
      <c r="OR35" s="1884"/>
      <c r="OS35" s="1884"/>
      <c r="OT35" s="1884"/>
      <c r="OU35" s="1884"/>
      <c r="OV35" s="1884"/>
      <c r="OW35" s="1884"/>
      <c r="OX35" s="1884"/>
      <c r="OY35" s="1884"/>
      <c r="OZ35" s="1884"/>
      <c r="PA35" s="1884"/>
      <c r="PB35" s="1884"/>
      <c r="PC35" s="1884"/>
      <c r="PD35" s="1884"/>
      <c r="PE35" s="1884"/>
      <c r="PF35" s="1884"/>
      <c r="PG35" s="1884"/>
      <c r="PH35" s="1884"/>
      <c r="PI35" s="1884"/>
      <c r="PJ35" s="1884"/>
      <c r="PK35" s="1884"/>
      <c r="PL35" s="1884"/>
      <c r="PM35" s="1884"/>
      <c r="PN35" s="1884"/>
      <c r="PO35" s="1884"/>
      <c r="PP35" s="1884"/>
      <c r="PQ35" s="1884"/>
      <c r="PR35" s="1884"/>
      <c r="PS35" s="1884"/>
      <c r="PT35" s="1884"/>
      <c r="PU35" s="1884"/>
      <c r="PV35" s="1884"/>
      <c r="PW35" s="1884"/>
      <c r="PX35" s="1884"/>
      <c r="PY35" s="1884"/>
      <c r="PZ35" s="1884"/>
      <c r="QA35" s="1884"/>
      <c r="QB35" s="1884"/>
      <c r="QC35" s="1884"/>
      <c r="QD35" s="1884"/>
      <c r="QE35" s="1884"/>
      <c r="QF35" s="1884"/>
      <c r="QG35" s="1884"/>
      <c r="QH35" s="1884"/>
      <c r="QI35" s="1884"/>
      <c r="QJ35" s="1884"/>
      <c r="QK35" s="1884"/>
      <c r="QL35" s="1884"/>
      <c r="QM35" s="1884"/>
      <c r="QN35" s="1884"/>
      <c r="QO35" s="1884"/>
      <c r="QP35" s="1884"/>
      <c r="QQ35" s="1884"/>
      <c r="QR35" s="1884"/>
      <c r="QS35" s="1884"/>
      <c r="QT35" s="1884"/>
      <c r="QU35" s="1884"/>
      <c r="QV35" s="1884"/>
      <c r="QW35" s="1884"/>
      <c r="QX35" s="1884"/>
      <c r="QY35" s="1884"/>
      <c r="QZ35" s="1884"/>
      <c r="RA35" s="1884"/>
      <c r="RB35" s="1884"/>
      <c r="RC35" s="1884"/>
      <c r="RD35" s="1884"/>
      <c r="RE35" s="1884"/>
      <c r="RF35" s="1884"/>
      <c r="RG35" s="1884"/>
      <c r="RH35" s="1884"/>
      <c r="RI35" s="1884"/>
      <c r="RJ35" s="1884"/>
      <c r="RK35" s="1884"/>
      <c r="RL35" s="1884"/>
      <c r="RM35" s="1884"/>
      <c r="RN35" s="1884"/>
      <c r="RO35" s="1884"/>
      <c r="RP35" s="1884"/>
      <c r="RQ35" s="1884"/>
      <c r="RR35" s="1884"/>
      <c r="RS35" s="1884"/>
      <c r="RT35" s="1884"/>
      <c r="RU35" s="1884"/>
      <c r="RV35" s="1884"/>
      <c r="RW35" s="1884"/>
      <c r="RX35" s="1884"/>
      <c r="RY35" s="1884"/>
      <c r="RZ35" s="1884"/>
      <c r="SA35" s="1884"/>
      <c r="SB35" s="1884"/>
      <c r="SC35" s="1884"/>
      <c r="SD35" s="1884"/>
      <c r="SE35" s="1884"/>
      <c r="SF35" s="1884"/>
      <c r="SG35" s="1884"/>
      <c r="SH35" s="1884"/>
      <c r="SI35" s="1884"/>
      <c r="SJ35" s="1884"/>
      <c r="SK35" s="1884"/>
      <c r="SL35" s="1884"/>
      <c r="SM35" s="1884"/>
      <c r="SN35" s="1884"/>
      <c r="SO35" s="1884"/>
      <c r="SP35" s="1884"/>
      <c r="SQ35" s="1884"/>
      <c r="SR35" s="1884"/>
      <c r="SS35" s="1884"/>
      <c r="ST35" s="1884"/>
      <c r="SU35" s="1884"/>
      <c r="SV35" s="1884"/>
      <c r="SW35" s="1884"/>
      <c r="SX35" s="1884"/>
      <c r="SY35" s="1884"/>
      <c r="SZ35" s="1884"/>
      <c r="TA35" s="1884"/>
      <c r="TB35" s="1884"/>
      <c r="TC35" s="1884"/>
      <c r="TD35" s="1884"/>
      <c r="TE35" s="1884"/>
      <c r="TF35" s="1884"/>
      <c r="TG35" s="1884"/>
      <c r="TH35" s="1884"/>
      <c r="TI35" s="1884"/>
      <c r="TJ35" s="1884"/>
      <c r="TK35" s="1884"/>
      <c r="TL35" s="1884"/>
      <c r="TM35" s="1884"/>
      <c r="TN35" s="1884"/>
      <c r="TO35" s="1884"/>
      <c r="TP35" s="1884"/>
      <c r="TQ35" s="1884"/>
      <c r="TR35" s="1884"/>
      <c r="TS35" s="1884"/>
      <c r="TT35" s="1884"/>
      <c r="TU35" s="1884"/>
      <c r="TV35" s="1884"/>
      <c r="TW35" s="1884"/>
      <c r="TX35" s="1884"/>
      <c r="TY35" s="1884"/>
      <c r="TZ35" s="1884"/>
      <c r="UA35" s="1884"/>
      <c r="UB35" s="1884"/>
      <c r="UC35" s="1884"/>
      <c r="UD35" s="1884"/>
      <c r="UE35" s="1884"/>
      <c r="UF35" s="1884"/>
      <c r="UG35" s="1884"/>
      <c r="UH35" s="1884"/>
      <c r="UI35" s="1884"/>
      <c r="UJ35" s="1884"/>
      <c r="UK35" s="1884"/>
      <c r="UL35" s="1884"/>
      <c r="UM35" s="1884"/>
      <c r="UN35" s="1884"/>
      <c r="UO35" s="1884"/>
      <c r="UP35" s="1884"/>
      <c r="UQ35" s="1884"/>
      <c r="UR35" s="1884"/>
      <c r="US35" s="1884"/>
      <c r="UT35" s="1884"/>
      <c r="UU35" s="1884"/>
      <c r="UV35" s="1884"/>
      <c r="UW35" s="1884"/>
      <c r="UX35" s="1884"/>
      <c r="UY35" s="1884"/>
      <c r="UZ35" s="1884"/>
      <c r="VA35" s="1884"/>
      <c r="VB35" s="1884"/>
      <c r="VC35" s="1884"/>
      <c r="VD35" s="1884"/>
      <c r="VE35" s="1884"/>
      <c r="VF35" s="1884"/>
      <c r="VG35" s="1884"/>
      <c r="VH35" s="1884"/>
      <c r="VI35" s="1884"/>
      <c r="VJ35" s="1884"/>
      <c r="VK35" s="1884"/>
      <c r="VL35" s="1884"/>
      <c r="VM35" s="1884"/>
      <c r="VN35" s="1884"/>
      <c r="VO35" s="1884"/>
      <c r="VP35" s="1884"/>
      <c r="VQ35" s="1884"/>
      <c r="VR35" s="1884"/>
      <c r="VS35" s="1884"/>
      <c r="VT35" s="1884"/>
      <c r="VU35" s="1884"/>
      <c r="VV35" s="1884"/>
      <c r="VW35" s="1884"/>
      <c r="VX35" s="1884"/>
      <c r="VY35" s="1884"/>
      <c r="VZ35" s="1884"/>
      <c r="WA35" s="1884"/>
      <c r="WB35" s="1884"/>
      <c r="WC35" s="1884"/>
      <c r="WD35" s="1884"/>
      <c r="WE35" s="1884"/>
      <c r="WF35" s="1884"/>
      <c r="WG35" s="1884"/>
      <c r="WH35" s="1884"/>
      <c r="WI35" s="1884"/>
      <c r="WJ35" s="1884"/>
      <c r="WK35" s="1884"/>
      <c r="WL35" s="1884"/>
      <c r="WM35" s="1884"/>
      <c r="WN35" s="1884"/>
      <c r="WO35" s="1884"/>
      <c r="WP35" s="1884"/>
      <c r="WQ35" s="1884"/>
      <c r="WR35" s="1884"/>
      <c r="WS35" s="1884"/>
      <c r="WT35" s="1884"/>
      <c r="WU35" s="1884"/>
      <c r="WV35" s="1884"/>
      <c r="WW35" s="1884"/>
      <c r="WX35" s="1884"/>
      <c r="WY35" s="1884"/>
      <c r="WZ35" s="1884"/>
      <c r="XA35" s="1884"/>
      <c r="XB35" s="1884"/>
      <c r="XC35" s="1884"/>
      <c r="XD35" s="1884"/>
      <c r="XE35" s="1884"/>
      <c r="XF35" s="1884"/>
      <c r="XG35" s="1884"/>
      <c r="XH35" s="1884"/>
      <c r="XI35" s="1884"/>
      <c r="XJ35" s="1884"/>
      <c r="XK35" s="1884"/>
      <c r="XL35" s="1884"/>
      <c r="XM35" s="1884"/>
      <c r="XN35" s="1884"/>
      <c r="XO35" s="1884"/>
      <c r="XP35" s="1884"/>
      <c r="XQ35" s="1884"/>
      <c r="XR35" s="1884"/>
      <c r="XS35" s="1884"/>
      <c r="XT35" s="1884"/>
      <c r="XU35" s="1884"/>
      <c r="XV35" s="1884"/>
      <c r="XW35" s="1884"/>
      <c r="XX35" s="1884"/>
      <c r="XY35" s="1884"/>
      <c r="XZ35" s="1884"/>
      <c r="YA35" s="1884"/>
      <c r="YB35" s="1884"/>
      <c r="YC35" s="1884"/>
      <c r="YD35" s="1884"/>
      <c r="YE35" s="1884"/>
      <c r="YF35" s="1884"/>
      <c r="YG35" s="1884"/>
      <c r="YH35" s="1884"/>
      <c r="YI35" s="1884"/>
      <c r="YJ35" s="1884"/>
      <c r="YK35" s="1884"/>
      <c r="YL35" s="1884"/>
      <c r="YM35" s="1884"/>
      <c r="YN35" s="1884"/>
      <c r="YO35" s="1884"/>
      <c r="YP35" s="1884"/>
      <c r="YQ35" s="1884"/>
      <c r="YR35" s="1884"/>
      <c r="YS35" s="1884"/>
      <c r="YT35" s="1884"/>
      <c r="YU35" s="1884"/>
      <c r="YV35" s="1884"/>
      <c r="YW35" s="1884"/>
      <c r="YX35" s="1884"/>
      <c r="YY35" s="1884"/>
      <c r="YZ35" s="1884"/>
      <c r="ZA35" s="1884"/>
      <c r="ZB35" s="1884"/>
      <c r="ZC35" s="1884"/>
      <c r="ZD35" s="1884"/>
      <c r="ZE35" s="1884"/>
      <c r="ZF35" s="1884"/>
      <c r="ZG35" s="1884"/>
      <c r="ZH35" s="1884"/>
      <c r="ZI35" s="1884"/>
      <c r="ZJ35" s="1884"/>
      <c r="ZK35" s="1884"/>
      <c r="ZL35" s="1884"/>
      <c r="ZM35" s="1884"/>
      <c r="ZN35" s="1884"/>
      <c r="ZO35" s="1884"/>
      <c r="ZP35" s="1884"/>
      <c r="ZQ35" s="1884"/>
      <c r="ZR35" s="1884"/>
      <c r="ZS35" s="1884"/>
      <c r="ZT35" s="1884"/>
      <c r="ZU35" s="1884"/>
      <c r="ZV35" s="1884"/>
      <c r="ZW35" s="1884"/>
      <c r="ZX35" s="1884"/>
      <c r="ZY35" s="1884"/>
      <c r="ZZ35" s="1884"/>
      <c r="AAA35" s="1884"/>
      <c r="AAB35" s="1884"/>
      <c r="AAC35" s="1884"/>
      <c r="AAD35" s="1884"/>
      <c r="AAE35" s="1884"/>
      <c r="AAF35" s="1884"/>
      <c r="AAG35" s="1884"/>
      <c r="AAH35" s="1884"/>
      <c r="AAI35" s="1884"/>
      <c r="AAJ35" s="1884"/>
      <c r="AAK35" s="1884"/>
      <c r="AAL35" s="1884"/>
      <c r="AAM35" s="1884"/>
      <c r="AAN35" s="1884"/>
      <c r="AAO35" s="1884"/>
      <c r="AAP35" s="1884"/>
      <c r="AAQ35" s="1884"/>
      <c r="AAR35" s="1884"/>
      <c r="AAS35" s="1884"/>
      <c r="AAT35" s="1884"/>
      <c r="AAU35" s="1884"/>
      <c r="AAV35" s="1884"/>
      <c r="AAW35" s="1884"/>
      <c r="AAX35" s="1884"/>
      <c r="AAY35" s="1884"/>
      <c r="AAZ35" s="1884"/>
      <c r="ABA35" s="1884"/>
      <c r="ABB35" s="1884"/>
      <c r="ABC35" s="1884"/>
      <c r="ABD35" s="1884"/>
      <c r="ABE35" s="1884"/>
      <c r="ABF35" s="1884"/>
      <c r="ABG35" s="1884"/>
      <c r="ABH35" s="1884"/>
      <c r="ABI35" s="1884"/>
      <c r="ABJ35" s="1884"/>
      <c r="ABK35" s="1884"/>
      <c r="ABL35" s="1884"/>
      <c r="ABM35" s="1884"/>
      <c r="ABN35" s="1884"/>
      <c r="ABO35" s="1884"/>
      <c r="ABP35" s="1884"/>
      <c r="ABQ35" s="1884"/>
      <c r="ABR35" s="1884"/>
      <c r="ABS35" s="1884"/>
      <c r="ABT35" s="1884"/>
      <c r="ABU35" s="1884"/>
      <c r="ABV35" s="1884"/>
      <c r="ABW35" s="1884"/>
      <c r="ABX35" s="1884"/>
      <c r="ABY35" s="1884"/>
      <c r="ABZ35" s="1884"/>
      <c r="ACA35" s="1884"/>
      <c r="ACB35" s="1884"/>
      <c r="ACC35" s="1884"/>
      <c r="ACD35" s="1884"/>
      <c r="ACE35" s="1884"/>
      <c r="ACF35" s="1884"/>
      <c r="ACG35" s="1884"/>
      <c r="ACH35" s="1884"/>
      <c r="ACI35" s="1884"/>
      <c r="ACJ35" s="1884"/>
      <c r="ACK35" s="1884"/>
      <c r="ACL35" s="1884"/>
      <c r="ACM35" s="1884"/>
      <c r="ACN35" s="1884"/>
      <c r="ACO35" s="1884"/>
      <c r="ACP35" s="1884"/>
      <c r="ACQ35" s="1884"/>
      <c r="ACR35" s="1884"/>
      <c r="ACS35" s="1884"/>
      <c r="ACT35" s="1884"/>
      <c r="ACU35" s="1884"/>
      <c r="ACV35" s="1884"/>
      <c r="ACW35" s="1884"/>
      <c r="ACX35" s="1884"/>
      <c r="ACY35" s="1884"/>
      <c r="ACZ35" s="1884"/>
      <c r="ADA35" s="1884"/>
      <c r="ADB35" s="1884"/>
      <c r="ADC35" s="1884"/>
      <c r="ADD35" s="1884"/>
      <c r="ADE35" s="1884"/>
      <c r="ADF35" s="1884"/>
      <c r="ADG35" s="1884"/>
      <c r="ADH35" s="1884"/>
      <c r="ADI35" s="1884"/>
      <c r="ADJ35" s="1884"/>
      <c r="ADK35" s="1884"/>
      <c r="ADL35" s="1884"/>
      <c r="ADM35" s="1884"/>
      <c r="ADN35" s="1884"/>
      <c r="ADO35" s="1884"/>
      <c r="ADP35" s="1884"/>
      <c r="ADQ35" s="1884"/>
      <c r="ADR35" s="1884"/>
      <c r="ADS35" s="1884"/>
      <c r="ADT35" s="1884"/>
      <c r="ADU35" s="1884"/>
      <c r="ADV35" s="1884"/>
      <c r="ADW35" s="1884"/>
      <c r="ADX35" s="1884"/>
      <c r="ADY35" s="1884"/>
      <c r="ADZ35" s="1884"/>
      <c r="AEA35" s="1884"/>
      <c r="AEB35" s="1884"/>
      <c r="AEC35" s="1884"/>
      <c r="AED35" s="1884"/>
      <c r="AEE35" s="1884"/>
      <c r="AEF35" s="1884"/>
      <c r="AEG35" s="1884"/>
      <c r="AEH35" s="1884"/>
      <c r="AEI35" s="1884"/>
      <c r="AEJ35" s="1884"/>
      <c r="AEK35" s="1884"/>
      <c r="AEL35" s="1884"/>
      <c r="AEM35" s="1884"/>
      <c r="AEN35" s="1884"/>
      <c r="AEO35" s="1884"/>
      <c r="AEP35" s="1884"/>
      <c r="AEQ35" s="1884"/>
      <c r="AER35" s="1884"/>
      <c r="AES35" s="1884"/>
      <c r="AET35" s="1884"/>
      <c r="AEU35" s="1884"/>
      <c r="AEV35" s="1884"/>
      <c r="AEW35" s="1884"/>
      <c r="AEX35" s="1884"/>
      <c r="AEY35" s="1884"/>
      <c r="AEZ35" s="1884"/>
      <c r="AFA35" s="1884"/>
      <c r="AFB35" s="1884"/>
      <c r="AFC35" s="1884"/>
      <c r="AFD35" s="1884"/>
      <c r="AFE35" s="1884"/>
      <c r="AFF35" s="1884"/>
      <c r="AFG35" s="1884"/>
      <c r="AFH35" s="1884"/>
      <c r="AFI35" s="1884"/>
      <c r="AFJ35" s="1884"/>
      <c r="AFK35" s="1884"/>
      <c r="AFL35" s="1884"/>
      <c r="AFM35" s="1884"/>
      <c r="AFN35" s="1884"/>
      <c r="AFO35" s="1884"/>
      <c r="AFP35" s="1884"/>
      <c r="AFQ35" s="1884"/>
      <c r="AFR35" s="1884"/>
      <c r="AFS35" s="1884"/>
      <c r="AFT35" s="1884"/>
      <c r="AFU35" s="1884"/>
      <c r="AFV35" s="1884"/>
      <c r="AFW35" s="1884"/>
      <c r="AFX35" s="1884"/>
      <c r="AFY35" s="1884"/>
      <c r="AFZ35" s="1884"/>
      <c r="AGA35" s="1884"/>
      <c r="AGB35" s="1884"/>
      <c r="AGC35" s="1884"/>
      <c r="AGD35" s="1884"/>
      <c r="AGE35" s="1884"/>
      <c r="AGF35" s="1884"/>
      <c r="AGG35" s="1884"/>
      <c r="AGH35" s="1884"/>
      <c r="AGI35" s="1884"/>
      <c r="AGJ35" s="1884"/>
      <c r="AGK35" s="1884"/>
      <c r="AGL35" s="1884"/>
      <c r="AGM35" s="1884"/>
      <c r="AGN35" s="1884"/>
      <c r="AGO35" s="1884"/>
      <c r="AGP35" s="1884"/>
      <c r="AGQ35" s="1884"/>
      <c r="AGR35" s="1884"/>
      <c r="AGS35" s="1884"/>
      <c r="AGT35" s="1884"/>
      <c r="AGU35" s="1884"/>
      <c r="AGV35" s="1884"/>
      <c r="AGW35" s="1884"/>
      <c r="AGX35" s="1884"/>
      <c r="AGY35" s="1884"/>
      <c r="AGZ35" s="1884"/>
      <c r="AHA35" s="1884"/>
      <c r="AHB35" s="1884"/>
      <c r="AHC35" s="1884"/>
      <c r="AHD35" s="1884"/>
      <c r="AHE35" s="1884"/>
      <c r="AHF35" s="1884"/>
      <c r="AHG35" s="1884"/>
      <c r="AHH35" s="1884"/>
      <c r="AHI35" s="1884"/>
      <c r="AHJ35" s="1884"/>
      <c r="AHK35" s="1884"/>
      <c r="AHL35" s="1884"/>
      <c r="AHM35" s="1884"/>
      <c r="AHN35" s="1884"/>
      <c r="AHO35" s="1884"/>
      <c r="AHP35" s="1884"/>
      <c r="AHQ35" s="1884"/>
      <c r="AHR35" s="1884"/>
      <c r="AHS35" s="1884"/>
      <c r="AHT35" s="1884"/>
      <c r="AHU35" s="1884"/>
      <c r="AHV35" s="1884"/>
      <c r="AHW35" s="1884"/>
      <c r="AHX35" s="1884"/>
      <c r="AHY35" s="1884"/>
      <c r="AHZ35" s="1884"/>
      <c r="AIA35" s="1884"/>
      <c r="AIB35" s="1884"/>
      <c r="AIC35" s="1884"/>
      <c r="AID35" s="1884"/>
      <c r="AIE35" s="1884"/>
      <c r="AIF35" s="1884"/>
      <c r="AIG35" s="1884"/>
      <c r="AIH35" s="1884"/>
      <c r="AII35" s="1884"/>
      <c r="AIJ35" s="1884"/>
      <c r="AIK35" s="1884"/>
      <c r="AIL35" s="1884"/>
      <c r="AIM35" s="1884"/>
      <c r="AIN35" s="1884"/>
      <c r="AIO35" s="1884"/>
      <c r="AIP35" s="1884"/>
      <c r="AIQ35" s="1884"/>
      <c r="AIR35" s="1884"/>
      <c r="AIS35" s="1884"/>
      <c r="AIT35" s="1884"/>
      <c r="AIU35" s="1884"/>
      <c r="AIV35" s="1884"/>
      <c r="AIW35" s="1884"/>
      <c r="AIX35" s="1884"/>
      <c r="AIY35" s="1884"/>
      <c r="AIZ35" s="1884"/>
      <c r="AJA35" s="1884"/>
      <c r="AJB35" s="1884"/>
      <c r="AJC35" s="1884"/>
      <c r="AJD35" s="1884"/>
      <c r="AJE35" s="1884"/>
      <c r="AJF35" s="1884"/>
      <c r="AJG35" s="1884"/>
      <c r="AJH35" s="1884"/>
      <c r="AJI35" s="1884"/>
      <c r="AJJ35" s="1884"/>
      <c r="AJK35" s="1884"/>
      <c r="AJL35" s="1884"/>
      <c r="AJM35" s="1884"/>
      <c r="AJN35" s="1884"/>
      <c r="AJO35" s="1884"/>
      <c r="AJP35" s="1884"/>
      <c r="AJQ35" s="1884"/>
      <c r="AJR35" s="1884"/>
      <c r="AJS35" s="1884"/>
      <c r="AJT35" s="1884"/>
      <c r="AJU35" s="1884"/>
      <c r="AJV35" s="1884"/>
      <c r="AJW35" s="1884"/>
      <c r="AJX35" s="1884"/>
      <c r="AJY35" s="1884"/>
      <c r="AJZ35" s="1884"/>
      <c r="AKA35" s="1884"/>
      <c r="AKB35" s="1884"/>
      <c r="AKC35" s="1884"/>
      <c r="AKD35" s="1884"/>
      <c r="AKE35" s="1884"/>
      <c r="AKF35" s="1884"/>
      <c r="AKG35" s="1884"/>
      <c r="AKH35" s="1884"/>
      <c r="AKI35" s="1884"/>
      <c r="AKJ35" s="1884"/>
      <c r="AKK35" s="1884"/>
      <c r="AKL35" s="1884"/>
      <c r="AKM35" s="1884"/>
      <c r="AKN35" s="1884"/>
      <c r="AKO35" s="1884"/>
      <c r="AKP35" s="1884"/>
      <c r="AKQ35" s="1884"/>
      <c r="AKR35" s="1884"/>
      <c r="AKS35" s="1884"/>
      <c r="AKT35" s="1884"/>
      <c r="AKU35" s="1884"/>
      <c r="AKV35" s="1884"/>
      <c r="AKW35" s="1884"/>
      <c r="AKX35" s="1884"/>
      <c r="AKY35" s="1884"/>
      <c r="AKZ35" s="1884"/>
      <c r="ALA35" s="1884"/>
      <c r="ALB35" s="1884"/>
      <c r="ALC35" s="1884"/>
      <c r="ALD35" s="1884"/>
      <c r="ALE35" s="1884"/>
      <c r="ALF35" s="1884"/>
      <c r="ALG35" s="1884"/>
      <c r="ALH35" s="1884"/>
      <c r="ALI35" s="1884"/>
      <c r="ALJ35" s="1884"/>
      <c r="ALK35" s="1884"/>
      <c r="ALL35" s="1884"/>
      <c r="ALM35" s="1884"/>
      <c r="ALN35" s="1884"/>
      <c r="ALO35" s="1884"/>
      <c r="ALP35" s="1884"/>
      <c r="ALQ35" s="1884"/>
      <c r="ALR35" s="1884"/>
      <c r="ALS35" s="1884"/>
      <c r="ALT35" s="1884"/>
      <c r="ALU35" s="1884"/>
      <c r="ALV35" s="1884"/>
      <c r="ALW35" s="1884"/>
      <c r="ALX35" s="1884"/>
      <c r="ALY35" s="1884"/>
      <c r="ALZ35" s="1884"/>
      <c r="AMA35" s="1884"/>
      <c r="AMB35" s="1884"/>
      <c r="AMC35" s="1884"/>
      <c r="AMD35" s="1884"/>
      <c r="AME35" s="1884"/>
      <c r="AMF35" s="1884"/>
      <c r="AMG35" s="1884"/>
      <c r="AMH35" s="1884"/>
      <c r="AMI35" s="1884"/>
      <c r="AMJ35" s="1884"/>
      <c r="AMK35" s="1884"/>
      <c r="AML35" s="1884"/>
      <c r="AMM35" s="1884"/>
      <c r="AMN35" s="1884"/>
      <c r="AMO35" s="1884"/>
      <c r="AMP35" s="1884"/>
      <c r="AMQ35" s="1884"/>
      <c r="AMR35" s="1884"/>
      <c r="AMS35" s="1884"/>
      <c r="AMT35" s="1884"/>
      <c r="AMU35" s="1884"/>
      <c r="AMV35" s="1884"/>
      <c r="AMW35" s="1884"/>
      <c r="AMX35" s="1884"/>
      <c r="AMY35" s="1884"/>
      <c r="AMZ35" s="1884"/>
      <c r="ANA35" s="1884"/>
      <c r="ANB35" s="1884"/>
      <c r="ANC35" s="1884"/>
      <c r="AND35" s="1884"/>
      <c r="ANE35" s="1884"/>
      <c r="ANF35" s="1884"/>
      <c r="ANG35" s="1884"/>
      <c r="ANH35" s="1884"/>
      <c r="ANI35" s="1884"/>
      <c r="ANJ35" s="1884"/>
      <c r="ANK35" s="1884"/>
      <c r="ANL35" s="1884"/>
      <c r="ANM35" s="1884"/>
      <c r="ANN35" s="1884"/>
      <c r="ANO35" s="1884"/>
      <c r="ANP35" s="1884"/>
      <c r="ANQ35" s="1884"/>
      <c r="ANR35" s="1884"/>
      <c r="ANS35" s="1884"/>
      <c r="ANT35" s="1884"/>
      <c r="ANU35" s="1884"/>
      <c r="ANV35" s="1884"/>
      <c r="ANW35" s="1884"/>
      <c r="ANX35" s="1884"/>
      <c r="ANY35" s="1884"/>
      <c r="ANZ35" s="1884"/>
      <c r="AOA35" s="1884"/>
      <c r="AOB35" s="1884"/>
      <c r="AOC35" s="1884"/>
      <c r="AOD35" s="1884"/>
      <c r="AOE35" s="1884"/>
      <c r="AOF35" s="1884"/>
      <c r="AOG35" s="1884"/>
      <c r="AOH35" s="1884"/>
      <c r="AOI35" s="1884"/>
      <c r="AOJ35" s="1884"/>
      <c r="AOK35" s="1884"/>
      <c r="AOL35" s="1884"/>
      <c r="AOM35" s="1884"/>
      <c r="AON35" s="1884"/>
      <c r="AOO35" s="1884"/>
      <c r="AOP35" s="1884"/>
      <c r="AOQ35" s="1884"/>
      <c r="AOR35" s="1884"/>
      <c r="AOS35" s="1884"/>
      <c r="AOT35" s="1884"/>
      <c r="AOU35" s="1884"/>
      <c r="AOV35" s="1884"/>
      <c r="AOW35" s="1884"/>
      <c r="AOX35" s="1884"/>
      <c r="AOY35" s="1884"/>
      <c r="AOZ35" s="1884"/>
      <c r="APA35" s="1884"/>
      <c r="APB35" s="1884"/>
      <c r="APC35" s="1884"/>
      <c r="APD35" s="1884"/>
      <c r="APE35" s="1884"/>
      <c r="APF35" s="1884"/>
      <c r="APG35" s="1884"/>
      <c r="APH35" s="1884"/>
      <c r="API35" s="1884"/>
      <c r="APJ35" s="1884"/>
      <c r="APK35" s="1884"/>
      <c r="APL35" s="1884"/>
      <c r="APM35" s="1884"/>
      <c r="APN35" s="1884"/>
      <c r="APO35" s="1884"/>
      <c r="APP35" s="1884"/>
      <c r="APQ35" s="1884"/>
      <c r="APR35" s="1884"/>
      <c r="APS35" s="1884"/>
      <c r="APT35" s="1884"/>
      <c r="APU35" s="1884"/>
      <c r="APV35" s="1884"/>
      <c r="APW35" s="1884"/>
      <c r="APX35" s="1884"/>
      <c r="APY35" s="1884"/>
      <c r="APZ35" s="1884"/>
      <c r="AQA35" s="1884"/>
      <c r="AQB35" s="1884"/>
      <c r="AQC35" s="1884"/>
      <c r="AQD35" s="1884"/>
      <c r="AQE35" s="1884"/>
      <c r="AQF35" s="1884"/>
      <c r="AQG35" s="1884"/>
      <c r="AQH35" s="1884"/>
      <c r="AQI35" s="1884"/>
      <c r="AQJ35" s="1884"/>
      <c r="AQK35" s="1884"/>
      <c r="AQL35" s="1884"/>
      <c r="AQM35" s="1884"/>
      <c r="AQN35" s="1884"/>
      <c r="AQO35" s="1884"/>
      <c r="AQP35" s="1884"/>
      <c r="AQQ35" s="1884"/>
      <c r="AQR35" s="1884"/>
      <c r="AQS35" s="1884"/>
      <c r="AQT35" s="1884"/>
      <c r="AQU35" s="1884"/>
      <c r="AQV35" s="1884"/>
      <c r="AQW35" s="1884"/>
      <c r="AQX35" s="1884"/>
      <c r="AQY35" s="1884"/>
      <c r="AQZ35" s="1884"/>
      <c r="ARA35" s="1884"/>
      <c r="ARB35" s="1884"/>
      <c r="ARC35" s="1884"/>
      <c r="ARD35" s="1884"/>
      <c r="ARE35" s="1884"/>
      <c r="ARF35" s="1884"/>
      <c r="ARG35" s="1884"/>
      <c r="ARH35" s="1884"/>
      <c r="ARI35" s="1884"/>
      <c r="ARJ35" s="1884"/>
      <c r="ARK35" s="1884"/>
      <c r="ARL35" s="1884"/>
      <c r="ARM35" s="1884"/>
      <c r="ARN35" s="1884"/>
      <c r="ARO35" s="1884"/>
      <c r="ARP35" s="1884"/>
      <c r="ARQ35" s="1884"/>
      <c r="ARR35" s="1884"/>
      <c r="ARS35" s="1884"/>
      <c r="ART35" s="1884"/>
      <c r="ARU35" s="1884"/>
      <c r="ARV35" s="1884"/>
      <c r="ARW35" s="1884"/>
      <c r="ARX35" s="1884"/>
      <c r="ARY35" s="1884"/>
      <c r="ARZ35" s="1884"/>
      <c r="ASA35" s="1884"/>
      <c r="ASB35" s="1884"/>
      <c r="ASC35" s="1884"/>
      <c r="ASD35" s="1884"/>
      <c r="ASE35" s="1884"/>
      <c r="ASF35" s="1884"/>
      <c r="ASG35" s="1884"/>
      <c r="ASH35" s="1884"/>
      <c r="ASI35" s="1884"/>
      <c r="ASJ35" s="1884"/>
      <c r="ASK35" s="1884"/>
      <c r="ASL35" s="1884"/>
      <c r="ASM35" s="1884"/>
      <c r="ASN35" s="1884"/>
      <c r="ASO35" s="1884"/>
      <c r="ASP35" s="1884"/>
      <c r="ASQ35" s="1884"/>
      <c r="ASR35" s="1884"/>
      <c r="ASS35" s="1884"/>
      <c r="AST35" s="1884"/>
      <c r="ASU35" s="1884"/>
      <c r="ASV35" s="1884"/>
      <c r="ASW35" s="1884"/>
      <c r="ASX35" s="1884"/>
      <c r="ASY35" s="1884"/>
      <c r="ASZ35" s="1884"/>
      <c r="ATA35" s="1884"/>
      <c r="ATB35" s="1884"/>
      <c r="ATC35" s="1884"/>
      <c r="ATD35" s="1884"/>
      <c r="ATE35" s="1884"/>
      <c r="ATF35" s="1884"/>
      <c r="ATG35" s="1884"/>
      <c r="ATH35" s="1884"/>
      <c r="ATI35" s="1884"/>
      <c r="ATJ35" s="1884"/>
      <c r="ATK35" s="1884"/>
      <c r="ATL35" s="1884"/>
      <c r="ATM35" s="1884"/>
      <c r="ATN35" s="1884"/>
      <c r="ATO35" s="1884"/>
      <c r="ATP35" s="1884"/>
      <c r="ATQ35" s="1884"/>
      <c r="ATR35" s="1884"/>
      <c r="ATS35" s="1884"/>
      <c r="ATT35" s="1884"/>
      <c r="ATU35" s="1884"/>
      <c r="ATV35" s="1884"/>
      <c r="ATW35" s="1884"/>
      <c r="ATX35" s="1884"/>
      <c r="ATY35" s="1884"/>
      <c r="ATZ35" s="1884"/>
      <c r="AUA35" s="1884"/>
      <c r="AUB35" s="1884"/>
      <c r="AUC35" s="1884"/>
      <c r="AUD35" s="1884"/>
      <c r="AUE35" s="1884"/>
      <c r="AUF35" s="1884"/>
      <c r="AUG35" s="1884"/>
      <c r="AUH35" s="1884"/>
      <c r="AUI35" s="1884"/>
      <c r="AUJ35" s="1884"/>
      <c r="AUK35" s="1884"/>
      <c r="AUL35" s="1884"/>
      <c r="AUM35" s="1884"/>
      <c r="AUN35" s="1884"/>
      <c r="AUO35" s="1884"/>
      <c r="AUP35" s="1884"/>
      <c r="AUQ35" s="1884"/>
      <c r="AUR35" s="1884"/>
      <c r="AUS35" s="1884"/>
      <c r="AUT35" s="1884"/>
      <c r="AUU35" s="1884"/>
      <c r="AUV35" s="1884"/>
      <c r="AUW35" s="1884"/>
      <c r="AUX35" s="1884"/>
      <c r="AUY35" s="1884"/>
      <c r="AUZ35" s="1884"/>
      <c r="AVA35" s="1884"/>
      <c r="AVB35" s="1884"/>
      <c r="AVC35" s="1884"/>
      <c r="AVD35" s="1884"/>
      <c r="AVE35" s="1884"/>
      <c r="AVF35" s="1884"/>
      <c r="AVG35" s="1884"/>
      <c r="AVH35" s="1884"/>
      <c r="AVI35" s="1884"/>
      <c r="AVJ35" s="1884"/>
      <c r="AVK35" s="1884"/>
      <c r="AVL35" s="1884"/>
      <c r="AVM35" s="1884"/>
      <c r="AVN35" s="1884"/>
      <c r="AVO35" s="1884"/>
      <c r="AVP35" s="1884"/>
      <c r="AVQ35" s="1884"/>
      <c r="AVR35" s="1884"/>
      <c r="AVS35" s="1884"/>
      <c r="AVT35" s="1884"/>
      <c r="AVU35" s="1884"/>
      <c r="AVV35" s="1884"/>
      <c r="AVW35" s="1884"/>
      <c r="AVX35" s="1884"/>
      <c r="AVY35" s="1884"/>
      <c r="AVZ35" s="1884"/>
      <c r="AWA35" s="1884"/>
      <c r="AWB35" s="1884"/>
      <c r="AWC35" s="1884"/>
      <c r="AWD35" s="1884"/>
      <c r="AWE35" s="1884"/>
      <c r="AWF35" s="1884"/>
      <c r="AWG35" s="1884"/>
      <c r="AWH35" s="1884"/>
      <c r="AWI35" s="1884"/>
      <c r="AWJ35" s="1884"/>
      <c r="AWK35" s="1884"/>
      <c r="AWL35" s="1884"/>
      <c r="AWM35" s="1884"/>
      <c r="AWN35" s="1884"/>
      <c r="AWO35" s="1884"/>
      <c r="AWP35" s="1884"/>
      <c r="AWQ35" s="1884"/>
      <c r="AWR35" s="1884"/>
      <c r="AWS35" s="1884"/>
      <c r="AWT35" s="1884"/>
      <c r="AWU35" s="1884"/>
      <c r="AWV35" s="1884"/>
      <c r="AWW35" s="1884"/>
      <c r="AWX35" s="1884"/>
      <c r="AWY35" s="1884"/>
      <c r="AWZ35" s="1884"/>
      <c r="AXA35" s="1884"/>
      <c r="AXB35" s="1884"/>
      <c r="AXC35" s="1884"/>
      <c r="AXD35" s="1884"/>
      <c r="AXE35" s="1884"/>
      <c r="AXF35" s="1884"/>
      <c r="AXG35" s="1884"/>
      <c r="AXH35" s="1884"/>
      <c r="AXI35" s="1884"/>
      <c r="AXJ35" s="1884"/>
      <c r="AXK35" s="1884"/>
      <c r="AXL35" s="1884"/>
      <c r="AXM35" s="1884"/>
      <c r="AXN35" s="1884"/>
      <c r="AXO35" s="1884"/>
      <c r="AXP35" s="1884"/>
      <c r="AXQ35" s="1884"/>
      <c r="AXR35" s="1884"/>
      <c r="AXS35" s="1884"/>
      <c r="AXT35" s="1884"/>
      <c r="AXU35" s="1884"/>
      <c r="AXV35" s="1884"/>
      <c r="AXW35" s="1884"/>
      <c r="AXX35" s="1884"/>
      <c r="AXY35" s="1884"/>
      <c r="AXZ35" s="1884"/>
      <c r="AYA35" s="1884"/>
      <c r="AYB35" s="1884"/>
      <c r="AYC35" s="1884"/>
      <c r="AYD35" s="1884"/>
      <c r="AYE35" s="1884"/>
      <c r="AYF35" s="1884"/>
      <c r="AYG35" s="1884"/>
      <c r="AYH35" s="1884"/>
      <c r="AYI35" s="1884"/>
      <c r="AYJ35" s="1884"/>
      <c r="AYK35" s="1884"/>
      <c r="AYL35" s="1884"/>
      <c r="AYM35" s="1884"/>
      <c r="AYN35" s="1884"/>
      <c r="AYO35" s="1884"/>
      <c r="AYP35" s="1884"/>
      <c r="AYQ35" s="1884"/>
      <c r="AYR35" s="1884"/>
      <c r="AYS35" s="1884"/>
      <c r="AYT35" s="1884"/>
      <c r="AYU35" s="1884"/>
      <c r="AYV35" s="1884"/>
      <c r="AYW35" s="1884"/>
      <c r="AYX35" s="1884"/>
      <c r="AYY35" s="1884"/>
      <c r="AYZ35" s="1884"/>
      <c r="AZA35" s="1884"/>
      <c r="AZB35" s="1884"/>
      <c r="AZC35" s="1884"/>
      <c r="AZD35" s="1884"/>
      <c r="AZE35" s="1884"/>
      <c r="AZF35" s="1884"/>
      <c r="AZG35" s="1884"/>
      <c r="AZH35" s="1884"/>
      <c r="AZI35" s="1884"/>
      <c r="AZJ35" s="1884"/>
      <c r="AZK35" s="1884"/>
      <c r="AZL35" s="1884"/>
      <c r="AZM35" s="1884"/>
      <c r="AZN35" s="1884"/>
      <c r="AZO35" s="1884"/>
      <c r="AZP35" s="1884"/>
      <c r="AZQ35" s="1884"/>
      <c r="AZR35" s="1884"/>
      <c r="AZS35" s="1884"/>
      <c r="AZT35" s="1884"/>
      <c r="AZU35" s="1884"/>
      <c r="AZV35" s="1884"/>
      <c r="AZW35" s="1884"/>
      <c r="AZX35" s="1884"/>
      <c r="AZY35" s="1884"/>
      <c r="AZZ35" s="1884"/>
      <c r="BAA35" s="1884"/>
      <c r="BAB35" s="1884"/>
      <c r="BAC35" s="1884"/>
      <c r="BAD35" s="1884"/>
      <c r="BAE35" s="1884"/>
      <c r="BAF35" s="1884"/>
      <c r="BAG35" s="1884"/>
      <c r="BAH35" s="1884"/>
      <c r="BAI35" s="1884"/>
      <c r="BAJ35" s="1884"/>
      <c r="BAK35" s="1884"/>
      <c r="BAL35" s="1884"/>
      <c r="BAM35" s="1884"/>
      <c r="BAN35" s="1884"/>
      <c r="BAO35" s="1884"/>
      <c r="BAP35" s="1884"/>
      <c r="BAQ35" s="1884"/>
      <c r="BAR35" s="1884"/>
      <c r="BAS35" s="1884"/>
      <c r="BAT35" s="1884"/>
      <c r="BAU35" s="1884"/>
      <c r="BAV35" s="1884"/>
      <c r="BAW35" s="1884"/>
      <c r="BAX35" s="1884"/>
      <c r="BAY35" s="1884"/>
      <c r="BAZ35" s="1884"/>
      <c r="BBA35" s="1884"/>
      <c r="BBB35" s="1884"/>
      <c r="BBC35" s="1884"/>
      <c r="BBD35" s="1884"/>
      <c r="BBE35" s="1884"/>
      <c r="BBF35" s="1884"/>
      <c r="BBG35" s="1884"/>
      <c r="BBH35" s="1884"/>
      <c r="BBI35" s="1884"/>
      <c r="BBJ35" s="1884"/>
      <c r="BBK35" s="1884"/>
      <c r="BBL35" s="1884"/>
      <c r="BBM35" s="1884"/>
      <c r="BBN35" s="1884"/>
      <c r="BBO35" s="1884"/>
      <c r="BBP35" s="1884"/>
      <c r="BBQ35" s="1884"/>
      <c r="BBR35" s="1884"/>
      <c r="BBS35" s="1884"/>
      <c r="BBT35" s="1884"/>
      <c r="BBU35" s="1884"/>
      <c r="BBV35" s="1884"/>
      <c r="BBW35" s="1884"/>
      <c r="BBX35" s="1884"/>
      <c r="BBY35" s="1884"/>
      <c r="BBZ35" s="1884"/>
      <c r="BCA35" s="1884"/>
      <c r="BCB35" s="1884"/>
      <c r="BCC35" s="1884"/>
      <c r="BCD35" s="1884"/>
      <c r="BCE35" s="1884"/>
      <c r="BCF35" s="1884"/>
      <c r="BCG35" s="1884"/>
      <c r="BCH35" s="1884"/>
      <c r="BCI35" s="1884"/>
      <c r="BCJ35" s="1884"/>
      <c r="BCK35" s="1884"/>
      <c r="BCL35" s="1884"/>
      <c r="BCM35" s="1884"/>
      <c r="BCN35" s="1884"/>
      <c r="BCO35" s="1884"/>
      <c r="BCP35" s="1884"/>
      <c r="BCQ35" s="1884"/>
      <c r="BCR35" s="1884"/>
      <c r="BCS35" s="1884"/>
      <c r="BCT35" s="1884"/>
      <c r="BCU35" s="1884"/>
      <c r="BCV35" s="1884"/>
      <c r="BCW35" s="1884"/>
      <c r="BCX35" s="1884"/>
      <c r="BCY35" s="1884"/>
      <c r="BCZ35" s="1884"/>
      <c r="BDA35" s="1884"/>
      <c r="BDB35" s="1884"/>
      <c r="BDC35" s="1884"/>
      <c r="BDD35" s="1884"/>
      <c r="BDE35" s="1884"/>
      <c r="BDF35" s="1884"/>
      <c r="BDG35" s="1884"/>
      <c r="BDH35" s="1884"/>
      <c r="BDI35" s="1884"/>
      <c r="BDJ35" s="1884"/>
      <c r="BDK35" s="1884"/>
      <c r="BDL35" s="1884"/>
      <c r="BDM35" s="1884"/>
      <c r="BDN35" s="1884"/>
      <c r="BDO35" s="1884"/>
      <c r="BDP35" s="1884"/>
      <c r="BDQ35" s="1884"/>
      <c r="BDR35" s="1884"/>
      <c r="BDS35" s="1884"/>
      <c r="BDT35" s="1884"/>
      <c r="BDU35" s="1884"/>
      <c r="BDV35" s="1884"/>
      <c r="BDW35" s="1884"/>
      <c r="BDX35" s="1884"/>
      <c r="BDY35" s="1884"/>
      <c r="BDZ35" s="1884"/>
      <c r="BEA35" s="1884"/>
      <c r="BEB35" s="1884"/>
      <c r="BEC35" s="1884"/>
      <c r="BED35" s="1884"/>
      <c r="BEE35" s="1884"/>
      <c r="BEF35" s="1884"/>
      <c r="BEG35" s="1884"/>
      <c r="BEH35" s="1884"/>
      <c r="BEI35" s="1884"/>
      <c r="BEJ35" s="1884"/>
      <c r="BEK35" s="1884"/>
      <c r="BEL35" s="1884"/>
      <c r="BEM35" s="1884"/>
      <c r="BEN35" s="1884"/>
      <c r="BEO35" s="1884"/>
      <c r="BEP35" s="1884"/>
      <c r="BEQ35" s="1884"/>
      <c r="BER35" s="1884"/>
      <c r="BES35" s="1884"/>
      <c r="BET35" s="1884"/>
      <c r="BEU35" s="1884"/>
      <c r="BEV35" s="1884"/>
      <c r="BEW35" s="1884"/>
      <c r="BEX35" s="1884"/>
      <c r="BEY35" s="1884"/>
      <c r="BEZ35" s="1884"/>
      <c r="BFA35" s="1884"/>
      <c r="BFB35" s="1884"/>
      <c r="BFC35" s="1884"/>
      <c r="BFD35" s="1884"/>
      <c r="BFE35" s="1884"/>
      <c r="BFF35" s="1884"/>
      <c r="BFG35" s="1884"/>
      <c r="BFH35" s="1884"/>
      <c r="BFI35" s="1884"/>
      <c r="BFJ35" s="1884"/>
      <c r="BFK35" s="1884"/>
      <c r="BFL35" s="1884"/>
      <c r="BFM35" s="1884"/>
      <c r="BFN35" s="1884"/>
      <c r="BFO35" s="1884"/>
      <c r="BFP35" s="1884"/>
      <c r="BFQ35" s="1884"/>
      <c r="BFR35" s="1884"/>
      <c r="BFS35" s="1884"/>
      <c r="BFT35" s="1884"/>
      <c r="BFU35" s="1884"/>
      <c r="BFV35" s="1884"/>
      <c r="BFW35" s="1884"/>
      <c r="BFX35" s="1884"/>
      <c r="BFY35" s="1884"/>
      <c r="BFZ35" s="1884"/>
      <c r="BGA35" s="1884"/>
      <c r="BGB35" s="1884"/>
      <c r="BGC35" s="1884"/>
      <c r="BGD35" s="1884"/>
      <c r="BGE35" s="1884"/>
      <c r="BGF35" s="1884"/>
      <c r="BGG35" s="1884"/>
      <c r="BGH35" s="1884"/>
      <c r="BGI35" s="1884"/>
      <c r="BGJ35" s="1884"/>
      <c r="BGK35" s="1884"/>
      <c r="BGL35" s="1884"/>
      <c r="BGM35" s="1884"/>
      <c r="BGN35" s="1884"/>
      <c r="BGO35" s="1884"/>
      <c r="BGP35" s="1884"/>
      <c r="BGQ35" s="1884"/>
      <c r="BGR35" s="1884"/>
      <c r="BGS35" s="1884"/>
      <c r="BGT35" s="1884"/>
      <c r="BGU35" s="1884"/>
      <c r="BGV35" s="1884"/>
      <c r="BGW35" s="1884"/>
      <c r="BGX35" s="1884"/>
      <c r="BGY35" s="1884"/>
      <c r="BGZ35" s="1884"/>
      <c r="BHA35" s="1884"/>
      <c r="BHB35" s="1884"/>
      <c r="BHC35" s="1884"/>
      <c r="BHD35" s="1884"/>
      <c r="BHE35" s="1884"/>
      <c r="BHF35" s="1884"/>
      <c r="BHG35" s="1884"/>
      <c r="BHH35" s="1884"/>
      <c r="BHI35" s="1884"/>
      <c r="BHJ35" s="1884"/>
      <c r="BHK35" s="1884"/>
      <c r="BHL35" s="1884"/>
      <c r="BHM35" s="1884"/>
      <c r="BHN35" s="1884"/>
      <c r="BHO35" s="1884"/>
      <c r="BHP35" s="1884"/>
      <c r="BHQ35" s="1884"/>
      <c r="BHR35" s="1884"/>
      <c r="BHS35" s="1884"/>
      <c r="BHT35" s="1884"/>
      <c r="BHU35" s="1884"/>
      <c r="BHV35" s="1884"/>
      <c r="BHW35" s="1884"/>
      <c r="BHX35" s="1884"/>
      <c r="BHY35" s="1884"/>
      <c r="BHZ35" s="1884"/>
      <c r="BIA35" s="1884"/>
      <c r="BIB35" s="1884"/>
      <c r="BIC35" s="1884"/>
      <c r="BID35" s="1884"/>
      <c r="BIE35" s="1884"/>
      <c r="BIF35" s="1884"/>
      <c r="BIG35" s="1884"/>
      <c r="BIH35" s="1884"/>
      <c r="BII35" s="1884"/>
      <c r="BIJ35" s="1884"/>
      <c r="BIK35" s="1884"/>
      <c r="BIL35" s="1884"/>
      <c r="BIM35" s="1884"/>
      <c r="BIN35" s="1884"/>
      <c r="BIO35" s="1884"/>
      <c r="BIP35" s="1884"/>
      <c r="BIQ35" s="1884"/>
      <c r="BIR35" s="1884"/>
      <c r="BIS35" s="1884"/>
      <c r="BIT35" s="1884"/>
      <c r="BIU35" s="1884"/>
      <c r="BIV35" s="1884"/>
      <c r="BIW35" s="1884"/>
      <c r="BIX35" s="1884"/>
      <c r="BIY35" s="1884"/>
      <c r="BIZ35" s="1884"/>
      <c r="BJA35" s="1884"/>
      <c r="BJB35" s="1884"/>
      <c r="BJC35" s="1884"/>
      <c r="BJD35" s="1884"/>
      <c r="BJE35" s="1884"/>
      <c r="BJF35" s="1884"/>
      <c r="BJG35" s="1884"/>
      <c r="BJH35" s="1884"/>
      <c r="BJI35" s="1884"/>
      <c r="BJJ35" s="1884"/>
      <c r="BJK35" s="1884"/>
      <c r="BJL35" s="1884"/>
      <c r="BJM35" s="1884"/>
      <c r="BJN35" s="1884"/>
      <c r="BJO35" s="1884"/>
      <c r="BJP35" s="1884"/>
      <c r="BJQ35" s="1884"/>
      <c r="BJR35" s="1884"/>
      <c r="BJS35" s="1884"/>
      <c r="BJT35" s="1884"/>
      <c r="BJU35" s="1884"/>
      <c r="BJV35" s="1884"/>
      <c r="BJW35" s="1884"/>
      <c r="BJX35" s="1884"/>
      <c r="BJY35" s="1884"/>
      <c r="BJZ35" s="1884"/>
      <c r="BKA35" s="1884"/>
      <c r="BKB35" s="1884"/>
      <c r="BKC35" s="1884"/>
      <c r="BKD35" s="1884"/>
      <c r="BKE35" s="1884"/>
      <c r="BKF35" s="1884"/>
      <c r="BKG35" s="1884"/>
      <c r="BKH35" s="1884"/>
      <c r="BKI35" s="1884"/>
      <c r="BKJ35" s="1884"/>
      <c r="BKK35" s="1884"/>
      <c r="BKL35" s="1884"/>
      <c r="BKM35" s="1884"/>
      <c r="BKN35" s="1884"/>
      <c r="BKO35" s="1884"/>
      <c r="BKP35" s="1884"/>
      <c r="BKQ35" s="1884"/>
      <c r="BKR35" s="1884"/>
      <c r="BKS35" s="1884"/>
      <c r="BKT35" s="1884"/>
      <c r="BKU35" s="1884"/>
      <c r="BKV35" s="1884"/>
      <c r="BKW35" s="1884"/>
      <c r="BKX35" s="1884"/>
      <c r="BKY35" s="1884"/>
      <c r="BKZ35" s="1884"/>
      <c r="BLA35" s="1884"/>
      <c r="BLB35" s="1884"/>
      <c r="BLC35" s="1884"/>
      <c r="BLD35" s="1884"/>
      <c r="BLE35" s="1884"/>
      <c r="BLF35" s="1884"/>
      <c r="BLG35" s="1884"/>
      <c r="BLH35" s="1884"/>
      <c r="BLI35" s="1884"/>
      <c r="BLJ35" s="1884"/>
      <c r="BLK35" s="1884"/>
      <c r="BLL35" s="1884"/>
      <c r="BLM35" s="1884"/>
      <c r="BLN35" s="1884"/>
      <c r="BLO35" s="1884"/>
      <c r="BLP35" s="1884"/>
      <c r="BLQ35" s="1884"/>
      <c r="BLR35" s="1884"/>
      <c r="BLS35" s="1884"/>
      <c r="BLT35" s="1884"/>
      <c r="BLU35" s="1884"/>
      <c r="BLV35" s="1884"/>
      <c r="BLW35" s="1884"/>
      <c r="BLX35" s="1884"/>
      <c r="BLY35" s="1884"/>
      <c r="BLZ35" s="1884"/>
      <c r="BMA35" s="1884"/>
      <c r="BMB35" s="1884"/>
      <c r="BMC35" s="1884"/>
      <c r="BMD35" s="1884"/>
      <c r="BME35" s="1884"/>
      <c r="BMF35" s="1884"/>
      <c r="BMG35" s="1884"/>
      <c r="BMH35" s="1884"/>
      <c r="BMI35" s="1884"/>
      <c r="BMJ35" s="1884"/>
      <c r="BMK35" s="1884"/>
      <c r="BML35" s="1884"/>
      <c r="BMM35" s="1884"/>
      <c r="BMN35" s="1884"/>
      <c r="BMO35" s="1884"/>
      <c r="BMP35" s="1884"/>
      <c r="BMQ35" s="1884"/>
      <c r="BMR35" s="1884"/>
      <c r="BMS35" s="1884"/>
      <c r="BMT35" s="1884"/>
      <c r="BMU35" s="1884"/>
      <c r="BMV35" s="1884"/>
      <c r="BMW35" s="1884"/>
      <c r="BMX35" s="1884"/>
      <c r="BMY35" s="1884"/>
      <c r="BMZ35" s="1884"/>
      <c r="BNA35" s="1884"/>
      <c r="BNB35" s="1884"/>
      <c r="BNC35" s="1884"/>
      <c r="BND35" s="1884"/>
      <c r="BNE35" s="1884"/>
      <c r="BNF35" s="1884"/>
      <c r="BNG35" s="1884"/>
      <c r="BNH35" s="1884"/>
      <c r="BNI35" s="1884"/>
      <c r="BNJ35" s="1884"/>
      <c r="BNK35" s="1884"/>
      <c r="BNL35" s="1884"/>
      <c r="BNM35" s="1884"/>
      <c r="BNN35" s="1884"/>
      <c r="BNO35" s="1884"/>
      <c r="BNP35" s="1884"/>
      <c r="BNQ35" s="1884"/>
      <c r="BNR35" s="1884"/>
      <c r="BNS35" s="1884"/>
      <c r="BNT35" s="1884"/>
      <c r="BNU35" s="1884"/>
      <c r="BNV35" s="1884"/>
      <c r="BNW35" s="1884"/>
      <c r="BNX35" s="1884"/>
      <c r="BNY35" s="1884"/>
      <c r="BNZ35" s="1884"/>
      <c r="BOA35" s="1884"/>
      <c r="BOB35" s="1884"/>
      <c r="BOC35" s="1884"/>
      <c r="BOD35" s="1884"/>
      <c r="BOE35" s="1884"/>
      <c r="BOF35" s="1884"/>
      <c r="BOG35" s="1884"/>
      <c r="BOH35" s="1884"/>
      <c r="BOI35" s="1884"/>
      <c r="BOJ35" s="1884"/>
      <c r="BOK35" s="1884"/>
      <c r="BOL35" s="1884"/>
      <c r="BOM35" s="1884"/>
      <c r="BON35" s="1884"/>
      <c r="BOO35" s="1884"/>
      <c r="BOP35" s="1884"/>
      <c r="BOQ35" s="1884"/>
      <c r="BOR35" s="1884"/>
      <c r="BOS35" s="1884"/>
      <c r="BOT35" s="1884"/>
      <c r="BOU35" s="1884"/>
      <c r="BOV35" s="1884"/>
      <c r="BOW35" s="1884"/>
      <c r="BOX35" s="1884"/>
      <c r="BOY35" s="1884"/>
      <c r="BOZ35" s="1884"/>
      <c r="BPA35" s="1884"/>
      <c r="BPB35" s="1884"/>
      <c r="BPC35" s="1884"/>
      <c r="BPD35" s="1884"/>
      <c r="BPE35" s="1884"/>
      <c r="BPF35" s="1884"/>
      <c r="BPG35" s="1884"/>
      <c r="BPH35" s="1884"/>
      <c r="BPI35" s="1884"/>
      <c r="BPJ35" s="1884"/>
      <c r="BPK35" s="1884"/>
      <c r="BPL35" s="1884"/>
      <c r="BPM35" s="1884"/>
      <c r="BPN35" s="1884"/>
      <c r="BPO35" s="1884"/>
      <c r="BPP35" s="1884"/>
      <c r="BPQ35" s="1884"/>
      <c r="BPR35" s="1884"/>
      <c r="BPS35" s="1884"/>
      <c r="BPT35" s="1884"/>
      <c r="BPU35" s="1884"/>
      <c r="BPV35" s="1884"/>
      <c r="BPW35" s="1884"/>
      <c r="BPX35" s="1884"/>
      <c r="BPY35" s="1884"/>
      <c r="BPZ35" s="1884"/>
      <c r="BQA35" s="1884"/>
      <c r="BQB35" s="1884"/>
      <c r="BQC35" s="1884"/>
      <c r="BQD35" s="1884"/>
      <c r="BQE35" s="1884"/>
      <c r="BQF35" s="1884"/>
      <c r="BQG35" s="1884"/>
      <c r="BQH35" s="1884"/>
      <c r="BQI35" s="1884"/>
      <c r="BQJ35" s="1884"/>
      <c r="BQK35" s="1884"/>
      <c r="BQL35" s="1884"/>
      <c r="BQM35" s="1884"/>
      <c r="BQN35" s="1884"/>
      <c r="BQO35" s="1884"/>
      <c r="BQP35" s="1884"/>
      <c r="BQQ35" s="1884"/>
      <c r="BQR35" s="1884"/>
      <c r="BQS35" s="1884"/>
      <c r="BQT35" s="1884"/>
      <c r="BQU35" s="1884"/>
      <c r="BQV35" s="1884"/>
      <c r="BQW35" s="1884"/>
      <c r="BQX35" s="1884"/>
      <c r="BQY35" s="1884"/>
      <c r="BQZ35" s="1884"/>
      <c r="BRA35" s="1884"/>
      <c r="BRB35" s="1884"/>
      <c r="BRC35" s="1884"/>
      <c r="BRD35" s="1884"/>
      <c r="BRE35" s="1884"/>
      <c r="BRF35" s="1884"/>
      <c r="BRG35" s="1884"/>
      <c r="BRH35" s="1884"/>
      <c r="BRI35" s="1884"/>
      <c r="BRJ35" s="1884"/>
      <c r="BRK35" s="1884"/>
      <c r="BRL35" s="1884"/>
      <c r="BRM35" s="1884"/>
      <c r="BRN35" s="1884"/>
      <c r="BRO35" s="1884"/>
      <c r="BRP35" s="1884"/>
      <c r="BRQ35" s="1884"/>
      <c r="BRR35" s="1884"/>
      <c r="BRS35" s="1884"/>
      <c r="BRT35" s="1884"/>
      <c r="BRU35" s="1884"/>
      <c r="BRV35" s="1884"/>
      <c r="BRW35" s="1884"/>
      <c r="BRX35" s="1884"/>
      <c r="BRY35" s="1884"/>
      <c r="BRZ35" s="1884"/>
      <c r="BSA35" s="1884"/>
      <c r="BSB35" s="1884"/>
      <c r="BSC35" s="1884"/>
      <c r="BSD35" s="1884"/>
      <c r="BSE35" s="1884"/>
      <c r="BSF35" s="1884"/>
      <c r="BSG35" s="1884"/>
      <c r="BSH35" s="1884"/>
      <c r="BSI35" s="1884"/>
      <c r="BSJ35" s="1884"/>
      <c r="BSK35" s="1884"/>
      <c r="BSL35" s="1884"/>
      <c r="BSM35" s="1884"/>
      <c r="BSN35" s="1884"/>
      <c r="BSO35" s="1884"/>
      <c r="BSP35" s="1884"/>
      <c r="BSQ35" s="1884"/>
      <c r="BSR35" s="1884"/>
      <c r="BSS35" s="1884"/>
      <c r="BST35" s="1884"/>
      <c r="BSU35" s="1884"/>
      <c r="BSV35" s="1884"/>
      <c r="BSW35" s="1884"/>
      <c r="BSX35" s="1884"/>
      <c r="BSY35" s="1884"/>
      <c r="BSZ35" s="1884"/>
      <c r="BTA35" s="1884"/>
      <c r="BTB35" s="1884"/>
      <c r="BTC35" s="1884"/>
      <c r="BTD35" s="1884"/>
      <c r="BTE35" s="1884"/>
      <c r="BTF35" s="1884"/>
      <c r="BTG35" s="1884"/>
      <c r="BTH35" s="1884"/>
      <c r="BTI35" s="1884"/>
      <c r="BTJ35" s="1884"/>
      <c r="BTK35" s="1884"/>
      <c r="BTL35" s="1884"/>
      <c r="BTM35" s="1884"/>
      <c r="BTN35" s="1884"/>
      <c r="BTO35" s="1884"/>
      <c r="BTP35" s="1884"/>
      <c r="BTQ35" s="1884"/>
      <c r="BTR35" s="1884"/>
      <c r="BTS35" s="1884"/>
      <c r="BTT35" s="1884"/>
      <c r="BTU35" s="1884"/>
      <c r="BTV35" s="1884"/>
      <c r="BTW35" s="1884"/>
      <c r="BTX35" s="1884"/>
      <c r="BTY35" s="1884"/>
      <c r="BTZ35" s="1884"/>
      <c r="BUA35" s="1884"/>
      <c r="BUB35" s="1884"/>
      <c r="BUC35" s="1884"/>
      <c r="BUD35" s="1884"/>
      <c r="BUE35" s="1884"/>
      <c r="BUF35" s="1884"/>
      <c r="BUG35" s="1884"/>
      <c r="BUH35" s="1884"/>
      <c r="BUI35" s="1884"/>
      <c r="BUJ35" s="1884"/>
      <c r="BUK35" s="1884"/>
      <c r="BUL35" s="1884"/>
      <c r="BUM35" s="1884"/>
      <c r="BUN35" s="1884"/>
      <c r="BUO35" s="1884"/>
      <c r="BUP35" s="1884"/>
      <c r="BUQ35" s="1884"/>
      <c r="BUR35" s="1884"/>
      <c r="BUS35" s="1884"/>
      <c r="BUT35" s="1884"/>
      <c r="BUU35" s="1884"/>
      <c r="BUV35" s="1884"/>
      <c r="BUW35" s="1884"/>
      <c r="BUX35" s="1884"/>
      <c r="BUY35" s="1884"/>
      <c r="BUZ35" s="1884"/>
      <c r="BVA35" s="1884"/>
      <c r="BVB35" s="1884"/>
      <c r="BVC35" s="1884"/>
      <c r="BVD35" s="1884"/>
      <c r="BVE35" s="1884"/>
      <c r="BVF35" s="1884"/>
      <c r="BVG35" s="1884"/>
      <c r="BVH35" s="1884"/>
      <c r="BVI35" s="1884"/>
      <c r="BVJ35" s="1884"/>
      <c r="BVK35" s="1884"/>
      <c r="BVL35" s="1884"/>
      <c r="BVM35" s="1884"/>
      <c r="BVN35" s="1884"/>
      <c r="BVO35" s="1884"/>
      <c r="BVP35" s="1884"/>
      <c r="BVQ35" s="1884"/>
      <c r="BVR35" s="1884"/>
      <c r="BVS35" s="1884"/>
      <c r="BVT35" s="1884"/>
      <c r="BVU35" s="1884"/>
      <c r="BVV35" s="1884"/>
      <c r="BVW35" s="1884"/>
      <c r="BVX35" s="1884"/>
      <c r="BVY35" s="1884"/>
      <c r="BVZ35" s="1884"/>
      <c r="BWA35" s="1884"/>
      <c r="BWB35" s="1884"/>
      <c r="BWC35" s="1884"/>
      <c r="BWD35" s="1884"/>
      <c r="BWE35" s="1884"/>
      <c r="BWF35" s="1884"/>
      <c r="BWG35" s="1884"/>
      <c r="BWH35" s="1884"/>
      <c r="BWI35" s="1884"/>
      <c r="BWJ35" s="1884"/>
      <c r="BWK35" s="1884"/>
      <c r="BWL35" s="1884"/>
      <c r="BWM35" s="1884"/>
      <c r="BWN35" s="1884"/>
      <c r="BWO35" s="1884"/>
      <c r="BWP35" s="1884"/>
      <c r="BWQ35" s="1884"/>
      <c r="BWR35" s="1884"/>
      <c r="BWS35" s="1884"/>
      <c r="BWT35" s="1884"/>
      <c r="BWU35" s="1884"/>
      <c r="BWV35" s="1884"/>
      <c r="BWW35" s="1884"/>
      <c r="BWX35" s="1884"/>
      <c r="BWY35" s="1884"/>
      <c r="BWZ35" s="1884"/>
      <c r="BXA35" s="1884"/>
      <c r="BXB35" s="1884"/>
      <c r="BXC35" s="1884"/>
      <c r="BXD35" s="1884"/>
      <c r="BXE35" s="1884"/>
      <c r="BXF35" s="1884"/>
      <c r="BXG35" s="1884"/>
      <c r="BXH35" s="1884"/>
      <c r="BXI35" s="1884"/>
      <c r="BXJ35" s="1884"/>
      <c r="BXK35" s="1884"/>
      <c r="BXL35" s="1884"/>
      <c r="BXM35" s="1884"/>
      <c r="BXN35" s="1884"/>
      <c r="BXO35" s="1884"/>
      <c r="BXP35" s="1884"/>
      <c r="BXQ35" s="1884"/>
      <c r="BXR35" s="1884"/>
      <c r="BXS35" s="1884"/>
      <c r="BXT35" s="1884"/>
      <c r="BXU35" s="1884"/>
      <c r="BXV35" s="1884"/>
      <c r="BXW35" s="1884"/>
      <c r="BXX35" s="1884"/>
      <c r="BXY35" s="1884"/>
      <c r="BXZ35" s="1884"/>
      <c r="BYA35" s="1884"/>
      <c r="BYB35" s="1884"/>
      <c r="BYC35" s="1884"/>
      <c r="BYD35" s="1884"/>
      <c r="BYE35" s="1884"/>
      <c r="BYF35" s="1884"/>
      <c r="BYG35" s="1884"/>
      <c r="BYH35" s="1884"/>
      <c r="BYI35" s="1884"/>
      <c r="BYJ35" s="1884"/>
      <c r="BYK35" s="1884"/>
      <c r="BYL35" s="1884"/>
      <c r="BYM35" s="1884"/>
      <c r="BYN35" s="1884"/>
      <c r="BYO35" s="1884"/>
      <c r="BYP35" s="1884"/>
      <c r="BYQ35" s="1884"/>
      <c r="BYR35" s="1884"/>
      <c r="BYS35" s="1884"/>
      <c r="BYT35" s="1884"/>
      <c r="BYU35" s="1884"/>
      <c r="BYV35" s="1884"/>
      <c r="BYW35" s="1884"/>
      <c r="BYX35" s="1884"/>
      <c r="BYY35" s="1884"/>
      <c r="BYZ35" s="1884"/>
      <c r="BZA35" s="1884"/>
      <c r="BZB35" s="1884"/>
      <c r="BZC35" s="1884"/>
      <c r="BZD35" s="1884"/>
      <c r="BZE35" s="1884"/>
      <c r="BZF35" s="1884"/>
      <c r="BZG35" s="1884"/>
      <c r="BZH35" s="1884"/>
      <c r="BZI35" s="1884"/>
      <c r="BZJ35" s="1884"/>
      <c r="BZK35" s="1884"/>
      <c r="BZL35" s="1884"/>
      <c r="BZM35" s="1884"/>
      <c r="BZN35" s="1884"/>
      <c r="BZO35" s="1884"/>
      <c r="BZP35" s="1884"/>
      <c r="BZQ35" s="1884"/>
      <c r="BZR35" s="1884"/>
      <c r="BZS35" s="1884"/>
      <c r="BZT35" s="1884"/>
      <c r="BZU35" s="1884"/>
      <c r="BZV35" s="1884"/>
      <c r="BZW35" s="1884"/>
      <c r="BZX35" s="1884"/>
      <c r="BZY35" s="1884"/>
      <c r="BZZ35" s="1884"/>
      <c r="CAA35" s="1884"/>
      <c r="CAB35" s="1884"/>
      <c r="CAC35" s="1884"/>
      <c r="CAD35" s="1884"/>
      <c r="CAE35" s="1884"/>
      <c r="CAF35" s="1884"/>
      <c r="CAG35" s="1884"/>
      <c r="CAH35" s="1884"/>
      <c r="CAI35" s="1884"/>
      <c r="CAJ35" s="1884"/>
      <c r="CAK35" s="1884"/>
      <c r="CAL35" s="1884"/>
      <c r="CAM35" s="1884"/>
      <c r="CAN35" s="1884"/>
      <c r="CAO35" s="1884"/>
      <c r="CAP35" s="1884"/>
      <c r="CAQ35" s="1884"/>
      <c r="CAR35" s="1884"/>
      <c r="CAS35" s="1884"/>
      <c r="CAT35" s="1884"/>
      <c r="CAU35" s="1884"/>
      <c r="CAV35" s="1884"/>
      <c r="CAW35" s="1884"/>
      <c r="CAX35" s="1884"/>
      <c r="CAY35" s="1884"/>
      <c r="CAZ35" s="1884"/>
      <c r="CBA35" s="1884"/>
      <c r="CBB35" s="1884"/>
      <c r="CBC35" s="1884"/>
      <c r="CBD35" s="1884"/>
      <c r="CBE35" s="1884"/>
      <c r="CBF35" s="1884"/>
      <c r="CBG35" s="1884"/>
      <c r="CBH35" s="1884"/>
      <c r="CBI35" s="1884"/>
      <c r="CBJ35" s="1884"/>
      <c r="CBK35" s="1884"/>
      <c r="CBL35" s="1884"/>
      <c r="CBM35" s="1884"/>
      <c r="CBN35" s="1884"/>
      <c r="CBO35" s="1884"/>
      <c r="CBP35" s="1884"/>
      <c r="CBQ35" s="1884"/>
      <c r="CBR35" s="1884"/>
      <c r="CBS35" s="1884"/>
      <c r="CBT35" s="1884"/>
      <c r="CBU35" s="1884"/>
      <c r="CBV35" s="1884"/>
      <c r="CBW35" s="1884"/>
      <c r="CBX35" s="1884"/>
      <c r="CBY35" s="1884"/>
      <c r="CBZ35" s="1884"/>
      <c r="CCA35" s="1884"/>
      <c r="CCB35" s="1884"/>
      <c r="CCC35" s="1884"/>
      <c r="CCD35" s="1884"/>
      <c r="CCE35" s="1884"/>
      <c r="CCF35" s="1884"/>
      <c r="CCG35" s="1884"/>
      <c r="CCH35" s="1884"/>
      <c r="CCI35" s="1884"/>
      <c r="CCJ35" s="1884"/>
      <c r="CCK35" s="1884"/>
      <c r="CCL35" s="1884"/>
      <c r="CCM35" s="1884"/>
      <c r="CCN35" s="1884"/>
      <c r="CCO35" s="1884"/>
      <c r="CCP35" s="1884"/>
      <c r="CCQ35" s="1884"/>
      <c r="CCR35" s="1884"/>
      <c r="CCS35" s="1884"/>
      <c r="CCT35" s="1884"/>
      <c r="CCU35" s="1884"/>
      <c r="CCV35" s="1884"/>
      <c r="CCW35" s="1884"/>
      <c r="CCX35" s="1884"/>
      <c r="CCY35" s="1884"/>
      <c r="CCZ35" s="1884"/>
      <c r="CDA35" s="1884"/>
      <c r="CDB35" s="1884"/>
      <c r="CDC35" s="1884"/>
      <c r="CDD35" s="1884"/>
      <c r="CDE35" s="1884"/>
      <c r="CDF35" s="1884"/>
      <c r="CDG35" s="1884"/>
      <c r="CDH35" s="1884"/>
      <c r="CDI35" s="1884"/>
      <c r="CDJ35" s="1884"/>
      <c r="CDK35" s="1884"/>
      <c r="CDL35" s="1884"/>
      <c r="CDM35" s="1884"/>
      <c r="CDN35" s="1884"/>
      <c r="CDO35" s="1884"/>
      <c r="CDP35" s="1884"/>
      <c r="CDQ35" s="1884"/>
      <c r="CDR35" s="1884"/>
      <c r="CDS35" s="1884"/>
      <c r="CDT35" s="1884"/>
      <c r="CDU35" s="1884"/>
      <c r="CDV35" s="1884"/>
      <c r="CDW35" s="1884"/>
      <c r="CDX35" s="1884"/>
      <c r="CDY35" s="1884"/>
      <c r="CDZ35" s="1884"/>
      <c r="CEA35" s="1884"/>
      <c r="CEB35" s="1884"/>
      <c r="CEC35" s="1884"/>
      <c r="CED35" s="1884"/>
      <c r="CEE35" s="1884"/>
      <c r="CEF35" s="1884"/>
      <c r="CEG35" s="1884"/>
      <c r="CEH35" s="1884"/>
      <c r="CEI35" s="1884"/>
      <c r="CEJ35" s="1884"/>
      <c r="CEK35" s="1884"/>
      <c r="CEL35" s="1884"/>
      <c r="CEM35" s="1884"/>
      <c r="CEN35" s="1884"/>
      <c r="CEO35" s="1884"/>
      <c r="CEP35" s="1884"/>
      <c r="CEQ35" s="1884"/>
      <c r="CER35" s="1884"/>
      <c r="CES35" s="1884"/>
      <c r="CET35" s="1884"/>
      <c r="CEU35" s="1884"/>
      <c r="CEV35" s="1884"/>
      <c r="CEW35" s="1884"/>
      <c r="CEX35" s="1884"/>
      <c r="CEY35" s="1884"/>
      <c r="CEZ35" s="1884"/>
      <c r="CFA35" s="1884"/>
      <c r="CFB35" s="1884"/>
      <c r="CFC35" s="1884"/>
      <c r="CFD35" s="1884"/>
      <c r="CFE35" s="1884"/>
      <c r="CFF35" s="1884"/>
      <c r="CFG35" s="1884"/>
      <c r="CFH35" s="1884"/>
      <c r="CFI35" s="1884"/>
      <c r="CFJ35" s="1884"/>
      <c r="CFK35" s="1884"/>
      <c r="CFL35" s="1884"/>
      <c r="CFM35" s="1884"/>
      <c r="CFN35" s="1884"/>
      <c r="CFO35" s="1884"/>
      <c r="CFP35" s="1884"/>
      <c r="CFQ35" s="1884"/>
      <c r="CFR35" s="1884"/>
      <c r="CFS35" s="1884"/>
      <c r="CFT35" s="1884"/>
      <c r="CFU35" s="1884"/>
      <c r="CFV35" s="1884"/>
      <c r="CFW35" s="1884"/>
      <c r="CFX35" s="1884"/>
      <c r="CFY35" s="1884"/>
      <c r="CFZ35" s="1884"/>
      <c r="CGA35" s="1884"/>
      <c r="CGB35" s="1884"/>
      <c r="CGC35" s="1884"/>
      <c r="CGD35" s="1884"/>
      <c r="CGE35" s="1884"/>
      <c r="CGF35" s="1884"/>
      <c r="CGG35" s="1884"/>
      <c r="CGH35" s="1884"/>
      <c r="CGI35" s="1884"/>
      <c r="CGJ35" s="1884"/>
      <c r="CGK35" s="1884"/>
      <c r="CGL35" s="1884"/>
      <c r="CGM35" s="1884"/>
      <c r="CGN35" s="1884"/>
      <c r="CGO35" s="1884"/>
      <c r="CGP35" s="1884"/>
      <c r="CGQ35" s="1884"/>
      <c r="CGR35" s="1884"/>
      <c r="CGS35" s="1884"/>
      <c r="CGT35" s="1884"/>
      <c r="CGU35" s="1884"/>
      <c r="CGV35" s="1884"/>
      <c r="CGW35" s="1884"/>
      <c r="CGX35" s="1884"/>
      <c r="CGY35" s="1884"/>
      <c r="CGZ35" s="1884"/>
      <c r="CHA35" s="1884"/>
      <c r="CHB35" s="1884"/>
      <c r="CHC35" s="1884"/>
      <c r="CHD35" s="1884"/>
      <c r="CHE35" s="1884"/>
      <c r="CHF35" s="1884"/>
      <c r="CHG35" s="1884"/>
      <c r="CHH35" s="1884"/>
      <c r="CHI35" s="1884"/>
      <c r="CHJ35" s="1884"/>
      <c r="CHK35" s="1884"/>
      <c r="CHL35" s="1884"/>
      <c r="CHM35" s="1884"/>
      <c r="CHN35" s="1884"/>
      <c r="CHO35" s="1884"/>
      <c r="CHP35" s="1884"/>
      <c r="CHQ35" s="1884"/>
      <c r="CHR35" s="1884"/>
      <c r="CHS35" s="1884"/>
      <c r="CHT35" s="1884"/>
      <c r="CHU35" s="1884"/>
      <c r="CHV35" s="1884"/>
      <c r="CHW35" s="1884"/>
      <c r="CHX35" s="1884"/>
      <c r="CHY35" s="1884"/>
      <c r="CHZ35" s="1884"/>
      <c r="CIA35" s="1884"/>
      <c r="CIB35" s="1884"/>
      <c r="CIC35" s="1884"/>
      <c r="CID35" s="1884"/>
      <c r="CIE35" s="1884"/>
      <c r="CIF35" s="1884"/>
      <c r="CIG35" s="1884"/>
      <c r="CIH35" s="1884"/>
      <c r="CII35" s="1884"/>
      <c r="CIJ35" s="1884"/>
      <c r="CIK35" s="1884"/>
      <c r="CIL35" s="1884"/>
      <c r="CIM35" s="1884"/>
      <c r="CIN35" s="1884"/>
      <c r="CIO35" s="1884"/>
      <c r="CIP35" s="1884"/>
      <c r="CIQ35" s="1884"/>
      <c r="CIR35" s="1884"/>
      <c r="CIS35" s="1884"/>
      <c r="CIT35" s="1884"/>
      <c r="CIU35" s="1884"/>
      <c r="CIV35" s="1884"/>
      <c r="CIW35" s="1884"/>
      <c r="CIX35" s="1884"/>
      <c r="CIY35" s="1884"/>
      <c r="CIZ35" s="1884"/>
      <c r="CJA35" s="1884"/>
      <c r="CJB35" s="1884"/>
      <c r="CJC35" s="1884"/>
      <c r="CJD35" s="1884"/>
      <c r="CJE35" s="1884"/>
      <c r="CJF35" s="1884"/>
      <c r="CJG35" s="1884"/>
      <c r="CJH35" s="1884"/>
      <c r="CJI35" s="1884"/>
      <c r="CJJ35" s="1884"/>
      <c r="CJK35" s="1884"/>
      <c r="CJL35" s="1884"/>
      <c r="CJM35" s="1884"/>
      <c r="CJN35" s="1884"/>
      <c r="CJO35" s="1884"/>
      <c r="CJP35" s="1884"/>
      <c r="CJQ35" s="1884"/>
      <c r="CJR35" s="1884"/>
      <c r="CJS35" s="1884"/>
      <c r="CJT35" s="1884"/>
      <c r="CJU35" s="1884"/>
      <c r="CJV35" s="1884"/>
      <c r="CJW35" s="1884"/>
      <c r="CJX35" s="1884"/>
      <c r="CJY35" s="1884"/>
      <c r="CJZ35" s="1884"/>
      <c r="CKA35" s="1884"/>
      <c r="CKB35" s="1884"/>
      <c r="CKC35" s="1884"/>
      <c r="CKD35" s="1884"/>
      <c r="CKE35" s="1884"/>
      <c r="CKF35" s="1884"/>
      <c r="CKG35" s="1884"/>
      <c r="CKH35" s="1884"/>
      <c r="CKI35" s="1884"/>
      <c r="CKJ35" s="1884"/>
      <c r="CKK35" s="1884"/>
      <c r="CKL35" s="1884"/>
      <c r="CKM35" s="1884"/>
      <c r="CKN35" s="1884"/>
      <c r="CKO35" s="1884"/>
      <c r="CKP35" s="1884"/>
      <c r="CKQ35" s="1884"/>
      <c r="CKR35" s="1884"/>
      <c r="CKS35" s="1884"/>
      <c r="CKT35" s="1884"/>
      <c r="CKU35" s="1884"/>
      <c r="CKV35" s="1884"/>
      <c r="CKW35" s="1884"/>
      <c r="CKX35" s="1884"/>
      <c r="CKY35" s="1884"/>
      <c r="CKZ35" s="1884"/>
      <c r="CLA35" s="1884"/>
      <c r="CLB35" s="1884"/>
      <c r="CLC35" s="1884"/>
      <c r="CLD35" s="1884"/>
      <c r="CLE35" s="1884"/>
      <c r="CLF35" s="1884"/>
      <c r="CLG35" s="1884"/>
      <c r="CLH35" s="1884"/>
      <c r="CLI35" s="1884"/>
      <c r="CLJ35" s="1884"/>
      <c r="CLK35" s="1884"/>
      <c r="CLL35" s="1884"/>
      <c r="CLM35" s="1884"/>
      <c r="CLN35" s="1884"/>
      <c r="CLO35" s="1884"/>
      <c r="CLP35" s="1884"/>
      <c r="CLQ35" s="1884"/>
      <c r="CLR35" s="1884"/>
      <c r="CLS35" s="1884"/>
      <c r="CLT35" s="1884"/>
      <c r="CLU35" s="1884"/>
      <c r="CLV35" s="1884"/>
      <c r="CLW35" s="1884"/>
      <c r="CLX35" s="1884"/>
      <c r="CLY35" s="1884"/>
      <c r="CLZ35" s="1884"/>
      <c r="CMA35" s="1884"/>
      <c r="CMB35" s="1884"/>
      <c r="CMC35" s="1884"/>
      <c r="CMD35" s="1884"/>
      <c r="CME35" s="1884"/>
      <c r="CMF35" s="1884"/>
      <c r="CMG35" s="1884"/>
      <c r="CMH35" s="1884"/>
      <c r="CMI35" s="1884"/>
      <c r="CMJ35" s="1884"/>
      <c r="CMK35" s="1884"/>
      <c r="CML35" s="1884"/>
      <c r="CMM35" s="1884"/>
      <c r="CMN35" s="1884"/>
      <c r="CMO35" s="1884"/>
      <c r="CMP35" s="1884"/>
      <c r="CMQ35" s="1884"/>
      <c r="CMR35" s="1884"/>
      <c r="CMS35" s="1884"/>
      <c r="CMT35" s="1884"/>
      <c r="CMU35" s="1884"/>
      <c r="CMV35" s="1884"/>
      <c r="CMW35" s="1884"/>
      <c r="CMX35" s="1884"/>
      <c r="CMY35" s="1884"/>
      <c r="CMZ35" s="1884"/>
      <c r="CNA35" s="1884"/>
      <c r="CNB35" s="1884"/>
      <c r="CNC35" s="1884"/>
      <c r="CND35" s="1884"/>
      <c r="CNE35" s="1884"/>
      <c r="CNF35" s="1884"/>
      <c r="CNG35" s="1884"/>
      <c r="CNH35" s="1884"/>
      <c r="CNI35" s="1884"/>
      <c r="CNJ35" s="1884"/>
      <c r="CNK35" s="1884"/>
      <c r="CNL35" s="1884"/>
      <c r="CNM35" s="1884"/>
      <c r="CNN35" s="1884"/>
      <c r="CNO35" s="1884"/>
      <c r="CNP35" s="1884"/>
      <c r="CNQ35" s="1884"/>
      <c r="CNR35" s="1884"/>
      <c r="CNS35" s="1884"/>
      <c r="CNT35" s="1884"/>
      <c r="CNU35" s="1884"/>
      <c r="CNV35" s="1884"/>
      <c r="CNW35" s="1884"/>
      <c r="CNX35" s="1884"/>
      <c r="CNY35" s="1884"/>
      <c r="CNZ35" s="1884"/>
      <c r="COA35" s="1884"/>
      <c r="COB35" s="1884"/>
      <c r="COC35" s="1884"/>
      <c r="COD35" s="1884"/>
      <c r="COE35" s="1884"/>
      <c r="COF35" s="1884"/>
      <c r="COG35" s="1884"/>
      <c r="COH35" s="1884"/>
      <c r="COI35" s="1884"/>
      <c r="COJ35" s="1884"/>
      <c r="COK35" s="1884"/>
      <c r="COL35" s="1884"/>
      <c r="COM35" s="1884"/>
      <c r="CON35" s="1884"/>
      <c r="COO35" s="1884"/>
      <c r="COP35" s="1884"/>
      <c r="COQ35" s="1884"/>
      <c r="COR35" s="1884"/>
      <c r="COS35" s="1884"/>
      <c r="COT35" s="1884"/>
      <c r="COU35" s="1884"/>
      <c r="COV35" s="1884"/>
      <c r="COW35" s="1884"/>
      <c r="COX35" s="1884"/>
      <c r="COY35" s="1884"/>
      <c r="COZ35" s="1884"/>
      <c r="CPA35" s="1884"/>
      <c r="CPB35" s="1884"/>
      <c r="CPC35" s="1884"/>
      <c r="CPD35" s="1884"/>
      <c r="CPE35" s="1884"/>
      <c r="CPF35" s="1884"/>
      <c r="CPG35" s="1884"/>
      <c r="CPH35" s="1884"/>
      <c r="CPI35" s="1884"/>
      <c r="CPJ35" s="1884"/>
      <c r="CPK35" s="1884"/>
      <c r="CPL35" s="1884"/>
      <c r="CPM35" s="1884"/>
      <c r="CPN35" s="1884"/>
      <c r="CPO35" s="1884"/>
      <c r="CPP35" s="1884"/>
      <c r="CPQ35" s="1884"/>
      <c r="CPR35" s="1884"/>
      <c r="CPS35" s="1884"/>
      <c r="CPT35" s="1884"/>
      <c r="CPU35" s="1884"/>
      <c r="CPV35" s="1884"/>
      <c r="CPW35" s="1884"/>
      <c r="CPX35" s="1884"/>
      <c r="CPY35" s="1884"/>
      <c r="CPZ35" s="1884"/>
      <c r="CQA35" s="1884"/>
      <c r="CQB35" s="1884"/>
      <c r="CQC35" s="1884"/>
      <c r="CQD35" s="1884"/>
      <c r="CQE35" s="1884"/>
      <c r="CQF35" s="1884"/>
      <c r="CQG35" s="1884"/>
      <c r="CQH35" s="1884"/>
      <c r="CQI35" s="1884"/>
      <c r="CQJ35" s="1884"/>
      <c r="CQK35" s="1884"/>
      <c r="CQL35" s="1884"/>
      <c r="CQM35" s="1884"/>
      <c r="CQN35" s="1884"/>
      <c r="CQO35" s="1884"/>
      <c r="CQP35" s="1884"/>
      <c r="CQQ35" s="1884"/>
      <c r="CQR35" s="1884"/>
      <c r="CQS35" s="1884"/>
      <c r="CQT35" s="1884"/>
      <c r="CQU35" s="1884"/>
      <c r="CQV35" s="1884"/>
      <c r="CQW35" s="1884"/>
      <c r="CQX35" s="1884"/>
      <c r="CQY35" s="1884"/>
      <c r="CQZ35" s="1884"/>
      <c r="CRA35" s="1884"/>
      <c r="CRB35" s="1884"/>
      <c r="CRC35" s="1884"/>
      <c r="CRD35" s="1884"/>
      <c r="CRE35" s="1884"/>
      <c r="CRF35" s="1884"/>
      <c r="CRG35" s="1884"/>
      <c r="CRH35" s="1884"/>
      <c r="CRI35" s="1884"/>
      <c r="CRJ35" s="1884"/>
      <c r="CRK35" s="1884"/>
      <c r="CRL35" s="1884"/>
      <c r="CRM35" s="1884"/>
      <c r="CRN35" s="1884"/>
      <c r="CRO35" s="1884"/>
      <c r="CRP35" s="1884"/>
      <c r="CRQ35" s="1884"/>
      <c r="CRR35" s="1884"/>
      <c r="CRS35" s="1884"/>
      <c r="CRT35" s="1884"/>
      <c r="CRU35" s="1884"/>
      <c r="CRV35" s="1884"/>
      <c r="CRW35" s="1884"/>
      <c r="CRX35" s="1884"/>
      <c r="CRY35" s="1884"/>
      <c r="CRZ35" s="1884"/>
      <c r="CSA35" s="1884"/>
      <c r="CSB35" s="1884"/>
      <c r="CSC35" s="1884"/>
      <c r="CSD35" s="1884"/>
      <c r="CSE35" s="1884"/>
      <c r="CSF35" s="1884"/>
      <c r="CSG35" s="1884"/>
      <c r="CSH35" s="1884"/>
      <c r="CSI35" s="1884"/>
      <c r="CSJ35" s="1884"/>
      <c r="CSK35" s="1884"/>
      <c r="CSL35" s="1884"/>
      <c r="CSM35" s="1884"/>
      <c r="CSN35" s="1884"/>
      <c r="CSO35" s="1884"/>
      <c r="CSP35" s="1884"/>
      <c r="CSQ35" s="1884"/>
      <c r="CSR35" s="1884"/>
      <c r="CSS35" s="1884"/>
      <c r="CST35" s="1884"/>
      <c r="CSU35" s="1884"/>
      <c r="CSV35" s="1884"/>
      <c r="CSW35" s="1884"/>
      <c r="CSX35" s="1884"/>
      <c r="CSY35" s="1884"/>
      <c r="CSZ35" s="1884"/>
      <c r="CTA35" s="1884"/>
      <c r="CTB35" s="1884"/>
      <c r="CTC35" s="1884"/>
      <c r="CTD35" s="1884"/>
      <c r="CTE35" s="1884"/>
      <c r="CTF35" s="1884"/>
      <c r="CTG35" s="1884"/>
      <c r="CTH35" s="1884"/>
      <c r="CTI35" s="1884"/>
      <c r="CTJ35" s="1884"/>
      <c r="CTK35" s="1884"/>
      <c r="CTL35" s="1884"/>
      <c r="CTM35" s="1884"/>
      <c r="CTN35" s="1884"/>
      <c r="CTO35" s="1884"/>
      <c r="CTP35" s="1884"/>
      <c r="CTQ35" s="1884"/>
      <c r="CTR35" s="1884"/>
      <c r="CTS35" s="1884"/>
      <c r="CTT35" s="1884"/>
      <c r="CTU35" s="1884"/>
      <c r="CTV35" s="1884"/>
      <c r="CTW35" s="1884"/>
      <c r="CTX35" s="1884"/>
      <c r="CTY35" s="1884"/>
      <c r="CTZ35" s="1884"/>
      <c r="CUA35" s="1884"/>
      <c r="CUB35" s="1884"/>
      <c r="CUC35" s="1884"/>
      <c r="CUD35" s="1884"/>
      <c r="CUE35" s="1884"/>
      <c r="CUF35" s="1884"/>
      <c r="CUG35" s="1884"/>
      <c r="CUH35" s="1884"/>
      <c r="CUI35" s="1884"/>
      <c r="CUJ35" s="1884"/>
      <c r="CUK35" s="1884"/>
      <c r="CUL35" s="1884"/>
      <c r="CUM35" s="1884"/>
      <c r="CUN35" s="1884"/>
      <c r="CUO35" s="1884"/>
      <c r="CUP35" s="1884"/>
      <c r="CUQ35" s="1884"/>
      <c r="CUR35" s="1884"/>
      <c r="CUS35" s="1884"/>
      <c r="CUT35" s="1884"/>
      <c r="CUU35" s="1884"/>
      <c r="CUV35" s="1884"/>
      <c r="CUW35" s="1884"/>
      <c r="CUX35" s="1884"/>
      <c r="CUY35" s="1884"/>
      <c r="CUZ35" s="1884"/>
      <c r="CVA35" s="1884"/>
      <c r="CVB35" s="1884"/>
      <c r="CVC35" s="1884"/>
      <c r="CVD35" s="1884"/>
      <c r="CVE35" s="1884"/>
      <c r="CVF35" s="1884"/>
      <c r="CVG35" s="1884"/>
      <c r="CVH35" s="1884"/>
      <c r="CVI35" s="1884"/>
      <c r="CVJ35" s="1884"/>
      <c r="CVK35" s="1884"/>
      <c r="CVL35" s="1884"/>
      <c r="CVM35" s="1884"/>
      <c r="CVN35" s="1884"/>
      <c r="CVO35" s="1884"/>
      <c r="CVP35" s="1884"/>
      <c r="CVQ35" s="1884"/>
      <c r="CVR35" s="1884"/>
      <c r="CVS35" s="1884"/>
      <c r="CVT35" s="1884"/>
      <c r="CVU35" s="1884"/>
      <c r="CVV35" s="1884"/>
      <c r="CVW35" s="1884"/>
      <c r="CVX35" s="1884"/>
      <c r="CVY35" s="1884"/>
      <c r="CVZ35" s="1884"/>
      <c r="CWA35" s="1884"/>
      <c r="CWB35" s="1884"/>
      <c r="CWC35" s="1884"/>
      <c r="CWD35" s="1884"/>
      <c r="CWE35" s="1884"/>
      <c r="CWF35" s="1884"/>
      <c r="CWG35" s="1884"/>
      <c r="CWH35" s="1884"/>
      <c r="CWI35" s="1884"/>
      <c r="CWJ35" s="1884"/>
      <c r="CWK35" s="1884"/>
      <c r="CWL35" s="1884"/>
      <c r="CWM35" s="1884"/>
      <c r="CWN35" s="1884"/>
      <c r="CWO35" s="1884"/>
      <c r="CWP35" s="1884"/>
      <c r="CWQ35" s="1884"/>
      <c r="CWR35" s="1884"/>
      <c r="CWS35" s="1884"/>
      <c r="CWT35" s="1884"/>
      <c r="CWU35" s="1884"/>
      <c r="CWV35" s="1884"/>
      <c r="CWW35" s="1884"/>
      <c r="CWX35" s="1884"/>
      <c r="CWY35" s="1884"/>
      <c r="CWZ35" s="1884"/>
      <c r="CXA35" s="1884"/>
      <c r="CXB35" s="1884"/>
      <c r="CXC35" s="1884"/>
      <c r="CXD35" s="1884"/>
      <c r="CXE35" s="1884"/>
      <c r="CXF35" s="1884"/>
      <c r="CXG35" s="1884"/>
      <c r="CXH35" s="1884"/>
      <c r="CXI35" s="1884"/>
      <c r="CXJ35" s="1884"/>
      <c r="CXK35" s="1884"/>
      <c r="CXL35" s="1884"/>
      <c r="CXM35" s="1884"/>
      <c r="CXN35" s="1884"/>
      <c r="CXO35" s="1884"/>
      <c r="CXP35" s="1884"/>
      <c r="CXQ35" s="1884"/>
      <c r="CXR35" s="1884"/>
      <c r="CXS35" s="1884"/>
      <c r="CXT35" s="1884"/>
      <c r="CXU35" s="1884"/>
      <c r="CXV35" s="1884"/>
      <c r="CXW35" s="1884"/>
      <c r="CXX35" s="1884"/>
      <c r="CXY35" s="1884"/>
      <c r="CXZ35" s="1884"/>
      <c r="CYA35" s="1884"/>
      <c r="CYB35" s="1884"/>
      <c r="CYC35" s="1884"/>
      <c r="CYD35" s="1884"/>
      <c r="CYE35" s="1884"/>
      <c r="CYF35" s="1884"/>
      <c r="CYG35" s="1884"/>
      <c r="CYH35" s="1884"/>
      <c r="CYI35" s="1884"/>
      <c r="CYJ35" s="1884"/>
      <c r="CYK35" s="1884"/>
      <c r="CYL35" s="1884"/>
      <c r="CYM35" s="1884"/>
      <c r="CYN35" s="1884"/>
      <c r="CYO35" s="1884"/>
      <c r="CYP35" s="1884"/>
      <c r="CYQ35" s="1884"/>
      <c r="CYR35" s="1884"/>
      <c r="CYS35" s="1884"/>
      <c r="CYT35" s="1884"/>
      <c r="CYU35" s="1884"/>
      <c r="CYV35" s="1884"/>
      <c r="CYW35" s="1884"/>
      <c r="CYX35" s="1884"/>
      <c r="CYY35" s="1884"/>
      <c r="CYZ35" s="1884"/>
      <c r="CZA35" s="1884"/>
      <c r="CZB35" s="1884"/>
      <c r="CZC35" s="1884"/>
      <c r="CZD35" s="1884"/>
      <c r="CZE35" s="1884"/>
      <c r="CZF35" s="1884"/>
      <c r="CZG35" s="1884"/>
      <c r="CZH35" s="1884"/>
      <c r="CZI35" s="1884"/>
      <c r="CZJ35" s="1884"/>
      <c r="CZK35" s="1884"/>
      <c r="CZL35" s="1884"/>
      <c r="CZM35" s="1884"/>
      <c r="CZN35" s="1884"/>
      <c r="CZO35" s="1884"/>
      <c r="CZP35" s="1884"/>
      <c r="CZQ35" s="1884"/>
      <c r="CZR35" s="1884"/>
      <c r="CZS35" s="1884"/>
      <c r="CZT35" s="1884"/>
      <c r="CZU35" s="1884"/>
      <c r="CZV35" s="1884"/>
      <c r="CZW35" s="1884"/>
      <c r="CZX35" s="1884"/>
      <c r="CZY35" s="1884"/>
      <c r="CZZ35" s="1884"/>
      <c r="DAA35" s="1884"/>
      <c r="DAB35" s="1884"/>
      <c r="DAC35" s="1884"/>
      <c r="DAD35" s="1884"/>
      <c r="DAE35" s="1884"/>
      <c r="DAF35" s="1884"/>
      <c r="DAG35" s="1884"/>
      <c r="DAH35" s="1884"/>
      <c r="DAI35" s="1884"/>
      <c r="DAJ35" s="1884"/>
      <c r="DAK35" s="1884"/>
      <c r="DAL35" s="1884"/>
      <c r="DAM35" s="1884"/>
      <c r="DAN35" s="1884"/>
      <c r="DAO35" s="1884"/>
      <c r="DAP35" s="1884"/>
      <c r="DAQ35" s="1884"/>
      <c r="DAR35" s="1884"/>
      <c r="DAS35" s="1884"/>
      <c r="DAT35" s="1884"/>
      <c r="DAU35" s="1884"/>
      <c r="DAV35" s="1884"/>
      <c r="DAW35" s="1884"/>
      <c r="DAX35" s="1884"/>
      <c r="DAY35" s="1884"/>
      <c r="DAZ35" s="1884"/>
      <c r="DBA35" s="1884"/>
      <c r="DBB35" s="1884"/>
      <c r="DBC35" s="1884"/>
      <c r="DBD35" s="1884"/>
      <c r="DBE35" s="1884"/>
      <c r="DBF35" s="1884"/>
      <c r="DBG35" s="1884"/>
      <c r="DBH35" s="1884"/>
      <c r="DBI35" s="1884"/>
      <c r="DBJ35" s="1884"/>
      <c r="DBK35" s="1884"/>
      <c r="DBL35" s="1884"/>
      <c r="DBM35" s="1884"/>
      <c r="DBN35" s="1884"/>
      <c r="DBO35" s="1884"/>
      <c r="DBP35" s="1884"/>
      <c r="DBQ35" s="1884"/>
      <c r="DBR35" s="1884"/>
      <c r="DBS35" s="1884"/>
      <c r="DBT35" s="1884"/>
      <c r="DBU35" s="1884"/>
      <c r="DBV35" s="1884"/>
      <c r="DBW35" s="1884"/>
      <c r="DBX35" s="1884"/>
      <c r="DBY35" s="1884"/>
      <c r="DBZ35" s="1884"/>
      <c r="DCA35" s="1884"/>
      <c r="DCB35" s="1884"/>
      <c r="DCC35" s="1884"/>
      <c r="DCD35" s="1884"/>
      <c r="DCE35" s="1884"/>
      <c r="DCF35" s="1884"/>
      <c r="DCG35" s="1884"/>
      <c r="DCH35" s="1884"/>
      <c r="DCI35" s="1884"/>
      <c r="DCJ35" s="1884"/>
      <c r="DCK35" s="1884"/>
      <c r="DCL35" s="1884"/>
      <c r="DCM35" s="1884"/>
      <c r="DCN35" s="1884"/>
      <c r="DCO35" s="1884"/>
      <c r="DCP35" s="1884"/>
      <c r="DCQ35" s="1884"/>
      <c r="DCR35" s="1884"/>
      <c r="DCS35" s="1884"/>
      <c r="DCT35" s="1884"/>
      <c r="DCU35" s="1884"/>
      <c r="DCV35" s="1884"/>
      <c r="DCW35" s="1884"/>
      <c r="DCX35" s="1884"/>
      <c r="DCY35" s="1884"/>
      <c r="DCZ35" s="1884"/>
      <c r="DDA35" s="1884"/>
      <c r="DDB35" s="1884"/>
      <c r="DDC35" s="1884"/>
      <c r="DDD35" s="1884"/>
      <c r="DDE35" s="1884"/>
      <c r="DDF35" s="1884"/>
      <c r="DDG35" s="1884"/>
      <c r="DDH35" s="1884"/>
      <c r="DDI35" s="1884"/>
      <c r="DDJ35" s="1884"/>
      <c r="DDK35" s="1884"/>
      <c r="DDL35" s="1884"/>
      <c r="DDM35" s="1884"/>
      <c r="DDN35" s="1884"/>
      <c r="DDO35" s="1884"/>
      <c r="DDP35" s="1884"/>
      <c r="DDQ35" s="1884"/>
      <c r="DDR35" s="1884"/>
      <c r="DDS35" s="1884"/>
      <c r="DDT35" s="1884"/>
      <c r="DDU35" s="1884"/>
      <c r="DDV35" s="1884"/>
      <c r="DDW35" s="1884"/>
      <c r="DDX35" s="1884"/>
      <c r="DDY35" s="1884"/>
      <c r="DDZ35" s="1884"/>
      <c r="DEA35" s="1884"/>
      <c r="DEB35" s="1884"/>
      <c r="DEC35" s="1884"/>
      <c r="DED35" s="1884"/>
      <c r="DEE35" s="1884"/>
      <c r="DEF35" s="1884"/>
      <c r="DEG35" s="1884"/>
      <c r="DEH35" s="1884"/>
      <c r="DEI35" s="1884"/>
      <c r="DEJ35" s="1884"/>
      <c r="DEK35" s="1884"/>
      <c r="DEL35" s="1884"/>
      <c r="DEM35" s="1884"/>
      <c r="DEN35" s="1884"/>
      <c r="DEO35" s="1884"/>
      <c r="DEP35" s="1884"/>
      <c r="DEQ35" s="1884"/>
      <c r="DER35" s="1884"/>
      <c r="DES35" s="1884"/>
      <c r="DET35" s="1884"/>
      <c r="DEU35" s="1884"/>
      <c r="DEV35" s="1884"/>
      <c r="DEW35" s="1884"/>
      <c r="DEX35" s="1884"/>
      <c r="DEY35" s="1884"/>
      <c r="DEZ35" s="1884"/>
      <c r="DFA35" s="1884"/>
      <c r="DFB35" s="1884"/>
      <c r="DFC35" s="1884"/>
      <c r="DFD35" s="1884"/>
      <c r="DFE35" s="1884"/>
      <c r="DFF35" s="1884"/>
      <c r="DFG35" s="1884"/>
      <c r="DFH35" s="1884"/>
      <c r="DFI35" s="1884"/>
      <c r="DFJ35" s="1884"/>
      <c r="DFK35" s="1884"/>
      <c r="DFL35" s="1884"/>
      <c r="DFM35" s="1884"/>
      <c r="DFN35" s="1884"/>
      <c r="DFO35" s="1884"/>
      <c r="DFP35" s="1884"/>
      <c r="DFQ35" s="1884"/>
      <c r="DFR35" s="1884"/>
      <c r="DFS35" s="1884"/>
      <c r="DFT35" s="1884"/>
      <c r="DFU35" s="1884"/>
      <c r="DFV35" s="1884"/>
      <c r="DFW35" s="1884"/>
      <c r="DFX35" s="1884"/>
      <c r="DFY35" s="1884"/>
      <c r="DFZ35" s="1884"/>
      <c r="DGA35" s="1884"/>
      <c r="DGB35" s="1884"/>
      <c r="DGC35" s="1884"/>
      <c r="DGD35" s="1884"/>
      <c r="DGE35" s="1884"/>
      <c r="DGF35" s="1884"/>
      <c r="DGG35" s="1884"/>
      <c r="DGH35" s="1884"/>
      <c r="DGI35" s="1884"/>
      <c r="DGJ35" s="1884"/>
      <c r="DGK35" s="1884"/>
      <c r="DGL35" s="1884"/>
      <c r="DGM35" s="1884"/>
      <c r="DGN35" s="1884"/>
      <c r="DGO35" s="1884"/>
      <c r="DGP35" s="1884"/>
      <c r="DGQ35" s="1884"/>
      <c r="DGR35" s="1884"/>
      <c r="DGS35" s="1884"/>
      <c r="DGT35" s="1884"/>
      <c r="DGU35" s="1884"/>
      <c r="DGV35" s="1884"/>
      <c r="DGW35" s="1884"/>
      <c r="DGX35" s="1884"/>
      <c r="DGY35" s="1884"/>
      <c r="DGZ35" s="1884"/>
      <c r="DHA35" s="1884"/>
      <c r="DHB35" s="1884"/>
      <c r="DHC35" s="1884"/>
      <c r="DHD35" s="1884"/>
      <c r="DHE35" s="1884"/>
      <c r="DHF35" s="1884"/>
      <c r="DHG35" s="1884"/>
      <c r="DHH35" s="1884"/>
      <c r="DHI35" s="1884"/>
      <c r="DHJ35" s="1884"/>
      <c r="DHK35" s="1884"/>
      <c r="DHL35" s="1884"/>
      <c r="DHM35" s="1884"/>
      <c r="DHN35" s="1884"/>
      <c r="DHO35" s="1884"/>
      <c r="DHP35" s="1884"/>
      <c r="DHQ35" s="1884"/>
      <c r="DHR35" s="1884"/>
      <c r="DHS35" s="1884"/>
      <c r="DHT35" s="1884"/>
      <c r="DHU35" s="1884"/>
      <c r="DHV35" s="1884"/>
      <c r="DHW35" s="1884"/>
      <c r="DHX35" s="1884"/>
      <c r="DHY35" s="1884"/>
      <c r="DHZ35" s="1884"/>
      <c r="DIA35" s="1884"/>
      <c r="DIB35" s="1884"/>
      <c r="DIC35" s="1884"/>
      <c r="DID35" s="1884"/>
      <c r="DIE35" s="1884"/>
      <c r="DIF35" s="1884"/>
      <c r="DIG35" s="1884"/>
      <c r="DIH35" s="1884"/>
      <c r="DII35" s="1884"/>
      <c r="DIJ35" s="1884"/>
      <c r="DIK35" s="1884"/>
      <c r="DIL35" s="1884"/>
      <c r="DIM35" s="1884"/>
      <c r="DIN35" s="1884"/>
      <c r="DIO35" s="1884"/>
      <c r="DIP35" s="1884"/>
      <c r="DIQ35" s="1884"/>
      <c r="DIR35" s="1884"/>
      <c r="DIS35" s="1884"/>
      <c r="DIT35" s="1884"/>
      <c r="DIU35" s="1884"/>
      <c r="DIV35" s="1884"/>
      <c r="DIW35" s="1884"/>
      <c r="DIX35" s="1884"/>
      <c r="DIY35" s="1884"/>
      <c r="DIZ35" s="1884"/>
      <c r="DJA35" s="1884"/>
      <c r="DJB35" s="1884"/>
      <c r="DJC35" s="1884"/>
      <c r="DJD35" s="1884"/>
      <c r="DJE35" s="1884"/>
      <c r="DJF35" s="1884"/>
      <c r="DJG35" s="1884"/>
      <c r="DJH35" s="1884"/>
      <c r="DJI35" s="1884"/>
      <c r="DJJ35" s="1884"/>
      <c r="DJK35" s="1884"/>
      <c r="DJL35" s="1884"/>
      <c r="DJM35" s="1884"/>
      <c r="DJN35" s="1884"/>
      <c r="DJO35" s="1884"/>
      <c r="DJP35" s="1884"/>
      <c r="DJQ35" s="1884"/>
      <c r="DJR35" s="1884"/>
      <c r="DJS35" s="1884"/>
      <c r="DJT35" s="1884"/>
      <c r="DJU35" s="1884"/>
      <c r="DJV35" s="1884"/>
      <c r="DJW35" s="1884"/>
      <c r="DJX35" s="1884"/>
      <c r="DJY35" s="1884"/>
      <c r="DJZ35" s="1884"/>
      <c r="DKA35" s="1884"/>
      <c r="DKB35" s="1884"/>
      <c r="DKC35" s="1884"/>
      <c r="DKD35" s="1884"/>
      <c r="DKE35" s="1884"/>
      <c r="DKF35" s="1884"/>
      <c r="DKG35" s="1884"/>
      <c r="DKH35" s="1884"/>
      <c r="DKI35" s="1884"/>
      <c r="DKJ35" s="1884"/>
      <c r="DKK35" s="1884"/>
      <c r="DKL35" s="1884"/>
      <c r="DKM35" s="1884"/>
      <c r="DKN35" s="1884"/>
      <c r="DKO35" s="1884"/>
      <c r="DKP35" s="1884"/>
      <c r="DKQ35" s="1884"/>
      <c r="DKR35" s="1884"/>
      <c r="DKS35" s="1884"/>
      <c r="DKT35" s="1884"/>
      <c r="DKU35" s="1884"/>
      <c r="DKV35" s="1884"/>
      <c r="DKW35" s="1884"/>
      <c r="DKX35" s="1884"/>
      <c r="DKY35" s="1884"/>
      <c r="DKZ35" s="1884"/>
      <c r="DLA35" s="1884"/>
      <c r="DLB35" s="1884"/>
      <c r="DLC35" s="1884"/>
      <c r="DLD35" s="1884"/>
      <c r="DLE35" s="1884"/>
      <c r="DLF35" s="1884"/>
      <c r="DLG35" s="1884"/>
      <c r="DLH35" s="1884"/>
      <c r="DLI35" s="1884"/>
      <c r="DLJ35" s="1884"/>
      <c r="DLK35" s="1884"/>
      <c r="DLL35" s="1884"/>
      <c r="DLM35" s="1884"/>
      <c r="DLN35" s="1884"/>
      <c r="DLO35" s="1884"/>
      <c r="DLP35" s="1884"/>
      <c r="DLQ35" s="1884"/>
      <c r="DLR35" s="1884"/>
      <c r="DLS35" s="1884"/>
      <c r="DLT35" s="1884"/>
      <c r="DLU35" s="1884"/>
      <c r="DLV35" s="1884"/>
      <c r="DLW35" s="1884"/>
      <c r="DLX35" s="1884"/>
      <c r="DLY35" s="1884"/>
      <c r="DLZ35" s="1884"/>
      <c r="DMA35" s="1884"/>
      <c r="DMB35" s="1884"/>
      <c r="DMC35" s="1884"/>
      <c r="DMD35" s="1884"/>
      <c r="DME35" s="1884"/>
      <c r="DMF35" s="1884"/>
      <c r="DMG35" s="1884"/>
      <c r="DMH35" s="1884"/>
      <c r="DMI35" s="1884"/>
      <c r="DMJ35" s="1884"/>
      <c r="DMK35" s="1884"/>
      <c r="DML35" s="1884"/>
      <c r="DMM35" s="1884"/>
      <c r="DMN35" s="1884"/>
      <c r="DMO35" s="1884"/>
      <c r="DMP35" s="1884"/>
      <c r="DMQ35" s="1884"/>
      <c r="DMR35" s="1884"/>
      <c r="DMS35" s="1884"/>
      <c r="DMT35" s="1884"/>
      <c r="DMU35" s="1884"/>
      <c r="DMV35" s="1884"/>
      <c r="DMW35" s="1884"/>
      <c r="DMX35" s="1884"/>
      <c r="DMY35" s="1884"/>
      <c r="DMZ35" s="1884"/>
      <c r="DNA35" s="1884"/>
      <c r="DNB35" s="1884"/>
      <c r="DNC35" s="1884"/>
      <c r="DND35" s="1884"/>
      <c r="DNE35" s="1884"/>
      <c r="DNF35" s="1884"/>
      <c r="DNG35" s="1884"/>
      <c r="DNH35" s="1884"/>
      <c r="DNI35" s="1884"/>
      <c r="DNJ35" s="1884"/>
      <c r="DNK35" s="1884"/>
      <c r="DNL35" s="1884"/>
      <c r="DNM35" s="1884"/>
      <c r="DNN35" s="1884"/>
      <c r="DNO35" s="1884"/>
      <c r="DNP35" s="1884"/>
      <c r="DNQ35" s="1884"/>
      <c r="DNR35" s="1884"/>
      <c r="DNS35" s="1884"/>
      <c r="DNT35" s="1884"/>
      <c r="DNU35" s="1884"/>
      <c r="DNV35" s="1884"/>
      <c r="DNW35" s="1884"/>
      <c r="DNX35" s="1884"/>
      <c r="DNY35" s="1884"/>
      <c r="DNZ35" s="1884"/>
      <c r="DOA35" s="1884"/>
      <c r="DOB35" s="1884"/>
      <c r="DOC35" s="1884"/>
      <c r="DOD35" s="1884"/>
      <c r="DOE35" s="1884"/>
      <c r="DOF35" s="1884"/>
      <c r="DOG35" s="1884"/>
      <c r="DOH35" s="1884"/>
      <c r="DOI35" s="1884"/>
      <c r="DOJ35" s="1884"/>
      <c r="DOK35" s="1884"/>
      <c r="DOL35" s="1884"/>
      <c r="DOM35" s="1884"/>
      <c r="DON35" s="1884"/>
      <c r="DOO35" s="1884"/>
      <c r="DOP35" s="1884"/>
      <c r="DOQ35" s="1884"/>
      <c r="DOR35" s="1884"/>
      <c r="DOS35" s="1884"/>
      <c r="DOT35" s="1884"/>
      <c r="DOU35" s="1884"/>
      <c r="DOV35" s="1884"/>
      <c r="DOW35" s="1884"/>
      <c r="DOX35" s="1884"/>
      <c r="DOY35" s="1884"/>
      <c r="DOZ35" s="1884"/>
      <c r="DPA35" s="1884"/>
      <c r="DPB35" s="1884"/>
      <c r="DPC35" s="1884"/>
      <c r="DPD35" s="1884"/>
      <c r="DPE35" s="1884"/>
      <c r="DPF35" s="1884"/>
      <c r="DPG35" s="1884"/>
      <c r="DPH35" s="1884"/>
      <c r="DPI35" s="1884"/>
      <c r="DPJ35" s="1884"/>
      <c r="DPK35" s="1884"/>
      <c r="DPL35" s="1884"/>
      <c r="DPM35" s="1884"/>
      <c r="DPN35" s="1884"/>
      <c r="DPO35" s="1884"/>
      <c r="DPP35" s="1884"/>
      <c r="DPQ35" s="1884"/>
      <c r="DPR35" s="1884"/>
      <c r="DPS35" s="1884"/>
      <c r="DPT35" s="1884"/>
      <c r="DPU35" s="1884"/>
      <c r="DPV35" s="1884"/>
      <c r="DPW35" s="1884"/>
      <c r="DPX35" s="1884"/>
      <c r="DPY35" s="1884"/>
      <c r="DPZ35" s="1884"/>
      <c r="DQA35" s="1884"/>
      <c r="DQB35" s="1884"/>
      <c r="DQC35" s="1884"/>
      <c r="DQD35" s="1884"/>
      <c r="DQE35" s="1884"/>
      <c r="DQF35" s="1884"/>
      <c r="DQG35" s="1884"/>
      <c r="DQH35" s="1884"/>
      <c r="DQI35" s="1884"/>
      <c r="DQJ35" s="1884"/>
      <c r="DQK35" s="1884"/>
      <c r="DQL35" s="1884"/>
      <c r="DQM35" s="1884"/>
      <c r="DQN35" s="1884"/>
      <c r="DQO35" s="1884"/>
      <c r="DQP35" s="1884"/>
      <c r="DQQ35" s="1884"/>
      <c r="DQR35" s="1884"/>
      <c r="DQS35" s="1884"/>
      <c r="DQT35" s="1884"/>
      <c r="DQU35" s="1884"/>
      <c r="DQV35" s="1884"/>
      <c r="DQW35" s="1884"/>
      <c r="DQX35" s="1884"/>
      <c r="DQY35" s="1884"/>
      <c r="DQZ35" s="1884"/>
      <c r="DRA35" s="1884"/>
      <c r="DRB35" s="1884"/>
      <c r="DRC35" s="1884"/>
      <c r="DRD35" s="1884"/>
      <c r="DRE35" s="1884"/>
      <c r="DRF35" s="1884"/>
      <c r="DRG35" s="1884"/>
      <c r="DRH35" s="1884"/>
      <c r="DRI35" s="1884"/>
      <c r="DRJ35" s="1884"/>
      <c r="DRK35" s="1884"/>
      <c r="DRL35" s="1884"/>
      <c r="DRM35" s="1884"/>
      <c r="DRN35" s="1884"/>
      <c r="DRO35" s="1884"/>
      <c r="DRP35" s="1884"/>
      <c r="DRQ35" s="1884"/>
      <c r="DRR35" s="1884"/>
      <c r="DRS35" s="1884"/>
      <c r="DRT35" s="1884"/>
      <c r="DRU35" s="1884"/>
      <c r="DRV35" s="1884"/>
      <c r="DRW35" s="1884"/>
      <c r="DRX35" s="1884"/>
      <c r="DRY35" s="1884"/>
      <c r="DRZ35" s="1884"/>
      <c r="DSA35" s="1884"/>
      <c r="DSB35" s="1884"/>
      <c r="DSC35" s="1884"/>
      <c r="DSD35" s="1884"/>
      <c r="DSE35" s="1884"/>
      <c r="DSF35" s="1884"/>
      <c r="DSG35" s="1884"/>
      <c r="DSH35" s="1884"/>
      <c r="DSI35" s="1884"/>
      <c r="DSJ35" s="1884"/>
      <c r="DSK35" s="1884"/>
      <c r="DSL35" s="1884"/>
      <c r="DSM35" s="1884"/>
      <c r="DSN35" s="1884"/>
      <c r="DSO35" s="1884"/>
      <c r="DSP35" s="1884"/>
      <c r="DSQ35" s="1884"/>
      <c r="DSR35" s="1884"/>
      <c r="DSS35" s="1884"/>
      <c r="DST35" s="1884"/>
      <c r="DSU35" s="1884"/>
      <c r="DSV35" s="1884"/>
      <c r="DSW35" s="1884"/>
      <c r="DSX35" s="1884"/>
      <c r="DSY35" s="1884"/>
      <c r="DSZ35" s="1884"/>
      <c r="DTA35" s="1884"/>
      <c r="DTB35" s="1884"/>
      <c r="DTC35" s="1884"/>
      <c r="DTD35" s="1884"/>
      <c r="DTE35" s="1884"/>
      <c r="DTF35" s="1884"/>
      <c r="DTG35" s="1884"/>
      <c r="DTH35" s="1884"/>
      <c r="DTI35" s="1884"/>
      <c r="DTJ35" s="1884"/>
      <c r="DTK35" s="1884"/>
      <c r="DTL35" s="1884"/>
      <c r="DTM35" s="1884"/>
      <c r="DTN35" s="1884"/>
      <c r="DTO35" s="1884"/>
      <c r="DTP35" s="1884"/>
      <c r="DTQ35" s="1884"/>
      <c r="DTR35" s="1884"/>
      <c r="DTS35" s="1884"/>
      <c r="DTT35" s="1884"/>
      <c r="DTU35" s="1884"/>
      <c r="DTV35" s="1884"/>
      <c r="DTW35" s="1884"/>
      <c r="DTX35" s="1884"/>
      <c r="DTY35" s="1884"/>
      <c r="DTZ35" s="1884"/>
      <c r="DUA35" s="1884"/>
      <c r="DUB35" s="1884"/>
      <c r="DUC35" s="1884"/>
      <c r="DUD35" s="1884"/>
      <c r="DUE35" s="1884"/>
      <c r="DUF35" s="1884"/>
      <c r="DUG35" s="1884"/>
      <c r="DUH35" s="1884"/>
      <c r="DUI35" s="1884"/>
      <c r="DUJ35" s="1884"/>
      <c r="DUK35" s="1884"/>
      <c r="DUL35" s="1884"/>
      <c r="DUM35" s="1884"/>
      <c r="DUN35" s="1884"/>
      <c r="DUO35" s="1884"/>
      <c r="DUP35" s="1884"/>
      <c r="DUQ35" s="1884"/>
      <c r="DUR35" s="1884"/>
      <c r="DUS35" s="1884"/>
      <c r="DUT35" s="1884"/>
      <c r="DUU35" s="1884"/>
      <c r="DUV35" s="1884"/>
      <c r="DUW35" s="1884"/>
      <c r="DUX35" s="1884"/>
      <c r="DUY35" s="1884"/>
      <c r="DUZ35" s="1884"/>
      <c r="DVA35" s="1884"/>
      <c r="DVB35" s="1884"/>
      <c r="DVC35" s="1884"/>
      <c r="DVD35" s="1884"/>
      <c r="DVE35" s="1884"/>
      <c r="DVF35" s="1884"/>
      <c r="DVG35" s="1884"/>
      <c r="DVH35" s="1884"/>
      <c r="DVI35" s="1884"/>
      <c r="DVJ35" s="1884"/>
      <c r="DVK35" s="1884"/>
      <c r="DVL35" s="1884"/>
      <c r="DVM35" s="1884"/>
      <c r="DVN35" s="1884"/>
      <c r="DVO35" s="1884"/>
      <c r="DVP35" s="1884"/>
      <c r="DVQ35" s="1884"/>
      <c r="DVR35" s="1884"/>
      <c r="DVS35" s="1884"/>
      <c r="DVT35" s="1884"/>
      <c r="DVU35" s="1884"/>
      <c r="DVV35" s="1884"/>
      <c r="DVW35" s="1884"/>
      <c r="DVX35" s="1884"/>
      <c r="DVY35" s="1884"/>
      <c r="DVZ35" s="1884"/>
      <c r="DWA35" s="1884"/>
      <c r="DWB35" s="1884"/>
      <c r="DWC35" s="1884"/>
      <c r="DWD35" s="1884"/>
      <c r="DWE35" s="1884"/>
      <c r="DWF35" s="1884"/>
      <c r="DWG35" s="1884"/>
      <c r="DWH35" s="1884"/>
      <c r="DWI35" s="1884"/>
      <c r="DWJ35" s="1884"/>
      <c r="DWK35" s="1884"/>
      <c r="DWL35" s="1884"/>
      <c r="DWM35" s="1884"/>
      <c r="DWN35" s="1884"/>
      <c r="DWO35" s="1884"/>
      <c r="DWP35" s="1884"/>
      <c r="DWQ35" s="1884"/>
      <c r="DWR35" s="1884"/>
      <c r="DWS35" s="1884"/>
      <c r="DWT35" s="1884"/>
      <c r="DWU35" s="1884"/>
      <c r="DWV35" s="1884"/>
      <c r="DWW35" s="1884"/>
      <c r="DWX35" s="1884"/>
      <c r="DWY35" s="1884"/>
      <c r="DWZ35" s="1884"/>
      <c r="DXA35" s="1884"/>
      <c r="DXB35" s="1884"/>
      <c r="DXC35" s="1884"/>
      <c r="DXD35" s="1884"/>
      <c r="DXE35" s="1884"/>
      <c r="DXF35" s="1884"/>
      <c r="DXG35" s="1884"/>
      <c r="DXH35" s="1884"/>
      <c r="DXI35" s="1884"/>
      <c r="DXJ35" s="1884"/>
      <c r="DXK35" s="1884"/>
      <c r="DXL35" s="1884"/>
      <c r="DXM35" s="1884"/>
      <c r="DXN35" s="1884"/>
      <c r="DXO35" s="1884"/>
      <c r="DXP35" s="1884"/>
      <c r="DXQ35" s="1884"/>
      <c r="DXR35" s="1884"/>
      <c r="DXS35" s="1884"/>
      <c r="DXT35" s="1884"/>
      <c r="DXU35" s="1884"/>
      <c r="DXV35" s="1884"/>
      <c r="DXW35" s="1884"/>
      <c r="DXX35" s="1884"/>
      <c r="DXY35" s="1884"/>
      <c r="DXZ35" s="1884"/>
      <c r="DYA35" s="1884"/>
      <c r="DYB35" s="1884"/>
      <c r="DYC35" s="1884"/>
      <c r="DYD35" s="1884"/>
      <c r="DYE35" s="1884"/>
      <c r="DYF35" s="1884"/>
      <c r="DYG35" s="1884"/>
      <c r="DYH35" s="1884"/>
      <c r="DYI35" s="1884"/>
      <c r="DYJ35" s="1884"/>
      <c r="DYK35" s="1884"/>
      <c r="DYL35" s="1884"/>
      <c r="DYM35" s="1884"/>
      <c r="DYN35" s="1884"/>
      <c r="DYO35" s="1884"/>
      <c r="DYP35" s="1884"/>
      <c r="DYQ35" s="1884"/>
      <c r="DYR35" s="1884"/>
      <c r="DYS35" s="1884"/>
      <c r="DYT35" s="1884"/>
      <c r="DYU35" s="1884"/>
      <c r="DYV35" s="1884"/>
      <c r="DYW35" s="1884"/>
      <c r="DYX35" s="1884"/>
      <c r="DYY35" s="1884"/>
      <c r="DYZ35" s="1884"/>
      <c r="DZA35" s="1884"/>
      <c r="DZB35" s="1884"/>
      <c r="DZC35" s="1884"/>
      <c r="DZD35" s="1884"/>
      <c r="DZE35" s="1884"/>
      <c r="DZF35" s="1884"/>
      <c r="DZG35" s="1884"/>
      <c r="DZH35" s="1884"/>
      <c r="DZI35" s="1884"/>
      <c r="DZJ35" s="1884"/>
      <c r="DZK35" s="1884"/>
      <c r="DZL35" s="1884"/>
      <c r="DZM35" s="1884"/>
      <c r="DZN35" s="1884"/>
      <c r="DZO35" s="1884"/>
      <c r="DZP35" s="1884"/>
      <c r="DZQ35" s="1884"/>
      <c r="DZR35" s="1884"/>
      <c r="DZS35" s="1884"/>
      <c r="DZT35" s="1884"/>
      <c r="DZU35" s="1884"/>
      <c r="DZV35" s="1884"/>
      <c r="DZW35" s="1884"/>
      <c r="DZX35" s="1884"/>
      <c r="DZY35" s="1884"/>
      <c r="DZZ35" s="1884"/>
      <c r="EAA35" s="1884"/>
      <c r="EAB35" s="1884"/>
      <c r="EAC35" s="1884"/>
      <c r="EAD35" s="1884"/>
      <c r="EAE35" s="1884"/>
      <c r="EAF35" s="1884"/>
      <c r="EAG35" s="1884"/>
      <c r="EAH35" s="1884"/>
      <c r="EAI35" s="1884"/>
      <c r="EAJ35" s="1884"/>
      <c r="EAK35" s="1884"/>
      <c r="EAL35" s="1884"/>
      <c r="EAM35" s="1884"/>
      <c r="EAN35" s="1884"/>
      <c r="EAO35" s="1884"/>
      <c r="EAP35" s="1884"/>
      <c r="EAQ35" s="1884"/>
      <c r="EAR35" s="1884"/>
      <c r="EAS35" s="1884"/>
      <c r="EAT35" s="1884"/>
      <c r="EAU35" s="1884"/>
      <c r="EAV35" s="1884"/>
      <c r="EAW35" s="1884"/>
      <c r="EAX35" s="1884"/>
      <c r="EAY35" s="1884"/>
      <c r="EAZ35" s="1884"/>
      <c r="EBA35" s="1884"/>
      <c r="EBB35" s="1884"/>
      <c r="EBC35" s="1884"/>
      <c r="EBD35" s="1884"/>
      <c r="EBE35" s="1884"/>
      <c r="EBF35" s="1884"/>
      <c r="EBG35" s="1884"/>
      <c r="EBH35" s="1884"/>
      <c r="EBI35" s="1884"/>
      <c r="EBJ35" s="1884"/>
      <c r="EBK35" s="1884"/>
      <c r="EBL35" s="1884"/>
      <c r="EBM35" s="1884"/>
      <c r="EBN35" s="1884"/>
      <c r="EBO35" s="1884"/>
      <c r="EBP35" s="1884"/>
      <c r="EBQ35" s="1884"/>
      <c r="EBR35" s="1884"/>
      <c r="EBS35" s="1884"/>
      <c r="EBT35" s="1884"/>
      <c r="EBU35" s="1884"/>
      <c r="EBV35" s="1884"/>
      <c r="EBW35" s="1884"/>
      <c r="EBX35" s="1884"/>
      <c r="EBY35" s="1884"/>
      <c r="EBZ35" s="1884"/>
      <c r="ECA35" s="1884"/>
      <c r="ECB35" s="1884"/>
      <c r="ECC35" s="1884"/>
      <c r="ECD35" s="1884"/>
      <c r="ECE35" s="1884"/>
      <c r="ECF35" s="1884"/>
      <c r="ECG35" s="1884"/>
      <c r="ECH35" s="1884"/>
      <c r="ECI35" s="1884"/>
      <c r="ECJ35" s="1884"/>
      <c r="ECK35" s="1884"/>
      <c r="ECL35" s="1884"/>
      <c r="ECM35" s="1884"/>
      <c r="ECN35" s="1884"/>
      <c r="ECO35" s="1884"/>
      <c r="ECP35" s="1884"/>
      <c r="ECQ35" s="1884"/>
      <c r="ECR35" s="1884"/>
      <c r="ECS35" s="1884"/>
      <c r="ECT35" s="1884"/>
      <c r="ECU35" s="1884"/>
      <c r="ECV35" s="1884"/>
      <c r="ECW35" s="1884"/>
      <c r="ECX35" s="1884"/>
      <c r="ECY35" s="1884"/>
      <c r="ECZ35" s="1884"/>
      <c r="EDA35" s="1884"/>
      <c r="EDB35" s="1884"/>
      <c r="EDC35" s="1884"/>
      <c r="EDD35" s="1884"/>
      <c r="EDE35" s="1884"/>
      <c r="EDF35" s="1884"/>
      <c r="EDG35" s="1884"/>
      <c r="EDH35" s="1884"/>
      <c r="EDI35" s="1884"/>
      <c r="EDJ35" s="1884"/>
      <c r="EDK35" s="1884"/>
      <c r="EDL35" s="1884"/>
      <c r="EDM35" s="1884"/>
      <c r="EDN35" s="1884"/>
      <c r="EDO35" s="1884"/>
      <c r="EDP35" s="1884"/>
      <c r="EDQ35" s="1884"/>
      <c r="EDR35" s="1884"/>
      <c r="EDS35" s="1884"/>
      <c r="EDT35" s="1884"/>
      <c r="EDU35" s="1884"/>
      <c r="EDV35" s="1884"/>
      <c r="EDW35" s="1884"/>
      <c r="EDX35" s="1884"/>
      <c r="EDY35" s="1884"/>
      <c r="EDZ35" s="1884"/>
      <c r="EEA35" s="1884"/>
      <c r="EEB35" s="1884"/>
      <c r="EEC35" s="1884"/>
      <c r="EED35" s="1884"/>
      <c r="EEE35" s="1884"/>
      <c r="EEF35" s="1884"/>
      <c r="EEG35" s="1884"/>
      <c r="EEH35" s="1884"/>
      <c r="EEI35" s="1884"/>
      <c r="EEJ35" s="1884"/>
      <c r="EEK35" s="1884"/>
      <c r="EEL35" s="1884"/>
      <c r="EEM35" s="1884"/>
      <c r="EEN35" s="1884"/>
      <c r="EEO35" s="1884"/>
      <c r="EEP35" s="1884"/>
      <c r="EEQ35" s="1884"/>
      <c r="EER35" s="1884"/>
      <c r="EES35" s="1884"/>
      <c r="EET35" s="1884"/>
      <c r="EEU35" s="1884"/>
      <c r="EEV35" s="1884"/>
      <c r="EEW35" s="1884"/>
      <c r="EEX35" s="1884"/>
      <c r="EEY35" s="1884"/>
      <c r="EEZ35" s="1884"/>
      <c r="EFA35" s="1884"/>
      <c r="EFB35" s="1884"/>
      <c r="EFC35" s="1884"/>
      <c r="EFD35" s="1884"/>
      <c r="EFE35" s="1884"/>
      <c r="EFF35" s="1884"/>
      <c r="EFG35" s="1884"/>
      <c r="EFH35" s="1884"/>
      <c r="EFI35" s="1884"/>
      <c r="EFJ35" s="1884"/>
      <c r="EFK35" s="1884"/>
      <c r="EFL35" s="1884"/>
      <c r="EFM35" s="1884"/>
      <c r="EFN35" s="1884"/>
      <c r="EFO35" s="1884"/>
      <c r="EFP35" s="1884"/>
      <c r="EFQ35" s="1884"/>
      <c r="EFR35" s="1884"/>
      <c r="EFS35" s="1884"/>
      <c r="EFT35" s="1884"/>
      <c r="EFU35" s="1884"/>
      <c r="EFV35" s="1884"/>
      <c r="EFW35" s="1884"/>
      <c r="EFX35" s="1884"/>
      <c r="EFY35" s="1884"/>
      <c r="EFZ35" s="1884"/>
      <c r="EGA35" s="1884"/>
      <c r="EGB35" s="1884"/>
      <c r="EGC35" s="1884"/>
      <c r="EGD35" s="1884"/>
      <c r="EGE35" s="1884"/>
      <c r="EGF35" s="1884"/>
      <c r="EGG35" s="1884"/>
      <c r="EGH35" s="1884"/>
      <c r="EGI35" s="1884"/>
      <c r="EGJ35" s="1884"/>
      <c r="EGK35" s="1884"/>
      <c r="EGL35" s="1884"/>
      <c r="EGM35" s="1884"/>
      <c r="EGN35" s="1884"/>
      <c r="EGO35" s="1884"/>
      <c r="EGP35" s="1884"/>
      <c r="EGQ35" s="1884"/>
      <c r="EGR35" s="1884"/>
      <c r="EGS35" s="1884"/>
      <c r="EGT35" s="1884"/>
      <c r="EGU35" s="1884"/>
      <c r="EGV35" s="1884"/>
      <c r="EGW35" s="1884"/>
      <c r="EGX35" s="1884"/>
      <c r="EGY35" s="1884"/>
      <c r="EGZ35" s="1884"/>
      <c r="EHA35" s="1884"/>
      <c r="EHB35" s="1884"/>
      <c r="EHC35" s="1884"/>
      <c r="EHD35" s="1884"/>
      <c r="EHE35" s="1884"/>
      <c r="EHF35" s="1884"/>
      <c r="EHG35" s="1884"/>
      <c r="EHH35" s="1884"/>
      <c r="EHI35" s="1884"/>
      <c r="EHJ35" s="1884"/>
      <c r="EHK35" s="1884"/>
      <c r="EHL35" s="1884"/>
      <c r="EHM35" s="1884"/>
      <c r="EHN35" s="1884"/>
      <c r="EHO35" s="1884"/>
      <c r="EHP35" s="1884"/>
      <c r="EHQ35" s="1884"/>
      <c r="EHR35" s="1884"/>
      <c r="EHS35" s="1884"/>
      <c r="EHT35" s="1884"/>
      <c r="EHU35" s="1884"/>
      <c r="EHV35" s="1884"/>
      <c r="EHW35" s="1884"/>
      <c r="EHX35" s="1884"/>
      <c r="EHY35" s="1884"/>
      <c r="EHZ35" s="1884"/>
      <c r="EIA35" s="1884"/>
      <c r="EIB35" s="1884"/>
      <c r="EIC35" s="1884"/>
      <c r="EID35" s="1884"/>
      <c r="EIE35" s="1884"/>
      <c r="EIF35" s="1884"/>
      <c r="EIG35" s="1884"/>
      <c r="EIH35" s="1884"/>
      <c r="EII35" s="1884"/>
      <c r="EIJ35" s="1884"/>
      <c r="EIK35" s="1884"/>
      <c r="EIL35" s="1884"/>
      <c r="EIM35" s="1884"/>
      <c r="EIN35" s="1884"/>
      <c r="EIO35" s="1884"/>
      <c r="EIP35" s="1884"/>
      <c r="EIQ35" s="1884"/>
      <c r="EIR35" s="1884"/>
      <c r="EIS35" s="1884"/>
      <c r="EIT35" s="1884"/>
      <c r="EIU35" s="1884"/>
      <c r="EIV35" s="1884"/>
      <c r="EIW35" s="1884"/>
      <c r="EIX35" s="1884"/>
      <c r="EIY35" s="1884"/>
      <c r="EIZ35" s="1884"/>
      <c r="EJA35" s="1884"/>
      <c r="EJB35" s="1884"/>
      <c r="EJC35" s="1884"/>
      <c r="EJD35" s="1884"/>
      <c r="EJE35" s="1884"/>
      <c r="EJF35" s="1884"/>
      <c r="EJG35" s="1884"/>
      <c r="EJH35" s="1884"/>
      <c r="EJI35" s="1884"/>
      <c r="EJJ35" s="1884"/>
      <c r="EJK35" s="1884"/>
      <c r="EJL35" s="1884"/>
      <c r="EJM35" s="1884"/>
      <c r="EJN35" s="1884"/>
      <c r="EJO35" s="1884"/>
      <c r="EJP35" s="1884"/>
      <c r="EJQ35" s="1884"/>
      <c r="EJR35" s="1884"/>
      <c r="EJS35" s="1884"/>
      <c r="EJT35" s="1884"/>
      <c r="EJU35" s="1884"/>
      <c r="EJV35" s="1884"/>
      <c r="EJW35" s="1884"/>
      <c r="EJX35" s="1884"/>
      <c r="EJY35" s="1884"/>
      <c r="EJZ35" s="1884"/>
      <c r="EKA35" s="1884"/>
      <c r="EKB35" s="1884"/>
      <c r="EKC35" s="1884"/>
      <c r="EKD35" s="1884"/>
      <c r="EKE35" s="1884"/>
      <c r="EKF35" s="1884"/>
      <c r="EKG35" s="1884"/>
      <c r="EKH35" s="1884"/>
      <c r="EKI35" s="1884"/>
      <c r="EKJ35" s="1884"/>
      <c r="EKK35" s="1884"/>
      <c r="EKL35" s="1884"/>
      <c r="EKM35" s="1884"/>
      <c r="EKN35" s="1884"/>
      <c r="EKO35" s="1884"/>
      <c r="EKP35" s="1884"/>
      <c r="EKQ35" s="1884"/>
      <c r="EKR35" s="1884"/>
      <c r="EKS35" s="1884"/>
      <c r="EKT35" s="1884"/>
      <c r="EKU35" s="1884"/>
      <c r="EKV35" s="1884"/>
      <c r="EKW35" s="1884"/>
      <c r="EKX35" s="1884"/>
      <c r="EKY35" s="1884"/>
      <c r="EKZ35" s="1884"/>
      <c r="ELA35" s="1884"/>
      <c r="ELB35" s="1884"/>
      <c r="ELC35" s="1884"/>
      <c r="ELD35" s="1884"/>
      <c r="ELE35" s="1884"/>
      <c r="ELF35" s="1884"/>
      <c r="ELG35" s="1884"/>
      <c r="ELH35" s="1884"/>
      <c r="ELI35" s="1884"/>
      <c r="ELJ35" s="1884"/>
      <c r="ELK35" s="1884"/>
      <c r="ELL35" s="1884"/>
      <c r="ELM35" s="1884"/>
      <c r="ELN35" s="1884"/>
      <c r="ELO35" s="1884"/>
      <c r="ELP35" s="1884"/>
      <c r="ELQ35" s="1884"/>
      <c r="ELR35" s="1884"/>
      <c r="ELS35" s="1884"/>
      <c r="ELT35" s="1884"/>
      <c r="ELU35" s="1884"/>
      <c r="ELV35" s="1884"/>
      <c r="ELW35" s="1884"/>
      <c r="ELX35" s="1884"/>
      <c r="ELY35" s="1884"/>
      <c r="ELZ35" s="1884"/>
      <c r="EMA35" s="1884"/>
      <c r="EMB35" s="1884"/>
      <c r="EMC35" s="1884"/>
      <c r="EMD35" s="1884"/>
      <c r="EME35" s="1884"/>
      <c r="EMF35" s="1884"/>
      <c r="EMG35" s="1884"/>
      <c r="EMH35" s="1884"/>
      <c r="EMI35" s="1884"/>
      <c r="EMJ35" s="1884"/>
      <c r="EMK35" s="1884"/>
      <c r="EML35" s="1884"/>
      <c r="EMM35" s="1884"/>
      <c r="EMN35" s="1884"/>
      <c r="EMO35" s="1884"/>
      <c r="EMP35" s="1884"/>
      <c r="EMQ35" s="1884"/>
      <c r="EMR35" s="1884"/>
      <c r="EMS35" s="1884"/>
      <c r="EMT35" s="1884"/>
      <c r="EMU35" s="1884"/>
      <c r="EMV35" s="1884"/>
      <c r="EMW35" s="1884"/>
      <c r="EMX35" s="1884"/>
      <c r="EMY35" s="1884"/>
      <c r="EMZ35" s="1884"/>
      <c r="ENA35" s="1884"/>
      <c r="ENB35" s="1884"/>
      <c r="ENC35" s="1884"/>
      <c r="END35" s="1884"/>
      <c r="ENE35" s="1884"/>
      <c r="ENF35" s="1884"/>
      <c r="ENG35" s="1884"/>
      <c r="ENH35" s="1884"/>
      <c r="ENI35" s="1884"/>
      <c r="ENJ35" s="1884"/>
      <c r="ENK35" s="1884"/>
      <c r="ENL35" s="1884"/>
      <c r="ENM35" s="1884"/>
      <c r="ENN35" s="1884"/>
      <c r="ENO35" s="1884"/>
      <c r="ENP35" s="1884"/>
      <c r="ENQ35" s="1884"/>
      <c r="ENR35" s="1884"/>
      <c r="ENS35" s="1884"/>
      <c r="ENT35" s="1884"/>
      <c r="ENU35" s="1884"/>
      <c r="ENV35" s="1884"/>
      <c r="ENW35" s="1884"/>
      <c r="ENX35" s="1884"/>
      <c r="ENY35" s="1884"/>
      <c r="ENZ35" s="1884"/>
      <c r="EOA35" s="1884"/>
      <c r="EOB35" s="1884"/>
      <c r="EOC35" s="1884"/>
      <c r="EOD35" s="1884"/>
      <c r="EOE35" s="1884"/>
      <c r="EOF35" s="1884"/>
      <c r="EOG35" s="1884"/>
      <c r="EOH35" s="1884"/>
      <c r="EOI35" s="1884"/>
      <c r="EOJ35" s="1884"/>
      <c r="EOK35" s="1884"/>
      <c r="EOL35" s="1884"/>
      <c r="EOM35" s="1884"/>
      <c r="EON35" s="1884"/>
      <c r="EOO35" s="1884"/>
      <c r="EOP35" s="1884"/>
      <c r="EOQ35" s="1884"/>
      <c r="EOR35" s="1884"/>
      <c r="EOS35" s="1884"/>
      <c r="EOT35" s="1884"/>
      <c r="EOU35" s="1884"/>
      <c r="EOV35" s="1884"/>
      <c r="EOW35" s="1884"/>
      <c r="EOX35" s="1884"/>
      <c r="EOY35" s="1884"/>
      <c r="EOZ35" s="1884"/>
      <c r="EPA35" s="1884"/>
      <c r="EPB35" s="1884"/>
      <c r="EPC35" s="1884"/>
      <c r="EPD35" s="1884"/>
      <c r="EPE35" s="1884"/>
      <c r="EPF35" s="1884"/>
      <c r="EPG35" s="1884"/>
      <c r="EPH35" s="1884"/>
      <c r="EPI35" s="1884"/>
      <c r="EPJ35" s="1884"/>
      <c r="EPK35" s="1884"/>
      <c r="EPL35" s="1884"/>
      <c r="EPM35" s="1884"/>
      <c r="EPN35" s="1884"/>
      <c r="EPO35" s="1884"/>
      <c r="EPP35" s="1884"/>
      <c r="EPQ35" s="1884"/>
      <c r="EPR35" s="1884"/>
      <c r="EPS35" s="1884"/>
      <c r="EPT35" s="1884"/>
      <c r="EPU35" s="1884"/>
      <c r="EPV35" s="1884"/>
      <c r="EPW35" s="1884"/>
      <c r="EPX35" s="1884"/>
      <c r="EPY35" s="1884"/>
      <c r="EPZ35" s="1884"/>
      <c r="EQA35" s="1884"/>
      <c r="EQB35" s="1884"/>
      <c r="EQC35" s="1884"/>
      <c r="EQD35" s="1884"/>
      <c r="EQE35" s="1884"/>
      <c r="EQF35" s="1884"/>
      <c r="EQG35" s="1884"/>
      <c r="EQH35" s="1884"/>
      <c r="EQI35" s="1884"/>
      <c r="EQJ35" s="1884"/>
      <c r="EQK35" s="1884"/>
      <c r="EQL35" s="1884"/>
      <c r="EQM35" s="1884"/>
      <c r="EQN35" s="1884"/>
      <c r="EQO35" s="1884"/>
      <c r="EQP35" s="1884"/>
      <c r="EQQ35" s="1884"/>
      <c r="EQR35" s="1884"/>
      <c r="EQS35" s="1884"/>
      <c r="EQT35" s="1884"/>
      <c r="EQU35" s="1884"/>
      <c r="EQV35" s="1884"/>
      <c r="EQW35" s="1884"/>
      <c r="EQX35" s="1884"/>
      <c r="EQY35" s="1884"/>
      <c r="EQZ35" s="1884"/>
      <c r="ERA35" s="1884"/>
      <c r="ERB35" s="1884"/>
      <c r="ERC35" s="1884"/>
      <c r="ERD35" s="1884"/>
      <c r="ERE35" s="1884"/>
      <c r="ERF35" s="1884"/>
      <c r="ERG35" s="1884"/>
      <c r="ERH35" s="1884"/>
      <c r="ERI35" s="1884"/>
      <c r="ERJ35" s="1884"/>
      <c r="ERK35" s="1884"/>
      <c r="ERL35" s="1884"/>
      <c r="ERM35" s="1884"/>
      <c r="ERN35" s="1884"/>
      <c r="ERO35" s="1884"/>
      <c r="ERP35" s="1884"/>
      <c r="ERQ35" s="1884"/>
      <c r="ERR35" s="1884"/>
      <c r="ERS35" s="1884"/>
      <c r="ERT35" s="1884"/>
      <c r="ERU35" s="1884"/>
      <c r="ERV35" s="1884"/>
      <c r="ERW35" s="1884"/>
      <c r="ERX35" s="1884"/>
      <c r="ERY35" s="1884"/>
      <c r="ERZ35" s="1884"/>
      <c r="ESA35" s="1884"/>
      <c r="ESB35" s="1884"/>
      <c r="ESC35" s="1884"/>
      <c r="ESD35" s="1884"/>
      <c r="ESE35" s="1884"/>
      <c r="ESF35" s="1884"/>
      <c r="ESG35" s="1884"/>
      <c r="ESH35" s="1884"/>
      <c r="ESI35" s="1884"/>
      <c r="ESJ35" s="1884"/>
      <c r="ESK35" s="1884"/>
      <c r="ESL35" s="1884"/>
      <c r="ESM35" s="1884"/>
      <c r="ESN35" s="1884"/>
      <c r="ESO35" s="1884"/>
      <c r="ESP35" s="1884"/>
      <c r="ESQ35" s="1884"/>
      <c r="ESR35" s="1884"/>
      <c r="ESS35" s="1884"/>
      <c r="EST35" s="1884"/>
      <c r="ESU35" s="1884"/>
      <c r="ESV35" s="1884"/>
      <c r="ESW35" s="1884"/>
      <c r="ESX35" s="1884"/>
      <c r="ESY35" s="1884"/>
      <c r="ESZ35" s="1884"/>
      <c r="ETA35" s="1884"/>
      <c r="ETB35" s="1884"/>
      <c r="ETC35" s="1884"/>
      <c r="ETD35" s="1884"/>
      <c r="ETE35" s="1884"/>
      <c r="ETF35" s="1884"/>
      <c r="ETG35" s="1884"/>
      <c r="ETH35" s="1884"/>
      <c r="ETI35" s="1884"/>
      <c r="ETJ35" s="1884"/>
      <c r="ETK35" s="1884"/>
      <c r="ETL35" s="1884"/>
      <c r="ETM35" s="1884"/>
      <c r="ETN35" s="1884"/>
      <c r="ETO35" s="1884"/>
      <c r="ETP35" s="1884"/>
      <c r="ETQ35" s="1884"/>
      <c r="ETR35" s="1884"/>
      <c r="ETS35" s="1884"/>
      <c r="ETT35" s="1884"/>
      <c r="ETU35" s="1884"/>
      <c r="ETV35" s="1884"/>
      <c r="ETW35" s="1884"/>
      <c r="ETX35" s="1884"/>
      <c r="ETY35" s="1884"/>
      <c r="ETZ35" s="1884"/>
      <c r="EUA35" s="1884"/>
      <c r="EUB35" s="1884"/>
      <c r="EUC35" s="1884"/>
      <c r="EUD35" s="1884"/>
      <c r="EUE35" s="1884"/>
      <c r="EUF35" s="1884"/>
      <c r="EUG35" s="1884"/>
      <c r="EUH35" s="1884"/>
      <c r="EUI35" s="1884"/>
      <c r="EUJ35" s="1884"/>
      <c r="EUK35" s="1884"/>
      <c r="EUL35" s="1884"/>
      <c r="EUM35" s="1884"/>
      <c r="EUN35" s="1884"/>
      <c r="EUO35" s="1884"/>
      <c r="EUP35" s="1884"/>
      <c r="EUQ35" s="1884"/>
      <c r="EUR35" s="1884"/>
      <c r="EUS35" s="1884"/>
      <c r="EUT35" s="1884"/>
      <c r="EUU35" s="1884"/>
      <c r="EUV35" s="1884"/>
      <c r="EUW35" s="1884"/>
      <c r="EUX35" s="1884"/>
      <c r="EUY35" s="1884"/>
      <c r="EUZ35" s="1884"/>
      <c r="EVA35" s="1884"/>
      <c r="EVB35" s="1884"/>
      <c r="EVC35" s="1884"/>
      <c r="EVD35" s="1884"/>
      <c r="EVE35" s="1884"/>
      <c r="EVF35" s="1884"/>
      <c r="EVG35" s="1884"/>
      <c r="EVH35" s="1884"/>
      <c r="EVI35" s="1884"/>
      <c r="EVJ35" s="1884"/>
      <c r="EVK35" s="1884"/>
      <c r="EVL35" s="1884"/>
      <c r="EVM35" s="1884"/>
      <c r="EVN35" s="1884"/>
      <c r="EVO35" s="1884"/>
      <c r="EVP35" s="1884"/>
      <c r="EVQ35" s="1884"/>
      <c r="EVR35" s="1884"/>
      <c r="EVS35" s="1884"/>
      <c r="EVT35" s="1884"/>
      <c r="EVU35" s="1884"/>
      <c r="EVV35" s="1884"/>
      <c r="EVW35" s="1884"/>
      <c r="EVX35" s="1884"/>
      <c r="EVY35" s="1884"/>
      <c r="EVZ35" s="1884"/>
      <c r="EWA35" s="1884"/>
      <c r="EWB35" s="1884"/>
      <c r="EWC35" s="1884"/>
      <c r="EWD35" s="1884"/>
      <c r="EWE35" s="1884"/>
      <c r="EWF35" s="1884"/>
      <c r="EWG35" s="1884"/>
      <c r="EWH35" s="1884"/>
      <c r="EWI35" s="1884"/>
      <c r="EWJ35" s="1884"/>
      <c r="EWK35" s="1884"/>
      <c r="EWL35" s="1884"/>
      <c r="EWM35" s="1884"/>
      <c r="EWN35" s="1884"/>
      <c r="EWO35" s="1884"/>
      <c r="EWP35" s="1884"/>
      <c r="EWQ35" s="1884"/>
      <c r="EWR35" s="1884"/>
      <c r="EWS35" s="1884"/>
      <c r="EWT35" s="1884"/>
      <c r="EWU35" s="1884"/>
      <c r="EWV35" s="1884"/>
      <c r="EWW35" s="1884"/>
      <c r="EWX35" s="1884"/>
      <c r="EWY35" s="1884"/>
      <c r="EWZ35" s="1884"/>
      <c r="EXA35" s="1884"/>
      <c r="EXB35" s="1884"/>
      <c r="EXC35" s="1884"/>
      <c r="EXD35" s="1884"/>
      <c r="EXE35" s="1884"/>
      <c r="EXF35" s="1884"/>
      <c r="EXG35" s="1884"/>
      <c r="EXH35" s="1884"/>
      <c r="EXI35" s="1884"/>
      <c r="EXJ35" s="1884"/>
      <c r="EXK35" s="1884"/>
      <c r="EXL35" s="1884"/>
      <c r="EXM35" s="1884"/>
      <c r="EXN35" s="1884"/>
      <c r="EXO35" s="1884"/>
      <c r="EXP35" s="1884"/>
      <c r="EXQ35" s="1884"/>
      <c r="EXR35" s="1884"/>
      <c r="EXS35" s="1884"/>
      <c r="EXT35" s="1884"/>
      <c r="EXU35" s="1884"/>
      <c r="EXV35" s="1884"/>
      <c r="EXW35" s="1884"/>
      <c r="EXX35" s="1884"/>
      <c r="EXY35" s="1884"/>
      <c r="EXZ35" s="1884"/>
      <c r="EYA35" s="1884"/>
      <c r="EYB35" s="1884"/>
      <c r="EYC35" s="1884"/>
      <c r="EYD35" s="1884"/>
      <c r="EYE35" s="1884"/>
      <c r="EYF35" s="1884"/>
      <c r="EYG35" s="1884"/>
      <c r="EYH35" s="1884"/>
      <c r="EYI35" s="1884"/>
      <c r="EYJ35" s="1884"/>
      <c r="EYK35" s="1884"/>
      <c r="EYL35" s="1884"/>
      <c r="EYM35" s="1884"/>
      <c r="EYN35" s="1884"/>
      <c r="EYO35" s="1884"/>
      <c r="EYP35" s="1884"/>
      <c r="EYQ35" s="1884"/>
      <c r="EYR35" s="1884"/>
      <c r="EYS35" s="1884"/>
      <c r="EYT35" s="1884"/>
      <c r="EYU35" s="1884"/>
      <c r="EYV35" s="1884"/>
      <c r="EYW35" s="1884"/>
      <c r="EYX35" s="1884"/>
      <c r="EYY35" s="1884"/>
      <c r="EYZ35" s="1884"/>
      <c r="EZA35" s="1884"/>
      <c r="EZB35" s="1884"/>
      <c r="EZC35" s="1884"/>
      <c r="EZD35" s="1884"/>
      <c r="EZE35" s="1884"/>
      <c r="EZF35" s="1884"/>
      <c r="EZG35" s="1884"/>
      <c r="EZH35" s="1884"/>
      <c r="EZI35" s="1884"/>
      <c r="EZJ35" s="1884"/>
      <c r="EZK35" s="1884"/>
      <c r="EZL35" s="1884"/>
      <c r="EZM35" s="1884"/>
      <c r="EZN35" s="1884"/>
      <c r="EZO35" s="1884"/>
      <c r="EZP35" s="1884"/>
      <c r="EZQ35" s="1884"/>
      <c r="EZR35" s="1884"/>
      <c r="EZS35" s="1884"/>
      <c r="EZT35" s="1884"/>
      <c r="EZU35" s="1884"/>
      <c r="EZV35" s="1884"/>
      <c r="EZW35" s="1884"/>
      <c r="EZX35" s="1884"/>
      <c r="EZY35" s="1884"/>
      <c r="EZZ35" s="1884"/>
      <c r="FAA35" s="1884"/>
      <c r="FAB35" s="1884"/>
      <c r="FAC35" s="1884"/>
      <c r="FAD35" s="1884"/>
      <c r="FAE35" s="1884"/>
      <c r="FAF35" s="1884"/>
      <c r="FAG35" s="1884"/>
      <c r="FAH35" s="1884"/>
      <c r="FAI35" s="1884"/>
      <c r="FAJ35" s="1884"/>
      <c r="FAK35" s="1884"/>
      <c r="FAL35" s="1884"/>
      <c r="FAM35" s="1884"/>
      <c r="FAN35" s="1884"/>
      <c r="FAO35" s="1884"/>
      <c r="FAP35" s="1884"/>
      <c r="FAQ35" s="1884"/>
      <c r="FAR35" s="1884"/>
      <c r="FAS35" s="1884"/>
      <c r="FAT35" s="1884"/>
      <c r="FAU35" s="1884"/>
      <c r="FAV35" s="1884"/>
      <c r="FAW35" s="1884"/>
      <c r="FAX35" s="1884"/>
      <c r="FAY35" s="1884"/>
      <c r="FAZ35" s="1884"/>
      <c r="FBA35" s="1884"/>
      <c r="FBB35" s="1884"/>
      <c r="FBC35" s="1884"/>
      <c r="FBD35" s="1884"/>
      <c r="FBE35" s="1884"/>
      <c r="FBF35" s="1884"/>
      <c r="FBG35" s="1884"/>
      <c r="FBH35" s="1884"/>
      <c r="FBI35" s="1884"/>
      <c r="FBJ35" s="1884"/>
      <c r="FBK35" s="1884"/>
      <c r="FBL35" s="1884"/>
      <c r="FBM35" s="1884"/>
      <c r="FBN35" s="1884"/>
      <c r="FBO35" s="1884"/>
      <c r="FBP35" s="1884"/>
      <c r="FBQ35" s="1884"/>
      <c r="FBR35" s="1884"/>
      <c r="FBS35" s="1884"/>
      <c r="FBT35" s="1884"/>
      <c r="FBU35" s="1884"/>
      <c r="FBV35" s="1884"/>
      <c r="FBW35" s="1884"/>
      <c r="FBX35" s="1884"/>
      <c r="FBY35" s="1884"/>
      <c r="FBZ35" s="1884"/>
      <c r="FCA35" s="1884"/>
      <c r="FCB35" s="1884"/>
      <c r="FCC35" s="1884"/>
      <c r="FCD35" s="1884"/>
      <c r="FCE35" s="1884"/>
      <c r="FCF35" s="1884"/>
      <c r="FCG35" s="1884"/>
      <c r="FCH35" s="1884"/>
      <c r="FCI35" s="1884"/>
      <c r="FCJ35" s="1884"/>
      <c r="FCK35" s="1884"/>
      <c r="FCL35" s="1884"/>
      <c r="FCM35" s="1884"/>
      <c r="FCN35" s="1884"/>
      <c r="FCO35" s="1884"/>
      <c r="FCP35" s="1884"/>
      <c r="FCQ35" s="1884"/>
      <c r="FCR35" s="1884"/>
      <c r="FCS35" s="1884"/>
      <c r="FCT35" s="1884"/>
      <c r="FCU35" s="1884"/>
      <c r="FCV35" s="1884"/>
      <c r="FCW35" s="1884"/>
      <c r="FCX35" s="1884"/>
      <c r="FCY35" s="1884"/>
      <c r="FCZ35" s="1884"/>
      <c r="FDA35" s="1884"/>
      <c r="FDB35" s="1884"/>
      <c r="FDC35" s="1884"/>
      <c r="FDD35" s="1884"/>
      <c r="FDE35" s="1884"/>
      <c r="FDF35" s="1884"/>
      <c r="FDG35" s="1884"/>
      <c r="FDH35" s="1884"/>
      <c r="FDI35" s="1884"/>
      <c r="FDJ35" s="1884"/>
      <c r="FDK35" s="1884"/>
      <c r="FDL35" s="1884"/>
      <c r="FDM35" s="1884"/>
      <c r="FDN35" s="1884"/>
      <c r="FDO35" s="1884"/>
      <c r="FDP35" s="1884"/>
      <c r="FDQ35" s="1884"/>
      <c r="FDR35" s="1884"/>
      <c r="FDS35" s="1884"/>
      <c r="FDT35" s="1884"/>
      <c r="FDU35" s="1884"/>
      <c r="FDV35" s="1884"/>
      <c r="FDW35" s="1884"/>
      <c r="FDX35" s="1884"/>
      <c r="FDY35" s="1884"/>
      <c r="FDZ35" s="1884"/>
      <c r="FEA35" s="1884"/>
      <c r="FEB35" s="1884"/>
      <c r="FEC35" s="1884"/>
      <c r="FED35" s="1884"/>
      <c r="FEE35" s="1884"/>
      <c r="FEF35" s="1884"/>
      <c r="FEG35" s="1884"/>
      <c r="FEH35" s="1884"/>
      <c r="FEI35" s="1884"/>
      <c r="FEJ35" s="1884"/>
      <c r="FEK35" s="1884"/>
      <c r="FEL35" s="1884"/>
      <c r="FEM35" s="1884"/>
      <c r="FEN35" s="1884"/>
      <c r="FEO35" s="1884"/>
      <c r="FEP35" s="1884"/>
      <c r="FEQ35" s="1884"/>
      <c r="FER35" s="1884"/>
      <c r="FES35" s="1884"/>
      <c r="FET35" s="1884"/>
      <c r="FEU35" s="1884"/>
      <c r="FEV35" s="1884"/>
      <c r="FEW35" s="1884"/>
      <c r="FEX35" s="1884"/>
      <c r="FEY35" s="1884"/>
      <c r="FEZ35" s="1884"/>
      <c r="FFA35" s="1884"/>
      <c r="FFB35" s="1884"/>
      <c r="FFC35" s="1884"/>
      <c r="FFD35" s="1884"/>
      <c r="FFE35" s="1884"/>
      <c r="FFF35" s="1884"/>
      <c r="FFG35" s="1884"/>
      <c r="FFH35" s="1884"/>
      <c r="FFI35" s="1884"/>
      <c r="FFJ35" s="1884"/>
      <c r="FFK35" s="1884"/>
      <c r="FFL35" s="1884"/>
      <c r="FFM35" s="1884"/>
      <c r="FFN35" s="1884"/>
      <c r="FFO35" s="1884"/>
      <c r="FFP35" s="1884"/>
      <c r="FFQ35" s="1884"/>
      <c r="FFR35" s="1884"/>
      <c r="FFS35" s="1884"/>
      <c r="FFT35" s="1884"/>
      <c r="FFU35" s="1884"/>
      <c r="FFV35" s="1884"/>
      <c r="FFW35" s="1884"/>
      <c r="FFX35" s="1884"/>
      <c r="FFY35" s="1884"/>
      <c r="FFZ35" s="1884"/>
      <c r="FGA35" s="1884"/>
      <c r="FGB35" s="1884"/>
      <c r="FGC35" s="1884"/>
      <c r="FGD35" s="1884"/>
      <c r="FGE35" s="1884"/>
      <c r="FGF35" s="1884"/>
      <c r="FGG35" s="1884"/>
      <c r="FGH35" s="1884"/>
      <c r="FGI35" s="1884"/>
      <c r="FGJ35" s="1884"/>
      <c r="FGK35" s="1884"/>
      <c r="FGL35" s="1884"/>
      <c r="FGM35" s="1884"/>
      <c r="FGN35" s="1884"/>
      <c r="FGO35" s="1884"/>
      <c r="FGP35" s="1884"/>
      <c r="FGQ35" s="1884"/>
      <c r="FGR35" s="1884"/>
      <c r="FGS35" s="1884"/>
      <c r="FGT35" s="1884"/>
      <c r="FGU35" s="1884"/>
      <c r="FGV35" s="1884"/>
      <c r="FGW35" s="1884"/>
      <c r="FGX35" s="1884"/>
      <c r="FGY35" s="1884"/>
      <c r="FGZ35" s="1884"/>
      <c r="FHA35" s="1884"/>
      <c r="FHB35" s="1884"/>
      <c r="FHC35" s="1884"/>
      <c r="FHD35" s="1884"/>
      <c r="FHE35" s="1884"/>
      <c r="FHF35" s="1884"/>
      <c r="FHG35" s="1884"/>
      <c r="FHH35" s="1884"/>
      <c r="FHI35" s="1884"/>
      <c r="FHJ35" s="1884"/>
      <c r="FHK35" s="1884"/>
      <c r="FHL35" s="1884"/>
      <c r="FHM35" s="1884"/>
      <c r="FHN35" s="1884"/>
      <c r="FHO35" s="1884"/>
      <c r="FHP35" s="1884"/>
      <c r="FHQ35" s="1884"/>
      <c r="FHR35" s="1884"/>
      <c r="FHS35" s="1884"/>
      <c r="FHT35" s="1884"/>
      <c r="FHU35" s="1884"/>
      <c r="FHV35" s="1884"/>
      <c r="FHW35" s="1884"/>
      <c r="FHX35" s="1884"/>
      <c r="FHY35" s="1884"/>
      <c r="FHZ35" s="1884"/>
      <c r="FIA35" s="1884"/>
      <c r="FIB35" s="1884"/>
      <c r="FIC35" s="1884"/>
      <c r="FID35" s="1884"/>
      <c r="FIE35" s="1884"/>
      <c r="FIF35" s="1884"/>
      <c r="FIG35" s="1884"/>
      <c r="FIH35" s="1884"/>
      <c r="FII35" s="1884"/>
      <c r="FIJ35" s="1884"/>
      <c r="FIK35" s="1884"/>
      <c r="FIL35" s="1884"/>
      <c r="FIM35" s="1884"/>
      <c r="FIN35" s="1884"/>
      <c r="FIO35" s="1884"/>
      <c r="FIP35" s="1884"/>
      <c r="FIQ35" s="1884"/>
      <c r="FIR35" s="1884"/>
      <c r="FIS35" s="1884"/>
      <c r="FIT35" s="1884"/>
      <c r="FIU35" s="1884"/>
      <c r="FIV35" s="1884"/>
      <c r="FIW35" s="1884"/>
      <c r="FIX35" s="1884"/>
      <c r="FIY35" s="1884"/>
      <c r="FIZ35" s="1884"/>
      <c r="FJA35" s="1884"/>
      <c r="FJB35" s="1884"/>
      <c r="FJC35" s="1884"/>
      <c r="FJD35" s="1884"/>
      <c r="FJE35" s="1884"/>
      <c r="FJF35" s="1884"/>
      <c r="FJG35" s="1884"/>
      <c r="FJH35" s="1884"/>
      <c r="FJI35" s="1884"/>
      <c r="FJJ35" s="1884"/>
      <c r="FJK35" s="1884"/>
      <c r="FJL35" s="1884"/>
      <c r="FJM35" s="1884"/>
      <c r="FJN35" s="1884"/>
      <c r="FJO35" s="1884"/>
      <c r="FJP35" s="1884"/>
      <c r="FJQ35" s="1884"/>
      <c r="FJR35" s="1884"/>
      <c r="FJS35" s="1884"/>
      <c r="FJT35" s="1884"/>
      <c r="FJU35" s="1884"/>
      <c r="FJV35" s="1884"/>
      <c r="FJW35" s="1884"/>
      <c r="FJX35" s="1884"/>
      <c r="FJY35" s="1884"/>
      <c r="FJZ35" s="1884"/>
      <c r="FKA35" s="1884"/>
      <c r="FKB35" s="1884"/>
      <c r="FKC35" s="1884"/>
      <c r="FKD35" s="1884"/>
      <c r="FKE35" s="1884"/>
      <c r="FKF35" s="1884"/>
      <c r="FKG35" s="1884"/>
      <c r="FKH35" s="1884"/>
      <c r="FKI35" s="1884"/>
      <c r="FKJ35" s="1884"/>
      <c r="FKK35" s="1884"/>
      <c r="FKL35" s="1884"/>
      <c r="FKM35" s="1884"/>
      <c r="FKN35" s="1884"/>
      <c r="FKO35" s="1884"/>
      <c r="FKP35" s="1884"/>
      <c r="FKQ35" s="1884"/>
      <c r="FKR35" s="1884"/>
      <c r="FKS35" s="1884"/>
      <c r="FKT35" s="1884"/>
      <c r="FKU35" s="1884"/>
      <c r="FKV35" s="1884"/>
      <c r="FKW35" s="1884"/>
      <c r="FKX35" s="1884"/>
      <c r="FKY35" s="1884"/>
      <c r="FKZ35" s="1884"/>
      <c r="FLA35" s="1884"/>
      <c r="FLB35" s="1884"/>
      <c r="FLC35" s="1884"/>
      <c r="FLD35" s="1884"/>
      <c r="FLE35" s="1884"/>
      <c r="FLF35" s="1884"/>
      <c r="FLG35" s="1884"/>
      <c r="FLH35" s="1884"/>
      <c r="FLI35" s="1884"/>
      <c r="FLJ35" s="1884"/>
      <c r="FLK35" s="1884"/>
      <c r="FLL35" s="1884"/>
      <c r="FLM35" s="1884"/>
      <c r="FLN35" s="1884"/>
      <c r="FLO35" s="1884"/>
      <c r="FLP35" s="1884"/>
      <c r="FLQ35" s="1884"/>
      <c r="FLR35" s="1884"/>
      <c r="FLS35" s="1884"/>
      <c r="FLT35" s="1884"/>
      <c r="FLU35" s="1884"/>
      <c r="FLV35" s="1884"/>
      <c r="FLW35" s="1884"/>
      <c r="FLX35" s="1884"/>
      <c r="FLY35" s="1884"/>
      <c r="FLZ35" s="1884"/>
      <c r="FMA35" s="1884"/>
      <c r="FMB35" s="1884"/>
      <c r="FMC35" s="1884"/>
      <c r="FMD35" s="1884"/>
      <c r="FME35" s="1884"/>
      <c r="FMF35" s="1884"/>
      <c r="FMG35" s="1884"/>
      <c r="FMH35" s="1884"/>
      <c r="FMI35" s="1884"/>
      <c r="FMJ35" s="1884"/>
      <c r="FMK35" s="1884"/>
      <c r="FML35" s="1884"/>
      <c r="FMM35" s="1884"/>
      <c r="FMN35" s="1884"/>
      <c r="FMO35" s="1884"/>
      <c r="FMP35" s="1884"/>
      <c r="FMQ35" s="1884"/>
      <c r="FMR35" s="1884"/>
      <c r="FMS35" s="1884"/>
      <c r="FMT35" s="1884"/>
      <c r="FMU35" s="1884"/>
      <c r="FMV35" s="1884"/>
      <c r="FMW35" s="1884"/>
      <c r="FMX35" s="1884"/>
      <c r="FMY35" s="1884"/>
      <c r="FMZ35" s="1884"/>
      <c r="FNA35" s="1884"/>
      <c r="FNB35" s="1884"/>
      <c r="FNC35" s="1884"/>
      <c r="FND35" s="1884"/>
      <c r="FNE35" s="1884"/>
      <c r="FNF35" s="1884"/>
      <c r="FNG35" s="1884"/>
      <c r="FNH35" s="1884"/>
      <c r="FNI35" s="1884"/>
      <c r="FNJ35" s="1884"/>
      <c r="FNK35" s="1884"/>
      <c r="FNL35" s="1884"/>
      <c r="FNM35" s="1884"/>
      <c r="FNN35" s="1884"/>
      <c r="FNO35" s="1884"/>
      <c r="FNP35" s="1884"/>
      <c r="FNQ35" s="1884"/>
      <c r="FNR35" s="1884"/>
      <c r="FNS35" s="1884"/>
      <c r="FNT35" s="1884"/>
      <c r="FNU35" s="1884"/>
      <c r="FNV35" s="1884"/>
      <c r="FNW35" s="1884"/>
      <c r="FNX35" s="1884"/>
      <c r="FNY35" s="1884"/>
      <c r="FNZ35" s="1884"/>
      <c r="FOA35" s="1884"/>
      <c r="FOB35" s="1884"/>
      <c r="FOC35" s="1884"/>
      <c r="FOD35" s="1884"/>
      <c r="FOE35" s="1884"/>
      <c r="FOF35" s="1884"/>
      <c r="FOG35" s="1884"/>
      <c r="FOH35" s="1884"/>
      <c r="FOI35" s="1884"/>
      <c r="FOJ35" s="1884"/>
      <c r="FOK35" s="1884"/>
      <c r="FOL35" s="1884"/>
      <c r="FOM35" s="1884"/>
      <c r="FON35" s="1884"/>
      <c r="FOO35" s="1884"/>
      <c r="FOP35" s="1884"/>
      <c r="FOQ35" s="1884"/>
      <c r="FOR35" s="1884"/>
      <c r="FOS35" s="1884"/>
      <c r="FOT35" s="1884"/>
      <c r="FOU35" s="1884"/>
      <c r="FOV35" s="1884"/>
      <c r="FOW35" s="1884"/>
      <c r="FOX35" s="1884"/>
      <c r="FOY35" s="1884"/>
      <c r="FOZ35" s="1884"/>
      <c r="FPA35" s="1884"/>
      <c r="FPB35" s="1884"/>
      <c r="FPC35" s="1884"/>
      <c r="FPD35" s="1884"/>
      <c r="FPE35" s="1884"/>
      <c r="FPF35" s="1884"/>
      <c r="FPG35" s="1884"/>
      <c r="FPH35" s="1884"/>
      <c r="FPI35" s="1884"/>
      <c r="FPJ35" s="1884"/>
      <c r="FPK35" s="1884"/>
      <c r="FPL35" s="1884"/>
      <c r="FPM35" s="1884"/>
      <c r="FPN35" s="1884"/>
      <c r="FPO35" s="1884"/>
      <c r="FPP35" s="1884"/>
      <c r="FPQ35" s="1884"/>
      <c r="FPR35" s="1884"/>
      <c r="FPS35" s="1884"/>
      <c r="FPT35" s="1884"/>
      <c r="FPU35" s="1884"/>
      <c r="FPV35" s="1884"/>
      <c r="FPW35" s="1884"/>
      <c r="FPX35" s="1884"/>
      <c r="FPY35" s="1884"/>
      <c r="FPZ35" s="1884"/>
      <c r="FQA35" s="1884"/>
      <c r="FQB35" s="1884"/>
      <c r="FQC35" s="1884"/>
      <c r="FQD35" s="1884"/>
      <c r="FQE35" s="1884"/>
      <c r="FQF35" s="1884"/>
      <c r="FQG35" s="1884"/>
      <c r="FQH35" s="1884"/>
      <c r="FQI35" s="1884"/>
      <c r="FQJ35" s="1884"/>
      <c r="FQK35" s="1884"/>
      <c r="FQL35" s="1884"/>
      <c r="FQM35" s="1884"/>
      <c r="FQN35" s="1884"/>
      <c r="FQO35" s="1884"/>
      <c r="FQP35" s="1884"/>
      <c r="FQQ35" s="1884"/>
      <c r="FQR35" s="1884"/>
      <c r="FQS35" s="1884"/>
      <c r="FQT35" s="1884"/>
      <c r="FQU35" s="1884"/>
      <c r="FQV35" s="1884"/>
      <c r="FQW35" s="1884"/>
      <c r="FQX35" s="1884"/>
      <c r="FQY35" s="1884"/>
      <c r="FQZ35" s="1884"/>
      <c r="FRA35" s="1884"/>
      <c r="FRB35" s="1884"/>
      <c r="FRC35" s="1884"/>
      <c r="FRD35" s="1884"/>
      <c r="FRE35" s="1884"/>
      <c r="FRF35" s="1884"/>
      <c r="FRG35" s="1884"/>
      <c r="FRH35" s="1884"/>
      <c r="FRI35" s="1884"/>
      <c r="FRJ35" s="1884"/>
      <c r="FRK35" s="1884"/>
      <c r="FRL35" s="1884"/>
      <c r="FRM35" s="1884"/>
      <c r="FRN35" s="1884"/>
      <c r="FRO35" s="1884"/>
      <c r="FRP35" s="1884"/>
      <c r="FRQ35" s="1884"/>
      <c r="FRR35" s="1884"/>
      <c r="FRS35" s="1884"/>
      <c r="FRT35" s="1884"/>
      <c r="FRU35" s="1884"/>
      <c r="FRV35" s="1884"/>
      <c r="FRW35" s="1884"/>
      <c r="FRX35" s="1884"/>
      <c r="FRY35" s="1884"/>
      <c r="FRZ35" s="1884"/>
      <c r="FSA35" s="1884"/>
      <c r="FSB35" s="1884"/>
      <c r="FSC35" s="1884"/>
      <c r="FSD35" s="1884"/>
      <c r="FSE35" s="1884"/>
      <c r="FSF35" s="1884"/>
      <c r="FSG35" s="1884"/>
      <c r="FSH35" s="1884"/>
      <c r="FSI35" s="1884"/>
      <c r="FSJ35" s="1884"/>
      <c r="FSK35" s="1884"/>
      <c r="FSL35" s="1884"/>
      <c r="FSM35" s="1884"/>
      <c r="FSN35" s="1884"/>
      <c r="FSO35" s="1884"/>
      <c r="FSP35" s="1884"/>
      <c r="FSQ35" s="1884"/>
      <c r="FSR35" s="1884"/>
      <c r="FSS35" s="1884"/>
      <c r="FST35" s="1884"/>
      <c r="FSU35" s="1884"/>
      <c r="FSV35" s="1884"/>
      <c r="FSW35" s="1884"/>
      <c r="FSX35" s="1884"/>
      <c r="FSY35" s="1884"/>
      <c r="FSZ35" s="1884"/>
      <c r="FTA35" s="1884"/>
      <c r="FTB35" s="1884"/>
      <c r="FTC35" s="1884"/>
      <c r="FTD35" s="1884"/>
      <c r="FTE35" s="1884"/>
      <c r="FTF35" s="1884"/>
      <c r="FTG35" s="1884"/>
      <c r="FTH35" s="1884"/>
      <c r="FTI35" s="1884"/>
      <c r="FTJ35" s="1884"/>
      <c r="FTK35" s="1884"/>
      <c r="FTL35" s="1884"/>
      <c r="FTM35" s="1884"/>
      <c r="FTN35" s="1884"/>
      <c r="FTO35" s="1884"/>
      <c r="FTP35" s="1884"/>
      <c r="FTQ35" s="1884"/>
      <c r="FTR35" s="1884"/>
      <c r="FTS35" s="1884"/>
      <c r="FTT35" s="1884"/>
      <c r="FTU35" s="1884"/>
      <c r="FTV35" s="1884"/>
      <c r="FTW35" s="1884"/>
      <c r="FTX35" s="1884"/>
      <c r="FTY35" s="1884"/>
      <c r="FTZ35" s="1884"/>
      <c r="FUA35" s="1884"/>
      <c r="FUB35" s="1884"/>
      <c r="FUC35" s="1884"/>
      <c r="FUD35" s="1884"/>
      <c r="FUE35" s="1884"/>
      <c r="FUF35" s="1884"/>
      <c r="FUG35" s="1884"/>
      <c r="FUH35" s="1884"/>
      <c r="FUI35" s="1884"/>
      <c r="FUJ35" s="1884"/>
      <c r="FUK35" s="1884"/>
      <c r="FUL35" s="1884"/>
      <c r="FUM35" s="1884"/>
      <c r="FUN35" s="1884"/>
      <c r="FUO35" s="1884"/>
      <c r="FUP35" s="1884"/>
      <c r="FUQ35" s="1884"/>
      <c r="FUR35" s="1884"/>
      <c r="FUS35" s="1884"/>
      <c r="FUT35" s="1884"/>
      <c r="FUU35" s="1884"/>
      <c r="FUV35" s="1884"/>
      <c r="FUW35" s="1884"/>
      <c r="FUX35" s="1884"/>
      <c r="FUY35" s="1884"/>
      <c r="FUZ35" s="1884"/>
      <c r="FVA35" s="1884"/>
      <c r="FVB35" s="1884"/>
      <c r="FVC35" s="1884"/>
      <c r="FVD35" s="1884"/>
      <c r="FVE35" s="1884"/>
      <c r="FVF35" s="1884"/>
      <c r="FVG35" s="1884"/>
      <c r="FVH35" s="1884"/>
      <c r="FVI35" s="1884"/>
      <c r="FVJ35" s="1884"/>
      <c r="FVK35" s="1884"/>
      <c r="FVL35" s="1884"/>
      <c r="FVM35" s="1884"/>
      <c r="FVN35" s="1884"/>
      <c r="FVO35" s="1884"/>
      <c r="FVP35" s="1884"/>
      <c r="FVQ35" s="1884"/>
      <c r="FVR35" s="1884"/>
      <c r="FVS35" s="1884"/>
      <c r="FVT35" s="1884"/>
      <c r="FVU35" s="1884"/>
      <c r="FVV35" s="1884"/>
      <c r="FVW35" s="1884"/>
      <c r="FVX35" s="1884"/>
      <c r="FVY35" s="1884"/>
      <c r="FVZ35" s="1884"/>
      <c r="FWA35" s="1884"/>
      <c r="FWB35" s="1884"/>
      <c r="FWC35" s="1884"/>
      <c r="FWD35" s="1884"/>
      <c r="FWE35" s="1884"/>
      <c r="FWF35" s="1884"/>
      <c r="FWG35" s="1884"/>
      <c r="FWH35" s="1884"/>
      <c r="FWI35" s="1884"/>
      <c r="FWJ35" s="1884"/>
      <c r="FWK35" s="1884"/>
      <c r="FWL35" s="1884"/>
      <c r="FWM35" s="1884"/>
      <c r="FWN35" s="1884"/>
      <c r="FWO35" s="1884"/>
      <c r="FWP35" s="1884"/>
      <c r="FWQ35" s="1884"/>
      <c r="FWR35" s="1884"/>
      <c r="FWS35" s="1884"/>
      <c r="FWT35" s="1884"/>
      <c r="FWU35" s="1884"/>
      <c r="FWV35" s="1884"/>
      <c r="FWW35" s="1884"/>
      <c r="FWX35" s="1884"/>
      <c r="FWY35" s="1884"/>
      <c r="FWZ35" s="1884"/>
      <c r="FXA35" s="1884"/>
      <c r="FXB35" s="1884"/>
      <c r="FXC35" s="1884"/>
      <c r="FXD35" s="1884"/>
      <c r="FXE35" s="1884"/>
      <c r="FXF35" s="1884"/>
      <c r="FXG35" s="1884"/>
      <c r="FXH35" s="1884"/>
      <c r="FXI35" s="1884"/>
      <c r="FXJ35" s="1884"/>
      <c r="FXK35" s="1884"/>
      <c r="FXL35" s="1884"/>
      <c r="FXM35" s="1884"/>
      <c r="FXN35" s="1884"/>
      <c r="FXO35" s="1884"/>
      <c r="FXP35" s="1884"/>
      <c r="FXQ35" s="1884"/>
      <c r="FXR35" s="1884"/>
      <c r="FXS35" s="1884"/>
      <c r="FXT35" s="1884"/>
      <c r="FXU35" s="1884"/>
      <c r="FXV35" s="1884"/>
      <c r="FXW35" s="1884"/>
      <c r="FXX35" s="1884"/>
      <c r="FXY35" s="1884"/>
      <c r="FXZ35" s="1884"/>
      <c r="FYA35" s="1884"/>
      <c r="FYB35" s="1884"/>
      <c r="FYC35" s="1884"/>
      <c r="FYD35" s="1884"/>
      <c r="FYE35" s="1884"/>
      <c r="FYF35" s="1884"/>
      <c r="FYG35" s="1884"/>
      <c r="FYH35" s="1884"/>
      <c r="FYI35" s="1884"/>
      <c r="FYJ35" s="1884"/>
      <c r="FYK35" s="1884"/>
      <c r="FYL35" s="1884"/>
      <c r="FYM35" s="1884"/>
      <c r="FYN35" s="1884"/>
      <c r="FYO35" s="1884"/>
      <c r="FYP35" s="1884"/>
      <c r="FYQ35" s="1884"/>
      <c r="FYR35" s="1884"/>
      <c r="FYS35" s="1884"/>
      <c r="FYT35" s="1884"/>
      <c r="FYU35" s="1884"/>
      <c r="FYV35" s="1884"/>
      <c r="FYW35" s="1884"/>
      <c r="FYX35" s="1884"/>
      <c r="FYY35" s="1884"/>
      <c r="FYZ35" s="1884"/>
      <c r="FZA35" s="1884"/>
      <c r="FZB35" s="1884"/>
      <c r="FZC35" s="1884"/>
      <c r="FZD35" s="1884"/>
      <c r="FZE35" s="1884"/>
      <c r="FZF35" s="1884"/>
      <c r="FZG35" s="1884"/>
      <c r="FZH35" s="1884"/>
      <c r="FZI35" s="1884"/>
      <c r="FZJ35" s="1884"/>
      <c r="FZK35" s="1884"/>
      <c r="FZL35" s="1884"/>
      <c r="FZM35" s="1884"/>
      <c r="FZN35" s="1884"/>
      <c r="FZO35" s="1884"/>
      <c r="FZP35" s="1884"/>
      <c r="FZQ35" s="1884"/>
      <c r="FZR35" s="1884"/>
      <c r="FZS35" s="1884"/>
      <c r="FZT35" s="1884"/>
      <c r="FZU35" s="1884"/>
      <c r="FZV35" s="1884"/>
      <c r="FZW35" s="1884"/>
      <c r="FZX35" s="1884"/>
      <c r="FZY35" s="1884"/>
      <c r="FZZ35" s="1884"/>
      <c r="GAA35" s="1884"/>
      <c r="GAB35" s="1884"/>
      <c r="GAC35" s="1884"/>
      <c r="GAD35" s="1884"/>
      <c r="GAE35" s="1884"/>
      <c r="GAF35" s="1884"/>
      <c r="GAG35" s="1884"/>
      <c r="GAH35" s="1884"/>
      <c r="GAI35" s="1884"/>
      <c r="GAJ35" s="1884"/>
      <c r="GAK35" s="1884"/>
      <c r="GAL35" s="1884"/>
      <c r="GAM35" s="1884"/>
      <c r="GAN35" s="1884"/>
      <c r="GAO35" s="1884"/>
      <c r="GAP35" s="1884"/>
      <c r="GAQ35" s="1884"/>
      <c r="GAR35" s="1884"/>
      <c r="GAS35" s="1884"/>
      <c r="GAT35" s="1884"/>
      <c r="GAU35" s="1884"/>
      <c r="GAV35" s="1884"/>
      <c r="GAW35" s="1884"/>
      <c r="GAX35" s="1884"/>
      <c r="GAY35" s="1884"/>
      <c r="GAZ35" s="1884"/>
      <c r="GBA35" s="1884"/>
      <c r="GBB35" s="1884"/>
      <c r="GBC35" s="1884"/>
      <c r="GBD35" s="1884"/>
      <c r="GBE35" s="1884"/>
      <c r="GBF35" s="1884"/>
      <c r="GBG35" s="1884"/>
      <c r="GBH35" s="1884"/>
      <c r="GBI35" s="1884"/>
      <c r="GBJ35" s="1884"/>
      <c r="GBK35" s="1884"/>
      <c r="GBL35" s="1884"/>
      <c r="GBM35" s="1884"/>
      <c r="GBN35" s="1884"/>
      <c r="GBO35" s="1884"/>
      <c r="GBP35" s="1884"/>
      <c r="GBQ35" s="1884"/>
      <c r="GBR35" s="1884"/>
      <c r="GBS35" s="1884"/>
      <c r="GBT35" s="1884"/>
      <c r="GBU35" s="1884"/>
      <c r="GBV35" s="1884"/>
      <c r="GBW35" s="1884"/>
      <c r="GBX35" s="1884"/>
      <c r="GBY35" s="1884"/>
      <c r="GBZ35" s="1884"/>
      <c r="GCA35" s="1884"/>
      <c r="GCB35" s="1884"/>
      <c r="GCC35" s="1884"/>
      <c r="GCD35" s="1884"/>
      <c r="GCE35" s="1884"/>
      <c r="GCF35" s="1884"/>
      <c r="GCG35" s="1884"/>
      <c r="GCH35" s="1884"/>
      <c r="GCI35" s="1884"/>
      <c r="GCJ35" s="1884"/>
      <c r="GCK35" s="1884"/>
      <c r="GCL35" s="1884"/>
      <c r="GCM35" s="1884"/>
      <c r="GCN35" s="1884"/>
      <c r="GCO35" s="1884"/>
      <c r="GCP35" s="1884"/>
      <c r="GCQ35" s="1884"/>
      <c r="GCR35" s="1884"/>
      <c r="GCS35" s="1884"/>
      <c r="GCT35" s="1884"/>
      <c r="GCU35" s="1884"/>
      <c r="GCV35" s="1884"/>
      <c r="GCW35" s="1884"/>
      <c r="GCX35" s="1884"/>
      <c r="GCY35" s="1884"/>
      <c r="GCZ35" s="1884"/>
      <c r="GDA35" s="1884"/>
      <c r="GDB35" s="1884"/>
      <c r="GDC35" s="1884"/>
      <c r="GDD35" s="1884"/>
      <c r="GDE35" s="1884"/>
      <c r="GDF35" s="1884"/>
      <c r="GDG35" s="1884"/>
      <c r="GDH35" s="1884"/>
      <c r="GDI35" s="1884"/>
      <c r="GDJ35" s="1884"/>
      <c r="GDK35" s="1884"/>
      <c r="GDL35" s="1884"/>
      <c r="GDM35" s="1884"/>
      <c r="GDN35" s="1884"/>
      <c r="GDO35" s="1884"/>
      <c r="GDP35" s="1884"/>
      <c r="GDQ35" s="1884"/>
      <c r="GDR35" s="1884"/>
      <c r="GDS35" s="1884"/>
      <c r="GDT35" s="1884"/>
      <c r="GDU35" s="1884"/>
      <c r="GDV35" s="1884"/>
      <c r="GDW35" s="1884"/>
      <c r="GDX35" s="1884"/>
      <c r="GDY35" s="1884"/>
      <c r="GDZ35" s="1884"/>
      <c r="GEA35" s="1884"/>
      <c r="GEB35" s="1884"/>
      <c r="GEC35" s="1884"/>
      <c r="GED35" s="1884"/>
      <c r="GEE35" s="1884"/>
      <c r="GEF35" s="1884"/>
      <c r="GEG35" s="1884"/>
      <c r="GEH35" s="1884"/>
      <c r="GEI35" s="1884"/>
      <c r="GEJ35" s="1884"/>
      <c r="GEK35" s="1884"/>
      <c r="GEL35" s="1884"/>
      <c r="GEM35" s="1884"/>
      <c r="GEN35" s="1884"/>
      <c r="GEO35" s="1884"/>
      <c r="GEP35" s="1884"/>
      <c r="GEQ35" s="1884"/>
      <c r="GER35" s="1884"/>
      <c r="GES35" s="1884"/>
      <c r="GET35" s="1884"/>
      <c r="GEU35" s="1884"/>
      <c r="GEV35" s="1884"/>
      <c r="GEW35" s="1884"/>
      <c r="GEX35" s="1884"/>
      <c r="GEY35" s="1884"/>
      <c r="GEZ35" s="1884"/>
      <c r="GFA35" s="1884"/>
      <c r="GFB35" s="1884"/>
      <c r="GFC35" s="1884"/>
      <c r="GFD35" s="1884"/>
      <c r="GFE35" s="1884"/>
      <c r="GFF35" s="1884"/>
      <c r="GFG35" s="1884"/>
      <c r="GFH35" s="1884"/>
      <c r="GFI35" s="1884"/>
      <c r="GFJ35" s="1884"/>
      <c r="GFK35" s="1884"/>
      <c r="GFL35" s="1884"/>
      <c r="GFM35" s="1884"/>
      <c r="GFN35" s="1884"/>
      <c r="GFO35" s="1884"/>
      <c r="GFP35" s="1884"/>
      <c r="GFQ35" s="1884"/>
      <c r="GFR35" s="1884"/>
      <c r="GFS35" s="1884"/>
      <c r="GFT35" s="1884"/>
      <c r="GFU35" s="1884"/>
      <c r="GFV35" s="1884"/>
      <c r="GFW35" s="1884"/>
      <c r="GFX35" s="1884"/>
      <c r="GFY35" s="1884"/>
      <c r="GFZ35" s="1884"/>
      <c r="GGA35" s="1884"/>
      <c r="GGB35" s="1884"/>
      <c r="GGC35" s="1884"/>
      <c r="GGD35" s="1884"/>
      <c r="GGE35" s="1884"/>
      <c r="GGF35" s="1884"/>
      <c r="GGG35" s="1884"/>
      <c r="GGH35" s="1884"/>
      <c r="GGI35" s="1884"/>
      <c r="GGJ35" s="1884"/>
      <c r="GGK35" s="1884"/>
      <c r="GGL35" s="1884"/>
      <c r="GGM35" s="1884"/>
      <c r="GGN35" s="1884"/>
      <c r="GGO35" s="1884"/>
      <c r="GGP35" s="1884"/>
      <c r="GGQ35" s="1884"/>
      <c r="GGR35" s="1884"/>
      <c r="GGS35" s="1884"/>
      <c r="GGT35" s="1884"/>
      <c r="GGU35" s="1884"/>
      <c r="GGV35" s="1884"/>
      <c r="GGW35" s="1884"/>
      <c r="GGX35" s="1884"/>
      <c r="GGY35" s="1884"/>
      <c r="GGZ35" s="1884"/>
      <c r="GHA35" s="1884"/>
      <c r="GHB35" s="1884"/>
      <c r="GHC35" s="1884"/>
      <c r="GHD35" s="1884"/>
      <c r="GHE35" s="1884"/>
      <c r="GHF35" s="1884"/>
      <c r="GHG35" s="1884"/>
      <c r="GHH35" s="1884"/>
      <c r="GHI35" s="1884"/>
      <c r="GHJ35" s="1884"/>
      <c r="GHK35" s="1884"/>
      <c r="GHL35" s="1884"/>
      <c r="GHM35" s="1884"/>
      <c r="GHN35" s="1884"/>
      <c r="GHO35" s="1884"/>
      <c r="GHP35" s="1884"/>
      <c r="GHQ35" s="1884"/>
      <c r="GHR35" s="1884"/>
      <c r="GHS35" s="1884"/>
      <c r="GHT35" s="1884"/>
      <c r="GHU35" s="1884"/>
      <c r="GHV35" s="1884"/>
      <c r="GHW35" s="1884"/>
      <c r="GHX35" s="1884"/>
      <c r="GHY35" s="1884"/>
      <c r="GHZ35" s="1884"/>
      <c r="GIA35" s="1884"/>
      <c r="GIB35" s="1884"/>
      <c r="GIC35" s="1884"/>
      <c r="GID35" s="1884"/>
      <c r="GIE35" s="1884"/>
      <c r="GIF35" s="1884"/>
      <c r="GIG35" s="1884"/>
      <c r="GIH35" s="1884"/>
      <c r="GII35" s="1884"/>
      <c r="GIJ35" s="1884"/>
      <c r="GIK35" s="1884"/>
      <c r="GIL35" s="1884"/>
      <c r="GIM35" s="1884"/>
      <c r="GIN35" s="1884"/>
      <c r="GIO35" s="1884"/>
      <c r="GIP35" s="1884"/>
      <c r="GIQ35" s="1884"/>
      <c r="GIR35" s="1884"/>
      <c r="GIS35" s="1884"/>
      <c r="GIT35" s="1884"/>
      <c r="GIU35" s="1884"/>
      <c r="GIV35" s="1884"/>
      <c r="GIW35" s="1884"/>
      <c r="GIX35" s="1884"/>
      <c r="GIY35" s="1884"/>
      <c r="GIZ35" s="1884"/>
      <c r="GJA35" s="1884"/>
      <c r="GJB35" s="1884"/>
      <c r="GJC35" s="1884"/>
      <c r="GJD35" s="1884"/>
      <c r="GJE35" s="1884"/>
      <c r="GJF35" s="1884"/>
      <c r="GJG35" s="1884"/>
      <c r="GJH35" s="1884"/>
      <c r="GJI35" s="1884"/>
      <c r="GJJ35" s="1884"/>
      <c r="GJK35" s="1884"/>
      <c r="GJL35" s="1884"/>
      <c r="GJM35" s="1884"/>
      <c r="GJN35" s="1884"/>
      <c r="GJO35" s="1884"/>
      <c r="GJP35" s="1884"/>
      <c r="GJQ35" s="1884"/>
      <c r="GJR35" s="1884"/>
      <c r="GJS35" s="1884"/>
      <c r="GJT35" s="1884"/>
      <c r="GJU35" s="1884"/>
      <c r="GJV35" s="1884"/>
      <c r="GJW35" s="1884"/>
      <c r="GJX35" s="1884"/>
      <c r="GJY35" s="1884"/>
      <c r="GJZ35" s="1884"/>
      <c r="GKA35" s="1884"/>
      <c r="GKB35" s="1884"/>
      <c r="GKC35" s="1884"/>
      <c r="GKD35" s="1884"/>
      <c r="GKE35" s="1884"/>
      <c r="GKF35" s="1884"/>
      <c r="GKG35" s="1884"/>
      <c r="GKH35" s="1884"/>
      <c r="GKI35" s="1884"/>
      <c r="GKJ35" s="1884"/>
      <c r="GKK35" s="1884"/>
      <c r="GKL35" s="1884"/>
      <c r="GKM35" s="1884"/>
      <c r="GKN35" s="1884"/>
      <c r="GKO35" s="1884"/>
      <c r="GKP35" s="1884"/>
      <c r="GKQ35" s="1884"/>
      <c r="GKR35" s="1884"/>
      <c r="GKS35" s="1884"/>
      <c r="GKT35" s="1884"/>
      <c r="GKU35" s="1884"/>
      <c r="GKV35" s="1884"/>
      <c r="GKW35" s="1884"/>
      <c r="GKX35" s="1884"/>
      <c r="GKY35" s="1884"/>
      <c r="GKZ35" s="1884"/>
      <c r="GLA35" s="1884"/>
      <c r="GLB35" s="1884"/>
      <c r="GLC35" s="1884"/>
      <c r="GLD35" s="1884"/>
      <c r="GLE35" s="1884"/>
      <c r="GLF35" s="1884"/>
      <c r="GLG35" s="1884"/>
      <c r="GLH35" s="1884"/>
      <c r="GLI35" s="1884"/>
      <c r="GLJ35" s="1884"/>
      <c r="GLK35" s="1884"/>
      <c r="GLL35" s="1884"/>
      <c r="GLM35" s="1884"/>
      <c r="GLN35" s="1884"/>
      <c r="GLO35" s="1884"/>
      <c r="GLP35" s="1884"/>
      <c r="GLQ35" s="1884"/>
      <c r="GLR35" s="1884"/>
      <c r="GLS35" s="1884"/>
      <c r="GLT35" s="1884"/>
      <c r="GLU35" s="1884"/>
      <c r="GLV35" s="1884"/>
      <c r="GLW35" s="1884"/>
      <c r="GLX35" s="1884"/>
      <c r="GLY35" s="1884"/>
      <c r="GLZ35" s="1884"/>
      <c r="GMA35" s="1884"/>
      <c r="GMB35" s="1884"/>
      <c r="GMC35" s="1884"/>
      <c r="GMD35" s="1884"/>
      <c r="GME35" s="1884"/>
      <c r="GMF35" s="1884"/>
      <c r="GMG35" s="1884"/>
      <c r="GMH35" s="1884"/>
      <c r="GMI35" s="1884"/>
      <c r="GMJ35" s="1884"/>
      <c r="GMK35" s="1884"/>
      <c r="GML35" s="1884"/>
      <c r="GMM35" s="1884"/>
      <c r="GMN35" s="1884"/>
      <c r="GMO35" s="1884"/>
      <c r="GMP35" s="1884"/>
      <c r="GMQ35" s="1884"/>
      <c r="GMR35" s="1884"/>
      <c r="GMS35" s="1884"/>
      <c r="GMT35" s="1884"/>
      <c r="GMU35" s="1884"/>
      <c r="GMV35" s="1884"/>
      <c r="GMW35" s="1884"/>
      <c r="GMX35" s="1884"/>
      <c r="GMY35" s="1884"/>
      <c r="GMZ35" s="1884"/>
      <c r="GNA35" s="1884"/>
      <c r="GNB35" s="1884"/>
      <c r="GNC35" s="1884"/>
      <c r="GND35" s="1884"/>
      <c r="GNE35" s="1884"/>
      <c r="GNF35" s="1884"/>
      <c r="GNG35" s="1884"/>
      <c r="GNH35" s="1884"/>
      <c r="GNI35" s="1884"/>
      <c r="GNJ35" s="1884"/>
      <c r="GNK35" s="1884"/>
      <c r="GNL35" s="1884"/>
      <c r="GNM35" s="1884"/>
      <c r="GNN35" s="1884"/>
      <c r="GNO35" s="1884"/>
      <c r="GNP35" s="1884"/>
      <c r="GNQ35" s="1884"/>
      <c r="GNR35" s="1884"/>
      <c r="GNS35" s="1884"/>
      <c r="GNT35" s="1884"/>
      <c r="GNU35" s="1884"/>
      <c r="GNV35" s="1884"/>
      <c r="GNW35" s="1884"/>
      <c r="GNX35" s="1884"/>
      <c r="GNY35" s="1884"/>
      <c r="GNZ35" s="1884"/>
      <c r="GOA35" s="1884"/>
      <c r="GOB35" s="1884"/>
      <c r="GOC35" s="1884"/>
      <c r="GOD35" s="1884"/>
      <c r="GOE35" s="1884"/>
      <c r="GOF35" s="1884"/>
      <c r="GOG35" s="1884"/>
      <c r="GOH35" s="1884"/>
      <c r="GOI35" s="1884"/>
      <c r="GOJ35" s="1884"/>
      <c r="GOK35" s="1884"/>
      <c r="GOL35" s="1884"/>
      <c r="GOM35" s="1884"/>
      <c r="GON35" s="1884"/>
      <c r="GOO35" s="1884"/>
      <c r="GOP35" s="1884"/>
      <c r="GOQ35" s="1884"/>
      <c r="GOR35" s="1884"/>
      <c r="GOS35" s="1884"/>
      <c r="GOT35" s="1884"/>
      <c r="GOU35" s="1884"/>
      <c r="GOV35" s="1884"/>
      <c r="GOW35" s="1884"/>
      <c r="GOX35" s="1884"/>
      <c r="GOY35" s="1884"/>
      <c r="GOZ35" s="1884"/>
      <c r="GPA35" s="1884"/>
      <c r="GPB35" s="1884"/>
      <c r="GPC35" s="1884"/>
      <c r="GPD35" s="1884"/>
      <c r="GPE35" s="1884"/>
      <c r="GPF35" s="1884"/>
      <c r="GPG35" s="1884"/>
      <c r="GPH35" s="1884"/>
      <c r="GPI35" s="1884"/>
      <c r="GPJ35" s="1884"/>
      <c r="GPK35" s="1884"/>
      <c r="GPL35" s="1884"/>
      <c r="GPM35" s="1884"/>
      <c r="GPN35" s="1884"/>
      <c r="GPO35" s="1884"/>
      <c r="GPP35" s="1884"/>
      <c r="GPQ35" s="1884"/>
      <c r="GPR35" s="1884"/>
      <c r="GPS35" s="1884"/>
      <c r="GPT35" s="1884"/>
      <c r="GPU35" s="1884"/>
      <c r="GPV35" s="1884"/>
      <c r="GPW35" s="1884"/>
      <c r="GPX35" s="1884"/>
      <c r="GPY35" s="1884"/>
      <c r="GPZ35" s="1884"/>
      <c r="GQA35" s="1884"/>
      <c r="GQB35" s="1884"/>
      <c r="GQC35" s="1884"/>
      <c r="GQD35" s="1884"/>
      <c r="GQE35" s="1884"/>
      <c r="GQF35" s="1884"/>
      <c r="GQG35" s="1884"/>
      <c r="GQH35" s="1884"/>
      <c r="GQI35" s="1884"/>
      <c r="GQJ35" s="1884"/>
      <c r="GQK35" s="1884"/>
      <c r="GQL35" s="1884"/>
      <c r="GQM35" s="1884"/>
      <c r="GQN35" s="1884"/>
      <c r="GQO35" s="1884"/>
      <c r="GQP35" s="1884"/>
      <c r="GQQ35" s="1884"/>
      <c r="GQR35" s="1884"/>
      <c r="GQS35" s="1884"/>
      <c r="GQT35" s="1884"/>
      <c r="GQU35" s="1884"/>
      <c r="GQV35" s="1884"/>
      <c r="GQW35" s="1884"/>
      <c r="GQX35" s="1884"/>
      <c r="GQY35" s="1884"/>
      <c r="GQZ35" s="1884"/>
      <c r="GRA35" s="1884"/>
      <c r="GRB35" s="1884"/>
      <c r="GRC35" s="1884"/>
      <c r="GRD35" s="1884"/>
      <c r="GRE35" s="1884"/>
      <c r="GRF35" s="1884"/>
      <c r="GRG35" s="1884"/>
      <c r="GRH35" s="1884"/>
      <c r="GRI35" s="1884"/>
      <c r="GRJ35" s="1884"/>
      <c r="GRK35" s="1884"/>
      <c r="GRL35" s="1884"/>
      <c r="GRM35" s="1884"/>
      <c r="GRN35" s="1884"/>
      <c r="GRO35" s="1884"/>
      <c r="GRP35" s="1884"/>
      <c r="GRQ35" s="1884"/>
      <c r="GRR35" s="1884"/>
      <c r="GRS35" s="1884"/>
      <c r="GRT35" s="1884"/>
      <c r="GRU35" s="1884"/>
      <c r="GRV35" s="1884"/>
      <c r="GRW35" s="1884"/>
      <c r="GRX35" s="1884"/>
      <c r="GRY35" s="1884"/>
      <c r="GRZ35" s="1884"/>
      <c r="GSA35" s="1884"/>
      <c r="GSB35" s="1884"/>
      <c r="GSC35" s="1884"/>
      <c r="GSD35" s="1884"/>
      <c r="GSE35" s="1884"/>
      <c r="GSF35" s="1884"/>
      <c r="GSG35" s="1884"/>
      <c r="GSH35" s="1884"/>
      <c r="GSI35" s="1884"/>
      <c r="GSJ35" s="1884"/>
      <c r="GSK35" s="1884"/>
      <c r="GSL35" s="1884"/>
      <c r="GSM35" s="1884"/>
      <c r="GSN35" s="1884"/>
      <c r="GSO35" s="1884"/>
      <c r="GSP35" s="1884"/>
      <c r="GSQ35" s="1884"/>
      <c r="GSR35" s="1884"/>
      <c r="GSS35" s="1884"/>
      <c r="GST35" s="1884"/>
      <c r="GSU35" s="1884"/>
      <c r="GSV35" s="1884"/>
      <c r="GSW35" s="1884"/>
      <c r="GSX35" s="1884"/>
      <c r="GSY35" s="1884"/>
      <c r="GSZ35" s="1884"/>
      <c r="GTA35" s="1884"/>
      <c r="GTB35" s="1884"/>
      <c r="GTC35" s="1884"/>
      <c r="GTD35" s="1884"/>
      <c r="GTE35" s="1884"/>
      <c r="GTF35" s="1884"/>
      <c r="GTG35" s="1884"/>
      <c r="GTH35" s="1884"/>
      <c r="GTI35" s="1884"/>
      <c r="GTJ35" s="1884"/>
      <c r="GTK35" s="1884"/>
      <c r="GTL35" s="1884"/>
      <c r="GTM35" s="1884"/>
      <c r="GTN35" s="1884"/>
      <c r="GTO35" s="1884"/>
      <c r="GTP35" s="1884"/>
      <c r="GTQ35" s="1884"/>
      <c r="GTR35" s="1884"/>
      <c r="GTS35" s="1884"/>
      <c r="GTT35" s="1884"/>
      <c r="GTU35" s="1884"/>
      <c r="GTV35" s="1884"/>
      <c r="GTW35" s="1884"/>
      <c r="GTX35" s="1884"/>
      <c r="GTY35" s="1884"/>
      <c r="GTZ35" s="1884"/>
      <c r="GUA35" s="1884"/>
      <c r="GUB35" s="1884"/>
      <c r="GUC35" s="1884"/>
      <c r="GUD35" s="1884"/>
      <c r="GUE35" s="1884"/>
      <c r="GUF35" s="1884"/>
      <c r="GUG35" s="1884"/>
      <c r="GUH35" s="1884"/>
      <c r="GUI35" s="1884"/>
      <c r="GUJ35" s="1884"/>
      <c r="GUK35" s="1884"/>
      <c r="GUL35" s="1884"/>
      <c r="GUM35" s="1884"/>
      <c r="GUN35" s="1884"/>
      <c r="GUO35" s="1884"/>
      <c r="GUP35" s="1884"/>
      <c r="GUQ35" s="1884"/>
      <c r="GUR35" s="1884"/>
      <c r="GUS35" s="1884"/>
      <c r="GUT35" s="1884"/>
      <c r="GUU35" s="1884"/>
      <c r="GUV35" s="1884"/>
      <c r="GUW35" s="1884"/>
      <c r="GUX35" s="1884"/>
      <c r="GUY35" s="1884"/>
      <c r="GUZ35" s="1884"/>
      <c r="GVA35" s="1884"/>
      <c r="GVB35" s="1884"/>
      <c r="GVC35" s="1884"/>
      <c r="GVD35" s="1884"/>
      <c r="GVE35" s="1884"/>
      <c r="GVF35" s="1884"/>
      <c r="GVG35" s="1884"/>
      <c r="GVH35" s="1884"/>
      <c r="GVI35" s="1884"/>
      <c r="GVJ35" s="1884"/>
      <c r="GVK35" s="1884"/>
      <c r="GVL35" s="1884"/>
      <c r="GVM35" s="1884"/>
      <c r="GVN35" s="1884"/>
      <c r="GVO35" s="1884"/>
      <c r="GVP35" s="1884"/>
      <c r="GVQ35" s="1884"/>
      <c r="GVR35" s="1884"/>
      <c r="GVS35" s="1884"/>
      <c r="GVT35" s="1884"/>
      <c r="GVU35" s="1884"/>
      <c r="GVV35" s="1884"/>
      <c r="GVW35" s="1884"/>
      <c r="GVX35" s="1884"/>
      <c r="GVY35" s="1884"/>
      <c r="GVZ35" s="1884"/>
      <c r="GWA35" s="1884"/>
      <c r="GWB35" s="1884"/>
      <c r="GWC35" s="1884"/>
      <c r="GWD35" s="1884"/>
      <c r="GWE35" s="1884"/>
      <c r="GWF35" s="1884"/>
      <c r="GWG35" s="1884"/>
      <c r="GWH35" s="1884"/>
      <c r="GWI35" s="1884"/>
      <c r="GWJ35" s="1884"/>
      <c r="GWK35" s="1884"/>
      <c r="GWL35" s="1884"/>
      <c r="GWM35" s="1884"/>
      <c r="GWN35" s="1884"/>
      <c r="GWO35" s="1884"/>
      <c r="GWP35" s="1884"/>
      <c r="GWQ35" s="1884"/>
      <c r="GWR35" s="1884"/>
      <c r="GWS35" s="1884"/>
      <c r="GWT35" s="1884"/>
      <c r="GWU35" s="1884"/>
      <c r="GWV35" s="1884"/>
      <c r="GWW35" s="1884"/>
      <c r="GWX35" s="1884"/>
      <c r="GWY35" s="1884"/>
      <c r="GWZ35" s="1884"/>
      <c r="GXA35" s="1884"/>
      <c r="GXB35" s="1884"/>
      <c r="GXC35" s="1884"/>
      <c r="GXD35" s="1884"/>
      <c r="GXE35" s="1884"/>
      <c r="GXF35" s="1884"/>
      <c r="GXG35" s="1884"/>
      <c r="GXH35" s="1884"/>
      <c r="GXI35" s="1884"/>
      <c r="GXJ35" s="1884"/>
      <c r="GXK35" s="1884"/>
      <c r="GXL35" s="1884"/>
      <c r="GXM35" s="1884"/>
      <c r="GXN35" s="1884"/>
      <c r="GXO35" s="1884"/>
      <c r="GXP35" s="1884"/>
      <c r="GXQ35" s="1884"/>
      <c r="GXR35" s="1884"/>
      <c r="GXS35" s="1884"/>
      <c r="GXT35" s="1884"/>
      <c r="GXU35" s="1884"/>
      <c r="GXV35" s="1884"/>
      <c r="GXW35" s="1884"/>
      <c r="GXX35" s="1884"/>
      <c r="GXY35" s="1884"/>
      <c r="GXZ35" s="1884"/>
      <c r="GYA35" s="1884"/>
      <c r="GYB35" s="1884"/>
      <c r="GYC35" s="1884"/>
      <c r="GYD35" s="1884"/>
      <c r="GYE35" s="1884"/>
      <c r="GYF35" s="1884"/>
      <c r="GYG35" s="1884"/>
      <c r="GYH35" s="1884"/>
      <c r="GYI35" s="1884"/>
      <c r="GYJ35" s="1884"/>
      <c r="GYK35" s="1884"/>
      <c r="GYL35" s="1884"/>
      <c r="GYM35" s="1884"/>
      <c r="GYN35" s="1884"/>
      <c r="GYO35" s="1884"/>
      <c r="GYP35" s="1884"/>
      <c r="GYQ35" s="1884"/>
      <c r="GYR35" s="1884"/>
      <c r="GYS35" s="1884"/>
      <c r="GYT35" s="1884"/>
      <c r="GYU35" s="1884"/>
      <c r="GYV35" s="1884"/>
      <c r="GYW35" s="1884"/>
      <c r="GYX35" s="1884"/>
      <c r="GYY35" s="1884"/>
      <c r="GYZ35" s="1884"/>
      <c r="GZA35" s="1884"/>
      <c r="GZB35" s="1884"/>
      <c r="GZC35" s="1884"/>
      <c r="GZD35" s="1884"/>
      <c r="GZE35" s="1884"/>
      <c r="GZF35" s="1884"/>
      <c r="GZG35" s="1884"/>
      <c r="GZH35" s="1884"/>
      <c r="GZI35" s="1884"/>
      <c r="GZJ35" s="1884"/>
      <c r="GZK35" s="1884"/>
      <c r="GZL35" s="1884"/>
      <c r="GZM35" s="1884"/>
      <c r="GZN35" s="1884"/>
      <c r="GZO35" s="1884"/>
      <c r="GZP35" s="1884"/>
      <c r="GZQ35" s="1884"/>
      <c r="GZR35" s="1884"/>
      <c r="GZS35" s="1884"/>
      <c r="GZT35" s="1884"/>
      <c r="GZU35" s="1884"/>
      <c r="GZV35" s="1884"/>
      <c r="GZW35" s="1884"/>
      <c r="GZX35" s="1884"/>
      <c r="GZY35" s="1884"/>
      <c r="GZZ35" s="1884"/>
      <c r="HAA35" s="1884"/>
      <c r="HAB35" s="1884"/>
      <c r="HAC35" s="1884"/>
      <c r="HAD35" s="1884"/>
      <c r="HAE35" s="1884"/>
      <c r="HAF35" s="1884"/>
      <c r="HAG35" s="1884"/>
      <c r="HAH35" s="1884"/>
      <c r="HAI35" s="1884"/>
      <c r="HAJ35" s="1884"/>
      <c r="HAK35" s="1884"/>
      <c r="HAL35" s="1884"/>
      <c r="HAM35" s="1884"/>
      <c r="HAN35" s="1884"/>
      <c r="HAO35" s="1884"/>
      <c r="HAP35" s="1884"/>
      <c r="HAQ35" s="1884"/>
      <c r="HAR35" s="1884"/>
      <c r="HAS35" s="1884"/>
      <c r="HAT35" s="1884"/>
      <c r="HAU35" s="1884"/>
      <c r="HAV35" s="1884"/>
      <c r="HAW35" s="1884"/>
      <c r="HAX35" s="1884"/>
      <c r="HAY35" s="1884"/>
      <c r="HAZ35" s="1884"/>
      <c r="HBA35" s="1884"/>
      <c r="HBB35" s="1884"/>
      <c r="HBC35" s="1884"/>
      <c r="HBD35" s="1884"/>
      <c r="HBE35" s="1884"/>
      <c r="HBF35" s="1884"/>
      <c r="HBG35" s="1884"/>
      <c r="HBH35" s="1884"/>
      <c r="HBI35" s="1884"/>
      <c r="HBJ35" s="1884"/>
      <c r="HBK35" s="1884"/>
      <c r="HBL35" s="1884"/>
      <c r="HBM35" s="1884"/>
      <c r="HBN35" s="1884"/>
      <c r="HBO35" s="1884"/>
      <c r="HBP35" s="1884"/>
      <c r="HBQ35" s="1884"/>
      <c r="HBR35" s="1884"/>
      <c r="HBS35" s="1884"/>
      <c r="HBT35" s="1884"/>
      <c r="HBU35" s="1884"/>
      <c r="HBV35" s="1884"/>
      <c r="HBW35" s="1884"/>
      <c r="HBX35" s="1884"/>
      <c r="HBY35" s="1884"/>
      <c r="HBZ35" s="1884"/>
      <c r="HCA35" s="1884"/>
      <c r="HCB35" s="1884"/>
      <c r="HCC35" s="1884"/>
      <c r="HCD35" s="1884"/>
      <c r="HCE35" s="1884"/>
      <c r="HCF35" s="1884"/>
      <c r="HCG35" s="1884"/>
      <c r="HCH35" s="1884"/>
      <c r="HCI35" s="1884"/>
      <c r="HCJ35" s="1884"/>
      <c r="HCK35" s="1884"/>
      <c r="HCL35" s="1884"/>
      <c r="HCM35" s="1884"/>
      <c r="HCN35" s="1884"/>
      <c r="HCO35" s="1884"/>
      <c r="HCP35" s="1884"/>
      <c r="HCQ35" s="1884"/>
      <c r="HCR35" s="1884"/>
      <c r="HCS35" s="1884"/>
      <c r="HCT35" s="1884"/>
      <c r="HCU35" s="1884"/>
      <c r="HCV35" s="1884"/>
      <c r="HCW35" s="1884"/>
      <c r="HCX35" s="1884"/>
      <c r="HCY35" s="1884"/>
      <c r="HCZ35" s="1884"/>
      <c r="HDA35" s="1884"/>
      <c r="HDB35" s="1884"/>
      <c r="HDC35" s="1884"/>
      <c r="HDD35" s="1884"/>
      <c r="HDE35" s="1884"/>
      <c r="HDF35" s="1884"/>
      <c r="HDG35" s="1884"/>
      <c r="HDH35" s="1884"/>
      <c r="HDI35" s="1884"/>
      <c r="HDJ35" s="1884"/>
      <c r="HDK35" s="1884"/>
      <c r="HDL35" s="1884"/>
      <c r="HDM35" s="1884"/>
      <c r="HDN35" s="1884"/>
      <c r="HDO35" s="1884"/>
      <c r="HDP35" s="1884"/>
      <c r="HDQ35" s="1884"/>
      <c r="HDR35" s="1884"/>
      <c r="HDS35" s="1884"/>
      <c r="HDT35" s="1884"/>
      <c r="HDU35" s="1884"/>
      <c r="HDV35" s="1884"/>
      <c r="HDW35" s="1884"/>
      <c r="HDX35" s="1884"/>
      <c r="HDY35" s="1884"/>
      <c r="HDZ35" s="1884"/>
      <c r="HEA35" s="1884"/>
      <c r="HEB35" s="1884"/>
      <c r="HEC35" s="1884"/>
      <c r="HED35" s="1884"/>
      <c r="HEE35" s="1884"/>
      <c r="HEF35" s="1884"/>
      <c r="HEG35" s="1884"/>
      <c r="HEH35" s="1884"/>
      <c r="HEI35" s="1884"/>
      <c r="HEJ35" s="1884"/>
      <c r="HEK35" s="1884"/>
      <c r="HEL35" s="1884"/>
      <c r="HEM35" s="1884"/>
      <c r="HEN35" s="1884"/>
      <c r="HEO35" s="1884"/>
      <c r="HEP35" s="1884"/>
      <c r="HEQ35" s="1884"/>
      <c r="HER35" s="1884"/>
      <c r="HES35" s="1884"/>
      <c r="HET35" s="1884"/>
      <c r="HEU35" s="1884"/>
      <c r="HEV35" s="1884"/>
      <c r="HEW35" s="1884"/>
      <c r="HEX35" s="1884"/>
      <c r="HEY35" s="1884"/>
      <c r="HEZ35" s="1884"/>
      <c r="HFA35" s="1884"/>
      <c r="HFB35" s="1884"/>
      <c r="HFC35" s="1884"/>
      <c r="HFD35" s="1884"/>
      <c r="HFE35" s="1884"/>
      <c r="HFF35" s="1884"/>
      <c r="HFG35" s="1884"/>
      <c r="HFH35" s="1884"/>
      <c r="HFI35" s="1884"/>
      <c r="HFJ35" s="1884"/>
      <c r="HFK35" s="1884"/>
      <c r="HFL35" s="1884"/>
      <c r="HFM35" s="1884"/>
      <c r="HFN35" s="1884"/>
      <c r="HFO35" s="1884"/>
      <c r="HFP35" s="1884"/>
      <c r="HFQ35" s="1884"/>
      <c r="HFR35" s="1884"/>
      <c r="HFS35" s="1884"/>
      <c r="HFT35" s="1884"/>
      <c r="HFU35" s="1884"/>
      <c r="HFV35" s="1884"/>
      <c r="HFW35" s="1884"/>
      <c r="HFX35" s="1884"/>
      <c r="HFY35" s="1884"/>
      <c r="HFZ35" s="1884"/>
      <c r="HGA35" s="1884"/>
      <c r="HGB35" s="1884"/>
      <c r="HGC35" s="1884"/>
      <c r="HGD35" s="1884"/>
      <c r="HGE35" s="1884"/>
      <c r="HGF35" s="1884"/>
      <c r="HGG35" s="1884"/>
      <c r="HGH35" s="1884"/>
      <c r="HGI35" s="1884"/>
      <c r="HGJ35" s="1884"/>
      <c r="HGK35" s="1884"/>
      <c r="HGL35" s="1884"/>
      <c r="HGM35" s="1884"/>
      <c r="HGN35" s="1884"/>
      <c r="HGO35" s="1884"/>
      <c r="HGP35" s="1884"/>
      <c r="HGQ35" s="1884"/>
      <c r="HGR35" s="1884"/>
      <c r="HGS35" s="1884"/>
      <c r="HGT35" s="1884"/>
      <c r="HGU35" s="1884"/>
      <c r="HGV35" s="1884"/>
      <c r="HGW35" s="1884"/>
      <c r="HGX35" s="1884"/>
      <c r="HGY35" s="1884"/>
      <c r="HGZ35" s="1884"/>
      <c r="HHA35" s="1884"/>
      <c r="HHB35" s="1884"/>
      <c r="HHC35" s="1884"/>
      <c r="HHD35" s="1884"/>
      <c r="HHE35" s="1884"/>
      <c r="HHF35" s="1884"/>
      <c r="HHG35" s="1884"/>
      <c r="HHH35" s="1884"/>
      <c r="HHI35" s="1884"/>
      <c r="HHJ35" s="1884"/>
      <c r="HHK35" s="1884"/>
      <c r="HHL35" s="1884"/>
      <c r="HHM35" s="1884"/>
      <c r="HHN35" s="1884"/>
      <c r="HHO35" s="1884"/>
      <c r="HHP35" s="1884"/>
      <c r="HHQ35" s="1884"/>
      <c r="HHR35" s="1884"/>
      <c r="HHS35" s="1884"/>
      <c r="HHT35" s="1884"/>
      <c r="HHU35" s="1884"/>
      <c r="HHV35" s="1884"/>
      <c r="HHW35" s="1884"/>
      <c r="HHX35" s="1884"/>
      <c r="HHY35" s="1884"/>
      <c r="HHZ35" s="1884"/>
      <c r="HIA35" s="1884"/>
      <c r="HIB35" s="1884"/>
      <c r="HIC35" s="1884"/>
      <c r="HID35" s="1884"/>
      <c r="HIE35" s="1884"/>
      <c r="HIF35" s="1884"/>
      <c r="HIG35" s="1884"/>
      <c r="HIH35" s="1884"/>
      <c r="HII35" s="1884"/>
      <c r="HIJ35" s="1884"/>
      <c r="HIK35" s="1884"/>
      <c r="HIL35" s="1884"/>
      <c r="HIM35" s="1884"/>
      <c r="HIN35" s="1884"/>
      <c r="HIO35" s="1884"/>
      <c r="HIP35" s="1884"/>
      <c r="HIQ35" s="1884"/>
      <c r="HIR35" s="1884"/>
      <c r="HIS35" s="1884"/>
      <c r="HIT35" s="1884"/>
      <c r="HIU35" s="1884"/>
      <c r="HIV35" s="1884"/>
      <c r="HIW35" s="1884"/>
      <c r="HIX35" s="1884"/>
      <c r="HIY35" s="1884"/>
      <c r="HIZ35" s="1884"/>
      <c r="HJA35" s="1884"/>
      <c r="HJB35" s="1884"/>
      <c r="HJC35" s="1884"/>
      <c r="HJD35" s="1884"/>
      <c r="HJE35" s="1884"/>
      <c r="HJF35" s="1884"/>
      <c r="HJG35" s="1884"/>
      <c r="HJH35" s="1884"/>
      <c r="HJI35" s="1884"/>
      <c r="HJJ35" s="1884"/>
      <c r="HJK35" s="1884"/>
      <c r="HJL35" s="1884"/>
      <c r="HJM35" s="1884"/>
      <c r="HJN35" s="1884"/>
      <c r="HJO35" s="1884"/>
      <c r="HJP35" s="1884"/>
      <c r="HJQ35" s="1884"/>
      <c r="HJR35" s="1884"/>
      <c r="HJS35" s="1884"/>
      <c r="HJT35" s="1884"/>
      <c r="HJU35" s="1884"/>
      <c r="HJV35" s="1884"/>
      <c r="HJW35" s="1884"/>
      <c r="HJX35" s="1884"/>
      <c r="HJY35" s="1884"/>
      <c r="HJZ35" s="1884"/>
      <c r="HKA35" s="1884"/>
      <c r="HKB35" s="1884"/>
      <c r="HKC35" s="1884"/>
      <c r="HKD35" s="1884"/>
      <c r="HKE35" s="1884"/>
      <c r="HKF35" s="1884"/>
      <c r="HKG35" s="1884"/>
      <c r="HKH35" s="1884"/>
      <c r="HKI35" s="1884"/>
      <c r="HKJ35" s="1884"/>
      <c r="HKK35" s="1884"/>
      <c r="HKL35" s="1884"/>
      <c r="HKM35" s="1884"/>
      <c r="HKN35" s="1884"/>
      <c r="HKO35" s="1884"/>
      <c r="HKP35" s="1884"/>
      <c r="HKQ35" s="1884"/>
      <c r="HKR35" s="1884"/>
      <c r="HKS35" s="1884"/>
      <c r="HKT35" s="1884"/>
      <c r="HKU35" s="1884"/>
      <c r="HKV35" s="1884"/>
      <c r="HKW35" s="1884"/>
      <c r="HKX35" s="1884"/>
      <c r="HKY35" s="1884"/>
      <c r="HKZ35" s="1884"/>
      <c r="HLA35" s="1884"/>
      <c r="HLB35" s="1884"/>
      <c r="HLC35" s="1884"/>
      <c r="HLD35" s="1884"/>
      <c r="HLE35" s="1884"/>
      <c r="HLF35" s="1884"/>
      <c r="HLG35" s="1884"/>
      <c r="HLH35" s="1884"/>
      <c r="HLI35" s="1884"/>
      <c r="HLJ35" s="1884"/>
      <c r="HLK35" s="1884"/>
      <c r="HLL35" s="1884"/>
      <c r="HLM35" s="1884"/>
      <c r="HLN35" s="1884"/>
      <c r="HLO35" s="1884"/>
      <c r="HLP35" s="1884"/>
      <c r="HLQ35" s="1884"/>
      <c r="HLR35" s="1884"/>
      <c r="HLS35" s="1884"/>
      <c r="HLT35" s="1884"/>
      <c r="HLU35" s="1884"/>
      <c r="HLV35" s="1884"/>
      <c r="HLW35" s="1884"/>
      <c r="HLX35" s="1884"/>
      <c r="HLY35" s="1884"/>
      <c r="HLZ35" s="1884"/>
      <c r="HMA35" s="1884"/>
      <c r="HMB35" s="1884"/>
      <c r="HMC35" s="1884"/>
      <c r="HMD35" s="1884"/>
      <c r="HME35" s="1884"/>
      <c r="HMF35" s="1884"/>
      <c r="HMG35" s="1884"/>
      <c r="HMH35" s="1884"/>
      <c r="HMI35" s="1884"/>
      <c r="HMJ35" s="1884"/>
      <c r="HMK35" s="1884"/>
      <c r="HML35" s="1884"/>
      <c r="HMM35" s="1884"/>
      <c r="HMN35" s="1884"/>
      <c r="HMO35" s="1884"/>
      <c r="HMP35" s="1884"/>
      <c r="HMQ35" s="1884"/>
      <c r="HMR35" s="1884"/>
      <c r="HMS35" s="1884"/>
      <c r="HMT35" s="1884"/>
      <c r="HMU35" s="1884"/>
      <c r="HMV35" s="1884"/>
      <c r="HMW35" s="1884"/>
      <c r="HMX35" s="1884"/>
      <c r="HMY35" s="1884"/>
      <c r="HMZ35" s="1884"/>
      <c r="HNA35" s="1884"/>
      <c r="HNB35" s="1884"/>
      <c r="HNC35" s="1884"/>
      <c r="HND35" s="1884"/>
      <c r="HNE35" s="1884"/>
      <c r="HNF35" s="1884"/>
      <c r="HNG35" s="1884"/>
      <c r="HNH35" s="1884"/>
      <c r="HNI35" s="1884"/>
      <c r="HNJ35" s="1884"/>
      <c r="HNK35" s="1884"/>
      <c r="HNL35" s="1884"/>
      <c r="HNM35" s="1884"/>
      <c r="HNN35" s="1884"/>
      <c r="HNO35" s="1884"/>
      <c r="HNP35" s="1884"/>
      <c r="HNQ35" s="1884"/>
      <c r="HNR35" s="1884"/>
      <c r="HNS35" s="1884"/>
      <c r="HNT35" s="1884"/>
      <c r="HNU35" s="1884"/>
      <c r="HNV35" s="1884"/>
      <c r="HNW35" s="1884"/>
      <c r="HNX35" s="1884"/>
      <c r="HNY35" s="1884"/>
      <c r="HNZ35" s="1884"/>
      <c r="HOA35" s="1884"/>
      <c r="HOB35" s="1884"/>
      <c r="HOC35" s="1884"/>
      <c r="HOD35" s="1884"/>
      <c r="HOE35" s="1884"/>
      <c r="HOF35" s="1884"/>
      <c r="HOG35" s="1884"/>
      <c r="HOH35" s="1884"/>
      <c r="HOI35" s="1884"/>
      <c r="HOJ35" s="1884"/>
      <c r="HOK35" s="1884"/>
      <c r="HOL35" s="1884"/>
      <c r="HOM35" s="1884"/>
      <c r="HON35" s="1884"/>
      <c r="HOO35" s="1884"/>
      <c r="HOP35" s="1884"/>
      <c r="HOQ35" s="1884"/>
      <c r="HOR35" s="1884"/>
      <c r="HOS35" s="1884"/>
      <c r="HOT35" s="1884"/>
      <c r="HOU35" s="1884"/>
      <c r="HOV35" s="1884"/>
      <c r="HOW35" s="1884"/>
      <c r="HOX35" s="1884"/>
      <c r="HOY35" s="1884"/>
      <c r="HOZ35" s="1884"/>
      <c r="HPA35" s="1884"/>
      <c r="HPB35" s="1884"/>
      <c r="HPC35" s="1884"/>
      <c r="HPD35" s="1884"/>
      <c r="HPE35" s="1884"/>
      <c r="HPF35" s="1884"/>
      <c r="HPG35" s="1884"/>
      <c r="HPH35" s="1884"/>
      <c r="HPI35" s="1884"/>
      <c r="HPJ35" s="1884"/>
      <c r="HPK35" s="1884"/>
      <c r="HPL35" s="1884"/>
      <c r="HPM35" s="1884"/>
      <c r="HPN35" s="1884"/>
      <c r="HPO35" s="1884"/>
      <c r="HPP35" s="1884"/>
      <c r="HPQ35" s="1884"/>
      <c r="HPR35" s="1884"/>
      <c r="HPS35" s="1884"/>
      <c r="HPT35" s="1884"/>
      <c r="HPU35" s="1884"/>
      <c r="HPV35" s="1884"/>
      <c r="HPW35" s="1884"/>
      <c r="HPX35" s="1884"/>
      <c r="HPY35" s="1884"/>
      <c r="HPZ35" s="1884"/>
      <c r="HQA35" s="1884"/>
      <c r="HQB35" s="1884"/>
      <c r="HQC35" s="1884"/>
      <c r="HQD35" s="1884"/>
      <c r="HQE35" s="1884"/>
      <c r="HQF35" s="1884"/>
      <c r="HQG35" s="1884"/>
      <c r="HQH35" s="1884"/>
      <c r="HQI35" s="1884"/>
      <c r="HQJ35" s="1884"/>
      <c r="HQK35" s="1884"/>
      <c r="HQL35" s="1884"/>
      <c r="HQM35" s="1884"/>
      <c r="HQN35" s="1884"/>
      <c r="HQO35" s="1884"/>
      <c r="HQP35" s="1884"/>
      <c r="HQQ35" s="1884"/>
      <c r="HQR35" s="1884"/>
      <c r="HQS35" s="1884"/>
      <c r="HQT35" s="1884"/>
      <c r="HQU35" s="1884"/>
      <c r="HQV35" s="1884"/>
      <c r="HQW35" s="1884"/>
      <c r="HQX35" s="1884"/>
      <c r="HQY35" s="1884"/>
      <c r="HQZ35" s="1884"/>
      <c r="HRA35" s="1884"/>
      <c r="HRB35" s="1884"/>
      <c r="HRC35" s="1884"/>
      <c r="HRD35" s="1884"/>
      <c r="HRE35" s="1884"/>
      <c r="HRF35" s="1884"/>
      <c r="HRG35" s="1884"/>
      <c r="HRH35" s="1884"/>
      <c r="HRI35" s="1884"/>
      <c r="HRJ35" s="1884"/>
      <c r="HRK35" s="1884"/>
      <c r="HRL35" s="1884"/>
      <c r="HRM35" s="1884"/>
      <c r="HRN35" s="1884"/>
      <c r="HRO35" s="1884"/>
      <c r="HRP35" s="1884"/>
      <c r="HRQ35" s="1884"/>
      <c r="HRR35" s="1884"/>
      <c r="HRS35" s="1884"/>
      <c r="HRT35" s="1884"/>
      <c r="HRU35" s="1884"/>
      <c r="HRV35" s="1884"/>
      <c r="HRW35" s="1884"/>
      <c r="HRX35" s="1884"/>
      <c r="HRY35" s="1884"/>
      <c r="HRZ35" s="1884"/>
      <c r="HSA35" s="1884"/>
      <c r="HSB35" s="1884"/>
      <c r="HSC35" s="1884"/>
      <c r="HSD35" s="1884"/>
      <c r="HSE35" s="1884"/>
      <c r="HSF35" s="1884"/>
      <c r="HSG35" s="1884"/>
      <c r="HSH35" s="1884"/>
      <c r="HSI35" s="1884"/>
      <c r="HSJ35" s="1884"/>
      <c r="HSK35" s="1884"/>
      <c r="HSL35" s="1884"/>
      <c r="HSM35" s="1884"/>
      <c r="HSN35" s="1884"/>
      <c r="HSO35" s="1884"/>
      <c r="HSP35" s="1884"/>
      <c r="HSQ35" s="1884"/>
      <c r="HSR35" s="1884"/>
      <c r="HSS35" s="1884"/>
      <c r="HST35" s="1884"/>
      <c r="HSU35" s="1884"/>
      <c r="HSV35" s="1884"/>
      <c r="HSW35" s="1884"/>
      <c r="HSX35" s="1884"/>
      <c r="HSY35" s="1884"/>
      <c r="HSZ35" s="1884"/>
      <c r="HTA35" s="1884"/>
      <c r="HTB35" s="1884"/>
      <c r="HTC35" s="1884"/>
      <c r="HTD35" s="1884"/>
      <c r="HTE35" s="1884"/>
      <c r="HTF35" s="1884"/>
      <c r="HTG35" s="1884"/>
      <c r="HTH35" s="1884"/>
      <c r="HTI35" s="1884"/>
      <c r="HTJ35" s="1884"/>
      <c r="HTK35" s="1884"/>
      <c r="HTL35" s="1884"/>
      <c r="HTM35" s="1884"/>
      <c r="HTN35" s="1884"/>
      <c r="HTO35" s="1884"/>
      <c r="HTP35" s="1884"/>
      <c r="HTQ35" s="1884"/>
      <c r="HTR35" s="1884"/>
      <c r="HTS35" s="1884"/>
      <c r="HTT35" s="1884"/>
      <c r="HTU35" s="1884"/>
      <c r="HTV35" s="1884"/>
      <c r="HTW35" s="1884"/>
      <c r="HTX35" s="1884"/>
      <c r="HTY35" s="1884"/>
      <c r="HTZ35" s="1884"/>
      <c r="HUA35" s="1884"/>
      <c r="HUB35" s="1884"/>
      <c r="HUC35" s="1884"/>
      <c r="HUD35" s="1884"/>
      <c r="HUE35" s="1884"/>
      <c r="HUF35" s="1884"/>
      <c r="HUG35" s="1884"/>
      <c r="HUH35" s="1884"/>
      <c r="HUI35" s="1884"/>
      <c r="HUJ35" s="1884"/>
      <c r="HUK35" s="1884"/>
      <c r="HUL35" s="1884"/>
      <c r="HUM35" s="1884"/>
      <c r="HUN35" s="1884"/>
      <c r="HUO35" s="1884"/>
      <c r="HUP35" s="1884"/>
      <c r="HUQ35" s="1884"/>
      <c r="HUR35" s="1884"/>
      <c r="HUS35" s="1884"/>
      <c r="HUT35" s="1884"/>
      <c r="HUU35" s="1884"/>
      <c r="HUV35" s="1884"/>
      <c r="HUW35" s="1884"/>
      <c r="HUX35" s="1884"/>
      <c r="HUY35" s="1884"/>
      <c r="HUZ35" s="1884"/>
      <c r="HVA35" s="1884"/>
      <c r="HVB35" s="1884"/>
      <c r="HVC35" s="1884"/>
      <c r="HVD35" s="1884"/>
      <c r="HVE35" s="1884"/>
      <c r="HVF35" s="1884"/>
      <c r="HVG35" s="1884"/>
      <c r="HVH35" s="1884"/>
      <c r="HVI35" s="1884"/>
      <c r="HVJ35" s="1884"/>
      <c r="HVK35" s="1884"/>
      <c r="HVL35" s="1884"/>
      <c r="HVM35" s="1884"/>
      <c r="HVN35" s="1884"/>
      <c r="HVO35" s="1884"/>
      <c r="HVP35" s="1884"/>
      <c r="HVQ35" s="1884"/>
      <c r="HVR35" s="1884"/>
      <c r="HVS35" s="1884"/>
      <c r="HVT35" s="1884"/>
      <c r="HVU35" s="1884"/>
      <c r="HVV35" s="1884"/>
      <c r="HVW35" s="1884"/>
      <c r="HVX35" s="1884"/>
      <c r="HVY35" s="1884"/>
      <c r="HVZ35" s="1884"/>
      <c r="HWA35" s="1884"/>
      <c r="HWB35" s="1884"/>
      <c r="HWC35" s="1884"/>
      <c r="HWD35" s="1884"/>
      <c r="HWE35" s="1884"/>
      <c r="HWF35" s="1884"/>
      <c r="HWG35" s="1884"/>
      <c r="HWH35" s="1884"/>
      <c r="HWI35" s="1884"/>
      <c r="HWJ35" s="1884"/>
      <c r="HWK35" s="1884"/>
      <c r="HWL35" s="1884"/>
      <c r="HWM35" s="1884"/>
      <c r="HWN35" s="1884"/>
      <c r="HWO35" s="1884"/>
      <c r="HWP35" s="1884"/>
      <c r="HWQ35" s="1884"/>
      <c r="HWR35" s="1884"/>
      <c r="HWS35" s="1884"/>
      <c r="HWT35" s="1884"/>
      <c r="HWU35" s="1884"/>
      <c r="HWV35" s="1884"/>
      <c r="HWW35" s="1884"/>
      <c r="HWX35" s="1884"/>
      <c r="HWY35" s="1884"/>
      <c r="HWZ35" s="1884"/>
      <c r="HXA35" s="1884"/>
      <c r="HXB35" s="1884"/>
      <c r="HXC35" s="1884"/>
      <c r="HXD35" s="1884"/>
      <c r="HXE35" s="1884"/>
      <c r="HXF35" s="1884"/>
      <c r="HXG35" s="1884"/>
      <c r="HXH35" s="1884"/>
      <c r="HXI35" s="1884"/>
      <c r="HXJ35" s="1884"/>
      <c r="HXK35" s="1884"/>
      <c r="HXL35" s="1884"/>
      <c r="HXM35" s="1884"/>
      <c r="HXN35" s="1884"/>
      <c r="HXO35" s="1884"/>
      <c r="HXP35" s="1884"/>
      <c r="HXQ35" s="1884"/>
      <c r="HXR35" s="1884"/>
      <c r="HXS35" s="1884"/>
      <c r="HXT35" s="1884"/>
      <c r="HXU35" s="1884"/>
      <c r="HXV35" s="1884"/>
      <c r="HXW35" s="1884"/>
      <c r="HXX35" s="1884"/>
      <c r="HXY35" s="1884"/>
      <c r="HXZ35" s="1884"/>
      <c r="HYA35" s="1884"/>
      <c r="HYB35" s="1884"/>
      <c r="HYC35" s="1884"/>
      <c r="HYD35" s="1884"/>
      <c r="HYE35" s="1884"/>
      <c r="HYF35" s="1884"/>
      <c r="HYG35" s="1884"/>
      <c r="HYH35" s="1884"/>
      <c r="HYI35" s="1884"/>
      <c r="HYJ35" s="1884"/>
      <c r="HYK35" s="1884"/>
      <c r="HYL35" s="1884"/>
      <c r="HYM35" s="1884"/>
      <c r="HYN35" s="1884"/>
      <c r="HYO35" s="1884"/>
      <c r="HYP35" s="1884"/>
      <c r="HYQ35" s="1884"/>
      <c r="HYR35" s="1884"/>
      <c r="HYS35" s="1884"/>
      <c r="HYT35" s="1884"/>
      <c r="HYU35" s="1884"/>
      <c r="HYV35" s="1884"/>
      <c r="HYW35" s="1884"/>
      <c r="HYX35" s="1884"/>
      <c r="HYY35" s="1884"/>
      <c r="HYZ35" s="1884"/>
      <c r="HZA35" s="1884"/>
      <c r="HZB35" s="1884"/>
      <c r="HZC35" s="1884"/>
      <c r="HZD35" s="1884"/>
      <c r="HZE35" s="1884"/>
      <c r="HZF35" s="1884"/>
      <c r="HZG35" s="1884"/>
      <c r="HZH35" s="1884"/>
      <c r="HZI35" s="1884"/>
      <c r="HZJ35" s="1884"/>
      <c r="HZK35" s="1884"/>
      <c r="HZL35" s="1884"/>
      <c r="HZM35" s="1884"/>
      <c r="HZN35" s="1884"/>
      <c r="HZO35" s="1884"/>
      <c r="HZP35" s="1884"/>
      <c r="HZQ35" s="1884"/>
      <c r="HZR35" s="1884"/>
      <c r="HZS35" s="1884"/>
      <c r="HZT35" s="1884"/>
      <c r="HZU35" s="1884"/>
      <c r="HZV35" s="1884"/>
      <c r="HZW35" s="1884"/>
      <c r="HZX35" s="1884"/>
      <c r="HZY35" s="1884"/>
      <c r="HZZ35" s="1884"/>
      <c r="IAA35" s="1884"/>
      <c r="IAB35" s="1884"/>
      <c r="IAC35" s="1884"/>
      <c r="IAD35" s="1884"/>
      <c r="IAE35" s="1884"/>
      <c r="IAF35" s="1884"/>
      <c r="IAG35" s="1884"/>
      <c r="IAH35" s="1884"/>
      <c r="IAI35" s="1884"/>
      <c r="IAJ35" s="1884"/>
      <c r="IAK35" s="1884"/>
      <c r="IAL35" s="1884"/>
      <c r="IAM35" s="1884"/>
      <c r="IAN35" s="1884"/>
      <c r="IAO35" s="1884"/>
      <c r="IAP35" s="1884"/>
      <c r="IAQ35" s="1884"/>
      <c r="IAR35" s="1884"/>
      <c r="IAS35" s="1884"/>
      <c r="IAT35" s="1884"/>
      <c r="IAU35" s="1884"/>
      <c r="IAV35" s="1884"/>
      <c r="IAW35" s="1884"/>
      <c r="IAX35" s="1884"/>
      <c r="IAY35" s="1884"/>
      <c r="IAZ35" s="1884"/>
      <c r="IBA35" s="1884"/>
      <c r="IBB35" s="1884"/>
      <c r="IBC35" s="1884"/>
      <c r="IBD35" s="1884"/>
      <c r="IBE35" s="1884"/>
      <c r="IBF35" s="1884"/>
      <c r="IBG35" s="1884"/>
      <c r="IBH35" s="1884"/>
      <c r="IBI35" s="1884"/>
      <c r="IBJ35" s="1884"/>
      <c r="IBK35" s="1884"/>
      <c r="IBL35" s="1884"/>
      <c r="IBM35" s="1884"/>
      <c r="IBN35" s="1884"/>
      <c r="IBO35" s="1884"/>
      <c r="IBP35" s="1884"/>
      <c r="IBQ35" s="1884"/>
      <c r="IBR35" s="1884"/>
      <c r="IBS35" s="1884"/>
      <c r="IBT35" s="1884"/>
      <c r="IBU35" s="1884"/>
      <c r="IBV35" s="1884"/>
      <c r="IBW35" s="1884"/>
      <c r="IBX35" s="1884"/>
      <c r="IBY35" s="1884"/>
      <c r="IBZ35" s="1884"/>
      <c r="ICA35" s="1884"/>
      <c r="ICB35" s="1884"/>
      <c r="ICC35" s="1884"/>
      <c r="ICD35" s="1884"/>
      <c r="ICE35" s="1884"/>
      <c r="ICF35" s="1884"/>
      <c r="ICG35" s="1884"/>
      <c r="ICH35" s="1884"/>
      <c r="ICI35" s="1884"/>
      <c r="ICJ35" s="1884"/>
      <c r="ICK35" s="1884"/>
      <c r="ICL35" s="1884"/>
      <c r="ICM35" s="1884"/>
      <c r="ICN35" s="1884"/>
      <c r="ICO35" s="1884"/>
      <c r="ICP35" s="1884"/>
      <c r="ICQ35" s="1884"/>
      <c r="ICR35" s="1884"/>
      <c r="ICS35" s="1884"/>
      <c r="ICT35" s="1884"/>
      <c r="ICU35" s="1884"/>
      <c r="ICV35" s="1884"/>
      <c r="ICW35" s="1884"/>
      <c r="ICX35" s="1884"/>
      <c r="ICY35" s="1884"/>
      <c r="ICZ35" s="1884"/>
      <c r="IDA35" s="1884"/>
      <c r="IDB35" s="1884"/>
      <c r="IDC35" s="1884"/>
      <c r="IDD35" s="1884"/>
      <c r="IDE35" s="1884"/>
      <c r="IDF35" s="1884"/>
      <c r="IDG35" s="1884"/>
      <c r="IDH35" s="1884"/>
      <c r="IDI35" s="1884"/>
      <c r="IDJ35" s="1884"/>
      <c r="IDK35" s="1884"/>
      <c r="IDL35" s="1884"/>
      <c r="IDM35" s="1884"/>
      <c r="IDN35" s="1884"/>
      <c r="IDO35" s="1884"/>
      <c r="IDP35" s="1884"/>
      <c r="IDQ35" s="1884"/>
      <c r="IDR35" s="1884"/>
      <c r="IDS35" s="1884"/>
      <c r="IDT35" s="1884"/>
      <c r="IDU35" s="1884"/>
      <c r="IDV35" s="1884"/>
      <c r="IDW35" s="1884"/>
      <c r="IDX35" s="1884"/>
      <c r="IDY35" s="1884"/>
      <c r="IDZ35" s="1884"/>
      <c r="IEA35" s="1884"/>
      <c r="IEB35" s="1884"/>
      <c r="IEC35" s="1884"/>
      <c r="IED35" s="1884"/>
      <c r="IEE35" s="1884"/>
      <c r="IEF35" s="1884"/>
      <c r="IEG35" s="1884"/>
      <c r="IEH35" s="1884"/>
      <c r="IEI35" s="1884"/>
      <c r="IEJ35" s="1884"/>
      <c r="IEK35" s="1884"/>
      <c r="IEL35" s="1884"/>
      <c r="IEM35" s="1884"/>
      <c r="IEN35" s="1884"/>
      <c r="IEO35" s="1884"/>
      <c r="IEP35" s="1884"/>
      <c r="IEQ35" s="1884"/>
      <c r="IER35" s="1884"/>
      <c r="IES35" s="1884"/>
      <c r="IET35" s="1884"/>
      <c r="IEU35" s="1884"/>
      <c r="IEV35" s="1884"/>
      <c r="IEW35" s="1884"/>
      <c r="IEX35" s="1884"/>
      <c r="IEY35" s="1884"/>
      <c r="IEZ35" s="1884"/>
      <c r="IFA35" s="1884"/>
      <c r="IFB35" s="1884"/>
      <c r="IFC35" s="1884"/>
      <c r="IFD35" s="1884"/>
      <c r="IFE35" s="1884"/>
      <c r="IFF35" s="1884"/>
      <c r="IFG35" s="1884"/>
      <c r="IFH35" s="1884"/>
      <c r="IFI35" s="1884"/>
      <c r="IFJ35" s="1884"/>
      <c r="IFK35" s="1884"/>
      <c r="IFL35" s="1884"/>
      <c r="IFM35" s="1884"/>
      <c r="IFN35" s="1884"/>
      <c r="IFO35" s="1884"/>
      <c r="IFP35" s="1884"/>
      <c r="IFQ35" s="1884"/>
      <c r="IFR35" s="1884"/>
      <c r="IFS35" s="1884"/>
      <c r="IFT35" s="1884"/>
      <c r="IFU35" s="1884"/>
      <c r="IFV35" s="1884"/>
      <c r="IFW35" s="1884"/>
      <c r="IFX35" s="1884"/>
      <c r="IFY35" s="1884"/>
      <c r="IFZ35" s="1884"/>
      <c r="IGA35" s="1884"/>
      <c r="IGB35" s="1884"/>
      <c r="IGC35" s="1884"/>
      <c r="IGD35" s="1884"/>
      <c r="IGE35" s="1884"/>
      <c r="IGF35" s="1884"/>
      <c r="IGG35" s="1884"/>
      <c r="IGH35" s="1884"/>
      <c r="IGI35" s="1884"/>
      <c r="IGJ35" s="1884"/>
      <c r="IGK35" s="1884"/>
      <c r="IGL35" s="1884"/>
      <c r="IGM35" s="1884"/>
      <c r="IGN35" s="1884"/>
      <c r="IGO35" s="1884"/>
      <c r="IGP35" s="1884"/>
      <c r="IGQ35" s="1884"/>
      <c r="IGR35" s="1884"/>
      <c r="IGS35" s="1884"/>
      <c r="IGT35" s="1884"/>
      <c r="IGU35" s="1884"/>
      <c r="IGV35" s="1884"/>
      <c r="IGW35" s="1884"/>
      <c r="IGX35" s="1884"/>
      <c r="IGY35" s="1884"/>
      <c r="IGZ35" s="1884"/>
      <c r="IHA35" s="1884"/>
      <c r="IHB35" s="1884"/>
      <c r="IHC35" s="1884"/>
      <c r="IHD35" s="1884"/>
      <c r="IHE35" s="1884"/>
      <c r="IHF35" s="1884"/>
      <c r="IHG35" s="1884"/>
      <c r="IHH35" s="1884"/>
      <c r="IHI35" s="1884"/>
      <c r="IHJ35" s="1884"/>
      <c r="IHK35" s="1884"/>
      <c r="IHL35" s="1884"/>
      <c r="IHM35" s="1884"/>
      <c r="IHN35" s="1884"/>
      <c r="IHO35" s="1884"/>
      <c r="IHP35" s="1884"/>
      <c r="IHQ35" s="1884"/>
      <c r="IHR35" s="1884"/>
      <c r="IHS35" s="1884"/>
      <c r="IHT35" s="1884"/>
      <c r="IHU35" s="1884"/>
      <c r="IHV35" s="1884"/>
      <c r="IHW35" s="1884"/>
      <c r="IHX35" s="1884"/>
      <c r="IHY35" s="1884"/>
      <c r="IHZ35" s="1884"/>
      <c r="IIA35" s="1884"/>
      <c r="IIB35" s="1884"/>
      <c r="IIC35" s="1884"/>
      <c r="IID35" s="1884"/>
      <c r="IIE35" s="1884"/>
      <c r="IIF35" s="1884"/>
      <c r="IIG35" s="1884"/>
      <c r="IIH35" s="1884"/>
      <c r="III35" s="1884"/>
      <c r="IIJ35" s="1884"/>
      <c r="IIK35" s="1884"/>
      <c r="IIL35" s="1884"/>
      <c r="IIM35" s="1884"/>
      <c r="IIN35" s="1884"/>
      <c r="IIO35" s="1884"/>
      <c r="IIP35" s="1884"/>
      <c r="IIQ35" s="1884"/>
      <c r="IIR35" s="1884"/>
      <c r="IIS35" s="1884"/>
      <c r="IIT35" s="1884"/>
      <c r="IIU35" s="1884"/>
      <c r="IIV35" s="1884"/>
      <c r="IIW35" s="1884"/>
      <c r="IIX35" s="1884"/>
      <c r="IIY35" s="1884"/>
      <c r="IIZ35" s="1884"/>
      <c r="IJA35" s="1884"/>
      <c r="IJB35" s="1884"/>
      <c r="IJC35" s="1884"/>
      <c r="IJD35" s="1884"/>
      <c r="IJE35" s="1884"/>
      <c r="IJF35" s="1884"/>
      <c r="IJG35" s="1884"/>
      <c r="IJH35" s="1884"/>
      <c r="IJI35" s="1884"/>
      <c r="IJJ35" s="1884"/>
      <c r="IJK35" s="1884"/>
      <c r="IJL35" s="1884"/>
      <c r="IJM35" s="1884"/>
      <c r="IJN35" s="1884"/>
      <c r="IJO35" s="1884"/>
      <c r="IJP35" s="1884"/>
      <c r="IJQ35" s="1884"/>
      <c r="IJR35" s="1884"/>
      <c r="IJS35" s="1884"/>
      <c r="IJT35" s="1884"/>
      <c r="IJU35" s="1884"/>
      <c r="IJV35" s="1884"/>
      <c r="IJW35" s="1884"/>
      <c r="IJX35" s="1884"/>
      <c r="IJY35" s="1884"/>
      <c r="IJZ35" s="1884"/>
      <c r="IKA35" s="1884"/>
      <c r="IKB35" s="1884"/>
      <c r="IKC35" s="1884"/>
      <c r="IKD35" s="1884"/>
      <c r="IKE35" s="1884"/>
      <c r="IKF35" s="1884"/>
      <c r="IKG35" s="1884"/>
      <c r="IKH35" s="1884"/>
      <c r="IKI35" s="1884"/>
      <c r="IKJ35" s="1884"/>
      <c r="IKK35" s="1884"/>
      <c r="IKL35" s="1884"/>
      <c r="IKM35" s="1884"/>
      <c r="IKN35" s="1884"/>
      <c r="IKO35" s="1884"/>
      <c r="IKP35" s="1884"/>
      <c r="IKQ35" s="1884"/>
      <c r="IKR35" s="1884"/>
      <c r="IKS35" s="1884"/>
      <c r="IKT35" s="1884"/>
      <c r="IKU35" s="1884"/>
      <c r="IKV35" s="1884"/>
      <c r="IKW35" s="1884"/>
      <c r="IKX35" s="1884"/>
      <c r="IKY35" s="1884"/>
      <c r="IKZ35" s="1884"/>
      <c r="ILA35" s="1884"/>
      <c r="ILB35" s="1884"/>
      <c r="ILC35" s="1884"/>
      <c r="ILD35" s="1884"/>
      <c r="ILE35" s="1884"/>
      <c r="ILF35" s="1884"/>
      <c r="ILG35" s="1884"/>
      <c r="ILH35" s="1884"/>
      <c r="ILI35" s="1884"/>
      <c r="ILJ35" s="1884"/>
      <c r="ILK35" s="1884"/>
      <c r="ILL35" s="1884"/>
      <c r="ILM35" s="1884"/>
      <c r="ILN35" s="1884"/>
      <c r="ILO35" s="1884"/>
      <c r="ILP35" s="1884"/>
      <c r="ILQ35" s="1884"/>
      <c r="ILR35" s="1884"/>
      <c r="ILS35" s="1884"/>
      <c r="ILT35" s="1884"/>
      <c r="ILU35" s="1884"/>
      <c r="ILV35" s="1884"/>
      <c r="ILW35" s="1884"/>
      <c r="ILX35" s="1884"/>
      <c r="ILY35" s="1884"/>
      <c r="ILZ35" s="1884"/>
      <c r="IMA35" s="1884"/>
      <c r="IMB35" s="1884"/>
      <c r="IMC35" s="1884"/>
      <c r="IMD35" s="1884"/>
      <c r="IME35" s="1884"/>
      <c r="IMF35" s="1884"/>
      <c r="IMG35" s="1884"/>
      <c r="IMH35" s="1884"/>
      <c r="IMI35" s="1884"/>
      <c r="IMJ35" s="1884"/>
      <c r="IMK35" s="1884"/>
      <c r="IML35" s="1884"/>
      <c r="IMM35" s="1884"/>
      <c r="IMN35" s="1884"/>
      <c r="IMO35" s="1884"/>
      <c r="IMP35" s="1884"/>
      <c r="IMQ35" s="1884"/>
      <c r="IMR35" s="1884"/>
      <c r="IMS35" s="1884"/>
      <c r="IMT35" s="1884"/>
      <c r="IMU35" s="1884"/>
      <c r="IMV35" s="1884"/>
      <c r="IMW35" s="1884"/>
      <c r="IMX35" s="1884"/>
      <c r="IMY35" s="1884"/>
      <c r="IMZ35" s="1884"/>
      <c r="INA35" s="1884"/>
      <c r="INB35" s="1884"/>
      <c r="INC35" s="1884"/>
      <c r="IND35" s="1884"/>
      <c r="INE35" s="1884"/>
      <c r="INF35" s="1884"/>
      <c r="ING35" s="1884"/>
      <c r="INH35" s="1884"/>
      <c r="INI35" s="1884"/>
      <c r="INJ35" s="1884"/>
      <c r="INK35" s="1884"/>
      <c r="INL35" s="1884"/>
      <c r="INM35" s="1884"/>
      <c r="INN35" s="1884"/>
      <c r="INO35" s="1884"/>
      <c r="INP35" s="1884"/>
      <c r="INQ35" s="1884"/>
      <c r="INR35" s="1884"/>
      <c r="INS35" s="1884"/>
      <c r="INT35" s="1884"/>
      <c r="INU35" s="1884"/>
      <c r="INV35" s="1884"/>
      <c r="INW35" s="1884"/>
      <c r="INX35" s="1884"/>
      <c r="INY35" s="1884"/>
      <c r="INZ35" s="1884"/>
      <c r="IOA35" s="1884"/>
      <c r="IOB35" s="1884"/>
      <c r="IOC35" s="1884"/>
      <c r="IOD35" s="1884"/>
      <c r="IOE35" s="1884"/>
      <c r="IOF35" s="1884"/>
      <c r="IOG35" s="1884"/>
      <c r="IOH35" s="1884"/>
      <c r="IOI35" s="1884"/>
      <c r="IOJ35" s="1884"/>
      <c r="IOK35" s="1884"/>
      <c r="IOL35" s="1884"/>
      <c r="IOM35" s="1884"/>
      <c r="ION35" s="1884"/>
      <c r="IOO35" s="1884"/>
      <c r="IOP35" s="1884"/>
      <c r="IOQ35" s="1884"/>
      <c r="IOR35" s="1884"/>
      <c r="IOS35" s="1884"/>
      <c r="IOT35" s="1884"/>
      <c r="IOU35" s="1884"/>
      <c r="IOV35" s="1884"/>
      <c r="IOW35" s="1884"/>
      <c r="IOX35" s="1884"/>
      <c r="IOY35" s="1884"/>
      <c r="IOZ35" s="1884"/>
      <c r="IPA35" s="1884"/>
      <c r="IPB35" s="1884"/>
      <c r="IPC35" s="1884"/>
      <c r="IPD35" s="1884"/>
      <c r="IPE35" s="1884"/>
      <c r="IPF35" s="1884"/>
      <c r="IPG35" s="1884"/>
      <c r="IPH35" s="1884"/>
      <c r="IPI35" s="1884"/>
      <c r="IPJ35" s="1884"/>
      <c r="IPK35" s="1884"/>
      <c r="IPL35" s="1884"/>
      <c r="IPM35" s="1884"/>
      <c r="IPN35" s="1884"/>
      <c r="IPO35" s="1884"/>
      <c r="IPP35" s="1884"/>
      <c r="IPQ35" s="1884"/>
      <c r="IPR35" s="1884"/>
      <c r="IPS35" s="1884"/>
      <c r="IPT35" s="1884"/>
      <c r="IPU35" s="1884"/>
      <c r="IPV35" s="1884"/>
      <c r="IPW35" s="1884"/>
      <c r="IPX35" s="1884"/>
      <c r="IPY35" s="1884"/>
      <c r="IPZ35" s="1884"/>
      <c r="IQA35" s="1884"/>
      <c r="IQB35" s="1884"/>
      <c r="IQC35" s="1884"/>
      <c r="IQD35" s="1884"/>
      <c r="IQE35" s="1884"/>
      <c r="IQF35" s="1884"/>
      <c r="IQG35" s="1884"/>
      <c r="IQH35" s="1884"/>
      <c r="IQI35" s="1884"/>
      <c r="IQJ35" s="1884"/>
      <c r="IQK35" s="1884"/>
      <c r="IQL35" s="1884"/>
      <c r="IQM35" s="1884"/>
      <c r="IQN35" s="1884"/>
      <c r="IQO35" s="1884"/>
      <c r="IQP35" s="1884"/>
      <c r="IQQ35" s="1884"/>
      <c r="IQR35" s="1884"/>
      <c r="IQS35" s="1884"/>
      <c r="IQT35" s="1884"/>
      <c r="IQU35" s="1884"/>
      <c r="IQV35" s="1884"/>
      <c r="IQW35" s="1884"/>
      <c r="IQX35" s="1884"/>
      <c r="IQY35" s="1884"/>
      <c r="IQZ35" s="1884"/>
      <c r="IRA35" s="1884"/>
      <c r="IRB35" s="1884"/>
      <c r="IRC35" s="1884"/>
      <c r="IRD35" s="1884"/>
      <c r="IRE35" s="1884"/>
      <c r="IRF35" s="1884"/>
      <c r="IRG35" s="1884"/>
      <c r="IRH35" s="1884"/>
      <c r="IRI35" s="1884"/>
      <c r="IRJ35" s="1884"/>
      <c r="IRK35" s="1884"/>
      <c r="IRL35" s="1884"/>
      <c r="IRM35" s="1884"/>
      <c r="IRN35" s="1884"/>
      <c r="IRO35" s="1884"/>
      <c r="IRP35" s="1884"/>
      <c r="IRQ35" s="1884"/>
      <c r="IRR35" s="1884"/>
      <c r="IRS35" s="1884"/>
      <c r="IRT35" s="1884"/>
      <c r="IRU35" s="1884"/>
      <c r="IRV35" s="1884"/>
      <c r="IRW35" s="1884"/>
      <c r="IRX35" s="1884"/>
      <c r="IRY35" s="1884"/>
      <c r="IRZ35" s="1884"/>
      <c r="ISA35" s="1884"/>
      <c r="ISB35" s="1884"/>
      <c r="ISC35" s="1884"/>
      <c r="ISD35" s="1884"/>
      <c r="ISE35" s="1884"/>
      <c r="ISF35" s="1884"/>
      <c r="ISG35" s="1884"/>
      <c r="ISH35" s="1884"/>
      <c r="ISI35" s="1884"/>
      <c r="ISJ35" s="1884"/>
      <c r="ISK35" s="1884"/>
      <c r="ISL35" s="1884"/>
      <c r="ISM35" s="1884"/>
      <c r="ISN35" s="1884"/>
      <c r="ISO35" s="1884"/>
      <c r="ISP35" s="1884"/>
      <c r="ISQ35" s="1884"/>
      <c r="ISR35" s="1884"/>
      <c r="ISS35" s="1884"/>
      <c r="IST35" s="1884"/>
      <c r="ISU35" s="1884"/>
      <c r="ISV35" s="1884"/>
      <c r="ISW35" s="1884"/>
      <c r="ISX35" s="1884"/>
      <c r="ISY35" s="1884"/>
      <c r="ISZ35" s="1884"/>
      <c r="ITA35" s="1884"/>
      <c r="ITB35" s="1884"/>
      <c r="ITC35" s="1884"/>
      <c r="ITD35" s="1884"/>
      <c r="ITE35" s="1884"/>
      <c r="ITF35" s="1884"/>
      <c r="ITG35" s="1884"/>
      <c r="ITH35" s="1884"/>
      <c r="ITI35" s="1884"/>
      <c r="ITJ35" s="1884"/>
      <c r="ITK35" s="1884"/>
      <c r="ITL35" s="1884"/>
      <c r="ITM35" s="1884"/>
      <c r="ITN35" s="1884"/>
      <c r="ITO35" s="1884"/>
      <c r="ITP35" s="1884"/>
      <c r="ITQ35" s="1884"/>
      <c r="ITR35" s="1884"/>
      <c r="ITS35" s="1884"/>
      <c r="ITT35" s="1884"/>
      <c r="ITU35" s="1884"/>
      <c r="ITV35" s="1884"/>
      <c r="ITW35" s="1884"/>
      <c r="ITX35" s="1884"/>
      <c r="ITY35" s="1884"/>
      <c r="ITZ35" s="1884"/>
      <c r="IUA35" s="1884"/>
      <c r="IUB35" s="1884"/>
      <c r="IUC35" s="1884"/>
      <c r="IUD35" s="1884"/>
      <c r="IUE35" s="1884"/>
      <c r="IUF35" s="1884"/>
      <c r="IUG35" s="1884"/>
      <c r="IUH35" s="1884"/>
      <c r="IUI35" s="1884"/>
      <c r="IUJ35" s="1884"/>
      <c r="IUK35" s="1884"/>
      <c r="IUL35" s="1884"/>
      <c r="IUM35" s="1884"/>
      <c r="IUN35" s="1884"/>
      <c r="IUO35" s="1884"/>
      <c r="IUP35" s="1884"/>
      <c r="IUQ35" s="1884"/>
      <c r="IUR35" s="1884"/>
      <c r="IUS35" s="1884"/>
      <c r="IUT35" s="1884"/>
      <c r="IUU35" s="1884"/>
      <c r="IUV35" s="1884"/>
      <c r="IUW35" s="1884"/>
      <c r="IUX35" s="1884"/>
      <c r="IUY35" s="1884"/>
      <c r="IUZ35" s="1884"/>
      <c r="IVA35" s="1884"/>
      <c r="IVB35" s="1884"/>
      <c r="IVC35" s="1884"/>
      <c r="IVD35" s="1884"/>
      <c r="IVE35" s="1884"/>
      <c r="IVF35" s="1884"/>
      <c r="IVG35" s="1884"/>
      <c r="IVH35" s="1884"/>
      <c r="IVI35" s="1884"/>
      <c r="IVJ35" s="1884"/>
      <c r="IVK35" s="1884"/>
      <c r="IVL35" s="1884"/>
      <c r="IVM35" s="1884"/>
      <c r="IVN35" s="1884"/>
      <c r="IVO35" s="1884"/>
      <c r="IVP35" s="1884"/>
      <c r="IVQ35" s="1884"/>
      <c r="IVR35" s="1884"/>
      <c r="IVS35" s="1884"/>
      <c r="IVT35" s="1884"/>
      <c r="IVU35" s="1884"/>
      <c r="IVV35" s="1884"/>
      <c r="IVW35" s="1884"/>
      <c r="IVX35" s="1884"/>
      <c r="IVY35" s="1884"/>
      <c r="IVZ35" s="1884"/>
      <c r="IWA35" s="1884"/>
      <c r="IWB35" s="1884"/>
      <c r="IWC35" s="1884"/>
      <c r="IWD35" s="1884"/>
      <c r="IWE35" s="1884"/>
      <c r="IWF35" s="1884"/>
      <c r="IWG35" s="1884"/>
      <c r="IWH35" s="1884"/>
      <c r="IWI35" s="1884"/>
      <c r="IWJ35" s="1884"/>
      <c r="IWK35" s="1884"/>
      <c r="IWL35" s="1884"/>
      <c r="IWM35" s="1884"/>
      <c r="IWN35" s="1884"/>
      <c r="IWO35" s="1884"/>
      <c r="IWP35" s="1884"/>
      <c r="IWQ35" s="1884"/>
      <c r="IWR35" s="1884"/>
      <c r="IWS35" s="1884"/>
      <c r="IWT35" s="1884"/>
      <c r="IWU35" s="1884"/>
      <c r="IWV35" s="1884"/>
      <c r="IWW35" s="1884"/>
      <c r="IWX35" s="1884"/>
      <c r="IWY35" s="1884"/>
      <c r="IWZ35" s="1884"/>
      <c r="IXA35" s="1884"/>
      <c r="IXB35" s="1884"/>
      <c r="IXC35" s="1884"/>
      <c r="IXD35" s="1884"/>
      <c r="IXE35" s="1884"/>
      <c r="IXF35" s="1884"/>
      <c r="IXG35" s="1884"/>
      <c r="IXH35" s="1884"/>
      <c r="IXI35" s="1884"/>
      <c r="IXJ35" s="1884"/>
      <c r="IXK35" s="1884"/>
      <c r="IXL35" s="1884"/>
      <c r="IXM35" s="1884"/>
      <c r="IXN35" s="1884"/>
      <c r="IXO35" s="1884"/>
      <c r="IXP35" s="1884"/>
      <c r="IXQ35" s="1884"/>
      <c r="IXR35" s="1884"/>
      <c r="IXS35" s="1884"/>
      <c r="IXT35" s="1884"/>
      <c r="IXU35" s="1884"/>
      <c r="IXV35" s="1884"/>
      <c r="IXW35" s="1884"/>
      <c r="IXX35" s="1884"/>
      <c r="IXY35" s="1884"/>
      <c r="IXZ35" s="1884"/>
      <c r="IYA35" s="1884"/>
      <c r="IYB35" s="1884"/>
      <c r="IYC35" s="1884"/>
      <c r="IYD35" s="1884"/>
      <c r="IYE35" s="1884"/>
      <c r="IYF35" s="1884"/>
      <c r="IYG35" s="1884"/>
      <c r="IYH35" s="1884"/>
      <c r="IYI35" s="1884"/>
      <c r="IYJ35" s="1884"/>
      <c r="IYK35" s="1884"/>
      <c r="IYL35" s="1884"/>
      <c r="IYM35" s="1884"/>
      <c r="IYN35" s="1884"/>
      <c r="IYO35" s="1884"/>
      <c r="IYP35" s="1884"/>
      <c r="IYQ35" s="1884"/>
      <c r="IYR35" s="1884"/>
      <c r="IYS35" s="1884"/>
      <c r="IYT35" s="1884"/>
      <c r="IYU35" s="1884"/>
      <c r="IYV35" s="1884"/>
      <c r="IYW35" s="1884"/>
      <c r="IYX35" s="1884"/>
      <c r="IYY35" s="1884"/>
      <c r="IYZ35" s="1884"/>
      <c r="IZA35" s="1884"/>
      <c r="IZB35" s="1884"/>
      <c r="IZC35" s="1884"/>
      <c r="IZD35" s="1884"/>
      <c r="IZE35" s="1884"/>
      <c r="IZF35" s="1884"/>
      <c r="IZG35" s="1884"/>
      <c r="IZH35" s="1884"/>
      <c r="IZI35" s="1884"/>
      <c r="IZJ35" s="1884"/>
      <c r="IZK35" s="1884"/>
      <c r="IZL35" s="1884"/>
      <c r="IZM35" s="1884"/>
      <c r="IZN35" s="1884"/>
      <c r="IZO35" s="1884"/>
      <c r="IZP35" s="1884"/>
      <c r="IZQ35" s="1884"/>
      <c r="IZR35" s="1884"/>
      <c r="IZS35" s="1884"/>
      <c r="IZT35" s="1884"/>
      <c r="IZU35" s="1884"/>
      <c r="IZV35" s="1884"/>
      <c r="IZW35" s="1884"/>
      <c r="IZX35" s="1884"/>
      <c r="IZY35" s="1884"/>
      <c r="IZZ35" s="1884"/>
      <c r="JAA35" s="1884"/>
      <c r="JAB35" s="1884"/>
      <c r="JAC35" s="1884"/>
      <c r="JAD35" s="1884"/>
      <c r="JAE35" s="1884"/>
      <c r="JAF35" s="1884"/>
      <c r="JAG35" s="1884"/>
      <c r="JAH35" s="1884"/>
      <c r="JAI35" s="1884"/>
      <c r="JAJ35" s="1884"/>
      <c r="JAK35" s="1884"/>
      <c r="JAL35" s="1884"/>
      <c r="JAM35" s="1884"/>
      <c r="JAN35" s="1884"/>
      <c r="JAO35" s="1884"/>
      <c r="JAP35" s="1884"/>
      <c r="JAQ35" s="1884"/>
      <c r="JAR35" s="1884"/>
      <c r="JAS35" s="1884"/>
      <c r="JAT35" s="1884"/>
      <c r="JAU35" s="1884"/>
      <c r="JAV35" s="1884"/>
      <c r="JAW35" s="1884"/>
      <c r="JAX35" s="1884"/>
      <c r="JAY35" s="1884"/>
      <c r="JAZ35" s="1884"/>
      <c r="JBA35" s="1884"/>
      <c r="JBB35" s="1884"/>
      <c r="JBC35" s="1884"/>
      <c r="JBD35" s="1884"/>
      <c r="JBE35" s="1884"/>
      <c r="JBF35" s="1884"/>
      <c r="JBG35" s="1884"/>
      <c r="JBH35" s="1884"/>
      <c r="JBI35" s="1884"/>
      <c r="JBJ35" s="1884"/>
      <c r="JBK35" s="1884"/>
      <c r="JBL35" s="1884"/>
      <c r="JBM35" s="1884"/>
      <c r="JBN35" s="1884"/>
      <c r="JBO35" s="1884"/>
      <c r="JBP35" s="1884"/>
      <c r="JBQ35" s="1884"/>
      <c r="JBR35" s="1884"/>
      <c r="JBS35" s="1884"/>
      <c r="JBT35" s="1884"/>
      <c r="JBU35" s="1884"/>
      <c r="JBV35" s="1884"/>
      <c r="JBW35" s="1884"/>
      <c r="JBX35" s="1884"/>
      <c r="JBY35" s="1884"/>
      <c r="JBZ35" s="1884"/>
      <c r="JCA35" s="1884"/>
      <c r="JCB35" s="1884"/>
      <c r="JCC35" s="1884"/>
      <c r="JCD35" s="1884"/>
      <c r="JCE35" s="1884"/>
      <c r="JCF35" s="1884"/>
      <c r="JCG35" s="1884"/>
      <c r="JCH35" s="1884"/>
      <c r="JCI35" s="1884"/>
      <c r="JCJ35" s="1884"/>
      <c r="JCK35" s="1884"/>
      <c r="JCL35" s="1884"/>
      <c r="JCM35" s="1884"/>
      <c r="JCN35" s="1884"/>
      <c r="JCO35" s="1884"/>
      <c r="JCP35" s="1884"/>
      <c r="JCQ35" s="1884"/>
      <c r="JCR35" s="1884"/>
      <c r="JCS35" s="1884"/>
      <c r="JCT35" s="1884"/>
      <c r="JCU35" s="1884"/>
      <c r="JCV35" s="1884"/>
      <c r="JCW35" s="1884"/>
      <c r="JCX35" s="1884"/>
      <c r="JCY35" s="1884"/>
      <c r="JCZ35" s="1884"/>
      <c r="JDA35" s="1884"/>
      <c r="JDB35" s="1884"/>
      <c r="JDC35" s="1884"/>
      <c r="JDD35" s="1884"/>
      <c r="JDE35" s="1884"/>
      <c r="JDF35" s="1884"/>
      <c r="JDG35" s="1884"/>
      <c r="JDH35" s="1884"/>
      <c r="JDI35" s="1884"/>
      <c r="JDJ35" s="1884"/>
      <c r="JDK35" s="1884"/>
      <c r="JDL35" s="1884"/>
      <c r="JDM35" s="1884"/>
      <c r="JDN35" s="1884"/>
      <c r="JDO35" s="1884"/>
      <c r="JDP35" s="1884"/>
      <c r="JDQ35" s="1884"/>
      <c r="JDR35" s="1884"/>
      <c r="JDS35" s="1884"/>
      <c r="JDT35" s="1884"/>
      <c r="JDU35" s="1884"/>
      <c r="JDV35" s="1884"/>
      <c r="JDW35" s="1884"/>
      <c r="JDX35" s="1884"/>
      <c r="JDY35" s="1884"/>
      <c r="JDZ35" s="1884"/>
      <c r="JEA35" s="1884"/>
      <c r="JEB35" s="1884"/>
      <c r="JEC35" s="1884"/>
      <c r="JED35" s="1884"/>
      <c r="JEE35" s="1884"/>
      <c r="JEF35" s="1884"/>
      <c r="JEG35" s="1884"/>
      <c r="JEH35" s="1884"/>
      <c r="JEI35" s="1884"/>
      <c r="JEJ35" s="1884"/>
      <c r="JEK35" s="1884"/>
      <c r="JEL35" s="1884"/>
      <c r="JEM35" s="1884"/>
      <c r="JEN35" s="1884"/>
      <c r="JEO35" s="1884"/>
      <c r="JEP35" s="1884"/>
      <c r="JEQ35" s="1884"/>
      <c r="JER35" s="1884"/>
      <c r="JES35" s="1884"/>
      <c r="JET35" s="1884"/>
      <c r="JEU35" s="1884"/>
      <c r="JEV35" s="1884"/>
      <c r="JEW35" s="1884"/>
      <c r="JEX35" s="1884"/>
      <c r="JEY35" s="1884"/>
      <c r="JEZ35" s="1884"/>
      <c r="JFA35" s="1884"/>
      <c r="JFB35" s="1884"/>
      <c r="JFC35" s="1884"/>
      <c r="JFD35" s="1884"/>
      <c r="JFE35" s="1884"/>
      <c r="JFF35" s="1884"/>
      <c r="JFG35" s="1884"/>
      <c r="JFH35" s="1884"/>
      <c r="JFI35" s="1884"/>
      <c r="JFJ35" s="1884"/>
      <c r="JFK35" s="1884"/>
      <c r="JFL35" s="1884"/>
      <c r="JFM35" s="1884"/>
      <c r="JFN35" s="1884"/>
      <c r="JFO35" s="1884"/>
      <c r="JFP35" s="1884"/>
      <c r="JFQ35" s="1884"/>
      <c r="JFR35" s="1884"/>
      <c r="JFS35" s="1884"/>
      <c r="JFT35" s="1884"/>
      <c r="JFU35" s="1884"/>
      <c r="JFV35" s="1884"/>
      <c r="JFW35" s="1884"/>
      <c r="JFX35" s="1884"/>
      <c r="JFY35" s="1884"/>
      <c r="JFZ35" s="1884"/>
      <c r="JGA35" s="1884"/>
      <c r="JGB35" s="1884"/>
      <c r="JGC35" s="1884"/>
      <c r="JGD35" s="1884"/>
      <c r="JGE35" s="1884"/>
      <c r="JGF35" s="1884"/>
      <c r="JGG35" s="1884"/>
      <c r="JGH35" s="1884"/>
      <c r="JGI35" s="1884"/>
      <c r="JGJ35" s="1884"/>
      <c r="JGK35" s="1884"/>
      <c r="JGL35" s="1884"/>
      <c r="JGM35" s="1884"/>
      <c r="JGN35" s="1884"/>
      <c r="JGO35" s="1884"/>
      <c r="JGP35" s="1884"/>
      <c r="JGQ35" s="1884"/>
      <c r="JGR35" s="1884"/>
      <c r="JGS35" s="1884"/>
      <c r="JGT35" s="1884"/>
      <c r="JGU35" s="1884"/>
      <c r="JGV35" s="1884"/>
      <c r="JGW35" s="1884"/>
      <c r="JGX35" s="1884"/>
      <c r="JGY35" s="1884"/>
      <c r="JGZ35" s="1884"/>
      <c r="JHA35" s="1884"/>
      <c r="JHB35" s="1884"/>
      <c r="JHC35" s="1884"/>
      <c r="JHD35" s="1884"/>
      <c r="JHE35" s="1884"/>
      <c r="JHF35" s="1884"/>
      <c r="JHG35" s="1884"/>
      <c r="JHH35" s="1884"/>
      <c r="JHI35" s="1884"/>
      <c r="JHJ35" s="1884"/>
      <c r="JHK35" s="1884"/>
      <c r="JHL35" s="1884"/>
      <c r="JHM35" s="1884"/>
      <c r="JHN35" s="1884"/>
      <c r="JHO35" s="1884"/>
      <c r="JHP35" s="1884"/>
      <c r="JHQ35" s="1884"/>
      <c r="JHR35" s="1884"/>
      <c r="JHS35" s="1884"/>
      <c r="JHT35" s="1884"/>
      <c r="JHU35" s="1884"/>
      <c r="JHV35" s="1884"/>
      <c r="JHW35" s="1884"/>
      <c r="JHX35" s="1884"/>
      <c r="JHY35" s="1884"/>
      <c r="JHZ35" s="1884"/>
      <c r="JIA35" s="1884"/>
      <c r="JIB35" s="1884"/>
      <c r="JIC35" s="1884"/>
      <c r="JID35" s="1884"/>
      <c r="JIE35" s="1884"/>
      <c r="JIF35" s="1884"/>
      <c r="JIG35" s="1884"/>
      <c r="JIH35" s="1884"/>
      <c r="JII35" s="1884"/>
      <c r="JIJ35" s="1884"/>
      <c r="JIK35" s="1884"/>
      <c r="JIL35" s="1884"/>
      <c r="JIM35" s="1884"/>
      <c r="JIN35" s="1884"/>
      <c r="JIO35" s="1884"/>
      <c r="JIP35" s="1884"/>
      <c r="JIQ35" s="1884"/>
      <c r="JIR35" s="1884"/>
      <c r="JIS35" s="1884"/>
      <c r="JIT35" s="1884"/>
      <c r="JIU35" s="1884"/>
      <c r="JIV35" s="1884"/>
      <c r="JIW35" s="1884"/>
      <c r="JIX35" s="1884"/>
      <c r="JIY35" s="1884"/>
      <c r="JIZ35" s="1884"/>
      <c r="JJA35" s="1884"/>
      <c r="JJB35" s="1884"/>
      <c r="JJC35" s="1884"/>
      <c r="JJD35" s="1884"/>
      <c r="JJE35" s="1884"/>
      <c r="JJF35" s="1884"/>
      <c r="JJG35" s="1884"/>
      <c r="JJH35" s="1884"/>
      <c r="JJI35" s="1884"/>
      <c r="JJJ35" s="1884"/>
      <c r="JJK35" s="1884"/>
      <c r="JJL35" s="1884"/>
      <c r="JJM35" s="1884"/>
      <c r="JJN35" s="1884"/>
      <c r="JJO35" s="1884"/>
      <c r="JJP35" s="1884"/>
      <c r="JJQ35" s="1884"/>
      <c r="JJR35" s="1884"/>
      <c r="JJS35" s="1884"/>
      <c r="JJT35" s="1884"/>
      <c r="JJU35" s="1884"/>
      <c r="JJV35" s="1884"/>
      <c r="JJW35" s="1884"/>
      <c r="JJX35" s="1884"/>
      <c r="JJY35" s="1884"/>
      <c r="JJZ35" s="1884"/>
      <c r="JKA35" s="1884"/>
      <c r="JKB35" s="1884"/>
      <c r="JKC35" s="1884"/>
      <c r="JKD35" s="1884"/>
      <c r="JKE35" s="1884"/>
      <c r="JKF35" s="1884"/>
      <c r="JKG35" s="1884"/>
      <c r="JKH35" s="1884"/>
      <c r="JKI35" s="1884"/>
      <c r="JKJ35" s="1884"/>
      <c r="JKK35" s="1884"/>
      <c r="JKL35" s="1884"/>
      <c r="JKM35" s="1884"/>
      <c r="JKN35" s="1884"/>
      <c r="JKO35" s="1884"/>
      <c r="JKP35" s="1884"/>
      <c r="JKQ35" s="1884"/>
      <c r="JKR35" s="1884"/>
      <c r="JKS35" s="1884"/>
      <c r="JKT35" s="1884"/>
      <c r="JKU35" s="1884"/>
      <c r="JKV35" s="1884"/>
      <c r="JKW35" s="1884"/>
      <c r="JKX35" s="1884"/>
      <c r="JKY35" s="1884"/>
      <c r="JKZ35" s="1884"/>
      <c r="JLA35" s="1884"/>
      <c r="JLB35" s="1884"/>
      <c r="JLC35" s="1884"/>
      <c r="JLD35" s="1884"/>
      <c r="JLE35" s="1884"/>
      <c r="JLF35" s="1884"/>
      <c r="JLG35" s="1884"/>
      <c r="JLH35" s="1884"/>
      <c r="JLI35" s="1884"/>
      <c r="JLJ35" s="1884"/>
      <c r="JLK35" s="1884"/>
      <c r="JLL35" s="1884"/>
      <c r="JLM35" s="1884"/>
      <c r="JLN35" s="1884"/>
      <c r="JLO35" s="1884"/>
      <c r="JLP35" s="1884"/>
      <c r="JLQ35" s="1884"/>
      <c r="JLR35" s="1884"/>
      <c r="JLS35" s="1884"/>
      <c r="JLT35" s="1884"/>
      <c r="JLU35" s="1884"/>
      <c r="JLV35" s="1884"/>
      <c r="JLW35" s="1884"/>
      <c r="JLX35" s="1884"/>
      <c r="JLY35" s="1884"/>
      <c r="JLZ35" s="1884"/>
      <c r="JMA35" s="1884"/>
      <c r="JMB35" s="1884"/>
      <c r="JMC35" s="1884"/>
      <c r="JMD35" s="1884"/>
      <c r="JME35" s="1884"/>
      <c r="JMF35" s="1884"/>
      <c r="JMG35" s="1884"/>
      <c r="JMH35" s="1884"/>
      <c r="JMI35" s="1884"/>
      <c r="JMJ35" s="1884"/>
      <c r="JMK35" s="1884"/>
      <c r="JML35" s="1884"/>
      <c r="JMM35" s="1884"/>
      <c r="JMN35" s="1884"/>
      <c r="JMO35" s="1884"/>
      <c r="JMP35" s="1884"/>
      <c r="JMQ35" s="1884"/>
      <c r="JMR35" s="1884"/>
      <c r="JMS35" s="1884"/>
      <c r="JMT35" s="1884"/>
      <c r="JMU35" s="1884"/>
      <c r="JMV35" s="1884"/>
      <c r="JMW35" s="1884"/>
      <c r="JMX35" s="1884"/>
      <c r="JMY35" s="1884"/>
      <c r="JMZ35" s="1884"/>
      <c r="JNA35" s="1884"/>
      <c r="JNB35" s="1884"/>
      <c r="JNC35" s="1884"/>
      <c r="JND35" s="1884"/>
      <c r="JNE35" s="1884"/>
      <c r="JNF35" s="1884"/>
      <c r="JNG35" s="1884"/>
      <c r="JNH35" s="1884"/>
      <c r="JNI35" s="1884"/>
      <c r="JNJ35" s="1884"/>
      <c r="JNK35" s="1884"/>
      <c r="JNL35" s="1884"/>
      <c r="JNM35" s="1884"/>
      <c r="JNN35" s="1884"/>
      <c r="JNO35" s="1884"/>
      <c r="JNP35" s="1884"/>
      <c r="JNQ35" s="1884"/>
      <c r="JNR35" s="1884"/>
      <c r="JNS35" s="1884"/>
      <c r="JNT35" s="1884"/>
      <c r="JNU35" s="1884"/>
      <c r="JNV35" s="1884"/>
      <c r="JNW35" s="1884"/>
      <c r="JNX35" s="1884"/>
      <c r="JNY35" s="1884"/>
      <c r="JNZ35" s="1884"/>
      <c r="JOA35" s="1884"/>
      <c r="JOB35" s="1884"/>
      <c r="JOC35" s="1884"/>
      <c r="JOD35" s="1884"/>
      <c r="JOE35" s="1884"/>
      <c r="JOF35" s="1884"/>
      <c r="JOG35" s="1884"/>
      <c r="JOH35" s="1884"/>
      <c r="JOI35" s="1884"/>
      <c r="JOJ35" s="1884"/>
      <c r="JOK35" s="1884"/>
      <c r="JOL35" s="1884"/>
      <c r="JOM35" s="1884"/>
      <c r="JON35" s="1884"/>
      <c r="JOO35" s="1884"/>
      <c r="JOP35" s="1884"/>
      <c r="JOQ35" s="1884"/>
      <c r="JOR35" s="1884"/>
      <c r="JOS35" s="1884"/>
      <c r="JOT35" s="1884"/>
      <c r="JOU35" s="1884"/>
      <c r="JOV35" s="1884"/>
      <c r="JOW35" s="1884"/>
      <c r="JOX35" s="1884"/>
      <c r="JOY35" s="1884"/>
      <c r="JOZ35" s="1884"/>
      <c r="JPA35" s="1884"/>
      <c r="JPB35" s="1884"/>
      <c r="JPC35" s="1884"/>
      <c r="JPD35" s="1884"/>
      <c r="JPE35" s="1884"/>
      <c r="JPF35" s="1884"/>
      <c r="JPG35" s="1884"/>
      <c r="JPH35" s="1884"/>
      <c r="JPI35" s="1884"/>
      <c r="JPJ35" s="1884"/>
      <c r="JPK35" s="1884"/>
      <c r="JPL35" s="1884"/>
      <c r="JPM35" s="1884"/>
      <c r="JPN35" s="1884"/>
      <c r="JPO35" s="1884"/>
      <c r="JPP35" s="1884"/>
      <c r="JPQ35" s="1884"/>
      <c r="JPR35" s="1884"/>
      <c r="JPS35" s="1884"/>
      <c r="JPT35" s="1884"/>
      <c r="JPU35" s="1884"/>
      <c r="JPV35" s="1884"/>
      <c r="JPW35" s="1884"/>
      <c r="JPX35" s="1884"/>
      <c r="JPY35" s="1884"/>
      <c r="JPZ35" s="1884"/>
      <c r="JQA35" s="1884"/>
      <c r="JQB35" s="1884"/>
      <c r="JQC35" s="1884"/>
      <c r="JQD35" s="1884"/>
      <c r="JQE35" s="1884"/>
      <c r="JQF35" s="1884"/>
      <c r="JQG35" s="1884"/>
      <c r="JQH35" s="1884"/>
      <c r="JQI35" s="1884"/>
      <c r="JQJ35" s="1884"/>
      <c r="JQK35" s="1884"/>
      <c r="JQL35" s="1884"/>
      <c r="JQM35" s="1884"/>
      <c r="JQN35" s="1884"/>
      <c r="JQO35" s="1884"/>
      <c r="JQP35" s="1884"/>
      <c r="JQQ35" s="1884"/>
      <c r="JQR35" s="1884"/>
      <c r="JQS35" s="1884"/>
      <c r="JQT35" s="1884"/>
      <c r="JQU35" s="1884"/>
      <c r="JQV35" s="1884"/>
      <c r="JQW35" s="1884"/>
      <c r="JQX35" s="1884"/>
      <c r="JQY35" s="1884"/>
      <c r="JQZ35" s="1884"/>
      <c r="JRA35" s="1884"/>
      <c r="JRB35" s="1884"/>
      <c r="JRC35" s="1884"/>
      <c r="JRD35" s="1884"/>
      <c r="JRE35" s="1884"/>
      <c r="JRF35" s="1884"/>
      <c r="JRG35" s="1884"/>
      <c r="JRH35" s="1884"/>
      <c r="JRI35" s="1884"/>
      <c r="JRJ35" s="1884"/>
      <c r="JRK35" s="1884"/>
      <c r="JRL35" s="1884"/>
      <c r="JRM35" s="1884"/>
      <c r="JRN35" s="1884"/>
      <c r="JRO35" s="1884"/>
      <c r="JRP35" s="1884"/>
      <c r="JRQ35" s="1884"/>
      <c r="JRR35" s="1884"/>
      <c r="JRS35" s="1884"/>
      <c r="JRT35" s="1884"/>
      <c r="JRU35" s="1884"/>
      <c r="JRV35" s="1884"/>
      <c r="JRW35" s="1884"/>
      <c r="JRX35" s="1884"/>
      <c r="JRY35" s="1884"/>
      <c r="JRZ35" s="1884"/>
      <c r="JSA35" s="1884"/>
      <c r="JSB35" s="1884"/>
      <c r="JSC35" s="1884"/>
      <c r="JSD35" s="1884"/>
      <c r="JSE35" s="1884"/>
      <c r="JSF35" s="1884"/>
      <c r="JSG35" s="1884"/>
      <c r="JSH35" s="1884"/>
      <c r="JSI35" s="1884"/>
      <c r="JSJ35" s="1884"/>
      <c r="JSK35" s="1884"/>
      <c r="JSL35" s="1884"/>
      <c r="JSM35" s="1884"/>
      <c r="JSN35" s="1884"/>
      <c r="JSO35" s="1884"/>
      <c r="JSP35" s="1884"/>
      <c r="JSQ35" s="1884"/>
      <c r="JSR35" s="1884"/>
      <c r="JSS35" s="1884"/>
      <c r="JST35" s="1884"/>
      <c r="JSU35" s="1884"/>
      <c r="JSV35" s="1884"/>
      <c r="JSW35" s="1884"/>
      <c r="JSX35" s="1884"/>
      <c r="JSY35" s="1884"/>
      <c r="JSZ35" s="1884"/>
      <c r="JTA35" s="1884"/>
      <c r="JTB35" s="1884"/>
      <c r="JTC35" s="1884"/>
      <c r="JTD35" s="1884"/>
      <c r="JTE35" s="1884"/>
      <c r="JTF35" s="1884"/>
      <c r="JTG35" s="1884"/>
      <c r="JTH35" s="1884"/>
      <c r="JTI35" s="1884"/>
      <c r="JTJ35" s="1884"/>
      <c r="JTK35" s="1884"/>
      <c r="JTL35" s="1884"/>
      <c r="JTM35" s="1884"/>
      <c r="JTN35" s="1884"/>
      <c r="JTO35" s="1884"/>
      <c r="JTP35" s="1884"/>
      <c r="JTQ35" s="1884"/>
      <c r="JTR35" s="1884"/>
      <c r="JTS35" s="1884"/>
      <c r="JTT35" s="1884"/>
      <c r="JTU35" s="1884"/>
      <c r="JTV35" s="1884"/>
      <c r="JTW35" s="1884"/>
      <c r="JTX35" s="1884"/>
      <c r="JTY35" s="1884"/>
      <c r="JTZ35" s="1884"/>
      <c r="JUA35" s="1884"/>
      <c r="JUB35" s="1884"/>
      <c r="JUC35" s="1884"/>
      <c r="JUD35" s="1884"/>
      <c r="JUE35" s="1884"/>
      <c r="JUF35" s="1884"/>
      <c r="JUG35" s="1884"/>
      <c r="JUH35" s="1884"/>
      <c r="JUI35" s="1884"/>
      <c r="JUJ35" s="1884"/>
      <c r="JUK35" s="1884"/>
      <c r="JUL35" s="1884"/>
      <c r="JUM35" s="1884"/>
      <c r="JUN35" s="1884"/>
      <c r="JUO35" s="1884"/>
      <c r="JUP35" s="1884"/>
      <c r="JUQ35" s="1884"/>
      <c r="JUR35" s="1884"/>
      <c r="JUS35" s="1884"/>
      <c r="JUT35" s="1884"/>
      <c r="JUU35" s="1884"/>
      <c r="JUV35" s="1884"/>
      <c r="JUW35" s="1884"/>
      <c r="JUX35" s="1884"/>
      <c r="JUY35" s="1884"/>
      <c r="JUZ35" s="1884"/>
      <c r="JVA35" s="1884"/>
      <c r="JVB35" s="1884"/>
      <c r="JVC35" s="1884"/>
      <c r="JVD35" s="1884"/>
      <c r="JVE35" s="1884"/>
      <c r="JVF35" s="1884"/>
      <c r="JVG35" s="1884"/>
      <c r="JVH35" s="1884"/>
      <c r="JVI35" s="1884"/>
      <c r="JVJ35" s="1884"/>
      <c r="JVK35" s="1884"/>
      <c r="JVL35" s="1884"/>
      <c r="JVM35" s="1884"/>
      <c r="JVN35" s="1884"/>
      <c r="JVO35" s="1884"/>
      <c r="JVP35" s="1884"/>
      <c r="JVQ35" s="1884"/>
      <c r="JVR35" s="1884"/>
      <c r="JVS35" s="1884"/>
      <c r="JVT35" s="1884"/>
      <c r="JVU35" s="1884"/>
      <c r="JVV35" s="1884"/>
      <c r="JVW35" s="1884"/>
      <c r="JVX35" s="1884"/>
      <c r="JVY35" s="1884"/>
      <c r="JVZ35" s="1884"/>
      <c r="JWA35" s="1884"/>
      <c r="JWB35" s="1884"/>
      <c r="JWC35" s="1884"/>
      <c r="JWD35" s="1884"/>
      <c r="JWE35" s="1884"/>
      <c r="JWF35" s="1884"/>
      <c r="JWG35" s="1884"/>
      <c r="JWH35" s="1884"/>
      <c r="JWI35" s="1884"/>
      <c r="JWJ35" s="1884"/>
      <c r="JWK35" s="1884"/>
      <c r="JWL35" s="1884"/>
      <c r="JWM35" s="1884"/>
      <c r="JWN35" s="1884"/>
      <c r="JWO35" s="1884"/>
      <c r="JWP35" s="1884"/>
      <c r="JWQ35" s="1884"/>
      <c r="JWR35" s="1884"/>
      <c r="JWS35" s="1884"/>
      <c r="JWT35" s="1884"/>
      <c r="JWU35" s="1884"/>
      <c r="JWV35" s="1884"/>
      <c r="JWW35" s="1884"/>
      <c r="JWX35" s="1884"/>
      <c r="JWY35" s="1884"/>
      <c r="JWZ35" s="1884"/>
      <c r="JXA35" s="1884"/>
      <c r="JXB35" s="1884"/>
      <c r="JXC35" s="1884"/>
      <c r="JXD35" s="1884"/>
      <c r="JXE35" s="1884"/>
      <c r="JXF35" s="1884"/>
      <c r="JXG35" s="1884"/>
      <c r="JXH35" s="1884"/>
      <c r="JXI35" s="1884"/>
      <c r="JXJ35" s="1884"/>
      <c r="JXK35" s="1884"/>
      <c r="JXL35" s="1884"/>
      <c r="JXM35" s="1884"/>
      <c r="JXN35" s="1884"/>
      <c r="JXO35" s="1884"/>
      <c r="JXP35" s="1884"/>
      <c r="JXQ35" s="1884"/>
      <c r="JXR35" s="1884"/>
      <c r="JXS35" s="1884"/>
      <c r="JXT35" s="1884"/>
      <c r="JXU35" s="1884"/>
      <c r="JXV35" s="1884"/>
      <c r="JXW35" s="1884"/>
      <c r="JXX35" s="1884"/>
      <c r="JXY35" s="1884"/>
      <c r="JXZ35" s="1884"/>
      <c r="JYA35" s="1884"/>
      <c r="JYB35" s="1884"/>
      <c r="JYC35" s="1884"/>
      <c r="JYD35" s="1884"/>
      <c r="JYE35" s="1884"/>
      <c r="JYF35" s="1884"/>
      <c r="JYG35" s="1884"/>
      <c r="JYH35" s="1884"/>
      <c r="JYI35" s="1884"/>
      <c r="JYJ35" s="1884"/>
      <c r="JYK35" s="1884"/>
      <c r="JYL35" s="1884"/>
      <c r="JYM35" s="1884"/>
      <c r="JYN35" s="1884"/>
      <c r="JYO35" s="1884"/>
      <c r="JYP35" s="1884"/>
      <c r="JYQ35" s="1884"/>
      <c r="JYR35" s="1884"/>
      <c r="JYS35" s="1884"/>
      <c r="JYT35" s="1884"/>
      <c r="JYU35" s="1884"/>
      <c r="JYV35" s="1884"/>
      <c r="JYW35" s="1884"/>
      <c r="JYX35" s="1884"/>
      <c r="JYY35" s="1884"/>
      <c r="JYZ35" s="1884"/>
      <c r="JZA35" s="1884"/>
      <c r="JZB35" s="1884"/>
      <c r="JZC35" s="1884"/>
      <c r="JZD35" s="1884"/>
      <c r="JZE35" s="1884"/>
      <c r="JZF35" s="1884"/>
      <c r="JZG35" s="1884"/>
      <c r="JZH35" s="1884"/>
      <c r="JZI35" s="1884"/>
      <c r="JZJ35" s="1884"/>
      <c r="JZK35" s="1884"/>
      <c r="JZL35" s="1884"/>
      <c r="JZM35" s="1884"/>
      <c r="JZN35" s="1884"/>
      <c r="JZO35" s="1884"/>
      <c r="JZP35" s="1884"/>
      <c r="JZQ35" s="1884"/>
      <c r="JZR35" s="1884"/>
      <c r="JZS35" s="1884"/>
      <c r="JZT35" s="1884"/>
      <c r="JZU35" s="1884"/>
      <c r="JZV35" s="1884"/>
      <c r="JZW35" s="1884"/>
      <c r="JZX35" s="1884"/>
      <c r="JZY35" s="1884"/>
      <c r="JZZ35" s="1884"/>
      <c r="KAA35" s="1884"/>
      <c r="KAB35" s="1884"/>
      <c r="KAC35" s="1884"/>
      <c r="KAD35" s="1884"/>
      <c r="KAE35" s="1884"/>
      <c r="KAF35" s="1884"/>
      <c r="KAG35" s="1884"/>
      <c r="KAH35" s="1884"/>
      <c r="KAI35" s="1884"/>
      <c r="KAJ35" s="1884"/>
      <c r="KAK35" s="1884"/>
      <c r="KAL35" s="1884"/>
      <c r="KAM35" s="1884"/>
      <c r="KAN35" s="1884"/>
      <c r="KAO35" s="1884"/>
      <c r="KAP35" s="1884"/>
      <c r="KAQ35" s="1884"/>
      <c r="KAR35" s="1884"/>
      <c r="KAS35" s="1884"/>
      <c r="KAT35" s="1884"/>
      <c r="KAU35" s="1884"/>
      <c r="KAV35" s="1884"/>
      <c r="KAW35" s="1884"/>
      <c r="KAX35" s="1884"/>
      <c r="KAY35" s="1884"/>
      <c r="KAZ35" s="1884"/>
      <c r="KBA35" s="1884"/>
      <c r="KBB35" s="1884"/>
      <c r="KBC35" s="1884"/>
      <c r="KBD35" s="1884"/>
      <c r="KBE35" s="1884"/>
      <c r="KBF35" s="1884"/>
      <c r="KBG35" s="1884"/>
      <c r="KBH35" s="1884"/>
      <c r="KBI35" s="1884"/>
      <c r="KBJ35" s="1884"/>
      <c r="KBK35" s="1884"/>
      <c r="KBL35" s="1884"/>
      <c r="KBM35" s="1884"/>
      <c r="KBN35" s="1884"/>
      <c r="KBO35" s="1884"/>
      <c r="KBP35" s="1884"/>
      <c r="KBQ35" s="1884"/>
      <c r="KBR35" s="1884"/>
      <c r="KBS35" s="1884"/>
      <c r="KBT35" s="1884"/>
      <c r="KBU35" s="1884"/>
      <c r="KBV35" s="1884"/>
      <c r="KBW35" s="1884"/>
      <c r="KBX35" s="1884"/>
      <c r="KBY35" s="1884"/>
      <c r="KBZ35" s="1884"/>
      <c r="KCA35" s="1884"/>
      <c r="KCB35" s="1884"/>
      <c r="KCC35" s="1884"/>
      <c r="KCD35" s="1884"/>
      <c r="KCE35" s="1884"/>
      <c r="KCF35" s="1884"/>
      <c r="KCG35" s="1884"/>
      <c r="KCH35" s="1884"/>
      <c r="KCI35" s="1884"/>
      <c r="KCJ35" s="1884"/>
      <c r="KCK35" s="1884"/>
      <c r="KCL35" s="1884"/>
      <c r="KCM35" s="1884"/>
      <c r="KCN35" s="1884"/>
      <c r="KCO35" s="1884"/>
      <c r="KCP35" s="1884"/>
      <c r="KCQ35" s="1884"/>
      <c r="KCR35" s="1884"/>
      <c r="KCS35" s="1884"/>
      <c r="KCT35" s="1884"/>
      <c r="KCU35" s="1884"/>
      <c r="KCV35" s="1884"/>
      <c r="KCW35" s="1884"/>
      <c r="KCX35" s="1884"/>
      <c r="KCY35" s="1884"/>
      <c r="KCZ35" s="1884"/>
      <c r="KDA35" s="1884"/>
      <c r="KDB35" s="1884"/>
      <c r="KDC35" s="1884"/>
      <c r="KDD35" s="1884"/>
      <c r="KDE35" s="1884"/>
      <c r="KDF35" s="1884"/>
      <c r="KDG35" s="1884"/>
      <c r="KDH35" s="1884"/>
      <c r="KDI35" s="1884"/>
      <c r="KDJ35" s="1884"/>
      <c r="KDK35" s="1884"/>
      <c r="KDL35" s="1884"/>
      <c r="KDM35" s="1884"/>
      <c r="KDN35" s="1884"/>
      <c r="KDO35" s="1884"/>
      <c r="KDP35" s="1884"/>
      <c r="KDQ35" s="1884"/>
      <c r="KDR35" s="1884"/>
      <c r="KDS35" s="1884"/>
      <c r="KDT35" s="1884"/>
      <c r="KDU35" s="1884"/>
      <c r="KDV35" s="1884"/>
      <c r="KDW35" s="1884"/>
      <c r="KDX35" s="1884"/>
      <c r="KDY35" s="1884"/>
      <c r="KDZ35" s="1884"/>
      <c r="KEA35" s="1884"/>
      <c r="KEB35" s="1884"/>
      <c r="KEC35" s="1884"/>
      <c r="KED35" s="1884"/>
      <c r="KEE35" s="1884"/>
      <c r="KEF35" s="1884"/>
      <c r="KEG35" s="1884"/>
      <c r="KEH35" s="1884"/>
      <c r="KEI35" s="1884"/>
      <c r="KEJ35" s="1884"/>
      <c r="KEK35" s="1884"/>
      <c r="KEL35" s="1884"/>
      <c r="KEM35" s="1884"/>
      <c r="KEN35" s="1884"/>
      <c r="KEO35" s="1884"/>
      <c r="KEP35" s="1884"/>
      <c r="KEQ35" s="1884"/>
      <c r="KER35" s="1884"/>
      <c r="KES35" s="1884"/>
      <c r="KET35" s="1884"/>
      <c r="KEU35" s="1884"/>
      <c r="KEV35" s="1884"/>
      <c r="KEW35" s="1884"/>
      <c r="KEX35" s="1884"/>
      <c r="KEY35" s="1884"/>
      <c r="KEZ35" s="1884"/>
      <c r="KFA35" s="1884"/>
      <c r="KFB35" s="1884"/>
      <c r="KFC35" s="1884"/>
      <c r="KFD35" s="1884"/>
      <c r="KFE35" s="1884"/>
      <c r="KFF35" s="1884"/>
      <c r="KFG35" s="1884"/>
      <c r="KFH35" s="1884"/>
      <c r="KFI35" s="1884"/>
      <c r="KFJ35" s="1884"/>
      <c r="KFK35" s="1884"/>
      <c r="KFL35" s="1884"/>
      <c r="KFM35" s="1884"/>
      <c r="KFN35" s="1884"/>
      <c r="KFO35" s="1884"/>
      <c r="KFP35" s="1884"/>
      <c r="KFQ35" s="1884"/>
      <c r="KFR35" s="1884"/>
      <c r="KFS35" s="1884"/>
      <c r="KFT35" s="1884"/>
      <c r="KFU35" s="1884"/>
      <c r="KFV35" s="1884"/>
      <c r="KFW35" s="1884"/>
      <c r="KFX35" s="1884"/>
      <c r="KFY35" s="1884"/>
      <c r="KFZ35" s="1884"/>
      <c r="KGA35" s="1884"/>
      <c r="KGB35" s="1884"/>
      <c r="KGC35" s="1884"/>
      <c r="KGD35" s="1884"/>
      <c r="KGE35" s="1884"/>
      <c r="KGF35" s="1884"/>
      <c r="KGG35" s="1884"/>
      <c r="KGH35" s="1884"/>
      <c r="KGI35" s="1884"/>
      <c r="KGJ35" s="1884"/>
      <c r="KGK35" s="1884"/>
      <c r="KGL35" s="1884"/>
      <c r="KGM35" s="1884"/>
      <c r="KGN35" s="1884"/>
      <c r="KGO35" s="1884"/>
      <c r="KGP35" s="1884"/>
      <c r="KGQ35" s="1884"/>
      <c r="KGR35" s="1884"/>
      <c r="KGS35" s="1884"/>
      <c r="KGT35" s="1884"/>
      <c r="KGU35" s="1884"/>
      <c r="KGV35" s="1884"/>
      <c r="KGW35" s="1884"/>
      <c r="KGX35" s="1884"/>
      <c r="KGY35" s="1884"/>
      <c r="KGZ35" s="1884"/>
      <c r="KHA35" s="1884"/>
      <c r="KHB35" s="1884"/>
      <c r="KHC35" s="1884"/>
      <c r="KHD35" s="1884"/>
      <c r="KHE35" s="1884"/>
      <c r="KHF35" s="1884"/>
      <c r="KHG35" s="1884"/>
      <c r="KHH35" s="1884"/>
      <c r="KHI35" s="1884"/>
      <c r="KHJ35" s="1884"/>
      <c r="KHK35" s="1884"/>
      <c r="KHL35" s="1884"/>
      <c r="KHM35" s="1884"/>
      <c r="KHN35" s="1884"/>
      <c r="KHO35" s="1884"/>
      <c r="KHP35" s="1884"/>
      <c r="KHQ35" s="1884"/>
      <c r="KHR35" s="1884"/>
      <c r="KHS35" s="1884"/>
      <c r="KHT35" s="1884"/>
      <c r="KHU35" s="1884"/>
      <c r="KHV35" s="1884"/>
      <c r="KHW35" s="1884"/>
      <c r="KHX35" s="1884"/>
      <c r="KHY35" s="1884"/>
      <c r="KHZ35" s="1884"/>
      <c r="KIA35" s="1884"/>
      <c r="KIB35" s="1884"/>
      <c r="KIC35" s="1884"/>
      <c r="KID35" s="1884"/>
      <c r="KIE35" s="1884"/>
      <c r="KIF35" s="1884"/>
      <c r="KIG35" s="1884"/>
      <c r="KIH35" s="1884"/>
      <c r="KII35" s="1884"/>
      <c r="KIJ35" s="1884"/>
      <c r="KIK35" s="1884"/>
      <c r="KIL35" s="1884"/>
      <c r="KIM35" s="1884"/>
      <c r="KIN35" s="1884"/>
      <c r="KIO35" s="1884"/>
      <c r="KIP35" s="1884"/>
      <c r="KIQ35" s="1884"/>
      <c r="KIR35" s="1884"/>
      <c r="KIS35" s="1884"/>
      <c r="KIT35" s="1884"/>
      <c r="KIU35" s="1884"/>
      <c r="KIV35" s="1884"/>
      <c r="KIW35" s="1884"/>
      <c r="KIX35" s="1884"/>
      <c r="KIY35" s="1884"/>
      <c r="KIZ35" s="1884"/>
      <c r="KJA35" s="1884"/>
      <c r="KJB35" s="1884"/>
      <c r="KJC35" s="1884"/>
      <c r="KJD35" s="1884"/>
      <c r="KJE35" s="1884"/>
      <c r="KJF35" s="1884"/>
      <c r="KJG35" s="1884"/>
      <c r="KJH35" s="1884"/>
      <c r="KJI35" s="1884"/>
      <c r="KJJ35" s="1884"/>
      <c r="KJK35" s="1884"/>
      <c r="KJL35" s="1884"/>
      <c r="KJM35" s="1884"/>
      <c r="KJN35" s="1884"/>
      <c r="KJO35" s="1884"/>
      <c r="KJP35" s="1884"/>
      <c r="KJQ35" s="1884"/>
      <c r="KJR35" s="1884"/>
      <c r="KJS35" s="1884"/>
      <c r="KJT35" s="1884"/>
      <c r="KJU35" s="1884"/>
      <c r="KJV35" s="1884"/>
      <c r="KJW35" s="1884"/>
      <c r="KJX35" s="1884"/>
      <c r="KJY35" s="1884"/>
      <c r="KJZ35" s="1884"/>
      <c r="KKA35" s="1884"/>
      <c r="KKB35" s="1884"/>
      <c r="KKC35" s="1884"/>
      <c r="KKD35" s="1884"/>
      <c r="KKE35" s="1884"/>
      <c r="KKF35" s="1884"/>
      <c r="KKG35" s="1884"/>
      <c r="KKH35" s="1884"/>
      <c r="KKI35" s="1884"/>
      <c r="KKJ35" s="1884"/>
      <c r="KKK35" s="1884"/>
      <c r="KKL35" s="1884"/>
      <c r="KKM35" s="1884"/>
      <c r="KKN35" s="1884"/>
      <c r="KKO35" s="1884"/>
      <c r="KKP35" s="1884"/>
      <c r="KKQ35" s="1884"/>
      <c r="KKR35" s="1884"/>
      <c r="KKS35" s="1884"/>
      <c r="KKT35" s="1884"/>
      <c r="KKU35" s="1884"/>
      <c r="KKV35" s="1884"/>
      <c r="KKW35" s="1884"/>
      <c r="KKX35" s="1884"/>
      <c r="KKY35" s="1884"/>
      <c r="KKZ35" s="1884"/>
      <c r="KLA35" s="1884"/>
      <c r="KLB35" s="1884"/>
      <c r="KLC35" s="1884"/>
      <c r="KLD35" s="1884"/>
      <c r="KLE35" s="1884"/>
      <c r="KLF35" s="1884"/>
      <c r="KLG35" s="1884"/>
      <c r="KLH35" s="1884"/>
      <c r="KLI35" s="1884"/>
      <c r="KLJ35" s="1884"/>
      <c r="KLK35" s="1884"/>
      <c r="KLL35" s="1884"/>
      <c r="KLM35" s="1884"/>
      <c r="KLN35" s="1884"/>
      <c r="KLO35" s="1884"/>
      <c r="KLP35" s="1884"/>
      <c r="KLQ35" s="1884"/>
      <c r="KLR35" s="1884"/>
      <c r="KLS35" s="1884"/>
      <c r="KLT35" s="1884"/>
      <c r="KLU35" s="1884"/>
      <c r="KLV35" s="1884"/>
      <c r="KLW35" s="1884"/>
      <c r="KLX35" s="1884"/>
      <c r="KLY35" s="1884"/>
      <c r="KLZ35" s="1884"/>
      <c r="KMA35" s="1884"/>
      <c r="KMB35" s="1884"/>
      <c r="KMC35" s="1884"/>
      <c r="KMD35" s="1884"/>
      <c r="KME35" s="1884"/>
      <c r="KMF35" s="1884"/>
      <c r="KMG35" s="1884"/>
      <c r="KMH35" s="1884"/>
      <c r="KMI35" s="1884"/>
      <c r="KMJ35" s="1884"/>
      <c r="KMK35" s="1884"/>
      <c r="KML35" s="1884"/>
      <c r="KMM35" s="1884"/>
      <c r="KMN35" s="1884"/>
      <c r="KMO35" s="1884"/>
      <c r="KMP35" s="1884"/>
      <c r="KMQ35" s="1884"/>
      <c r="KMR35" s="1884"/>
      <c r="KMS35" s="1884"/>
      <c r="KMT35" s="1884"/>
      <c r="KMU35" s="1884"/>
      <c r="KMV35" s="1884"/>
      <c r="KMW35" s="1884"/>
      <c r="KMX35" s="1884"/>
      <c r="KMY35" s="1884"/>
      <c r="KMZ35" s="1884"/>
      <c r="KNA35" s="1884"/>
      <c r="KNB35" s="1884"/>
      <c r="KNC35" s="1884"/>
      <c r="KND35" s="1884"/>
      <c r="KNE35" s="1884"/>
      <c r="KNF35" s="1884"/>
      <c r="KNG35" s="1884"/>
      <c r="KNH35" s="1884"/>
      <c r="KNI35" s="1884"/>
      <c r="KNJ35" s="1884"/>
      <c r="KNK35" s="1884"/>
      <c r="KNL35" s="1884"/>
      <c r="KNM35" s="1884"/>
      <c r="KNN35" s="1884"/>
      <c r="KNO35" s="1884"/>
      <c r="KNP35" s="1884"/>
      <c r="KNQ35" s="1884"/>
      <c r="KNR35" s="1884"/>
      <c r="KNS35" s="1884"/>
      <c r="KNT35" s="1884"/>
      <c r="KNU35" s="1884"/>
      <c r="KNV35" s="1884"/>
      <c r="KNW35" s="1884"/>
      <c r="KNX35" s="1884"/>
      <c r="KNY35" s="1884"/>
      <c r="KNZ35" s="1884"/>
      <c r="KOA35" s="1884"/>
      <c r="KOB35" s="1884"/>
      <c r="KOC35" s="1884"/>
      <c r="KOD35" s="1884"/>
      <c r="KOE35" s="1884"/>
      <c r="KOF35" s="1884"/>
      <c r="KOG35" s="1884"/>
      <c r="KOH35" s="1884"/>
      <c r="KOI35" s="1884"/>
      <c r="KOJ35" s="1884"/>
      <c r="KOK35" s="1884"/>
      <c r="KOL35" s="1884"/>
      <c r="KOM35" s="1884"/>
      <c r="KON35" s="1884"/>
      <c r="KOO35" s="1884"/>
      <c r="KOP35" s="1884"/>
      <c r="KOQ35" s="1884"/>
      <c r="KOR35" s="1884"/>
      <c r="KOS35" s="1884"/>
      <c r="KOT35" s="1884"/>
      <c r="KOU35" s="1884"/>
      <c r="KOV35" s="1884"/>
      <c r="KOW35" s="1884"/>
      <c r="KOX35" s="1884"/>
      <c r="KOY35" s="1884"/>
      <c r="KOZ35" s="1884"/>
      <c r="KPA35" s="1884"/>
      <c r="KPB35" s="1884"/>
      <c r="KPC35" s="1884"/>
      <c r="KPD35" s="1884"/>
      <c r="KPE35" s="1884"/>
      <c r="KPF35" s="1884"/>
      <c r="KPG35" s="1884"/>
      <c r="KPH35" s="1884"/>
      <c r="KPI35" s="1884"/>
      <c r="KPJ35" s="1884"/>
      <c r="KPK35" s="1884"/>
      <c r="KPL35" s="1884"/>
      <c r="KPM35" s="1884"/>
      <c r="KPN35" s="1884"/>
      <c r="KPO35" s="1884"/>
      <c r="KPP35" s="1884"/>
      <c r="KPQ35" s="1884"/>
      <c r="KPR35" s="1884"/>
      <c r="KPS35" s="1884"/>
      <c r="KPT35" s="1884"/>
      <c r="KPU35" s="1884"/>
      <c r="KPV35" s="1884"/>
      <c r="KPW35" s="1884"/>
      <c r="KPX35" s="1884"/>
      <c r="KPY35" s="1884"/>
      <c r="KPZ35" s="1884"/>
      <c r="KQA35" s="1884"/>
      <c r="KQB35" s="1884"/>
      <c r="KQC35" s="1884"/>
      <c r="KQD35" s="1884"/>
      <c r="KQE35" s="1884"/>
      <c r="KQF35" s="1884"/>
      <c r="KQG35" s="1884"/>
      <c r="KQH35" s="1884"/>
      <c r="KQI35" s="1884"/>
      <c r="KQJ35" s="1884"/>
      <c r="KQK35" s="1884"/>
      <c r="KQL35" s="1884"/>
      <c r="KQM35" s="1884"/>
      <c r="KQN35" s="1884"/>
      <c r="KQO35" s="1884"/>
      <c r="KQP35" s="1884"/>
      <c r="KQQ35" s="1884"/>
      <c r="KQR35" s="1884"/>
      <c r="KQS35" s="1884"/>
      <c r="KQT35" s="1884"/>
      <c r="KQU35" s="1884"/>
      <c r="KQV35" s="1884"/>
      <c r="KQW35" s="1884"/>
      <c r="KQX35" s="1884"/>
      <c r="KQY35" s="1884"/>
      <c r="KQZ35" s="1884"/>
      <c r="KRA35" s="1884"/>
      <c r="KRB35" s="1884"/>
      <c r="KRC35" s="1884"/>
      <c r="KRD35" s="1884"/>
      <c r="KRE35" s="1884"/>
      <c r="KRF35" s="1884"/>
      <c r="KRG35" s="1884"/>
      <c r="KRH35" s="1884"/>
      <c r="KRI35" s="1884"/>
      <c r="KRJ35" s="1884"/>
      <c r="KRK35" s="1884"/>
      <c r="KRL35" s="1884"/>
      <c r="KRM35" s="1884"/>
      <c r="KRN35" s="1884"/>
      <c r="KRO35" s="1884"/>
      <c r="KRP35" s="1884"/>
      <c r="KRQ35" s="1884"/>
      <c r="KRR35" s="1884"/>
      <c r="KRS35" s="1884"/>
      <c r="KRT35" s="1884"/>
      <c r="KRU35" s="1884"/>
      <c r="KRV35" s="1884"/>
      <c r="KRW35" s="1884"/>
      <c r="KRX35" s="1884"/>
      <c r="KRY35" s="1884"/>
      <c r="KRZ35" s="1884"/>
      <c r="KSA35" s="1884"/>
      <c r="KSB35" s="1884"/>
      <c r="KSC35" s="1884"/>
      <c r="KSD35" s="1884"/>
      <c r="KSE35" s="1884"/>
      <c r="KSF35" s="1884"/>
      <c r="KSG35" s="1884"/>
      <c r="KSH35" s="1884"/>
      <c r="KSI35" s="1884"/>
      <c r="KSJ35" s="1884"/>
      <c r="KSK35" s="1884"/>
      <c r="KSL35" s="1884"/>
      <c r="KSM35" s="1884"/>
      <c r="KSN35" s="1884"/>
      <c r="KSO35" s="1884"/>
      <c r="KSP35" s="1884"/>
      <c r="KSQ35" s="1884"/>
      <c r="KSR35" s="1884"/>
      <c r="KSS35" s="1884"/>
      <c r="KST35" s="1884"/>
      <c r="KSU35" s="1884"/>
      <c r="KSV35" s="1884"/>
      <c r="KSW35" s="1884"/>
      <c r="KSX35" s="1884"/>
      <c r="KSY35" s="1884"/>
      <c r="KSZ35" s="1884"/>
      <c r="KTA35" s="1884"/>
      <c r="KTB35" s="1884"/>
      <c r="KTC35" s="1884"/>
      <c r="KTD35" s="1884"/>
      <c r="KTE35" s="1884"/>
      <c r="KTF35" s="1884"/>
      <c r="KTG35" s="1884"/>
      <c r="KTH35" s="1884"/>
      <c r="KTI35" s="1884"/>
      <c r="KTJ35" s="1884"/>
      <c r="KTK35" s="1884"/>
      <c r="KTL35" s="1884"/>
      <c r="KTM35" s="1884"/>
      <c r="KTN35" s="1884"/>
      <c r="KTO35" s="1884"/>
      <c r="KTP35" s="1884"/>
      <c r="KTQ35" s="1884"/>
      <c r="KTR35" s="1884"/>
      <c r="KTS35" s="1884"/>
      <c r="KTT35" s="1884"/>
      <c r="KTU35" s="1884"/>
      <c r="KTV35" s="1884"/>
      <c r="KTW35" s="1884"/>
      <c r="KTX35" s="1884"/>
      <c r="KTY35" s="1884"/>
      <c r="KTZ35" s="1884"/>
      <c r="KUA35" s="1884"/>
      <c r="KUB35" s="1884"/>
      <c r="KUC35" s="1884"/>
      <c r="KUD35" s="1884"/>
      <c r="KUE35" s="1884"/>
      <c r="KUF35" s="1884"/>
      <c r="KUG35" s="1884"/>
      <c r="KUH35" s="1884"/>
      <c r="KUI35" s="1884"/>
      <c r="KUJ35" s="1884"/>
      <c r="KUK35" s="1884"/>
      <c r="KUL35" s="1884"/>
      <c r="KUM35" s="1884"/>
      <c r="KUN35" s="1884"/>
      <c r="KUO35" s="1884"/>
      <c r="KUP35" s="1884"/>
      <c r="KUQ35" s="1884"/>
      <c r="KUR35" s="1884"/>
      <c r="KUS35" s="1884"/>
      <c r="KUT35" s="1884"/>
      <c r="KUU35" s="1884"/>
      <c r="KUV35" s="1884"/>
      <c r="KUW35" s="1884"/>
      <c r="KUX35" s="1884"/>
      <c r="KUY35" s="1884"/>
      <c r="KUZ35" s="1884"/>
      <c r="KVA35" s="1884"/>
      <c r="KVB35" s="1884"/>
      <c r="KVC35" s="1884"/>
      <c r="KVD35" s="1884"/>
      <c r="KVE35" s="1884"/>
      <c r="KVF35" s="1884"/>
      <c r="KVG35" s="1884"/>
      <c r="KVH35" s="1884"/>
      <c r="KVI35" s="1884"/>
      <c r="KVJ35" s="1884"/>
      <c r="KVK35" s="1884"/>
      <c r="KVL35" s="1884"/>
      <c r="KVM35" s="1884"/>
      <c r="KVN35" s="1884"/>
      <c r="KVO35" s="1884"/>
      <c r="KVP35" s="1884"/>
      <c r="KVQ35" s="1884"/>
      <c r="KVR35" s="1884"/>
      <c r="KVS35" s="1884"/>
      <c r="KVT35" s="1884"/>
      <c r="KVU35" s="1884"/>
      <c r="KVV35" s="1884"/>
      <c r="KVW35" s="1884"/>
      <c r="KVX35" s="1884"/>
      <c r="KVY35" s="1884"/>
      <c r="KVZ35" s="1884"/>
      <c r="KWA35" s="1884"/>
      <c r="KWB35" s="1884"/>
      <c r="KWC35" s="1884"/>
      <c r="KWD35" s="1884"/>
      <c r="KWE35" s="1884"/>
      <c r="KWF35" s="1884"/>
      <c r="KWG35" s="1884"/>
      <c r="KWH35" s="1884"/>
      <c r="KWI35" s="1884"/>
      <c r="KWJ35" s="1884"/>
      <c r="KWK35" s="1884"/>
      <c r="KWL35" s="1884"/>
      <c r="KWM35" s="1884"/>
      <c r="KWN35" s="1884"/>
      <c r="KWO35" s="1884"/>
      <c r="KWP35" s="1884"/>
      <c r="KWQ35" s="1884"/>
      <c r="KWR35" s="1884"/>
      <c r="KWS35" s="1884"/>
      <c r="KWT35" s="1884"/>
      <c r="KWU35" s="1884"/>
      <c r="KWV35" s="1884"/>
      <c r="KWW35" s="1884"/>
      <c r="KWX35" s="1884"/>
      <c r="KWY35" s="1884"/>
      <c r="KWZ35" s="1884"/>
      <c r="KXA35" s="1884"/>
      <c r="KXB35" s="1884"/>
      <c r="KXC35" s="1884"/>
      <c r="KXD35" s="1884"/>
      <c r="KXE35" s="1884"/>
      <c r="KXF35" s="1884"/>
      <c r="KXG35" s="1884"/>
      <c r="KXH35" s="1884"/>
      <c r="KXI35" s="1884"/>
      <c r="KXJ35" s="1884"/>
      <c r="KXK35" s="1884"/>
      <c r="KXL35" s="1884"/>
      <c r="KXM35" s="1884"/>
      <c r="KXN35" s="1884"/>
      <c r="KXO35" s="1884"/>
      <c r="KXP35" s="1884"/>
      <c r="KXQ35" s="1884"/>
      <c r="KXR35" s="1884"/>
      <c r="KXS35" s="1884"/>
      <c r="KXT35" s="1884"/>
      <c r="KXU35" s="1884"/>
      <c r="KXV35" s="1884"/>
      <c r="KXW35" s="1884"/>
      <c r="KXX35" s="1884"/>
      <c r="KXY35" s="1884"/>
      <c r="KXZ35" s="1884"/>
      <c r="KYA35" s="1884"/>
      <c r="KYB35" s="1884"/>
      <c r="KYC35" s="1884"/>
      <c r="KYD35" s="1884"/>
      <c r="KYE35" s="1884"/>
      <c r="KYF35" s="1884"/>
      <c r="KYG35" s="1884"/>
      <c r="KYH35" s="1884"/>
      <c r="KYI35" s="1884"/>
      <c r="KYJ35" s="1884"/>
      <c r="KYK35" s="1884"/>
      <c r="KYL35" s="1884"/>
      <c r="KYM35" s="1884"/>
      <c r="KYN35" s="1884"/>
      <c r="KYO35" s="1884"/>
      <c r="KYP35" s="1884"/>
      <c r="KYQ35" s="1884"/>
      <c r="KYR35" s="1884"/>
      <c r="KYS35" s="1884"/>
      <c r="KYT35" s="1884"/>
      <c r="KYU35" s="1884"/>
      <c r="KYV35" s="1884"/>
      <c r="KYW35" s="1884"/>
      <c r="KYX35" s="1884"/>
      <c r="KYY35" s="1884"/>
      <c r="KYZ35" s="1884"/>
      <c r="KZA35" s="1884"/>
      <c r="KZB35" s="1884"/>
      <c r="KZC35" s="1884"/>
      <c r="KZD35" s="1884"/>
      <c r="KZE35" s="1884"/>
      <c r="KZF35" s="1884"/>
      <c r="KZG35" s="1884"/>
      <c r="KZH35" s="1884"/>
      <c r="KZI35" s="1884"/>
      <c r="KZJ35" s="1884"/>
      <c r="KZK35" s="1884"/>
      <c r="KZL35" s="1884"/>
      <c r="KZM35" s="1884"/>
      <c r="KZN35" s="1884"/>
      <c r="KZO35" s="1884"/>
      <c r="KZP35" s="1884"/>
      <c r="KZQ35" s="1884"/>
      <c r="KZR35" s="1884"/>
      <c r="KZS35" s="1884"/>
      <c r="KZT35" s="1884"/>
      <c r="KZU35" s="1884"/>
      <c r="KZV35" s="1884"/>
      <c r="KZW35" s="1884"/>
      <c r="KZX35" s="1884"/>
      <c r="KZY35" s="1884"/>
      <c r="KZZ35" s="1884"/>
      <c r="LAA35" s="1884"/>
      <c r="LAB35" s="1884"/>
      <c r="LAC35" s="1884"/>
      <c r="LAD35" s="1884"/>
      <c r="LAE35" s="1884"/>
      <c r="LAF35" s="1884"/>
      <c r="LAG35" s="1884"/>
      <c r="LAH35" s="1884"/>
      <c r="LAI35" s="1884"/>
      <c r="LAJ35" s="1884"/>
      <c r="LAK35" s="1884"/>
      <c r="LAL35" s="1884"/>
      <c r="LAM35" s="1884"/>
      <c r="LAN35" s="1884"/>
      <c r="LAO35" s="1884"/>
      <c r="LAP35" s="1884"/>
      <c r="LAQ35" s="1884"/>
      <c r="LAR35" s="1884"/>
      <c r="LAS35" s="1884"/>
      <c r="LAT35" s="1884"/>
      <c r="LAU35" s="1884"/>
      <c r="LAV35" s="1884"/>
      <c r="LAW35" s="1884"/>
      <c r="LAX35" s="1884"/>
      <c r="LAY35" s="1884"/>
      <c r="LAZ35" s="1884"/>
      <c r="LBA35" s="1884"/>
      <c r="LBB35" s="1884"/>
      <c r="LBC35" s="1884"/>
      <c r="LBD35" s="1884"/>
      <c r="LBE35" s="1884"/>
      <c r="LBF35" s="1884"/>
      <c r="LBG35" s="1884"/>
      <c r="LBH35" s="1884"/>
      <c r="LBI35" s="1884"/>
      <c r="LBJ35" s="1884"/>
      <c r="LBK35" s="1884"/>
      <c r="LBL35" s="1884"/>
      <c r="LBM35" s="1884"/>
      <c r="LBN35" s="1884"/>
      <c r="LBO35" s="1884"/>
      <c r="LBP35" s="1884"/>
      <c r="LBQ35" s="1884"/>
      <c r="LBR35" s="1884"/>
      <c r="LBS35" s="1884"/>
      <c r="LBT35" s="1884"/>
      <c r="LBU35" s="1884"/>
      <c r="LBV35" s="1884"/>
      <c r="LBW35" s="1884"/>
      <c r="LBX35" s="1884"/>
      <c r="LBY35" s="1884"/>
      <c r="LBZ35" s="1884"/>
      <c r="LCA35" s="1884"/>
      <c r="LCB35" s="1884"/>
      <c r="LCC35" s="1884"/>
      <c r="LCD35" s="1884"/>
      <c r="LCE35" s="1884"/>
      <c r="LCF35" s="1884"/>
      <c r="LCG35" s="1884"/>
      <c r="LCH35" s="1884"/>
      <c r="LCI35" s="1884"/>
      <c r="LCJ35" s="1884"/>
      <c r="LCK35" s="1884"/>
      <c r="LCL35" s="1884"/>
      <c r="LCM35" s="1884"/>
      <c r="LCN35" s="1884"/>
      <c r="LCO35" s="1884"/>
      <c r="LCP35" s="1884"/>
      <c r="LCQ35" s="1884"/>
      <c r="LCR35" s="1884"/>
      <c r="LCS35" s="1884"/>
      <c r="LCT35" s="1884"/>
      <c r="LCU35" s="1884"/>
      <c r="LCV35" s="1884"/>
      <c r="LCW35" s="1884"/>
      <c r="LCX35" s="1884"/>
      <c r="LCY35" s="1884"/>
      <c r="LCZ35" s="1884"/>
      <c r="LDA35" s="1884"/>
      <c r="LDB35" s="1884"/>
      <c r="LDC35" s="1884"/>
      <c r="LDD35" s="1884"/>
      <c r="LDE35" s="1884"/>
      <c r="LDF35" s="1884"/>
      <c r="LDG35" s="1884"/>
      <c r="LDH35" s="1884"/>
      <c r="LDI35" s="1884"/>
      <c r="LDJ35" s="1884"/>
      <c r="LDK35" s="1884"/>
      <c r="LDL35" s="1884"/>
      <c r="LDM35" s="1884"/>
      <c r="LDN35" s="1884"/>
      <c r="LDO35" s="1884"/>
      <c r="LDP35" s="1884"/>
      <c r="LDQ35" s="1884"/>
      <c r="LDR35" s="1884"/>
      <c r="LDS35" s="1884"/>
      <c r="LDT35" s="1884"/>
      <c r="LDU35" s="1884"/>
      <c r="LDV35" s="1884"/>
      <c r="LDW35" s="1884"/>
      <c r="LDX35" s="1884"/>
      <c r="LDY35" s="1884"/>
      <c r="LDZ35" s="1884"/>
      <c r="LEA35" s="1884"/>
      <c r="LEB35" s="1884"/>
      <c r="LEC35" s="1884"/>
      <c r="LED35" s="1884"/>
      <c r="LEE35" s="1884"/>
      <c r="LEF35" s="1884"/>
      <c r="LEG35" s="1884"/>
      <c r="LEH35" s="1884"/>
      <c r="LEI35" s="1884"/>
      <c r="LEJ35" s="1884"/>
      <c r="LEK35" s="1884"/>
      <c r="LEL35" s="1884"/>
      <c r="LEM35" s="1884"/>
      <c r="LEN35" s="1884"/>
      <c r="LEO35" s="1884"/>
      <c r="LEP35" s="1884"/>
      <c r="LEQ35" s="1884"/>
      <c r="LER35" s="1884"/>
      <c r="LES35" s="1884"/>
      <c r="LET35" s="1884"/>
      <c r="LEU35" s="1884"/>
      <c r="LEV35" s="1884"/>
      <c r="LEW35" s="1884"/>
      <c r="LEX35" s="1884"/>
      <c r="LEY35" s="1884"/>
      <c r="LEZ35" s="1884"/>
      <c r="LFA35" s="1884"/>
      <c r="LFB35" s="1884"/>
      <c r="LFC35" s="1884"/>
      <c r="LFD35" s="1884"/>
      <c r="LFE35" s="1884"/>
      <c r="LFF35" s="1884"/>
      <c r="LFG35" s="1884"/>
      <c r="LFH35" s="1884"/>
      <c r="LFI35" s="1884"/>
      <c r="LFJ35" s="1884"/>
      <c r="LFK35" s="1884"/>
      <c r="LFL35" s="1884"/>
      <c r="LFM35" s="1884"/>
      <c r="LFN35" s="1884"/>
      <c r="LFO35" s="1884"/>
      <c r="LFP35" s="1884"/>
      <c r="LFQ35" s="1884"/>
      <c r="LFR35" s="1884"/>
      <c r="LFS35" s="1884"/>
      <c r="LFT35" s="1884"/>
      <c r="LFU35" s="1884"/>
      <c r="LFV35" s="1884"/>
      <c r="LFW35" s="1884"/>
      <c r="LFX35" s="1884"/>
      <c r="LFY35" s="1884"/>
      <c r="LFZ35" s="1884"/>
      <c r="LGA35" s="1884"/>
      <c r="LGB35" s="1884"/>
      <c r="LGC35" s="1884"/>
      <c r="LGD35" s="1884"/>
      <c r="LGE35" s="1884"/>
      <c r="LGF35" s="1884"/>
      <c r="LGG35" s="1884"/>
      <c r="LGH35" s="1884"/>
      <c r="LGI35" s="1884"/>
      <c r="LGJ35" s="1884"/>
      <c r="LGK35" s="1884"/>
      <c r="LGL35" s="1884"/>
      <c r="LGM35" s="1884"/>
      <c r="LGN35" s="1884"/>
      <c r="LGO35" s="1884"/>
      <c r="LGP35" s="1884"/>
      <c r="LGQ35" s="1884"/>
      <c r="LGR35" s="1884"/>
      <c r="LGS35" s="1884"/>
      <c r="LGT35" s="1884"/>
      <c r="LGU35" s="1884"/>
      <c r="LGV35" s="1884"/>
      <c r="LGW35" s="1884"/>
      <c r="LGX35" s="1884"/>
      <c r="LGY35" s="1884"/>
      <c r="LGZ35" s="1884"/>
      <c r="LHA35" s="1884"/>
      <c r="LHB35" s="1884"/>
      <c r="LHC35" s="1884"/>
      <c r="LHD35" s="1884"/>
      <c r="LHE35" s="1884"/>
      <c r="LHF35" s="1884"/>
      <c r="LHG35" s="1884"/>
      <c r="LHH35" s="1884"/>
      <c r="LHI35" s="1884"/>
      <c r="LHJ35" s="1884"/>
      <c r="LHK35" s="1884"/>
      <c r="LHL35" s="1884"/>
      <c r="LHM35" s="1884"/>
      <c r="LHN35" s="1884"/>
      <c r="LHO35" s="1884"/>
      <c r="LHP35" s="1884"/>
      <c r="LHQ35" s="1884"/>
      <c r="LHR35" s="1884"/>
      <c r="LHS35" s="1884"/>
      <c r="LHT35" s="1884"/>
      <c r="LHU35" s="1884"/>
      <c r="LHV35" s="1884"/>
      <c r="LHW35" s="1884"/>
      <c r="LHX35" s="1884"/>
      <c r="LHY35" s="1884"/>
      <c r="LHZ35" s="1884"/>
      <c r="LIA35" s="1884"/>
      <c r="LIB35" s="1884"/>
      <c r="LIC35" s="1884"/>
      <c r="LID35" s="1884"/>
      <c r="LIE35" s="1884"/>
      <c r="LIF35" s="1884"/>
      <c r="LIG35" s="1884"/>
      <c r="LIH35" s="1884"/>
      <c r="LII35" s="1884"/>
      <c r="LIJ35" s="1884"/>
      <c r="LIK35" s="1884"/>
      <c r="LIL35" s="1884"/>
      <c r="LIM35" s="1884"/>
      <c r="LIN35" s="1884"/>
      <c r="LIO35" s="1884"/>
      <c r="LIP35" s="1884"/>
      <c r="LIQ35" s="1884"/>
      <c r="LIR35" s="1884"/>
      <c r="LIS35" s="1884"/>
      <c r="LIT35" s="1884"/>
      <c r="LIU35" s="1884"/>
      <c r="LIV35" s="1884"/>
      <c r="LIW35" s="1884"/>
      <c r="LIX35" s="1884"/>
      <c r="LIY35" s="1884"/>
      <c r="LIZ35" s="1884"/>
      <c r="LJA35" s="1884"/>
      <c r="LJB35" s="1884"/>
      <c r="LJC35" s="1884"/>
      <c r="LJD35" s="1884"/>
      <c r="LJE35" s="1884"/>
      <c r="LJF35" s="1884"/>
      <c r="LJG35" s="1884"/>
      <c r="LJH35" s="1884"/>
      <c r="LJI35" s="1884"/>
      <c r="LJJ35" s="1884"/>
      <c r="LJK35" s="1884"/>
      <c r="LJL35" s="1884"/>
      <c r="LJM35" s="1884"/>
      <c r="LJN35" s="1884"/>
      <c r="LJO35" s="1884"/>
      <c r="LJP35" s="1884"/>
      <c r="LJQ35" s="1884"/>
      <c r="LJR35" s="1884"/>
      <c r="LJS35" s="1884"/>
      <c r="LJT35" s="1884"/>
      <c r="LJU35" s="1884"/>
      <c r="LJV35" s="1884"/>
      <c r="LJW35" s="1884"/>
      <c r="LJX35" s="1884"/>
      <c r="LJY35" s="1884"/>
      <c r="LJZ35" s="1884"/>
      <c r="LKA35" s="1884"/>
      <c r="LKB35" s="1884"/>
      <c r="LKC35" s="1884"/>
      <c r="LKD35" s="1884"/>
      <c r="LKE35" s="1884"/>
      <c r="LKF35" s="1884"/>
      <c r="LKG35" s="1884"/>
      <c r="LKH35" s="1884"/>
      <c r="LKI35" s="1884"/>
      <c r="LKJ35" s="1884"/>
      <c r="LKK35" s="1884"/>
      <c r="LKL35" s="1884"/>
      <c r="LKM35" s="1884"/>
      <c r="LKN35" s="1884"/>
      <c r="LKO35" s="1884"/>
      <c r="LKP35" s="1884"/>
      <c r="LKQ35" s="1884"/>
      <c r="LKR35" s="1884"/>
      <c r="LKS35" s="1884"/>
      <c r="LKT35" s="1884"/>
      <c r="LKU35" s="1884"/>
      <c r="LKV35" s="1884"/>
      <c r="LKW35" s="1884"/>
      <c r="LKX35" s="1884"/>
      <c r="LKY35" s="1884"/>
      <c r="LKZ35" s="1884"/>
      <c r="LLA35" s="1884"/>
      <c r="LLB35" s="1884"/>
      <c r="LLC35" s="1884"/>
      <c r="LLD35" s="1884"/>
      <c r="LLE35" s="1884"/>
      <c r="LLF35" s="1884"/>
      <c r="LLG35" s="1884"/>
      <c r="LLH35" s="1884"/>
      <c r="LLI35" s="1884"/>
      <c r="LLJ35" s="1884"/>
      <c r="LLK35" s="1884"/>
      <c r="LLL35" s="1884"/>
      <c r="LLM35" s="1884"/>
      <c r="LLN35" s="1884"/>
      <c r="LLO35" s="1884"/>
      <c r="LLP35" s="1884"/>
      <c r="LLQ35" s="1884"/>
      <c r="LLR35" s="1884"/>
      <c r="LLS35" s="1884"/>
      <c r="LLT35" s="1884"/>
      <c r="LLU35" s="1884"/>
      <c r="LLV35" s="1884"/>
      <c r="LLW35" s="1884"/>
      <c r="LLX35" s="1884"/>
      <c r="LLY35" s="1884"/>
      <c r="LLZ35" s="1884"/>
      <c r="LMA35" s="1884"/>
      <c r="LMB35" s="1884"/>
      <c r="LMC35" s="1884"/>
      <c r="LMD35" s="1884"/>
      <c r="LME35" s="1884"/>
      <c r="LMF35" s="1884"/>
      <c r="LMG35" s="1884"/>
      <c r="LMH35" s="1884"/>
      <c r="LMI35" s="1884"/>
      <c r="LMJ35" s="1884"/>
      <c r="LMK35" s="1884"/>
      <c r="LML35" s="1884"/>
      <c r="LMM35" s="1884"/>
      <c r="LMN35" s="1884"/>
      <c r="LMO35" s="1884"/>
      <c r="LMP35" s="1884"/>
      <c r="LMQ35" s="1884"/>
      <c r="LMR35" s="1884"/>
      <c r="LMS35" s="1884"/>
      <c r="LMT35" s="1884"/>
      <c r="LMU35" s="1884"/>
      <c r="LMV35" s="1884"/>
      <c r="LMW35" s="1884"/>
      <c r="LMX35" s="1884"/>
      <c r="LMY35" s="1884"/>
      <c r="LMZ35" s="1884"/>
      <c r="LNA35" s="1884"/>
      <c r="LNB35" s="1884"/>
      <c r="LNC35" s="1884"/>
      <c r="LND35" s="1884"/>
      <c r="LNE35" s="1884"/>
      <c r="LNF35" s="1884"/>
      <c r="LNG35" s="1884"/>
      <c r="LNH35" s="1884"/>
      <c r="LNI35" s="1884"/>
      <c r="LNJ35" s="1884"/>
      <c r="LNK35" s="1884"/>
      <c r="LNL35" s="1884"/>
      <c r="LNM35" s="1884"/>
      <c r="LNN35" s="1884"/>
      <c r="LNO35" s="1884"/>
      <c r="LNP35" s="1884"/>
      <c r="LNQ35" s="1884"/>
      <c r="LNR35" s="1884"/>
      <c r="LNS35" s="1884"/>
      <c r="LNT35" s="1884"/>
      <c r="LNU35" s="1884"/>
      <c r="LNV35" s="1884"/>
      <c r="LNW35" s="1884"/>
      <c r="LNX35" s="1884"/>
      <c r="LNY35" s="1884"/>
      <c r="LNZ35" s="1884"/>
      <c r="LOA35" s="1884"/>
      <c r="LOB35" s="1884"/>
      <c r="LOC35" s="1884"/>
      <c r="LOD35" s="1884"/>
      <c r="LOE35" s="1884"/>
      <c r="LOF35" s="1884"/>
      <c r="LOG35" s="1884"/>
      <c r="LOH35" s="1884"/>
      <c r="LOI35" s="1884"/>
      <c r="LOJ35" s="1884"/>
      <c r="LOK35" s="1884"/>
      <c r="LOL35" s="1884"/>
      <c r="LOM35" s="1884"/>
      <c r="LON35" s="1884"/>
      <c r="LOO35" s="1884"/>
      <c r="LOP35" s="1884"/>
      <c r="LOQ35" s="1884"/>
      <c r="LOR35" s="1884"/>
      <c r="LOS35" s="1884"/>
      <c r="LOT35" s="1884"/>
      <c r="LOU35" s="1884"/>
      <c r="LOV35" s="1884"/>
      <c r="LOW35" s="1884"/>
      <c r="LOX35" s="1884"/>
      <c r="LOY35" s="1884"/>
      <c r="LOZ35" s="1884"/>
      <c r="LPA35" s="1884"/>
      <c r="LPB35" s="1884"/>
      <c r="LPC35" s="1884"/>
      <c r="LPD35" s="1884"/>
      <c r="LPE35" s="1884"/>
      <c r="LPF35" s="1884"/>
      <c r="LPG35" s="1884"/>
      <c r="LPH35" s="1884"/>
      <c r="LPI35" s="1884"/>
      <c r="LPJ35" s="1884"/>
      <c r="LPK35" s="1884"/>
      <c r="LPL35" s="1884"/>
      <c r="LPM35" s="1884"/>
      <c r="LPN35" s="1884"/>
      <c r="LPO35" s="1884"/>
      <c r="LPP35" s="1884"/>
      <c r="LPQ35" s="1884"/>
      <c r="LPR35" s="1884"/>
      <c r="LPS35" s="1884"/>
      <c r="LPT35" s="1884"/>
      <c r="LPU35" s="1884"/>
      <c r="LPV35" s="1884"/>
      <c r="LPW35" s="1884"/>
      <c r="LPX35" s="1884"/>
      <c r="LPY35" s="1884"/>
      <c r="LPZ35" s="1884"/>
      <c r="LQA35" s="1884"/>
      <c r="LQB35" s="1884"/>
      <c r="LQC35" s="1884"/>
      <c r="LQD35" s="1884"/>
      <c r="LQE35" s="1884"/>
      <c r="LQF35" s="1884"/>
      <c r="LQG35" s="1884"/>
      <c r="LQH35" s="1884"/>
      <c r="LQI35" s="1884"/>
      <c r="LQJ35" s="1884"/>
      <c r="LQK35" s="1884"/>
      <c r="LQL35" s="1884"/>
      <c r="LQM35" s="1884"/>
      <c r="LQN35" s="1884"/>
      <c r="LQO35" s="1884"/>
      <c r="LQP35" s="1884"/>
      <c r="LQQ35" s="1884"/>
      <c r="LQR35" s="1884"/>
      <c r="LQS35" s="1884"/>
      <c r="LQT35" s="1884"/>
      <c r="LQU35" s="1884"/>
      <c r="LQV35" s="1884"/>
      <c r="LQW35" s="1884"/>
      <c r="LQX35" s="1884"/>
      <c r="LQY35" s="1884"/>
      <c r="LQZ35" s="1884"/>
      <c r="LRA35" s="1884"/>
      <c r="LRB35" s="1884"/>
      <c r="LRC35" s="1884"/>
      <c r="LRD35" s="1884"/>
      <c r="LRE35" s="1884"/>
      <c r="LRF35" s="1884"/>
      <c r="LRG35" s="1884"/>
      <c r="LRH35" s="1884"/>
      <c r="LRI35" s="1884"/>
      <c r="LRJ35" s="1884"/>
      <c r="LRK35" s="1884"/>
      <c r="LRL35" s="1884"/>
      <c r="LRM35" s="1884"/>
      <c r="LRN35" s="1884"/>
      <c r="LRO35" s="1884"/>
      <c r="LRP35" s="1884"/>
      <c r="LRQ35" s="1884"/>
      <c r="LRR35" s="1884"/>
      <c r="LRS35" s="1884"/>
      <c r="LRT35" s="1884"/>
      <c r="LRU35" s="1884"/>
      <c r="LRV35" s="1884"/>
      <c r="LRW35" s="1884"/>
      <c r="LRX35" s="1884"/>
      <c r="LRY35" s="1884"/>
      <c r="LRZ35" s="1884"/>
      <c r="LSA35" s="1884"/>
      <c r="LSB35" s="1884"/>
      <c r="LSC35" s="1884"/>
      <c r="LSD35" s="1884"/>
      <c r="LSE35" s="1884"/>
      <c r="LSF35" s="1884"/>
      <c r="LSG35" s="1884"/>
      <c r="LSH35" s="1884"/>
      <c r="LSI35" s="1884"/>
      <c r="LSJ35" s="1884"/>
      <c r="LSK35" s="1884"/>
      <c r="LSL35" s="1884"/>
      <c r="LSM35" s="1884"/>
      <c r="LSN35" s="1884"/>
      <c r="LSO35" s="1884"/>
      <c r="LSP35" s="1884"/>
      <c r="LSQ35" s="1884"/>
      <c r="LSR35" s="1884"/>
      <c r="LSS35" s="1884"/>
      <c r="LST35" s="1884"/>
      <c r="LSU35" s="1884"/>
      <c r="LSV35" s="1884"/>
      <c r="LSW35" s="1884"/>
      <c r="LSX35" s="1884"/>
      <c r="LSY35" s="1884"/>
      <c r="LSZ35" s="1884"/>
      <c r="LTA35" s="1884"/>
      <c r="LTB35" s="1884"/>
      <c r="LTC35" s="1884"/>
      <c r="LTD35" s="1884"/>
      <c r="LTE35" s="1884"/>
      <c r="LTF35" s="1884"/>
      <c r="LTG35" s="1884"/>
      <c r="LTH35" s="1884"/>
      <c r="LTI35" s="1884"/>
      <c r="LTJ35" s="1884"/>
      <c r="LTK35" s="1884"/>
      <c r="LTL35" s="1884"/>
      <c r="LTM35" s="1884"/>
      <c r="LTN35" s="1884"/>
      <c r="LTO35" s="1884"/>
      <c r="LTP35" s="1884"/>
      <c r="LTQ35" s="1884"/>
      <c r="LTR35" s="1884"/>
      <c r="LTS35" s="1884"/>
      <c r="LTT35" s="1884"/>
      <c r="LTU35" s="1884"/>
      <c r="LTV35" s="1884"/>
      <c r="LTW35" s="1884"/>
      <c r="LTX35" s="1884"/>
      <c r="LTY35" s="1884"/>
      <c r="LTZ35" s="1884"/>
      <c r="LUA35" s="1884"/>
      <c r="LUB35" s="1884"/>
      <c r="LUC35" s="1884"/>
      <c r="LUD35" s="1884"/>
      <c r="LUE35" s="1884"/>
      <c r="LUF35" s="1884"/>
      <c r="LUG35" s="1884"/>
      <c r="LUH35" s="1884"/>
      <c r="LUI35" s="1884"/>
      <c r="LUJ35" s="1884"/>
      <c r="LUK35" s="1884"/>
      <c r="LUL35" s="1884"/>
      <c r="LUM35" s="1884"/>
      <c r="LUN35" s="1884"/>
      <c r="LUO35" s="1884"/>
      <c r="LUP35" s="1884"/>
      <c r="LUQ35" s="1884"/>
      <c r="LUR35" s="1884"/>
      <c r="LUS35" s="1884"/>
      <c r="LUT35" s="1884"/>
      <c r="LUU35" s="1884"/>
      <c r="LUV35" s="1884"/>
      <c r="LUW35" s="1884"/>
      <c r="LUX35" s="1884"/>
      <c r="LUY35" s="1884"/>
      <c r="LUZ35" s="1884"/>
      <c r="LVA35" s="1884"/>
      <c r="LVB35" s="1884"/>
      <c r="LVC35" s="1884"/>
      <c r="LVD35" s="1884"/>
      <c r="LVE35" s="1884"/>
      <c r="LVF35" s="1884"/>
      <c r="LVG35" s="1884"/>
      <c r="LVH35" s="1884"/>
      <c r="LVI35" s="1884"/>
      <c r="LVJ35" s="1884"/>
      <c r="LVK35" s="1884"/>
      <c r="LVL35" s="1884"/>
      <c r="LVM35" s="1884"/>
      <c r="LVN35" s="1884"/>
      <c r="LVO35" s="1884"/>
      <c r="LVP35" s="1884"/>
      <c r="LVQ35" s="1884"/>
      <c r="LVR35" s="1884"/>
      <c r="LVS35" s="1884"/>
      <c r="LVT35" s="1884"/>
      <c r="LVU35" s="1884"/>
      <c r="LVV35" s="1884"/>
      <c r="LVW35" s="1884"/>
      <c r="LVX35" s="1884"/>
      <c r="LVY35" s="1884"/>
      <c r="LVZ35" s="1884"/>
      <c r="LWA35" s="1884"/>
      <c r="LWB35" s="1884"/>
      <c r="LWC35" s="1884"/>
      <c r="LWD35" s="1884"/>
      <c r="LWE35" s="1884"/>
      <c r="LWF35" s="1884"/>
      <c r="LWG35" s="1884"/>
      <c r="LWH35" s="1884"/>
      <c r="LWI35" s="1884"/>
      <c r="LWJ35" s="1884"/>
      <c r="LWK35" s="1884"/>
      <c r="LWL35" s="1884"/>
      <c r="LWM35" s="1884"/>
      <c r="LWN35" s="1884"/>
      <c r="LWO35" s="1884"/>
      <c r="LWP35" s="1884"/>
      <c r="LWQ35" s="1884"/>
      <c r="LWR35" s="1884"/>
      <c r="LWS35" s="1884"/>
      <c r="LWT35" s="1884"/>
      <c r="LWU35" s="1884"/>
      <c r="LWV35" s="1884"/>
      <c r="LWW35" s="1884"/>
      <c r="LWX35" s="1884"/>
      <c r="LWY35" s="1884"/>
      <c r="LWZ35" s="1884"/>
      <c r="LXA35" s="1884"/>
      <c r="LXB35" s="1884"/>
      <c r="LXC35" s="1884"/>
      <c r="LXD35" s="1884"/>
      <c r="LXE35" s="1884"/>
      <c r="LXF35" s="1884"/>
      <c r="LXG35" s="1884"/>
      <c r="LXH35" s="1884"/>
      <c r="LXI35" s="1884"/>
      <c r="LXJ35" s="1884"/>
      <c r="LXK35" s="1884"/>
      <c r="LXL35" s="1884"/>
      <c r="LXM35" s="1884"/>
      <c r="LXN35" s="1884"/>
      <c r="LXO35" s="1884"/>
      <c r="LXP35" s="1884"/>
      <c r="LXQ35" s="1884"/>
      <c r="LXR35" s="1884"/>
      <c r="LXS35" s="1884"/>
      <c r="LXT35" s="1884"/>
      <c r="LXU35" s="1884"/>
      <c r="LXV35" s="1884"/>
      <c r="LXW35" s="1884"/>
      <c r="LXX35" s="1884"/>
      <c r="LXY35" s="1884"/>
      <c r="LXZ35" s="1884"/>
      <c r="LYA35" s="1884"/>
      <c r="LYB35" s="1884"/>
      <c r="LYC35" s="1884"/>
      <c r="LYD35" s="1884"/>
      <c r="LYE35" s="1884"/>
      <c r="LYF35" s="1884"/>
      <c r="LYG35" s="1884"/>
      <c r="LYH35" s="1884"/>
      <c r="LYI35" s="1884"/>
      <c r="LYJ35" s="1884"/>
      <c r="LYK35" s="1884"/>
      <c r="LYL35" s="1884"/>
      <c r="LYM35" s="1884"/>
      <c r="LYN35" s="1884"/>
      <c r="LYO35" s="1884"/>
      <c r="LYP35" s="1884"/>
      <c r="LYQ35" s="1884"/>
      <c r="LYR35" s="1884"/>
      <c r="LYS35" s="1884"/>
      <c r="LYT35" s="1884"/>
      <c r="LYU35" s="1884"/>
      <c r="LYV35" s="1884"/>
      <c r="LYW35" s="1884"/>
      <c r="LYX35" s="1884"/>
      <c r="LYY35" s="1884"/>
      <c r="LYZ35" s="1884"/>
      <c r="LZA35" s="1884"/>
      <c r="LZB35" s="1884"/>
      <c r="LZC35" s="1884"/>
      <c r="LZD35" s="1884"/>
      <c r="LZE35" s="1884"/>
      <c r="LZF35" s="1884"/>
      <c r="LZG35" s="1884"/>
      <c r="LZH35" s="1884"/>
      <c r="LZI35" s="1884"/>
      <c r="LZJ35" s="1884"/>
      <c r="LZK35" s="1884"/>
      <c r="LZL35" s="1884"/>
      <c r="LZM35" s="1884"/>
      <c r="LZN35" s="1884"/>
      <c r="LZO35" s="1884"/>
      <c r="LZP35" s="1884"/>
      <c r="LZQ35" s="1884"/>
      <c r="LZR35" s="1884"/>
      <c r="LZS35" s="1884"/>
      <c r="LZT35" s="1884"/>
      <c r="LZU35" s="1884"/>
      <c r="LZV35" s="1884"/>
      <c r="LZW35" s="1884"/>
      <c r="LZX35" s="1884"/>
      <c r="LZY35" s="1884"/>
      <c r="LZZ35" s="1884"/>
      <c r="MAA35" s="1884"/>
      <c r="MAB35" s="1884"/>
      <c r="MAC35" s="1884"/>
      <c r="MAD35" s="1884"/>
      <c r="MAE35" s="1884"/>
      <c r="MAF35" s="1884"/>
      <c r="MAG35" s="1884"/>
      <c r="MAH35" s="1884"/>
      <c r="MAI35" s="1884"/>
      <c r="MAJ35" s="1884"/>
      <c r="MAK35" s="1884"/>
      <c r="MAL35" s="1884"/>
      <c r="MAM35" s="1884"/>
      <c r="MAN35" s="1884"/>
      <c r="MAO35" s="1884"/>
      <c r="MAP35" s="1884"/>
      <c r="MAQ35" s="1884"/>
      <c r="MAR35" s="1884"/>
      <c r="MAS35" s="1884"/>
      <c r="MAT35" s="1884"/>
      <c r="MAU35" s="1884"/>
      <c r="MAV35" s="1884"/>
      <c r="MAW35" s="1884"/>
      <c r="MAX35" s="1884"/>
      <c r="MAY35" s="1884"/>
      <c r="MAZ35" s="1884"/>
      <c r="MBA35" s="1884"/>
      <c r="MBB35" s="1884"/>
      <c r="MBC35" s="1884"/>
      <c r="MBD35" s="1884"/>
      <c r="MBE35" s="1884"/>
      <c r="MBF35" s="1884"/>
      <c r="MBG35" s="1884"/>
      <c r="MBH35" s="1884"/>
      <c r="MBI35" s="1884"/>
      <c r="MBJ35" s="1884"/>
      <c r="MBK35" s="1884"/>
      <c r="MBL35" s="1884"/>
      <c r="MBM35" s="1884"/>
      <c r="MBN35" s="1884"/>
      <c r="MBO35" s="1884"/>
      <c r="MBP35" s="1884"/>
      <c r="MBQ35" s="1884"/>
      <c r="MBR35" s="1884"/>
      <c r="MBS35" s="1884"/>
      <c r="MBT35" s="1884"/>
      <c r="MBU35" s="1884"/>
      <c r="MBV35" s="1884"/>
      <c r="MBW35" s="1884"/>
      <c r="MBX35" s="1884"/>
      <c r="MBY35" s="1884"/>
      <c r="MBZ35" s="1884"/>
      <c r="MCA35" s="1884"/>
      <c r="MCB35" s="1884"/>
      <c r="MCC35" s="1884"/>
      <c r="MCD35" s="1884"/>
      <c r="MCE35" s="1884"/>
      <c r="MCF35" s="1884"/>
      <c r="MCG35" s="1884"/>
      <c r="MCH35" s="1884"/>
      <c r="MCI35" s="1884"/>
      <c r="MCJ35" s="1884"/>
      <c r="MCK35" s="1884"/>
      <c r="MCL35" s="1884"/>
      <c r="MCM35" s="1884"/>
      <c r="MCN35" s="1884"/>
      <c r="MCO35" s="1884"/>
      <c r="MCP35" s="1884"/>
      <c r="MCQ35" s="1884"/>
      <c r="MCR35" s="1884"/>
      <c r="MCS35" s="1884"/>
      <c r="MCT35" s="1884"/>
      <c r="MCU35" s="1884"/>
      <c r="MCV35" s="1884"/>
      <c r="MCW35" s="1884"/>
      <c r="MCX35" s="1884"/>
      <c r="MCY35" s="1884"/>
      <c r="MCZ35" s="1884"/>
      <c r="MDA35" s="1884"/>
      <c r="MDB35" s="1884"/>
      <c r="MDC35" s="1884"/>
      <c r="MDD35" s="1884"/>
      <c r="MDE35" s="1884"/>
      <c r="MDF35" s="1884"/>
      <c r="MDG35" s="1884"/>
      <c r="MDH35" s="1884"/>
      <c r="MDI35" s="1884"/>
      <c r="MDJ35" s="1884"/>
      <c r="MDK35" s="1884"/>
      <c r="MDL35" s="1884"/>
      <c r="MDM35" s="1884"/>
      <c r="MDN35" s="1884"/>
      <c r="MDO35" s="1884"/>
      <c r="MDP35" s="1884"/>
      <c r="MDQ35" s="1884"/>
      <c r="MDR35" s="1884"/>
      <c r="MDS35" s="1884"/>
      <c r="MDT35" s="1884"/>
      <c r="MDU35" s="1884"/>
      <c r="MDV35" s="1884"/>
      <c r="MDW35" s="1884"/>
      <c r="MDX35" s="1884"/>
      <c r="MDY35" s="1884"/>
      <c r="MDZ35" s="1884"/>
      <c r="MEA35" s="1884"/>
      <c r="MEB35" s="1884"/>
      <c r="MEC35" s="1884"/>
      <c r="MED35" s="1884"/>
      <c r="MEE35" s="1884"/>
      <c r="MEF35" s="1884"/>
      <c r="MEG35" s="1884"/>
      <c r="MEH35" s="1884"/>
      <c r="MEI35" s="1884"/>
      <c r="MEJ35" s="1884"/>
      <c r="MEK35" s="1884"/>
      <c r="MEL35" s="1884"/>
      <c r="MEM35" s="1884"/>
      <c r="MEN35" s="1884"/>
      <c r="MEO35" s="1884"/>
      <c r="MEP35" s="1884"/>
      <c r="MEQ35" s="1884"/>
      <c r="MER35" s="1884"/>
      <c r="MES35" s="1884"/>
      <c r="MET35" s="1884"/>
      <c r="MEU35" s="1884"/>
      <c r="MEV35" s="1884"/>
      <c r="MEW35" s="1884"/>
      <c r="MEX35" s="1884"/>
      <c r="MEY35" s="1884"/>
      <c r="MEZ35" s="1884"/>
      <c r="MFA35" s="1884"/>
      <c r="MFB35" s="1884"/>
      <c r="MFC35" s="1884"/>
      <c r="MFD35" s="1884"/>
      <c r="MFE35" s="1884"/>
      <c r="MFF35" s="1884"/>
      <c r="MFG35" s="1884"/>
      <c r="MFH35" s="1884"/>
      <c r="MFI35" s="1884"/>
      <c r="MFJ35" s="1884"/>
      <c r="MFK35" s="1884"/>
      <c r="MFL35" s="1884"/>
      <c r="MFM35" s="1884"/>
      <c r="MFN35" s="1884"/>
      <c r="MFO35" s="1884"/>
      <c r="MFP35" s="1884"/>
      <c r="MFQ35" s="1884"/>
      <c r="MFR35" s="1884"/>
      <c r="MFS35" s="1884"/>
      <c r="MFT35" s="1884"/>
      <c r="MFU35" s="1884"/>
      <c r="MFV35" s="1884"/>
      <c r="MFW35" s="1884"/>
      <c r="MFX35" s="1884"/>
      <c r="MFY35" s="1884"/>
      <c r="MFZ35" s="1884"/>
      <c r="MGA35" s="1884"/>
      <c r="MGB35" s="1884"/>
      <c r="MGC35" s="1884"/>
      <c r="MGD35" s="1884"/>
      <c r="MGE35" s="1884"/>
      <c r="MGF35" s="1884"/>
      <c r="MGG35" s="1884"/>
      <c r="MGH35" s="1884"/>
      <c r="MGI35" s="1884"/>
      <c r="MGJ35" s="1884"/>
      <c r="MGK35" s="1884"/>
      <c r="MGL35" s="1884"/>
      <c r="MGM35" s="1884"/>
      <c r="MGN35" s="1884"/>
      <c r="MGO35" s="1884"/>
      <c r="MGP35" s="1884"/>
      <c r="MGQ35" s="1884"/>
      <c r="MGR35" s="1884"/>
      <c r="MGS35" s="1884"/>
      <c r="MGT35" s="1884"/>
      <c r="MGU35" s="1884"/>
      <c r="MGV35" s="1884"/>
      <c r="MGW35" s="1884"/>
      <c r="MGX35" s="1884"/>
      <c r="MGY35" s="1884"/>
      <c r="MGZ35" s="1884"/>
      <c r="MHA35" s="1884"/>
      <c r="MHB35" s="1884"/>
      <c r="MHC35" s="1884"/>
      <c r="MHD35" s="1884"/>
      <c r="MHE35" s="1884"/>
      <c r="MHF35" s="1884"/>
      <c r="MHG35" s="1884"/>
      <c r="MHH35" s="1884"/>
      <c r="MHI35" s="1884"/>
      <c r="MHJ35" s="1884"/>
      <c r="MHK35" s="1884"/>
      <c r="MHL35" s="1884"/>
      <c r="MHM35" s="1884"/>
      <c r="MHN35" s="1884"/>
      <c r="MHO35" s="1884"/>
      <c r="MHP35" s="1884"/>
      <c r="MHQ35" s="1884"/>
      <c r="MHR35" s="1884"/>
      <c r="MHS35" s="1884"/>
      <c r="MHT35" s="1884"/>
      <c r="MHU35" s="1884"/>
      <c r="MHV35" s="1884"/>
      <c r="MHW35" s="1884"/>
      <c r="MHX35" s="1884"/>
      <c r="MHY35" s="1884"/>
      <c r="MHZ35" s="1884"/>
      <c r="MIA35" s="1884"/>
      <c r="MIB35" s="1884"/>
      <c r="MIC35" s="1884"/>
      <c r="MID35" s="1884"/>
      <c r="MIE35" s="1884"/>
      <c r="MIF35" s="1884"/>
      <c r="MIG35" s="1884"/>
      <c r="MIH35" s="1884"/>
      <c r="MII35" s="1884"/>
      <c r="MIJ35" s="1884"/>
      <c r="MIK35" s="1884"/>
      <c r="MIL35" s="1884"/>
      <c r="MIM35" s="1884"/>
      <c r="MIN35" s="1884"/>
      <c r="MIO35" s="1884"/>
      <c r="MIP35" s="1884"/>
      <c r="MIQ35" s="1884"/>
      <c r="MIR35" s="1884"/>
      <c r="MIS35" s="1884"/>
      <c r="MIT35" s="1884"/>
      <c r="MIU35" s="1884"/>
      <c r="MIV35" s="1884"/>
      <c r="MIW35" s="1884"/>
      <c r="MIX35" s="1884"/>
      <c r="MIY35" s="1884"/>
      <c r="MIZ35" s="1884"/>
      <c r="MJA35" s="1884"/>
      <c r="MJB35" s="1884"/>
      <c r="MJC35" s="1884"/>
      <c r="MJD35" s="1884"/>
      <c r="MJE35" s="1884"/>
      <c r="MJF35" s="1884"/>
      <c r="MJG35" s="1884"/>
      <c r="MJH35" s="1884"/>
      <c r="MJI35" s="1884"/>
      <c r="MJJ35" s="1884"/>
      <c r="MJK35" s="1884"/>
      <c r="MJL35" s="1884"/>
      <c r="MJM35" s="1884"/>
      <c r="MJN35" s="1884"/>
      <c r="MJO35" s="1884"/>
      <c r="MJP35" s="1884"/>
      <c r="MJQ35" s="1884"/>
      <c r="MJR35" s="1884"/>
      <c r="MJS35" s="1884"/>
      <c r="MJT35" s="1884"/>
      <c r="MJU35" s="1884"/>
      <c r="MJV35" s="1884"/>
      <c r="MJW35" s="1884"/>
      <c r="MJX35" s="1884"/>
      <c r="MJY35" s="1884"/>
      <c r="MJZ35" s="1884"/>
      <c r="MKA35" s="1884"/>
      <c r="MKB35" s="1884"/>
      <c r="MKC35" s="1884"/>
      <c r="MKD35" s="1884"/>
      <c r="MKE35" s="1884"/>
      <c r="MKF35" s="1884"/>
      <c r="MKG35" s="1884"/>
      <c r="MKH35" s="1884"/>
      <c r="MKI35" s="1884"/>
      <c r="MKJ35" s="1884"/>
      <c r="MKK35" s="1884"/>
      <c r="MKL35" s="1884"/>
      <c r="MKM35" s="1884"/>
      <c r="MKN35" s="1884"/>
      <c r="MKO35" s="1884"/>
      <c r="MKP35" s="1884"/>
      <c r="MKQ35" s="1884"/>
      <c r="MKR35" s="1884"/>
      <c r="MKS35" s="1884"/>
      <c r="MKT35" s="1884"/>
      <c r="MKU35" s="1884"/>
      <c r="MKV35" s="1884"/>
      <c r="MKW35" s="1884"/>
      <c r="MKX35" s="1884"/>
      <c r="MKY35" s="1884"/>
      <c r="MKZ35" s="1884"/>
      <c r="MLA35" s="1884"/>
      <c r="MLB35" s="1884"/>
      <c r="MLC35" s="1884"/>
      <c r="MLD35" s="1884"/>
      <c r="MLE35" s="1884"/>
      <c r="MLF35" s="1884"/>
      <c r="MLG35" s="1884"/>
      <c r="MLH35" s="1884"/>
      <c r="MLI35" s="1884"/>
      <c r="MLJ35" s="1884"/>
      <c r="MLK35" s="1884"/>
      <c r="MLL35" s="1884"/>
      <c r="MLM35" s="1884"/>
      <c r="MLN35" s="1884"/>
      <c r="MLO35" s="1884"/>
      <c r="MLP35" s="1884"/>
      <c r="MLQ35" s="1884"/>
      <c r="MLR35" s="1884"/>
      <c r="MLS35" s="1884"/>
      <c r="MLT35" s="1884"/>
      <c r="MLU35" s="1884"/>
      <c r="MLV35" s="1884"/>
      <c r="MLW35" s="1884"/>
      <c r="MLX35" s="1884"/>
      <c r="MLY35" s="1884"/>
      <c r="MLZ35" s="1884"/>
      <c r="MMA35" s="1884"/>
      <c r="MMB35" s="1884"/>
      <c r="MMC35" s="1884"/>
      <c r="MMD35" s="1884"/>
      <c r="MME35" s="1884"/>
      <c r="MMF35" s="1884"/>
      <c r="MMG35" s="1884"/>
      <c r="MMH35" s="1884"/>
      <c r="MMI35" s="1884"/>
      <c r="MMJ35" s="1884"/>
      <c r="MMK35" s="1884"/>
      <c r="MML35" s="1884"/>
      <c r="MMM35" s="1884"/>
      <c r="MMN35" s="1884"/>
      <c r="MMO35" s="1884"/>
      <c r="MMP35" s="1884"/>
      <c r="MMQ35" s="1884"/>
      <c r="MMR35" s="1884"/>
      <c r="MMS35" s="1884"/>
      <c r="MMT35" s="1884"/>
      <c r="MMU35" s="1884"/>
      <c r="MMV35" s="1884"/>
      <c r="MMW35" s="1884"/>
      <c r="MMX35" s="1884"/>
      <c r="MMY35" s="1884"/>
      <c r="MMZ35" s="1884"/>
      <c r="MNA35" s="1884"/>
      <c r="MNB35" s="1884"/>
      <c r="MNC35" s="1884"/>
      <c r="MND35" s="1884"/>
      <c r="MNE35" s="1884"/>
      <c r="MNF35" s="1884"/>
      <c r="MNG35" s="1884"/>
      <c r="MNH35" s="1884"/>
      <c r="MNI35" s="1884"/>
      <c r="MNJ35" s="1884"/>
      <c r="MNK35" s="1884"/>
      <c r="MNL35" s="1884"/>
      <c r="MNM35" s="1884"/>
      <c r="MNN35" s="1884"/>
      <c r="MNO35" s="1884"/>
      <c r="MNP35" s="1884"/>
      <c r="MNQ35" s="1884"/>
      <c r="MNR35" s="1884"/>
      <c r="MNS35" s="1884"/>
      <c r="MNT35" s="1884"/>
      <c r="MNU35" s="1884"/>
      <c r="MNV35" s="1884"/>
      <c r="MNW35" s="1884"/>
      <c r="MNX35" s="1884"/>
      <c r="MNY35" s="1884"/>
      <c r="MNZ35" s="1884"/>
      <c r="MOA35" s="1884"/>
      <c r="MOB35" s="1884"/>
      <c r="MOC35" s="1884"/>
      <c r="MOD35" s="1884"/>
      <c r="MOE35" s="1884"/>
      <c r="MOF35" s="1884"/>
      <c r="MOG35" s="1884"/>
      <c r="MOH35" s="1884"/>
      <c r="MOI35" s="1884"/>
      <c r="MOJ35" s="1884"/>
      <c r="MOK35" s="1884"/>
      <c r="MOL35" s="1884"/>
      <c r="MOM35" s="1884"/>
      <c r="MON35" s="1884"/>
      <c r="MOO35" s="1884"/>
      <c r="MOP35" s="1884"/>
      <c r="MOQ35" s="1884"/>
      <c r="MOR35" s="1884"/>
      <c r="MOS35" s="1884"/>
      <c r="MOT35" s="1884"/>
      <c r="MOU35" s="1884"/>
      <c r="MOV35" s="1884"/>
      <c r="MOW35" s="1884"/>
      <c r="MOX35" s="1884"/>
      <c r="MOY35" s="1884"/>
      <c r="MOZ35" s="1884"/>
      <c r="MPA35" s="1884"/>
      <c r="MPB35" s="1884"/>
      <c r="MPC35" s="1884"/>
      <c r="MPD35" s="1884"/>
      <c r="MPE35" s="1884"/>
      <c r="MPF35" s="1884"/>
      <c r="MPG35" s="1884"/>
      <c r="MPH35" s="1884"/>
      <c r="MPI35" s="1884"/>
      <c r="MPJ35" s="1884"/>
      <c r="MPK35" s="1884"/>
      <c r="MPL35" s="1884"/>
      <c r="MPM35" s="1884"/>
      <c r="MPN35" s="1884"/>
      <c r="MPO35" s="1884"/>
      <c r="MPP35" s="1884"/>
      <c r="MPQ35" s="1884"/>
      <c r="MPR35" s="1884"/>
      <c r="MPS35" s="1884"/>
      <c r="MPT35" s="1884"/>
      <c r="MPU35" s="1884"/>
      <c r="MPV35" s="1884"/>
      <c r="MPW35" s="1884"/>
      <c r="MPX35" s="1884"/>
      <c r="MPY35" s="1884"/>
      <c r="MPZ35" s="1884"/>
      <c r="MQA35" s="1884"/>
      <c r="MQB35" s="1884"/>
      <c r="MQC35" s="1884"/>
      <c r="MQD35" s="1884"/>
      <c r="MQE35" s="1884"/>
      <c r="MQF35" s="1884"/>
      <c r="MQG35" s="1884"/>
      <c r="MQH35" s="1884"/>
      <c r="MQI35" s="1884"/>
      <c r="MQJ35" s="1884"/>
      <c r="MQK35" s="1884"/>
      <c r="MQL35" s="1884"/>
      <c r="MQM35" s="1884"/>
      <c r="MQN35" s="1884"/>
      <c r="MQO35" s="1884"/>
      <c r="MQP35" s="1884"/>
      <c r="MQQ35" s="1884"/>
      <c r="MQR35" s="1884"/>
      <c r="MQS35" s="1884"/>
      <c r="MQT35" s="1884"/>
      <c r="MQU35" s="1884"/>
      <c r="MQV35" s="1884"/>
      <c r="MQW35" s="1884"/>
      <c r="MQX35" s="1884"/>
      <c r="MQY35" s="1884"/>
      <c r="MQZ35" s="1884"/>
      <c r="MRA35" s="1884"/>
      <c r="MRB35" s="1884"/>
      <c r="MRC35" s="1884"/>
      <c r="MRD35" s="1884"/>
      <c r="MRE35" s="1884"/>
      <c r="MRF35" s="1884"/>
      <c r="MRG35" s="1884"/>
      <c r="MRH35" s="1884"/>
      <c r="MRI35" s="1884"/>
      <c r="MRJ35" s="1884"/>
      <c r="MRK35" s="1884"/>
      <c r="MRL35" s="1884"/>
      <c r="MRM35" s="1884"/>
      <c r="MRN35" s="1884"/>
      <c r="MRO35" s="1884"/>
      <c r="MRP35" s="1884"/>
      <c r="MRQ35" s="1884"/>
      <c r="MRR35" s="1884"/>
      <c r="MRS35" s="1884"/>
      <c r="MRT35" s="1884"/>
      <c r="MRU35" s="1884"/>
      <c r="MRV35" s="1884"/>
      <c r="MRW35" s="1884"/>
      <c r="MRX35" s="1884"/>
      <c r="MRY35" s="1884"/>
      <c r="MRZ35" s="1884"/>
      <c r="MSA35" s="1884"/>
      <c r="MSB35" s="1884"/>
      <c r="MSC35" s="1884"/>
      <c r="MSD35" s="1884"/>
      <c r="MSE35" s="1884"/>
      <c r="MSF35" s="1884"/>
      <c r="MSG35" s="1884"/>
      <c r="MSH35" s="1884"/>
      <c r="MSI35" s="1884"/>
      <c r="MSJ35" s="1884"/>
      <c r="MSK35" s="1884"/>
      <c r="MSL35" s="1884"/>
      <c r="MSM35" s="1884"/>
      <c r="MSN35" s="1884"/>
      <c r="MSO35" s="1884"/>
      <c r="MSP35" s="1884"/>
      <c r="MSQ35" s="1884"/>
      <c r="MSR35" s="1884"/>
      <c r="MSS35" s="1884"/>
      <c r="MST35" s="1884"/>
      <c r="MSU35" s="1884"/>
      <c r="MSV35" s="1884"/>
      <c r="MSW35" s="1884"/>
      <c r="MSX35" s="1884"/>
      <c r="MSY35" s="1884"/>
      <c r="MSZ35" s="1884"/>
      <c r="MTA35" s="1884"/>
      <c r="MTB35" s="1884"/>
      <c r="MTC35" s="1884"/>
      <c r="MTD35" s="1884"/>
      <c r="MTE35" s="1884"/>
      <c r="MTF35" s="1884"/>
      <c r="MTG35" s="1884"/>
      <c r="MTH35" s="1884"/>
      <c r="MTI35" s="1884"/>
      <c r="MTJ35" s="1884"/>
      <c r="MTK35" s="1884"/>
      <c r="MTL35" s="1884"/>
      <c r="MTM35" s="1884"/>
      <c r="MTN35" s="1884"/>
      <c r="MTO35" s="1884"/>
      <c r="MTP35" s="1884"/>
      <c r="MTQ35" s="1884"/>
      <c r="MTR35" s="1884"/>
      <c r="MTS35" s="1884"/>
      <c r="MTT35" s="1884"/>
      <c r="MTU35" s="1884"/>
      <c r="MTV35" s="1884"/>
      <c r="MTW35" s="1884"/>
      <c r="MTX35" s="1884"/>
      <c r="MTY35" s="1884"/>
      <c r="MTZ35" s="1884"/>
      <c r="MUA35" s="1884"/>
      <c r="MUB35" s="1884"/>
      <c r="MUC35" s="1884"/>
      <c r="MUD35" s="1884"/>
      <c r="MUE35" s="1884"/>
      <c r="MUF35" s="1884"/>
      <c r="MUG35" s="1884"/>
      <c r="MUH35" s="1884"/>
      <c r="MUI35" s="1884"/>
      <c r="MUJ35" s="1884"/>
      <c r="MUK35" s="1884"/>
      <c r="MUL35" s="1884"/>
      <c r="MUM35" s="1884"/>
      <c r="MUN35" s="1884"/>
      <c r="MUO35" s="1884"/>
      <c r="MUP35" s="1884"/>
      <c r="MUQ35" s="1884"/>
      <c r="MUR35" s="1884"/>
      <c r="MUS35" s="1884"/>
      <c r="MUT35" s="1884"/>
      <c r="MUU35" s="1884"/>
      <c r="MUV35" s="1884"/>
      <c r="MUW35" s="1884"/>
      <c r="MUX35" s="1884"/>
      <c r="MUY35" s="1884"/>
      <c r="MUZ35" s="1884"/>
      <c r="MVA35" s="1884"/>
      <c r="MVB35" s="1884"/>
      <c r="MVC35" s="1884"/>
      <c r="MVD35" s="1884"/>
      <c r="MVE35" s="1884"/>
      <c r="MVF35" s="1884"/>
      <c r="MVG35" s="1884"/>
      <c r="MVH35" s="1884"/>
      <c r="MVI35" s="1884"/>
      <c r="MVJ35" s="1884"/>
      <c r="MVK35" s="1884"/>
      <c r="MVL35" s="1884"/>
      <c r="MVM35" s="1884"/>
      <c r="MVN35" s="1884"/>
      <c r="MVO35" s="1884"/>
      <c r="MVP35" s="1884"/>
      <c r="MVQ35" s="1884"/>
      <c r="MVR35" s="1884"/>
      <c r="MVS35" s="1884"/>
      <c r="MVT35" s="1884"/>
      <c r="MVU35" s="1884"/>
      <c r="MVV35" s="1884"/>
      <c r="MVW35" s="1884"/>
      <c r="MVX35" s="1884"/>
      <c r="MVY35" s="1884"/>
      <c r="MVZ35" s="1884"/>
      <c r="MWA35" s="1884"/>
      <c r="MWB35" s="1884"/>
      <c r="MWC35" s="1884"/>
      <c r="MWD35" s="1884"/>
      <c r="MWE35" s="1884"/>
      <c r="MWF35" s="1884"/>
      <c r="MWG35" s="1884"/>
      <c r="MWH35" s="1884"/>
      <c r="MWI35" s="1884"/>
      <c r="MWJ35" s="1884"/>
      <c r="MWK35" s="1884"/>
      <c r="MWL35" s="1884"/>
      <c r="MWM35" s="1884"/>
      <c r="MWN35" s="1884"/>
      <c r="MWO35" s="1884"/>
      <c r="MWP35" s="1884"/>
      <c r="MWQ35" s="1884"/>
      <c r="MWR35" s="1884"/>
      <c r="MWS35" s="1884"/>
      <c r="MWT35" s="1884"/>
      <c r="MWU35" s="1884"/>
      <c r="MWV35" s="1884"/>
      <c r="MWW35" s="1884"/>
      <c r="MWX35" s="1884"/>
      <c r="MWY35" s="1884"/>
      <c r="MWZ35" s="1884"/>
      <c r="MXA35" s="1884"/>
      <c r="MXB35" s="1884"/>
      <c r="MXC35" s="1884"/>
      <c r="MXD35" s="1884"/>
      <c r="MXE35" s="1884"/>
      <c r="MXF35" s="1884"/>
      <c r="MXG35" s="1884"/>
      <c r="MXH35" s="1884"/>
      <c r="MXI35" s="1884"/>
      <c r="MXJ35" s="1884"/>
      <c r="MXK35" s="1884"/>
      <c r="MXL35" s="1884"/>
      <c r="MXM35" s="1884"/>
      <c r="MXN35" s="1884"/>
      <c r="MXO35" s="1884"/>
      <c r="MXP35" s="1884"/>
      <c r="MXQ35" s="1884"/>
      <c r="MXR35" s="1884"/>
      <c r="MXS35" s="1884"/>
      <c r="MXT35" s="1884"/>
      <c r="MXU35" s="1884"/>
      <c r="MXV35" s="1884"/>
      <c r="MXW35" s="1884"/>
      <c r="MXX35" s="1884"/>
      <c r="MXY35" s="1884"/>
      <c r="MXZ35" s="1884"/>
      <c r="MYA35" s="1884"/>
      <c r="MYB35" s="1884"/>
      <c r="MYC35" s="1884"/>
      <c r="MYD35" s="1884"/>
      <c r="MYE35" s="1884"/>
      <c r="MYF35" s="1884"/>
      <c r="MYG35" s="1884"/>
      <c r="MYH35" s="1884"/>
      <c r="MYI35" s="1884"/>
      <c r="MYJ35" s="1884"/>
      <c r="MYK35" s="1884"/>
      <c r="MYL35" s="1884"/>
      <c r="MYM35" s="1884"/>
      <c r="MYN35" s="1884"/>
      <c r="MYO35" s="1884"/>
      <c r="MYP35" s="1884"/>
      <c r="MYQ35" s="1884"/>
      <c r="MYR35" s="1884"/>
      <c r="MYS35" s="1884"/>
      <c r="MYT35" s="1884"/>
      <c r="MYU35" s="1884"/>
      <c r="MYV35" s="1884"/>
      <c r="MYW35" s="1884"/>
      <c r="MYX35" s="1884"/>
      <c r="MYY35" s="1884"/>
      <c r="MYZ35" s="1884"/>
      <c r="MZA35" s="1884"/>
      <c r="MZB35" s="1884"/>
      <c r="MZC35" s="1884"/>
      <c r="MZD35" s="1884"/>
      <c r="MZE35" s="1884"/>
      <c r="MZF35" s="1884"/>
      <c r="MZG35" s="1884"/>
      <c r="MZH35" s="1884"/>
      <c r="MZI35" s="1884"/>
      <c r="MZJ35" s="1884"/>
      <c r="MZK35" s="1884"/>
      <c r="MZL35" s="1884"/>
      <c r="MZM35" s="1884"/>
      <c r="MZN35" s="1884"/>
      <c r="MZO35" s="1884"/>
      <c r="MZP35" s="1884"/>
      <c r="MZQ35" s="1884"/>
      <c r="MZR35" s="1884"/>
      <c r="MZS35" s="1884"/>
      <c r="MZT35" s="1884"/>
      <c r="MZU35" s="1884"/>
      <c r="MZV35" s="1884"/>
      <c r="MZW35" s="1884"/>
      <c r="MZX35" s="1884"/>
      <c r="MZY35" s="1884"/>
      <c r="MZZ35" s="1884"/>
      <c r="NAA35" s="1884"/>
      <c r="NAB35" s="1884"/>
      <c r="NAC35" s="1884"/>
      <c r="NAD35" s="1884"/>
      <c r="NAE35" s="1884"/>
      <c r="NAF35" s="1884"/>
      <c r="NAG35" s="1884"/>
      <c r="NAH35" s="1884"/>
      <c r="NAI35" s="1884"/>
      <c r="NAJ35" s="1884"/>
      <c r="NAK35" s="1884"/>
      <c r="NAL35" s="1884"/>
      <c r="NAM35" s="1884"/>
      <c r="NAN35" s="1884"/>
      <c r="NAO35" s="1884"/>
      <c r="NAP35" s="1884"/>
      <c r="NAQ35" s="1884"/>
      <c r="NAR35" s="1884"/>
      <c r="NAS35" s="1884"/>
      <c r="NAT35" s="1884"/>
      <c r="NAU35" s="1884"/>
      <c r="NAV35" s="1884"/>
      <c r="NAW35" s="1884"/>
      <c r="NAX35" s="1884"/>
      <c r="NAY35" s="1884"/>
      <c r="NAZ35" s="1884"/>
      <c r="NBA35" s="1884"/>
      <c r="NBB35" s="1884"/>
      <c r="NBC35" s="1884"/>
      <c r="NBD35" s="1884"/>
      <c r="NBE35" s="1884"/>
      <c r="NBF35" s="1884"/>
      <c r="NBG35" s="1884"/>
      <c r="NBH35" s="1884"/>
      <c r="NBI35" s="1884"/>
      <c r="NBJ35" s="1884"/>
      <c r="NBK35" s="1884"/>
      <c r="NBL35" s="1884"/>
      <c r="NBM35" s="1884"/>
      <c r="NBN35" s="1884"/>
      <c r="NBO35" s="1884"/>
      <c r="NBP35" s="1884"/>
      <c r="NBQ35" s="1884"/>
      <c r="NBR35" s="1884"/>
      <c r="NBS35" s="1884"/>
      <c r="NBT35" s="1884"/>
      <c r="NBU35" s="1884"/>
      <c r="NBV35" s="1884"/>
      <c r="NBW35" s="1884"/>
      <c r="NBX35" s="1884"/>
      <c r="NBY35" s="1884"/>
      <c r="NBZ35" s="1884"/>
      <c r="NCA35" s="1884"/>
      <c r="NCB35" s="1884"/>
      <c r="NCC35" s="1884"/>
      <c r="NCD35" s="1884"/>
      <c r="NCE35" s="1884"/>
      <c r="NCF35" s="1884"/>
      <c r="NCG35" s="1884"/>
      <c r="NCH35" s="1884"/>
      <c r="NCI35" s="1884"/>
      <c r="NCJ35" s="1884"/>
      <c r="NCK35" s="1884"/>
      <c r="NCL35" s="1884"/>
      <c r="NCM35" s="1884"/>
      <c r="NCN35" s="1884"/>
      <c r="NCO35" s="1884"/>
      <c r="NCP35" s="1884"/>
      <c r="NCQ35" s="1884"/>
      <c r="NCR35" s="1884"/>
      <c r="NCS35" s="1884"/>
      <c r="NCT35" s="1884"/>
      <c r="NCU35" s="1884"/>
      <c r="NCV35" s="1884"/>
      <c r="NCW35" s="1884"/>
      <c r="NCX35" s="1884"/>
      <c r="NCY35" s="1884"/>
      <c r="NCZ35" s="1884"/>
      <c r="NDA35" s="1884"/>
      <c r="NDB35" s="1884"/>
      <c r="NDC35" s="1884"/>
      <c r="NDD35" s="1884"/>
      <c r="NDE35" s="1884"/>
      <c r="NDF35" s="1884"/>
      <c r="NDG35" s="1884"/>
      <c r="NDH35" s="1884"/>
      <c r="NDI35" s="1884"/>
      <c r="NDJ35" s="1884"/>
      <c r="NDK35" s="1884"/>
      <c r="NDL35" s="1884"/>
      <c r="NDM35" s="1884"/>
      <c r="NDN35" s="1884"/>
      <c r="NDO35" s="1884"/>
      <c r="NDP35" s="1884"/>
      <c r="NDQ35" s="1884"/>
      <c r="NDR35" s="1884"/>
      <c r="NDS35" s="1884"/>
      <c r="NDT35" s="1884"/>
      <c r="NDU35" s="1884"/>
      <c r="NDV35" s="1884"/>
      <c r="NDW35" s="1884"/>
      <c r="NDX35" s="1884"/>
      <c r="NDY35" s="1884"/>
      <c r="NDZ35" s="1884"/>
      <c r="NEA35" s="1884"/>
      <c r="NEB35" s="1884"/>
      <c r="NEC35" s="1884"/>
      <c r="NED35" s="1884"/>
      <c r="NEE35" s="1884"/>
      <c r="NEF35" s="1884"/>
      <c r="NEG35" s="1884"/>
      <c r="NEH35" s="1884"/>
      <c r="NEI35" s="1884"/>
      <c r="NEJ35" s="1884"/>
      <c r="NEK35" s="1884"/>
      <c r="NEL35" s="1884"/>
      <c r="NEM35" s="1884"/>
      <c r="NEN35" s="1884"/>
      <c r="NEO35" s="1884"/>
      <c r="NEP35" s="1884"/>
      <c r="NEQ35" s="1884"/>
      <c r="NER35" s="1884"/>
      <c r="NES35" s="1884"/>
      <c r="NET35" s="1884"/>
      <c r="NEU35" s="1884"/>
      <c r="NEV35" s="1884"/>
      <c r="NEW35" s="1884"/>
      <c r="NEX35" s="1884"/>
      <c r="NEY35" s="1884"/>
      <c r="NEZ35" s="1884"/>
      <c r="NFA35" s="1884"/>
      <c r="NFB35" s="1884"/>
      <c r="NFC35" s="1884"/>
      <c r="NFD35" s="1884"/>
      <c r="NFE35" s="1884"/>
      <c r="NFF35" s="1884"/>
      <c r="NFG35" s="1884"/>
      <c r="NFH35" s="1884"/>
      <c r="NFI35" s="1884"/>
      <c r="NFJ35" s="1884"/>
      <c r="NFK35" s="1884"/>
      <c r="NFL35" s="1884"/>
      <c r="NFM35" s="1884"/>
      <c r="NFN35" s="1884"/>
      <c r="NFO35" s="1884"/>
      <c r="NFP35" s="1884"/>
      <c r="NFQ35" s="1884"/>
      <c r="NFR35" s="1884"/>
      <c r="NFS35" s="1884"/>
      <c r="NFT35" s="1884"/>
      <c r="NFU35" s="1884"/>
      <c r="NFV35" s="1884"/>
      <c r="NFW35" s="1884"/>
      <c r="NFX35" s="1884"/>
      <c r="NFY35" s="1884"/>
      <c r="NFZ35" s="1884"/>
      <c r="NGA35" s="1884"/>
      <c r="NGB35" s="1884"/>
      <c r="NGC35" s="1884"/>
      <c r="NGD35" s="1884"/>
      <c r="NGE35" s="1884"/>
      <c r="NGF35" s="1884"/>
      <c r="NGG35" s="1884"/>
      <c r="NGH35" s="1884"/>
      <c r="NGI35" s="1884"/>
      <c r="NGJ35" s="1884"/>
      <c r="NGK35" s="1884"/>
      <c r="NGL35" s="1884"/>
      <c r="NGM35" s="1884"/>
      <c r="NGN35" s="1884"/>
      <c r="NGO35" s="1884"/>
      <c r="NGP35" s="1884"/>
      <c r="NGQ35" s="1884"/>
      <c r="NGR35" s="1884"/>
      <c r="NGS35" s="1884"/>
      <c r="NGT35" s="1884"/>
      <c r="NGU35" s="1884"/>
      <c r="NGV35" s="1884"/>
      <c r="NGW35" s="1884"/>
      <c r="NGX35" s="1884"/>
      <c r="NGY35" s="1884"/>
      <c r="NGZ35" s="1884"/>
      <c r="NHA35" s="1884"/>
      <c r="NHB35" s="1884"/>
      <c r="NHC35" s="1884"/>
      <c r="NHD35" s="1884"/>
      <c r="NHE35" s="1884"/>
      <c r="NHF35" s="1884"/>
      <c r="NHG35" s="1884"/>
      <c r="NHH35" s="1884"/>
      <c r="NHI35" s="1884"/>
      <c r="NHJ35" s="1884"/>
      <c r="NHK35" s="1884"/>
      <c r="NHL35" s="1884"/>
      <c r="NHM35" s="1884"/>
      <c r="NHN35" s="1884"/>
      <c r="NHO35" s="1884"/>
      <c r="NHP35" s="1884"/>
      <c r="NHQ35" s="1884"/>
      <c r="NHR35" s="1884"/>
      <c r="NHS35" s="1884"/>
      <c r="NHT35" s="1884"/>
      <c r="NHU35" s="1884"/>
      <c r="NHV35" s="1884"/>
      <c r="NHW35" s="1884"/>
      <c r="NHX35" s="1884"/>
      <c r="NHY35" s="1884"/>
      <c r="NHZ35" s="1884"/>
      <c r="NIA35" s="1884"/>
      <c r="NIB35" s="1884"/>
      <c r="NIC35" s="1884"/>
      <c r="NID35" s="1884"/>
      <c r="NIE35" s="1884"/>
      <c r="NIF35" s="1884"/>
      <c r="NIG35" s="1884"/>
      <c r="NIH35" s="1884"/>
      <c r="NII35" s="1884"/>
      <c r="NIJ35" s="1884"/>
      <c r="NIK35" s="1884"/>
      <c r="NIL35" s="1884"/>
      <c r="NIM35" s="1884"/>
      <c r="NIN35" s="1884"/>
      <c r="NIO35" s="1884"/>
      <c r="NIP35" s="1884"/>
      <c r="NIQ35" s="1884"/>
      <c r="NIR35" s="1884"/>
      <c r="NIS35" s="1884"/>
      <c r="NIT35" s="1884"/>
      <c r="NIU35" s="1884"/>
      <c r="NIV35" s="1884"/>
      <c r="NIW35" s="1884"/>
      <c r="NIX35" s="1884"/>
      <c r="NIY35" s="1884"/>
      <c r="NIZ35" s="1884"/>
      <c r="NJA35" s="1884"/>
      <c r="NJB35" s="1884"/>
      <c r="NJC35" s="1884"/>
      <c r="NJD35" s="1884"/>
      <c r="NJE35" s="1884"/>
      <c r="NJF35" s="1884"/>
      <c r="NJG35" s="1884"/>
      <c r="NJH35" s="1884"/>
      <c r="NJI35" s="1884"/>
      <c r="NJJ35" s="1884"/>
      <c r="NJK35" s="1884"/>
      <c r="NJL35" s="1884"/>
      <c r="NJM35" s="1884"/>
      <c r="NJN35" s="1884"/>
      <c r="NJO35" s="1884"/>
      <c r="NJP35" s="1884"/>
      <c r="NJQ35" s="1884"/>
      <c r="NJR35" s="1884"/>
      <c r="NJS35" s="1884"/>
      <c r="NJT35" s="1884"/>
      <c r="NJU35" s="1884"/>
      <c r="NJV35" s="1884"/>
      <c r="NJW35" s="1884"/>
      <c r="NJX35" s="1884"/>
      <c r="NJY35" s="1884"/>
      <c r="NJZ35" s="1884"/>
      <c r="NKA35" s="1884"/>
      <c r="NKB35" s="1884"/>
      <c r="NKC35" s="1884"/>
      <c r="NKD35" s="1884"/>
      <c r="NKE35" s="1884"/>
      <c r="NKF35" s="1884"/>
      <c r="NKG35" s="1884"/>
      <c r="NKH35" s="1884"/>
      <c r="NKI35" s="1884"/>
      <c r="NKJ35" s="1884"/>
      <c r="NKK35" s="1884"/>
      <c r="NKL35" s="1884"/>
      <c r="NKM35" s="1884"/>
      <c r="NKN35" s="1884"/>
      <c r="NKO35" s="1884"/>
      <c r="NKP35" s="1884"/>
      <c r="NKQ35" s="1884"/>
      <c r="NKR35" s="1884"/>
      <c r="NKS35" s="1884"/>
      <c r="NKT35" s="1884"/>
      <c r="NKU35" s="1884"/>
      <c r="NKV35" s="1884"/>
      <c r="NKW35" s="1884"/>
      <c r="NKX35" s="1884"/>
      <c r="NKY35" s="1884"/>
      <c r="NKZ35" s="1884"/>
      <c r="NLA35" s="1884"/>
      <c r="NLB35" s="1884"/>
      <c r="NLC35" s="1884"/>
      <c r="NLD35" s="1884"/>
      <c r="NLE35" s="1884"/>
      <c r="NLF35" s="1884"/>
      <c r="NLG35" s="1884"/>
      <c r="NLH35" s="1884"/>
      <c r="NLI35" s="1884"/>
      <c r="NLJ35" s="1884"/>
      <c r="NLK35" s="1884"/>
      <c r="NLL35" s="1884"/>
      <c r="NLM35" s="1884"/>
      <c r="NLN35" s="1884"/>
      <c r="NLO35" s="1884"/>
      <c r="NLP35" s="1884"/>
      <c r="NLQ35" s="1884"/>
      <c r="NLR35" s="1884"/>
      <c r="NLS35" s="1884"/>
      <c r="NLT35" s="1884"/>
      <c r="NLU35" s="1884"/>
      <c r="NLV35" s="1884"/>
      <c r="NLW35" s="1884"/>
      <c r="NLX35" s="1884"/>
      <c r="NLY35" s="1884"/>
      <c r="NLZ35" s="1884"/>
      <c r="NMA35" s="1884"/>
      <c r="NMB35" s="1884"/>
      <c r="NMC35" s="1884"/>
      <c r="NMD35" s="1884"/>
      <c r="NME35" s="1884"/>
      <c r="NMF35" s="1884"/>
      <c r="NMG35" s="1884"/>
      <c r="NMH35" s="1884"/>
      <c r="NMI35" s="1884"/>
      <c r="NMJ35" s="1884"/>
      <c r="NMK35" s="1884"/>
      <c r="NML35" s="1884"/>
      <c r="NMM35" s="1884"/>
      <c r="NMN35" s="1884"/>
      <c r="NMO35" s="1884"/>
      <c r="NMP35" s="1884"/>
      <c r="NMQ35" s="1884"/>
      <c r="NMR35" s="1884"/>
      <c r="NMS35" s="1884"/>
      <c r="NMT35" s="1884"/>
      <c r="NMU35" s="1884"/>
      <c r="NMV35" s="1884"/>
      <c r="NMW35" s="1884"/>
      <c r="NMX35" s="1884"/>
      <c r="NMY35" s="1884"/>
      <c r="NMZ35" s="1884"/>
      <c r="NNA35" s="1884"/>
      <c r="NNB35" s="1884"/>
      <c r="NNC35" s="1884"/>
      <c r="NND35" s="1884"/>
      <c r="NNE35" s="1884"/>
      <c r="NNF35" s="1884"/>
      <c r="NNG35" s="1884"/>
      <c r="NNH35" s="1884"/>
      <c r="NNI35" s="1884"/>
      <c r="NNJ35" s="1884"/>
      <c r="NNK35" s="1884"/>
      <c r="NNL35" s="1884"/>
      <c r="NNM35" s="1884"/>
      <c r="NNN35" s="1884"/>
      <c r="NNO35" s="1884"/>
      <c r="NNP35" s="1884"/>
      <c r="NNQ35" s="1884"/>
      <c r="NNR35" s="1884"/>
      <c r="NNS35" s="1884"/>
      <c r="NNT35" s="1884"/>
      <c r="NNU35" s="1884"/>
      <c r="NNV35" s="1884"/>
      <c r="NNW35" s="1884"/>
      <c r="NNX35" s="1884"/>
      <c r="NNY35" s="1884"/>
      <c r="NNZ35" s="1884"/>
      <c r="NOA35" s="1884"/>
      <c r="NOB35" s="1884"/>
      <c r="NOC35" s="1884"/>
      <c r="NOD35" s="1884"/>
      <c r="NOE35" s="1884"/>
      <c r="NOF35" s="1884"/>
      <c r="NOG35" s="1884"/>
      <c r="NOH35" s="1884"/>
      <c r="NOI35" s="1884"/>
      <c r="NOJ35" s="1884"/>
      <c r="NOK35" s="1884"/>
      <c r="NOL35" s="1884"/>
      <c r="NOM35" s="1884"/>
      <c r="NON35" s="1884"/>
      <c r="NOO35" s="1884"/>
      <c r="NOP35" s="1884"/>
      <c r="NOQ35" s="1884"/>
      <c r="NOR35" s="1884"/>
      <c r="NOS35" s="1884"/>
      <c r="NOT35" s="1884"/>
      <c r="NOU35" s="1884"/>
      <c r="NOV35" s="1884"/>
      <c r="NOW35" s="1884"/>
      <c r="NOX35" s="1884"/>
      <c r="NOY35" s="1884"/>
      <c r="NOZ35" s="1884"/>
      <c r="NPA35" s="1884"/>
      <c r="NPB35" s="1884"/>
      <c r="NPC35" s="1884"/>
      <c r="NPD35" s="1884"/>
      <c r="NPE35" s="1884"/>
      <c r="NPF35" s="1884"/>
      <c r="NPG35" s="1884"/>
      <c r="NPH35" s="1884"/>
      <c r="NPI35" s="1884"/>
      <c r="NPJ35" s="1884"/>
      <c r="NPK35" s="1884"/>
      <c r="NPL35" s="1884"/>
      <c r="NPM35" s="1884"/>
      <c r="NPN35" s="1884"/>
      <c r="NPO35" s="1884"/>
      <c r="NPP35" s="1884"/>
      <c r="NPQ35" s="1884"/>
      <c r="NPR35" s="1884"/>
      <c r="NPS35" s="1884"/>
      <c r="NPT35" s="1884"/>
      <c r="NPU35" s="1884"/>
      <c r="NPV35" s="1884"/>
      <c r="NPW35" s="1884"/>
      <c r="NPX35" s="1884"/>
      <c r="NPY35" s="1884"/>
      <c r="NPZ35" s="1884"/>
      <c r="NQA35" s="1884"/>
      <c r="NQB35" s="1884"/>
      <c r="NQC35" s="1884"/>
      <c r="NQD35" s="1884"/>
      <c r="NQE35" s="1884"/>
      <c r="NQF35" s="1884"/>
      <c r="NQG35" s="1884"/>
      <c r="NQH35" s="1884"/>
      <c r="NQI35" s="1884"/>
      <c r="NQJ35" s="1884"/>
      <c r="NQK35" s="1884"/>
      <c r="NQL35" s="1884"/>
      <c r="NQM35" s="1884"/>
      <c r="NQN35" s="1884"/>
      <c r="NQO35" s="1884"/>
      <c r="NQP35" s="1884"/>
      <c r="NQQ35" s="1884"/>
      <c r="NQR35" s="1884"/>
      <c r="NQS35" s="1884"/>
      <c r="NQT35" s="1884"/>
      <c r="NQU35" s="1884"/>
      <c r="NQV35" s="1884"/>
      <c r="NQW35" s="1884"/>
      <c r="NQX35" s="1884"/>
      <c r="NQY35" s="1884"/>
      <c r="NQZ35" s="1884"/>
      <c r="NRA35" s="1884"/>
      <c r="NRB35" s="1884"/>
      <c r="NRC35" s="1884"/>
      <c r="NRD35" s="1884"/>
      <c r="NRE35" s="1884"/>
      <c r="NRF35" s="1884"/>
      <c r="NRG35" s="1884"/>
      <c r="NRH35" s="1884"/>
      <c r="NRI35" s="1884"/>
      <c r="NRJ35" s="1884"/>
      <c r="NRK35" s="1884"/>
      <c r="NRL35" s="1884"/>
      <c r="NRM35" s="1884"/>
      <c r="NRN35" s="1884"/>
      <c r="NRO35" s="1884"/>
      <c r="NRP35" s="1884"/>
      <c r="NRQ35" s="1884"/>
      <c r="NRR35" s="1884"/>
      <c r="NRS35" s="1884"/>
      <c r="NRT35" s="1884"/>
      <c r="NRU35" s="1884"/>
      <c r="NRV35" s="1884"/>
      <c r="NRW35" s="1884"/>
      <c r="NRX35" s="1884"/>
      <c r="NRY35" s="1884"/>
      <c r="NRZ35" s="1884"/>
      <c r="NSA35" s="1884"/>
      <c r="NSB35" s="1884"/>
      <c r="NSC35" s="1884"/>
      <c r="NSD35" s="1884"/>
      <c r="NSE35" s="1884"/>
      <c r="NSF35" s="1884"/>
      <c r="NSG35" s="1884"/>
      <c r="NSH35" s="1884"/>
      <c r="NSI35" s="1884"/>
      <c r="NSJ35" s="1884"/>
      <c r="NSK35" s="1884"/>
      <c r="NSL35" s="1884"/>
      <c r="NSM35" s="1884"/>
      <c r="NSN35" s="1884"/>
      <c r="NSO35" s="1884"/>
      <c r="NSP35" s="1884"/>
      <c r="NSQ35" s="1884"/>
      <c r="NSR35" s="1884"/>
      <c r="NSS35" s="1884"/>
      <c r="NST35" s="1884"/>
      <c r="NSU35" s="1884"/>
      <c r="NSV35" s="1884"/>
      <c r="NSW35" s="1884"/>
      <c r="NSX35" s="1884"/>
      <c r="NSY35" s="1884"/>
      <c r="NSZ35" s="1884"/>
      <c r="NTA35" s="1884"/>
      <c r="NTB35" s="1884"/>
      <c r="NTC35" s="1884"/>
      <c r="NTD35" s="1884"/>
      <c r="NTE35" s="1884"/>
      <c r="NTF35" s="1884"/>
      <c r="NTG35" s="1884"/>
      <c r="NTH35" s="1884"/>
      <c r="NTI35" s="1884"/>
      <c r="NTJ35" s="1884"/>
      <c r="NTK35" s="1884"/>
      <c r="NTL35" s="1884"/>
      <c r="NTM35" s="1884"/>
      <c r="NTN35" s="1884"/>
      <c r="NTO35" s="1884"/>
      <c r="NTP35" s="1884"/>
      <c r="NTQ35" s="1884"/>
      <c r="NTR35" s="1884"/>
      <c r="NTS35" s="1884"/>
      <c r="NTT35" s="1884"/>
      <c r="NTU35" s="1884"/>
      <c r="NTV35" s="1884"/>
      <c r="NTW35" s="1884"/>
      <c r="NTX35" s="1884"/>
      <c r="NTY35" s="1884"/>
      <c r="NTZ35" s="1884"/>
      <c r="NUA35" s="1884"/>
      <c r="NUB35" s="1884"/>
      <c r="NUC35" s="1884"/>
      <c r="NUD35" s="1884"/>
      <c r="NUE35" s="1884"/>
      <c r="NUF35" s="1884"/>
      <c r="NUG35" s="1884"/>
      <c r="NUH35" s="1884"/>
      <c r="NUI35" s="1884"/>
      <c r="NUJ35" s="1884"/>
      <c r="NUK35" s="1884"/>
      <c r="NUL35" s="1884"/>
      <c r="NUM35" s="1884"/>
      <c r="NUN35" s="1884"/>
      <c r="NUO35" s="1884"/>
      <c r="NUP35" s="1884"/>
      <c r="NUQ35" s="1884"/>
      <c r="NUR35" s="1884"/>
      <c r="NUS35" s="1884"/>
      <c r="NUT35" s="1884"/>
      <c r="NUU35" s="1884"/>
      <c r="NUV35" s="1884"/>
      <c r="NUW35" s="1884"/>
      <c r="NUX35" s="1884"/>
      <c r="NUY35" s="1884"/>
      <c r="NUZ35" s="1884"/>
      <c r="NVA35" s="1884"/>
      <c r="NVB35" s="1884"/>
      <c r="NVC35" s="1884"/>
      <c r="NVD35" s="1884"/>
      <c r="NVE35" s="1884"/>
      <c r="NVF35" s="1884"/>
      <c r="NVG35" s="1884"/>
      <c r="NVH35" s="1884"/>
      <c r="NVI35" s="1884"/>
      <c r="NVJ35" s="1884"/>
      <c r="NVK35" s="1884"/>
      <c r="NVL35" s="1884"/>
      <c r="NVM35" s="1884"/>
      <c r="NVN35" s="1884"/>
      <c r="NVO35" s="1884"/>
      <c r="NVP35" s="1884"/>
      <c r="NVQ35" s="1884"/>
      <c r="NVR35" s="1884"/>
      <c r="NVS35" s="1884"/>
      <c r="NVT35" s="1884"/>
      <c r="NVU35" s="1884"/>
      <c r="NVV35" s="1884"/>
      <c r="NVW35" s="1884"/>
      <c r="NVX35" s="1884"/>
      <c r="NVY35" s="1884"/>
      <c r="NVZ35" s="1884"/>
      <c r="NWA35" s="1884"/>
      <c r="NWB35" s="1884"/>
      <c r="NWC35" s="1884"/>
      <c r="NWD35" s="1884"/>
      <c r="NWE35" s="1884"/>
      <c r="NWF35" s="1884"/>
      <c r="NWG35" s="1884"/>
      <c r="NWH35" s="1884"/>
      <c r="NWI35" s="1884"/>
      <c r="NWJ35" s="1884"/>
      <c r="NWK35" s="1884"/>
      <c r="NWL35" s="1884"/>
      <c r="NWM35" s="1884"/>
      <c r="NWN35" s="1884"/>
      <c r="NWO35" s="1884"/>
      <c r="NWP35" s="1884"/>
      <c r="NWQ35" s="1884"/>
      <c r="NWR35" s="1884"/>
      <c r="NWS35" s="1884"/>
      <c r="NWT35" s="1884"/>
      <c r="NWU35" s="1884"/>
      <c r="NWV35" s="1884"/>
      <c r="NWW35" s="1884"/>
      <c r="NWX35" s="1884"/>
      <c r="NWY35" s="1884"/>
      <c r="NWZ35" s="1884"/>
      <c r="NXA35" s="1884"/>
      <c r="NXB35" s="1884"/>
      <c r="NXC35" s="1884"/>
      <c r="NXD35" s="1884"/>
      <c r="NXE35" s="1884"/>
      <c r="NXF35" s="1884"/>
      <c r="NXG35" s="1884"/>
      <c r="NXH35" s="1884"/>
      <c r="NXI35" s="1884"/>
      <c r="NXJ35" s="1884"/>
      <c r="NXK35" s="1884"/>
      <c r="NXL35" s="1884"/>
      <c r="NXM35" s="1884"/>
      <c r="NXN35" s="1884"/>
      <c r="NXO35" s="1884"/>
      <c r="NXP35" s="1884"/>
      <c r="NXQ35" s="1884"/>
      <c r="NXR35" s="1884"/>
      <c r="NXS35" s="1884"/>
      <c r="NXT35" s="1884"/>
      <c r="NXU35" s="1884"/>
      <c r="NXV35" s="1884"/>
      <c r="NXW35" s="1884"/>
      <c r="NXX35" s="1884"/>
      <c r="NXY35" s="1884"/>
      <c r="NXZ35" s="1884"/>
      <c r="NYA35" s="1884"/>
      <c r="NYB35" s="1884"/>
      <c r="NYC35" s="1884"/>
      <c r="NYD35" s="1884"/>
      <c r="NYE35" s="1884"/>
      <c r="NYF35" s="1884"/>
      <c r="NYG35" s="1884"/>
      <c r="NYH35" s="1884"/>
      <c r="NYI35" s="1884"/>
      <c r="NYJ35" s="1884"/>
      <c r="NYK35" s="1884"/>
      <c r="NYL35" s="1884"/>
      <c r="NYM35" s="1884"/>
      <c r="NYN35" s="1884"/>
      <c r="NYO35" s="1884"/>
      <c r="NYP35" s="1884"/>
      <c r="NYQ35" s="1884"/>
      <c r="NYR35" s="1884"/>
      <c r="NYS35" s="1884"/>
      <c r="NYT35" s="1884"/>
      <c r="NYU35" s="1884"/>
      <c r="NYV35" s="1884"/>
      <c r="NYW35" s="1884"/>
      <c r="NYX35" s="1884"/>
      <c r="NYY35" s="1884"/>
      <c r="NYZ35" s="1884"/>
      <c r="NZA35" s="1884"/>
      <c r="NZB35" s="1884"/>
      <c r="NZC35" s="1884"/>
      <c r="NZD35" s="1884"/>
      <c r="NZE35" s="1884"/>
      <c r="NZF35" s="1884"/>
      <c r="NZG35" s="1884"/>
      <c r="NZH35" s="1884"/>
      <c r="NZI35" s="1884"/>
      <c r="NZJ35" s="1884"/>
      <c r="NZK35" s="1884"/>
      <c r="NZL35" s="1884"/>
      <c r="NZM35" s="1884"/>
      <c r="NZN35" s="1884"/>
      <c r="NZO35" s="1884"/>
      <c r="NZP35" s="1884"/>
      <c r="NZQ35" s="1884"/>
      <c r="NZR35" s="1884"/>
      <c r="NZS35" s="1884"/>
      <c r="NZT35" s="1884"/>
      <c r="NZU35" s="1884"/>
      <c r="NZV35" s="1884"/>
      <c r="NZW35" s="1884"/>
      <c r="NZX35" s="1884"/>
      <c r="NZY35" s="1884"/>
      <c r="NZZ35" s="1884"/>
      <c r="OAA35" s="1884"/>
      <c r="OAB35" s="1884"/>
      <c r="OAC35" s="1884"/>
      <c r="OAD35" s="1884"/>
      <c r="OAE35" s="1884"/>
      <c r="OAF35" s="1884"/>
      <c r="OAG35" s="1884"/>
      <c r="OAH35" s="1884"/>
      <c r="OAI35" s="1884"/>
      <c r="OAJ35" s="1884"/>
      <c r="OAK35" s="1884"/>
      <c r="OAL35" s="1884"/>
      <c r="OAM35" s="1884"/>
      <c r="OAN35" s="1884"/>
      <c r="OAO35" s="1884"/>
      <c r="OAP35" s="1884"/>
      <c r="OAQ35" s="1884"/>
      <c r="OAR35" s="1884"/>
      <c r="OAS35" s="1884"/>
      <c r="OAT35" s="1884"/>
      <c r="OAU35" s="1884"/>
      <c r="OAV35" s="1884"/>
      <c r="OAW35" s="1884"/>
      <c r="OAX35" s="1884"/>
      <c r="OAY35" s="1884"/>
      <c r="OAZ35" s="1884"/>
      <c r="OBA35" s="1884"/>
      <c r="OBB35" s="1884"/>
      <c r="OBC35" s="1884"/>
      <c r="OBD35" s="1884"/>
      <c r="OBE35" s="1884"/>
      <c r="OBF35" s="1884"/>
      <c r="OBG35" s="1884"/>
      <c r="OBH35" s="1884"/>
      <c r="OBI35" s="1884"/>
      <c r="OBJ35" s="1884"/>
      <c r="OBK35" s="1884"/>
      <c r="OBL35" s="1884"/>
      <c r="OBM35" s="1884"/>
      <c r="OBN35" s="1884"/>
      <c r="OBO35" s="1884"/>
      <c r="OBP35" s="1884"/>
      <c r="OBQ35" s="1884"/>
      <c r="OBR35" s="1884"/>
      <c r="OBS35" s="1884"/>
      <c r="OBT35" s="1884"/>
      <c r="OBU35" s="1884"/>
      <c r="OBV35" s="1884"/>
      <c r="OBW35" s="1884"/>
      <c r="OBX35" s="1884"/>
      <c r="OBY35" s="1884"/>
      <c r="OBZ35" s="1884"/>
      <c r="OCA35" s="1884"/>
      <c r="OCB35" s="1884"/>
      <c r="OCC35" s="1884"/>
      <c r="OCD35" s="1884"/>
      <c r="OCE35" s="1884"/>
      <c r="OCF35" s="1884"/>
      <c r="OCG35" s="1884"/>
      <c r="OCH35" s="1884"/>
      <c r="OCI35" s="1884"/>
      <c r="OCJ35" s="1884"/>
      <c r="OCK35" s="1884"/>
      <c r="OCL35" s="1884"/>
      <c r="OCM35" s="1884"/>
      <c r="OCN35" s="1884"/>
      <c r="OCO35" s="1884"/>
      <c r="OCP35" s="1884"/>
      <c r="OCQ35" s="1884"/>
      <c r="OCR35" s="1884"/>
      <c r="OCS35" s="1884"/>
      <c r="OCT35" s="1884"/>
      <c r="OCU35" s="1884"/>
      <c r="OCV35" s="1884"/>
      <c r="OCW35" s="1884"/>
      <c r="OCX35" s="1884"/>
      <c r="OCY35" s="1884"/>
      <c r="OCZ35" s="1884"/>
      <c r="ODA35" s="1884"/>
      <c r="ODB35" s="1884"/>
      <c r="ODC35" s="1884"/>
      <c r="ODD35" s="1884"/>
      <c r="ODE35" s="1884"/>
      <c r="ODF35" s="1884"/>
      <c r="ODG35" s="1884"/>
      <c r="ODH35" s="1884"/>
      <c r="ODI35" s="1884"/>
      <c r="ODJ35" s="1884"/>
      <c r="ODK35" s="1884"/>
      <c r="ODL35" s="1884"/>
      <c r="ODM35" s="1884"/>
      <c r="ODN35" s="1884"/>
      <c r="ODO35" s="1884"/>
      <c r="ODP35" s="1884"/>
      <c r="ODQ35" s="1884"/>
      <c r="ODR35" s="1884"/>
      <c r="ODS35" s="1884"/>
      <c r="ODT35" s="1884"/>
      <c r="ODU35" s="1884"/>
      <c r="ODV35" s="1884"/>
      <c r="ODW35" s="1884"/>
      <c r="ODX35" s="1884"/>
      <c r="ODY35" s="1884"/>
      <c r="ODZ35" s="1884"/>
      <c r="OEA35" s="1884"/>
      <c r="OEB35" s="1884"/>
      <c r="OEC35" s="1884"/>
      <c r="OED35" s="1884"/>
      <c r="OEE35" s="1884"/>
      <c r="OEF35" s="1884"/>
      <c r="OEG35" s="1884"/>
      <c r="OEH35" s="1884"/>
      <c r="OEI35" s="1884"/>
      <c r="OEJ35" s="1884"/>
      <c r="OEK35" s="1884"/>
      <c r="OEL35" s="1884"/>
      <c r="OEM35" s="1884"/>
      <c r="OEN35" s="1884"/>
      <c r="OEO35" s="1884"/>
      <c r="OEP35" s="1884"/>
      <c r="OEQ35" s="1884"/>
      <c r="OER35" s="1884"/>
      <c r="OES35" s="1884"/>
      <c r="OET35" s="1884"/>
      <c r="OEU35" s="1884"/>
      <c r="OEV35" s="1884"/>
      <c r="OEW35" s="1884"/>
      <c r="OEX35" s="1884"/>
      <c r="OEY35" s="1884"/>
      <c r="OEZ35" s="1884"/>
      <c r="OFA35" s="1884"/>
      <c r="OFB35" s="1884"/>
      <c r="OFC35" s="1884"/>
      <c r="OFD35" s="1884"/>
      <c r="OFE35" s="1884"/>
      <c r="OFF35" s="1884"/>
      <c r="OFG35" s="1884"/>
      <c r="OFH35" s="1884"/>
      <c r="OFI35" s="1884"/>
      <c r="OFJ35" s="1884"/>
      <c r="OFK35" s="1884"/>
      <c r="OFL35" s="1884"/>
      <c r="OFM35" s="1884"/>
      <c r="OFN35" s="1884"/>
      <c r="OFO35" s="1884"/>
      <c r="OFP35" s="1884"/>
      <c r="OFQ35" s="1884"/>
      <c r="OFR35" s="1884"/>
      <c r="OFS35" s="1884"/>
      <c r="OFT35" s="1884"/>
      <c r="OFU35" s="1884"/>
      <c r="OFV35" s="1884"/>
      <c r="OFW35" s="1884"/>
      <c r="OFX35" s="1884"/>
      <c r="OFY35" s="1884"/>
      <c r="OFZ35" s="1884"/>
      <c r="OGA35" s="1884"/>
      <c r="OGB35" s="1884"/>
      <c r="OGC35" s="1884"/>
      <c r="OGD35" s="1884"/>
      <c r="OGE35" s="1884"/>
      <c r="OGF35" s="1884"/>
      <c r="OGG35" s="1884"/>
      <c r="OGH35" s="1884"/>
      <c r="OGI35" s="1884"/>
      <c r="OGJ35" s="1884"/>
      <c r="OGK35" s="1884"/>
      <c r="OGL35" s="1884"/>
      <c r="OGM35" s="1884"/>
      <c r="OGN35" s="1884"/>
      <c r="OGO35" s="1884"/>
      <c r="OGP35" s="1884"/>
      <c r="OGQ35" s="1884"/>
      <c r="OGR35" s="1884"/>
      <c r="OGS35" s="1884"/>
      <c r="OGT35" s="1884"/>
      <c r="OGU35" s="1884"/>
      <c r="OGV35" s="1884"/>
      <c r="OGW35" s="1884"/>
      <c r="OGX35" s="1884"/>
      <c r="OGY35" s="1884"/>
      <c r="OGZ35" s="1884"/>
      <c r="OHA35" s="1884"/>
      <c r="OHB35" s="1884"/>
      <c r="OHC35" s="1884"/>
      <c r="OHD35" s="1884"/>
      <c r="OHE35" s="1884"/>
      <c r="OHF35" s="1884"/>
      <c r="OHG35" s="1884"/>
      <c r="OHH35" s="1884"/>
      <c r="OHI35" s="1884"/>
      <c r="OHJ35" s="1884"/>
      <c r="OHK35" s="1884"/>
      <c r="OHL35" s="1884"/>
      <c r="OHM35" s="1884"/>
      <c r="OHN35" s="1884"/>
      <c r="OHO35" s="1884"/>
      <c r="OHP35" s="1884"/>
      <c r="OHQ35" s="1884"/>
      <c r="OHR35" s="1884"/>
      <c r="OHS35" s="1884"/>
      <c r="OHT35" s="1884"/>
      <c r="OHU35" s="1884"/>
      <c r="OHV35" s="1884"/>
      <c r="OHW35" s="1884"/>
      <c r="OHX35" s="1884"/>
      <c r="OHY35" s="1884"/>
      <c r="OHZ35" s="1884"/>
      <c r="OIA35" s="1884"/>
      <c r="OIB35" s="1884"/>
      <c r="OIC35" s="1884"/>
      <c r="OID35" s="1884"/>
      <c r="OIE35" s="1884"/>
      <c r="OIF35" s="1884"/>
      <c r="OIG35" s="1884"/>
      <c r="OIH35" s="1884"/>
      <c r="OII35" s="1884"/>
      <c r="OIJ35" s="1884"/>
      <c r="OIK35" s="1884"/>
      <c r="OIL35" s="1884"/>
      <c r="OIM35" s="1884"/>
      <c r="OIN35" s="1884"/>
      <c r="OIO35" s="1884"/>
      <c r="OIP35" s="1884"/>
      <c r="OIQ35" s="1884"/>
      <c r="OIR35" s="1884"/>
      <c r="OIS35" s="1884"/>
      <c r="OIT35" s="1884"/>
      <c r="OIU35" s="1884"/>
      <c r="OIV35" s="1884"/>
      <c r="OIW35" s="1884"/>
      <c r="OIX35" s="1884"/>
      <c r="OIY35" s="1884"/>
      <c r="OIZ35" s="1884"/>
      <c r="OJA35" s="1884"/>
      <c r="OJB35" s="1884"/>
      <c r="OJC35" s="1884"/>
      <c r="OJD35" s="1884"/>
      <c r="OJE35" s="1884"/>
      <c r="OJF35" s="1884"/>
      <c r="OJG35" s="1884"/>
      <c r="OJH35" s="1884"/>
      <c r="OJI35" s="1884"/>
      <c r="OJJ35" s="1884"/>
      <c r="OJK35" s="1884"/>
      <c r="OJL35" s="1884"/>
      <c r="OJM35" s="1884"/>
      <c r="OJN35" s="1884"/>
      <c r="OJO35" s="1884"/>
      <c r="OJP35" s="1884"/>
      <c r="OJQ35" s="1884"/>
      <c r="OJR35" s="1884"/>
      <c r="OJS35" s="1884"/>
      <c r="OJT35" s="1884"/>
      <c r="OJU35" s="1884"/>
      <c r="OJV35" s="1884"/>
      <c r="OJW35" s="1884"/>
      <c r="OJX35" s="1884"/>
      <c r="OJY35" s="1884"/>
      <c r="OJZ35" s="1884"/>
      <c r="OKA35" s="1884"/>
      <c r="OKB35" s="1884"/>
      <c r="OKC35" s="1884"/>
      <c r="OKD35" s="1884"/>
      <c r="OKE35" s="1884"/>
      <c r="OKF35" s="1884"/>
      <c r="OKG35" s="1884"/>
      <c r="OKH35" s="1884"/>
      <c r="OKI35" s="1884"/>
      <c r="OKJ35" s="1884"/>
      <c r="OKK35" s="1884"/>
      <c r="OKL35" s="1884"/>
      <c r="OKM35" s="1884"/>
      <c r="OKN35" s="1884"/>
      <c r="OKO35" s="1884"/>
      <c r="OKP35" s="1884"/>
      <c r="OKQ35" s="1884"/>
      <c r="OKR35" s="1884"/>
      <c r="OKS35" s="1884"/>
      <c r="OKT35" s="1884"/>
      <c r="OKU35" s="1884"/>
      <c r="OKV35" s="1884"/>
      <c r="OKW35" s="1884"/>
      <c r="OKX35" s="1884"/>
      <c r="OKY35" s="1884"/>
      <c r="OKZ35" s="1884"/>
      <c r="OLA35" s="1884"/>
      <c r="OLB35" s="1884"/>
      <c r="OLC35" s="1884"/>
      <c r="OLD35" s="1884"/>
      <c r="OLE35" s="1884"/>
      <c r="OLF35" s="1884"/>
      <c r="OLG35" s="1884"/>
      <c r="OLH35" s="1884"/>
      <c r="OLI35" s="1884"/>
      <c r="OLJ35" s="1884"/>
      <c r="OLK35" s="1884"/>
      <c r="OLL35" s="1884"/>
      <c r="OLM35" s="1884"/>
      <c r="OLN35" s="1884"/>
      <c r="OLO35" s="1884"/>
      <c r="OLP35" s="1884"/>
      <c r="OLQ35" s="1884"/>
      <c r="OLR35" s="1884"/>
      <c r="OLS35" s="1884"/>
      <c r="OLT35" s="1884"/>
      <c r="OLU35" s="1884"/>
      <c r="OLV35" s="1884"/>
      <c r="OLW35" s="1884"/>
      <c r="OLX35" s="1884"/>
      <c r="OLY35" s="1884"/>
      <c r="OLZ35" s="1884"/>
      <c r="OMA35" s="1884"/>
      <c r="OMB35" s="1884"/>
      <c r="OMC35" s="1884"/>
      <c r="OMD35" s="1884"/>
      <c r="OME35" s="1884"/>
      <c r="OMF35" s="1884"/>
      <c r="OMG35" s="1884"/>
      <c r="OMH35" s="1884"/>
      <c r="OMI35" s="1884"/>
      <c r="OMJ35" s="1884"/>
      <c r="OMK35" s="1884"/>
      <c r="OML35" s="1884"/>
      <c r="OMM35" s="1884"/>
      <c r="OMN35" s="1884"/>
      <c r="OMO35" s="1884"/>
      <c r="OMP35" s="1884"/>
      <c r="OMQ35" s="1884"/>
      <c r="OMR35" s="1884"/>
      <c r="OMS35" s="1884"/>
      <c r="OMT35" s="1884"/>
      <c r="OMU35" s="1884"/>
      <c r="OMV35" s="1884"/>
      <c r="OMW35" s="1884"/>
      <c r="OMX35" s="1884"/>
      <c r="OMY35" s="1884"/>
      <c r="OMZ35" s="1884"/>
      <c r="ONA35" s="1884"/>
      <c r="ONB35" s="1884"/>
      <c r="ONC35" s="1884"/>
      <c r="OND35" s="1884"/>
      <c r="ONE35" s="1884"/>
      <c r="ONF35" s="1884"/>
      <c r="ONG35" s="1884"/>
      <c r="ONH35" s="1884"/>
      <c r="ONI35" s="1884"/>
      <c r="ONJ35" s="1884"/>
      <c r="ONK35" s="1884"/>
      <c r="ONL35" s="1884"/>
      <c r="ONM35" s="1884"/>
      <c r="ONN35" s="1884"/>
      <c r="ONO35" s="1884"/>
      <c r="ONP35" s="1884"/>
      <c r="ONQ35" s="1884"/>
      <c r="ONR35" s="1884"/>
      <c r="ONS35" s="1884"/>
      <c r="ONT35" s="1884"/>
      <c r="ONU35" s="1884"/>
      <c r="ONV35" s="1884"/>
      <c r="ONW35" s="1884"/>
      <c r="ONX35" s="1884"/>
      <c r="ONY35" s="1884"/>
      <c r="ONZ35" s="1884"/>
      <c r="OOA35" s="1884"/>
      <c r="OOB35" s="1884"/>
      <c r="OOC35" s="1884"/>
      <c r="OOD35" s="1884"/>
      <c r="OOE35" s="1884"/>
      <c r="OOF35" s="1884"/>
      <c r="OOG35" s="1884"/>
      <c r="OOH35" s="1884"/>
      <c r="OOI35" s="1884"/>
      <c r="OOJ35" s="1884"/>
      <c r="OOK35" s="1884"/>
      <c r="OOL35" s="1884"/>
      <c r="OOM35" s="1884"/>
      <c r="OON35" s="1884"/>
      <c r="OOO35" s="1884"/>
      <c r="OOP35" s="1884"/>
      <c r="OOQ35" s="1884"/>
      <c r="OOR35" s="1884"/>
      <c r="OOS35" s="1884"/>
      <c r="OOT35" s="1884"/>
      <c r="OOU35" s="1884"/>
      <c r="OOV35" s="1884"/>
      <c r="OOW35" s="1884"/>
      <c r="OOX35" s="1884"/>
      <c r="OOY35" s="1884"/>
      <c r="OOZ35" s="1884"/>
      <c r="OPA35" s="1884"/>
      <c r="OPB35" s="1884"/>
      <c r="OPC35" s="1884"/>
      <c r="OPD35" s="1884"/>
      <c r="OPE35" s="1884"/>
      <c r="OPF35" s="1884"/>
      <c r="OPG35" s="1884"/>
      <c r="OPH35" s="1884"/>
      <c r="OPI35" s="1884"/>
      <c r="OPJ35" s="1884"/>
      <c r="OPK35" s="1884"/>
      <c r="OPL35" s="1884"/>
      <c r="OPM35" s="1884"/>
      <c r="OPN35" s="1884"/>
      <c r="OPO35" s="1884"/>
      <c r="OPP35" s="1884"/>
      <c r="OPQ35" s="1884"/>
      <c r="OPR35" s="1884"/>
      <c r="OPS35" s="1884"/>
      <c r="OPT35" s="1884"/>
      <c r="OPU35" s="1884"/>
      <c r="OPV35" s="1884"/>
      <c r="OPW35" s="1884"/>
      <c r="OPX35" s="1884"/>
      <c r="OPY35" s="1884"/>
      <c r="OPZ35" s="1884"/>
      <c r="OQA35" s="1884"/>
      <c r="OQB35" s="1884"/>
      <c r="OQC35" s="1884"/>
      <c r="OQD35" s="1884"/>
      <c r="OQE35" s="1884"/>
      <c r="OQF35" s="1884"/>
      <c r="OQG35" s="1884"/>
      <c r="OQH35" s="1884"/>
      <c r="OQI35" s="1884"/>
      <c r="OQJ35" s="1884"/>
      <c r="OQK35" s="1884"/>
      <c r="OQL35" s="1884"/>
      <c r="OQM35" s="1884"/>
      <c r="OQN35" s="1884"/>
      <c r="OQO35" s="1884"/>
      <c r="OQP35" s="1884"/>
      <c r="OQQ35" s="1884"/>
      <c r="OQR35" s="1884"/>
      <c r="OQS35" s="1884"/>
      <c r="OQT35" s="1884"/>
      <c r="OQU35" s="1884"/>
      <c r="OQV35" s="1884"/>
      <c r="OQW35" s="1884"/>
      <c r="OQX35" s="1884"/>
      <c r="OQY35" s="1884"/>
      <c r="OQZ35" s="1884"/>
      <c r="ORA35" s="1884"/>
      <c r="ORB35" s="1884"/>
      <c r="ORC35" s="1884"/>
      <c r="ORD35" s="1884"/>
      <c r="ORE35" s="1884"/>
      <c r="ORF35" s="1884"/>
      <c r="ORG35" s="1884"/>
      <c r="ORH35" s="1884"/>
      <c r="ORI35" s="1884"/>
      <c r="ORJ35" s="1884"/>
      <c r="ORK35" s="1884"/>
      <c r="ORL35" s="1884"/>
      <c r="ORM35" s="1884"/>
      <c r="ORN35" s="1884"/>
      <c r="ORO35" s="1884"/>
      <c r="ORP35" s="1884"/>
      <c r="ORQ35" s="1884"/>
      <c r="ORR35" s="1884"/>
      <c r="ORS35" s="1884"/>
      <c r="ORT35" s="1884"/>
      <c r="ORU35" s="1884"/>
      <c r="ORV35" s="1884"/>
      <c r="ORW35" s="1884"/>
      <c r="ORX35" s="1884"/>
      <c r="ORY35" s="1884"/>
      <c r="ORZ35" s="1884"/>
      <c r="OSA35" s="1884"/>
      <c r="OSB35" s="1884"/>
      <c r="OSC35" s="1884"/>
      <c r="OSD35" s="1884"/>
      <c r="OSE35" s="1884"/>
      <c r="OSF35" s="1884"/>
      <c r="OSG35" s="1884"/>
      <c r="OSH35" s="1884"/>
      <c r="OSI35" s="1884"/>
      <c r="OSJ35" s="1884"/>
      <c r="OSK35" s="1884"/>
      <c r="OSL35" s="1884"/>
      <c r="OSM35" s="1884"/>
      <c r="OSN35" s="1884"/>
      <c r="OSO35" s="1884"/>
      <c r="OSP35" s="1884"/>
      <c r="OSQ35" s="1884"/>
      <c r="OSR35" s="1884"/>
      <c r="OSS35" s="1884"/>
      <c r="OST35" s="1884"/>
      <c r="OSU35" s="1884"/>
      <c r="OSV35" s="1884"/>
      <c r="OSW35" s="1884"/>
      <c r="OSX35" s="1884"/>
      <c r="OSY35" s="1884"/>
      <c r="OSZ35" s="1884"/>
      <c r="OTA35" s="1884"/>
      <c r="OTB35" s="1884"/>
      <c r="OTC35" s="1884"/>
      <c r="OTD35" s="1884"/>
      <c r="OTE35" s="1884"/>
      <c r="OTF35" s="1884"/>
      <c r="OTG35" s="1884"/>
      <c r="OTH35" s="1884"/>
      <c r="OTI35" s="1884"/>
      <c r="OTJ35" s="1884"/>
      <c r="OTK35" s="1884"/>
      <c r="OTL35" s="1884"/>
      <c r="OTM35" s="1884"/>
      <c r="OTN35" s="1884"/>
      <c r="OTO35" s="1884"/>
      <c r="OTP35" s="1884"/>
      <c r="OTQ35" s="1884"/>
      <c r="OTR35" s="1884"/>
      <c r="OTS35" s="1884"/>
      <c r="OTT35" s="1884"/>
      <c r="OTU35" s="1884"/>
      <c r="OTV35" s="1884"/>
      <c r="OTW35" s="1884"/>
      <c r="OTX35" s="1884"/>
      <c r="OTY35" s="1884"/>
      <c r="OTZ35" s="1884"/>
      <c r="OUA35" s="1884"/>
      <c r="OUB35" s="1884"/>
      <c r="OUC35" s="1884"/>
      <c r="OUD35" s="1884"/>
      <c r="OUE35" s="1884"/>
      <c r="OUF35" s="1884"/>
      <c r="OUG35" s="1884"/>
      <c r="OUH35" s="1884"/>
      <c r="OUI35" s="1884"/>
      <c r="OUJ35" s="1884"/>
      <c r="OUK35" s="1884"/>
      <c r="OUL35" s="1884"/>
      <c r="OUM35" s="1884"/>
      <c r="OUN35" s="1884"/>
      <c r="OUO35" s="1884"/>
      <c r="OUP35" s="1884"/>
      <c r="OUQ35" s="1884"/>
      <c r="OUR35" s="1884"/>
      <c r="OUS35" s="1884"/>
      <c r="OUT35" s="1884"/>
      <c r="OUU35" s="1884"/>
      <c r="OUV35" s="1884"/>
      <c r="OUW35" s="1884"/>
      <c r="OUX35" s="1884"/>
      <c r="OUY35" s="1884"/>
      <c r="OUZ35" s="1884"/>
      <c r="OVA35" s="1884"/>
      <c r="OVB35" s="1884"/>
      <c r="OVC35" s="1884"/>
      <c r="OVD35" s="1884"/>
      <c r="OVE35" s="1884"/>
      <c r="OVF35" s="1884"/>
      <c r="OVG35" s="1884"/>
      <c r="OVH35" s="1884"/>
      <c r="OVI35" s="1884"/>
      <c r="OVJ35" s="1884"/>
      <c r="OVK35" s="1884"/>
      <c r="OVL35" s="1884"/>
      <c r="OVM35" s="1884"/>
      <c r="OVN35" s="1884"/>
      <c r="OVO35" s="1884"/>
      <c r="OVP35" s="1884"/>
      <c r="OVQ35" s="1884"/>
      <c r="OVR35" s="1884"/>
      <c r="OVS35" s="1884"/>
      <c r="OVT35" s="1884"/>
      <c r="OVU35" s="1884"/>
      <c r="OVV35" s="1884"/>
      <c r="OVW35" s="1884"/>
      <c r="OVX35" s="1884"/>
      <c r="OVY35" s="1884"/>
      <c r="OVZ35" s="1884"/>
      <c r="OWA35" s="1884"/>
      <c r="OWB35" s="1884"/>
      <c r="OWC35" s="1884"/>
      <c r="OWD35" s="1884"/>
      <c r="OWE35" s="1884"/>
      <c r="OWF35" s="1884"/>
      <c r="OWG35" s="1884"/>
      <c r="OWH35" s="1884"/>
      <c r="OWI35" s="1884"/>
      <c r="OWJ35" s="1884"/>
      <c r="OWK35" s="1884"/>
      <c r="OWL35" s="1884"/>
      <c r="OWM35" s="1884"/>
      <c r="OWN35" s="1884"/>
      <c r="OWO35" s="1884"/>
      <c r="OWP35" s="1884"/>
      <c r="OWQ35" s="1884"/>
      <c r="OWR35" s="1884"/>
      <c r="OWS35" s="1884"/>
      <c r="OWT35" s="1884"/>
      <c r="OWU35" s="1884"/>
      <c r="OWV35" s="1884"/>
      <c r="OWW35" s="1884"/>
      <c r="OWX35" s="1884"/>
      <c r="OWY35" s="1884"/>
      <c r="OWZ35" s="1884"/>
      <c r="OXA35" s="1884"/>
      <c r="OXB35" s="1884"/>
      <c r="OXC35" s="1884"/>
      <c r="OXD35" s="1884"/>
      <c r="OXE35" s="1884"/>
      <c r="OXF35" s="1884"/>
      <c r="OXG35" s="1884"/>
      <c r="OXH35" s="1884"/>
      <c r="OXI35" s="1884"/>
      <c r="OXJ35" s="1884"/>
      <c r="OXK35" s="1884"/>
      <c r="OXL35" s="1884"/>
      <c r="OXM35" s="1884"/>
      <c r="OXN35" s="1884"/>
      <c r="OXO35" s="1884"/>
      <c r="OXP35" s="1884"/>
      <c r="OXQ35" s="1884"/>
      <c r="OXR35" s="1884"/>
      <c r="OXS35" s="1884"/>
      <c r="OXT35" s="1884"/>
      <c r="OXU35" s="1884"/>
      <c r="OXV35" s="1884"/>
      <c r="OXW35" s="1884"/>
      <c r="OXX35" s="1884"/>
      <c r="OXY35" s="1884"/>
      <c r="OXZ35" s="1884"/>
      <c r="OYA35" s="1884"/>
      <c r="OYB35" s="1884"/>
      <c r="OYC35" s="1884"/>
      <c r="OYD35" s="1884"/>
      <c r="OYE35" s="1884"/>
      <c r="OYF35" s="1884"/>
      <c r="OYG35" s="1884"/>
      <c r="OYH35" s="1884"/>
      <c r="OYI35" s="1884"/>
      <c r="OYJ35" s="1884"/>
      <c r="OYK35" s="1884"/>
      <c r="OYL35" s="1884"/>
      <c r="OYM35" s="1884"/>
      <c r="OYN35" s="1884"/>
      <c r="OYO35" s="1884"/>
      <c r="OYP35" s="1884"/>
      <c r="OYQ35" s="1884"/>
      <c r="OYR35" s="1884"/>
      <c r="OYS35" s="1884"/>
      <c r="OYT35" s="1884"/>
      <c r="OYU35" s="1884"/>
      <c r="OYV35" s="1884"/>
      <c r="OYW35" s="1884"/>
      <c r="OYX35" s="1884"/>
      <c r="OYY35" s="1884"/>
      <c r="OYZ35" s="1884"/>
      <c r="OZA35" s="1884"/>
      <c r="OZB35" s="1884"/>
      <c r="OZC35" s="1884"/>
      <c r="OZD35" s="1884"/>
      <c r="OZE35" s="1884"/>
      <c r="OZF35" s="1884"/>
      <c r="OZG35" s="1884"/>
      <c r="OZH35" s="1884"/>
      <c r="OZI35" s="1884"/>
      <c r="OZJ35" s="1884"/>
      <c r="OZK35" s="1884"/>
      <c r="OZL35" s="1884"/>
      <c r="OZM35" s="1884"/>
      <c r="OZN35" s="1884"/>
      <c r="OZO35" s="1884"/>
      <c r="OZP35" s="1884"/>
      <c r="OZQ35" s="1884"/>
      <c r="OZR35" s="1884"/>
      <c r="OZS35" s="1884"/>
      <c r="OZT35" s="1884"/>
      <c r="OZU35" s="1884"/>
      <c r="OZV35" s="1884"/>
      <c r="OZW35" s="1884"/>
      <c r="OZX35" s="1884"/>
      <c r="OZY35" s="1884"/>
      <c r="OZZ35" s="1884"/>
      <c r="PAA35" s="1884"/>
      <c r="PAB35" s="1884"/>
      <c r="PAC35" s="1884"/>
      <c r="PAD35" s="1884"/>
      <c r="PAE35" s="1884"/>
      <c r="PAF35" s="1884"/>
      <c r="PAG35" s="1884"/>
      <c r="PAH35" s="1884"/>
      <c r="PAI35" s="1884"/>
      <c r="PAJ35" s="1884"/>
      <c r="PAK35" s="1884"/>
      <c r="PAL35" s="1884"/>
      <c r="PAM35" s="1884"/>
      <c r="PAN35" s="1884"/>
      <c r="PAO35" s="1884"/>
      <c r="PAP35" s="1884"/>
      <c r="PAQ35" s="1884"/>
      <c r="PAR35" s="1884"/>
      <c r="PAS35" s="1884"/>
      <c r="PAT35" s="1884"/>
      <c r="PAU35" s="1884"/>
      <c r="PAV35" s="1884"/>
      <c r="PAW35" s="1884"/>
      <c r="PAX35" s="1884"/>
      <c r="PAY35" s="1884"/>
      <c r="PAZ35" s="1884"/>
      <c r="PBA35" s="1884"/>
      <c r="PBB35" s="1884"/>
      <c r="PBC35" s="1884"/>
      <c r="PBD35" s="1884"/>
      <c r="PBE35" s="1884"/>
      <c r="PBF35" s="1884"/>
      <c r="PBG35" s="1884"/>
      <c r="PBH35" s="1884"/>
      <c r="PBI35" s="1884"/>
      <c r="PBJ35" s="1884"/>
      <c r="PBK35" s="1884"/>
      <c r="PBL35" s="1884"/>
      <c r="PBM35" s="1884"/>
      <c r="PBN35" s="1884"/>
      <c r="PBO35" s="1884"/>
      <c r="PBP35" s="1884"/>
      <c r="PBQ35" s="1884"/>
      <c r="PBR35" s="1884"/>
      <c r="PBS35" s="1884"/>
      <c r="PBT35" s="1884"/>
      <c r="PBU35" s="1884"/>
      <c r="PBV35" s="1884"/>
      <c r="PBW35" s="1884"/>
      <c r="PBX35" s="1884"/>
      <c r="PBY35" s="1884"/>
      <c r="PBZ35" s="1884"/>
      <c r="PCA35" s="1884"/>
      <c r="PCB35" s="1884"/>
      <c r="PCC35" s="1884"/>
      <c r="PCD35" s="1884"/>
      <c r="PCE35" s="1884"/>
      <c r="PCF35" s="1884"/>
      <c r="PCG35" s="1884"/>
      <c r="PCH35" s="1884"/>
      <c r="PCI35" s="1884"/>
      <c r="PCJ35" s="1884"/>
      <c r="PCK35" s="1884"/>
      <c r="PCL35" s="1884"/>
      <c r="PCM35" s="1884"/>
      <c r="PCN35" s="1884"/>
      <c r="PCO35" s="1884"/>
      <c r="PCP35" s="1884"/>
      <c r="PCQ35" s="1884"/>
      <c r="PCR35" s="1884"/>
      <c r="PCS35" s="1884"/>
      <c r="PCT35" s="1884"/>
      <c r="PCU35" s="1884"/>
      <c r="PCV35" s="1884"/>
      <c r="PCW35" s="1884"/>
      <c r="PCX35" s="1884"/>
      <c r="PCY35" s="1884"/>
      <c r="PCZ35" s="1884"/>
      <c r="PDA35" s="1884"/>
      <c r="PDB35" s="1884"/>
      <c r="PDC35" s="1884"/>
      <c r="PDD35" s="1884"/>
      <c r="PDE35" s="1884"/>
      <c r="PDF35" s="1884"/>
      <c r="PDG35" s="1884"/>
      <c r="PDH35" s="1884"/>
      <c r="PDI35" s="1884"/>
      <c r="PDJ35" s="1884"/>
      <c r="PDK35" s="1884"/>
      <c r="PDL35" s="1884"/>
      <c r="PDM35" s="1884"/>
      <c r="PDN35" s="1884"/>
      <c r="PDO35" s="1884"/>
      <c r="PDP35" s="1884"/>
      <c r="PDQ35" s="1884"/>
      <c r="PDR35" s="1884"/>
      <c r="PDS35" s="1884"/>
      <c r="PDT35" s="1884"/>
      <c r="PDU35" s="1884"/>
      <c r="PDV35" s="1884"/>
      <c r="PDW35" s="1884"/>
      <c r="PDX35" s="1884"/>
      <c r="PDY35" s="1884"/>
      <c r="PDZ35" s="1884"/>
      <c r="PEA35" s="1884"/>
      <c r="PEB35" s="1884"/>
      <c r="PEC35" s="1884"/>
      <c r="PED35" s="1884"/>
      <c r="PEE35" s="1884"/>
      <c r="PEF35" s="1884"/>
      <c r="PEG35" s="1884"/>
      <c r="PEH35" s="1884"/>
      <c r="PEI35" s="1884"/>
      <c r="PEJ35" s="1884"/>
      <c r="PEK35" s="1884"/>
      <c r="PEL35" s="1884"/>
      <c r="PEM35" s="1884"/>
      <c r="PEN35" s="1884"/>
      <c r="PEO35" s="1884"/>
      <c r="PEP35" s="1884"/>
      <c r="PEQ35" s="1884"/>
      <c r="PER35" s="1884"/>
      <c r="PES35" s="1884"/>
      <c r="PET35" s="1884"/>
      <c r="PEU35" s="1884"/>
      <c r="PEV35" s="1884"/>
      <c r="PEW35" s="1884"/>
      <c r="PEX35" s="1884"/>
      <c r="PEY35" s="1884"/>
      <c r="PEZ35" s="1884"/>
      <c r="PFA35" s="1884"/>
      <c r="PFB35" s="1884"/>
      <c r="PFC35" s="1884"/>
      <c r="PFD35" s="1884"/>
      <c r="PFE35" s="1884"/>
      <c r="PFF35" s="1884"/>
      <c r="PFG35" s="1884"/>
      <c r="PFH35" s="1884"/>
      <c r="PFI35" s="1884"/>
      <c r="PFJ35" s="1884"/>
      <c r="PFK35" s="1884"/>
      <c r="PFL35" s="1884"/>
      <c r="PFM35" s="1884"/>
      <c r="PFN35" s="1884"/>
      <c r="PFO35" s="1884"/>
      <c r="PFP35" s="1884"/>
      <c r="PFQ35" s="1884"/>
      <c r="PFR35" s="1884"/>
      <c r="PFS35" s="1884"/>
      <c r="PFT35" s="1884"/>
      <c r="PFU35" s="1884"/>
      <c r="PFV35" s="1884"/>
      <c r="PFW35" s="1884"/>
      <c r="PFX35" s="1884"/>
      <c r="PFY35" s="1884"/>
      <c r="PFZ35" s="1884"/>
      <c r="PGA35" s="1884"/>
      <c r="PGB35" s="1884"/>
      <c r="PGC35" s="1884"/>
      <c r="PGD35" s="1884"/>
      <c r="PGE35" s="1884"/>
      <c r="PGF35" s="1884"/>
      <c r="PGG35" s="1884"/>
      <c r="PGH35" s="1884"/>
      <c r="PGI35" s="1884"/>
      <c r="PGJ35" s="1884"/>
      <c r="PGK35" s="1884"/>
      <c r="PGL35" s="1884"/>
      <c r="PGM35" s="1884"/>
      <c r="PGN35" s="1884"/>
      <c r="PGO35" s="1884"/>
      <c r="PGP35" s="1884"/>
      <c r="PGQ35" s="1884"/>
      <c r="PGR35" s="1884"/>
      <c r="PGS35" s="1884"/>
      <c r="PGT35" s="1884"/>
      <c r="PGU35" s="1884"/>
      <c r="PGV35" s="1884"/>
      <c r="PGW35" s="1884"/>
      <c r="PGX35" s="1884"/>
      <c r="PGY35" s="1884"/>
      <c r="PGZ35" s="1884"/>
      <c r="PHA35" s="1884"/>
      <c r="PHB35" s="1884"/>
      <c r="PHC35" s="1884"/>
      <c r="PHD35" s="1884"/>
      <c r="PHE35" s="1884"/>
      <c r="PHF35" s="1884"/>
      <c r="PHG35" s="1884"/>
      <c r="PHH35" s="1884"/>
      <c r="PHI35" s="1884"/>
      <c r="PHJ35" s="1884"/>
      <c r="PHK35" s="1884"/>
      <c r="PHL35" s="1884"/>
      <c r="PHM35" s="1884"/>
      <c r="PHN35" s="1884"/>
      <c r="PHO35" s="1884"/>
      <c r="PHP35" s="1884"/>
      <c r="PHQ35" s="1884"/>
      <c r="PHR35" s="1884"/>
      <c r="PHS35" s="1884"/>
      <c r="PHT35" s="1884"/>
      <c r="PHU35" s="1884"/>
      <c r="PHV35" s="1884"/>
      <c r="PHW35" s="1884"/>
      <c r="PHX35" s="1884"/>
      <c r="PHY35" s="1884"/>
      <c r="PHZ35" s="1884"/>
      <c r="PIA35" s="1884"/>
      <c r="PIB35" s="1884"/>
      <c r="PIC35" s="1884"/>
      <c r="PID35" s="1884"/>
      <c r="PIE35" s="1884"/>
      <c r="PIF35" s="1884"/>
      <c r="PIG35" s="1884"/>
      <c r="PIH35" s="1884"/>
      <c r="PII35" s="1884"/>
      <c r="PIJ35" s="1884"/>
      <c r="PIK35" s="1884"/>
      <c r="PIL35" s="1884"/>
      <c r="PIM35" s="1884"/>
      <c r="PIN35" s="1884"/>
      <c r="PIO35" s="1884"/>
      <c r="PIP35" s="1884"/>
      <c r="PIQ35" s="1884"/>
      <c r="PIR35" s="1884"/>
      <c r="PIS35" s="1884"/>
      <c r="PIT35" s="1884"/>
      <c r="PIU35" s="1884"/>
      <c r="PIV35" s="1884"/>
      <c r="PIW35" s="1884"/>
      <c r="PIX35" s="1884"/>
      <c r="PIY35" s="1884"/>
      <c r="PIZ35" s="1884"/>
      <c r="PJA35" s="1884"/>
      <c r="PJB35" s="1884"/>
      <c r="PJC35" s="1884"/>
      <c r="PJD35" s="1884"/>
      <c r="PJE35" s="1884"/>
      <c r="PJF35" s="1884"/>
      <c r="PJG35" s="1884"/>
      <c r="PJH35" s="1884"/>
      <c r="PJI35" s="1884"/>
      <c r="PJJ35" s="1884"/>
      <c r="PJK35" s="1884"/>
      <c r="PJL35" s="1884"/>
      <c r="PJM35" s="1884"/>
      <c r="PJN35" s="1884"/>
      <c r="PJO35" s="1884"/>
      <c r="PJP35" s="1884"/>
      <c r="PJQ35" s="1884"/>
      <c r="PJR35" s="1884"/>
      <c r="PJS35" s="1884"/>
      <c r="PJT35" s="1884"/>
      <c r="PJU35" s="1884"/>
      <c r="PJV35" s="1884"/>
      <c r="PJW35" s="1884"/>
      <c r="PJX35" s="1884"/>
      <c r="PJY35" s="1884"/>
      <c r="PJZ35" s="1884"/>
      <c r="PKA35" s="1884"/>
      <c r="PKB35" s="1884"/>
      <c r="PKC35" s="1884"/>
      <c r="PKD35" s="1884"/>
      <c r="PKE35" s="1884"/>
      <c r="PKF35" s="1884"/>
      <c r="PKG35" s="1884"/>
      <c r="PKH35" s="1884"/>
      <c r="PKI35" s="1884"/>
      <c r="PKJ35" s="1884"/>
      <c r="PKK35" s="1884"/>
      <c r="PKL35" s="1884"/>
      <c r="PKM35" s="1884"/>
      <c r="PKN35" s="1884"/>
      <c r="PKO35" s="1884"/>
      <c r="PKP35" s="1884"/>
      <c r="PKQ35" s="1884"/>
      <c r="PKR35" s="1884"/>
      <c r="PKS35" s="1884"/>
      <c r="PKT35" s="1884"/>
      <c r="PKU35" s="1884"/>
      <c r="PKV35" s="1884"/>
      <c r="PKW35" s="1884"/>
      <c r="PKX35" s="1884"/>
      <c r="PKY35" s="1884"/>
      <c r="PKZ35" s="1884"/>
      <c r="PLA35" s="1884"/>
      <c r="PLB35" s="1884"/>
      <c r="PLC35" s="1884"/>
      <c r="PLD35" s="1884"/>
      <c r="PLE35" s="1884"/>
      <c r="PLF35" s="1884"/>
      <c r="PLG35" s="1884"/>
      <c r="PLH35" s="1884"/>
      <c r="PLI35" s="1884"/>
      <c r="PLJ35" s="1884"/>
      <c r="PLK35" s="1884"/>
      <c r="PLL35" s="1884"/>
      <c r="PLM35" s="1884"/>
      <c r="PLN35" s="1884"/>
      <c r="PLO35" s="1884"/>
      <c r="PLP35" s="1884"/>
      <c r="PLQ35" s="1884"/>
      <c r="PLR35" s="1884"/>
      <c r="PLS35" s="1884"/>
      <c r="PLT35" s="1884"/>
      <c r="PLU35" s="1884"/>
      <c r="PLV35" s="1884"/>
      <c r="PLW35" s="1884"/>
      <c r="PLX35" s="1884"/>
      <c r="PLY35" s="1884"/>
      <c r="PLZ35" s="1884"/>
      <c r="PMA35" s="1884"/>
      <c r="PMB35" s="1884"/>
      <c r="PMC35" s="1884"/>
      <c r="PMD35" s="1884"/>
      <c r="PME35" s="1884"/>
      <c r="PMF35" s="1884"/>
      <c r="PMG35" s="1884"/>
      <c r="PMH35" s="1884"/>
      <c r="PMI35" s="1884"/>
      <c r="PMJ35" s="1884"/>
      <c r="PMK35" s="1884"/>
      <c r="PML35" s="1884"/>
      <c r="PMM35" s="1884"/>
      <c r="PMN35" s="1884"/>
      <c r="PMO35" s="1884"/>
      <c r="PMP35" s="1884"/>
      <c r="PMQ35" s="1884"/>
      <c r="PMR35" s="1884"/>
      <c r="PMS35" s="1884"/>
      <c r="PMT35" s="1884"/>
      <c r="PMU35" s="1884"/>
      <c r="PMV35" s="1884"/>
      <c r="PMW35" s="1884"/>
      <c r="PMX35" s="1884"/>
      <c r="PMY35" s="1884"/>
      <c r="PMZ35" s="1884"/>
      <c r="PNA35" s="1884"/>
      <c r="PNB35" s="1884"/>
      <c r="PNC35" s="1884"/>
      <c r="PND35" s="1884"/>
      <c r="PNE35" s="1884"/>
      <c r="PNF35" s="1884"/>
      <c r="PNG35" s="1884"/>
      <c r="PNH35" s="1884"/>
      <c r="PNI35" s="1884"/>
      <c r="PNJ35" s="1884"/>
      <c r="PNK35" s="1884"/>
      <c r="PNL35" s="1884"/>
      <c r="PNM35" s="1884"/>
      <c r="PNN35" s="1884"/>
      <c r="PNO35" s="1884"/>
      <c r="PNP35" s="1884"/>
      <c r="PNQ35" s="1884"/>
      <c r="PNR35" s="1884"/>
      <c r="PNS35" s="1884"/>
      <c r="PNT35" s="1884"/>
      <c r="PNU35" s="1884"/>
      <c r="PNV35" s="1884"/>
      <c r="PNW35" s="1884"/>
      <c r="PNX35" s="1884"/>
      <c r="PNY35" s="1884"/>
      <c r="PNZ35" s="1884"/>
      <c r="POA35" s="1884"/>
      <c r="POB35" s="1884"/>
      <c r="POC35" s="1884"/>
      <c r="POD35" s="1884"/>
      <c r="POE35" s="1884"/>
      <c r="POF35" s="1884"/>
      <c r="POG35" s="1884"/>
      <c r="POH35" s="1884"/>
      <c r="POI35" s="1884"/>
      <c r="POJ35" s="1884"/>
      <c r="POK35" s="1884"/>
      <c r="POL35" s="1884"/>
      <c r="POM35" s="1884"/>
      <c r="PON35" s="1884"/>
      <c r="POO35" s="1884"/>
      <c r="POP35" s="1884"/>
      <c r="POQ35" s="1884"/>
      <c r="POR35" s="1884"/>
      <c r="POS35" s="1884"/>
      <c r="POT35" s="1884"/>
      <c r="POU35" s="1884"/>
      <c r="POV35" s="1884"/>
      <c r="POW35" s="1884"/>
      <c r="POX35" s="1884"/>
      <c r="POY35" s="1884"/>
      <c r="POZ35" s="1884"/>
      <c r="PPA35" s="1884"/>
      <c r="PPB35" s="1884"/>
      <c r="PPC35" s="1884"/>
      <c r="PPD35" s="1884"/>
      <c r="PPE35" s="1884"/>
      <c r="PPF35" s="1884"/>
      <c r="PPG35" s="1884"/>
      <c r="PPH35" s="1884"/>
      <c r="PPI35" s="1884"/>
      <c r="PPJ35" s="1884"/>
      <c r="PPK35" s="1884"/>
      <c r="PPL35" s="1884"/>
      <c r="PPM35" s="1884"/>
      <c r="PPN35" s="1884"/>
      <c r="PPO35" s="1884"/>
      <c r="PPP35" s="1884"/>
      <c r="PPQ35" s="1884"/>
      <c r="PPR35" s="1884"/>
      <c r="PPS35" s="1884"/>
      <c r="PPT35" s="1884"/>
      <c r="PPU35" s="1884"/>
      <c r="PPV35" s="1884"/>
      <c r="PPW35" s="1884"/>
      <c r="PPX35" s="1884"/>
      <c r="PPY35" s="1884"/>
      <c r="PPZ35" s="1884"/>
      <c r="PQA35" s="1884"/>
      <c r="PQB35" s="1884"/>
      <c r="PQC35" s="1884"/>
      <c r="PQD35" s="1884"/>
      <c r="PQE35" s="1884"/>
      <c r="PQF35" s="1884"/>
      <c r="PQG35" s="1884"/>
      <c r="PQH35" s="1884"/>
      <c r="PQI35" s="1884"/>
      <c r="PQJ35" s="1884"/>
      <c r="PQK35" s="1884"/>
      <c r="PQL35" s="1884"/>
      <c r="PQM35" s="1884"/>
      <c r="PQN35" s="1884"/>
      <c r="PQO35" s="1884"/>
      <c r="PQP35" s="1884"/>
      <c r="PQQ35" s="1884"/>
      <c r="PQR35" s="1884"/>
      <c r="PQS35" s="1884"/>
      <c r="PQT35" s="1884"/>
      <c r="PQU35" s="1884"/>
      <c r="PQV35" s="1884"/>
      <c r="PQW35" s="1884"/>
      <c r="PQX35" s="1884"/>
      <c r="PQY35" s="1884"/>
      <c r="PQZ35" s="1884"/>
      <c r="PRA35" s="1884"/>
      <c r="PRB35" s="1884"/>
      <c r="PRC35" s="1884"/>
      <c r="PRD35" s="1884"/>
      <c r="PRE35" s="1884"/>
      <c r="PRF35" s="1884"/>
      <c r="PRG35" s="1884"/>
      <c r="PRH35" s="1884"/>
      <c r="PRI35" s="1884"/>
      <c r="PRJ35" s="1884"/>
      <c r="PRK35" s="1884"/>
      <c r="PRL35" s="1884"/>
      <c r="PRM35" s="1884"/>
      <c r="PRN35" s="1884"/>
      <c r="PRO35" s="1884"/>
      <c r="PRP35" s="1884"/>
      <c r="PRQ35" s="1884"/>
      <c r="PRR35" s="1884"/>
      <c r="PRS35" s="1884"/>
      <c r="PRT35" s="1884"/>
      <c r="PRU35" s="1884"/>
      <c r="PRV35" s="1884"/>
      <c r="PRW35" s="1884"/>
      <c r="PRX35" s="1884"/>
      <c r="PRY35" s="1884"/>
      <c r="PRZ35" s="1884"/>
      <c r="PSA35" s="1884"/>
      <c r="PSB35" s="1884"/>
      <c r="PSC35" s="1884"/>
      <c r="PSD35" s="1884"/>
      <c r="PSE35" s="1884"/>
      <c r="PSF35" s="1884"/>
      <c r="PSG35" s="1884"/>
      <c r="PSH35" s="1884"/>
      <c r="PSI35" s="1884"/>
      <c r="PSJ35" s="1884"/>
      <c r="PSK35" s="1884"/>
      <c r="PSL35" s="1884"/>
      <c r="PSM35" s="1884"/>
      <c r="PSN35" s="1884"/>
      <c r="PSO35" s="1884"/>
      <c r="PSP35" s="1884"/>
      <c r="PSQ35" s="1884"/>
      <c r="PSR35" s="1884"/>
      <c r="PSS35" s="1884"/>
      <c r="PST35" s="1884"/>
      <c r="PSU35" s="1884"/>
      <c r="PSV35" s="1884"/>
      <c r="PSW35" s="1884"/>
      <c r="PSX35" s="1884"/>
      <c r="PSY35" s="1884"/>
      <c r="PSZ35" s="1884"/>
      <c r="PTA35" s="1884"/>
      <c r="PTB35" s="1884"/>
      <c r="PTC35" s="1884"/>
      <c r="PTD35" s="1884"/>
      <c r="PTE35" s="1884"/>
      <c r="PTF35" s="1884"/>
      <c r="PTG35" s="1884"/>
      <c r="PTH35" s="1884"/>
      <c r="PTI35" s="1884"/>
      <c r="PTJ35" s="1884"/>
      <c r="PTK35" s="1884"/>
      <c r="PTL35" s="1884"/>
      <c r="PTM35" s="1884"/>
      <c r="PTN35" s="1884"/>
      <c r="PTO35" s="1884"/>
      <c r="PTP35" s="1884"/>
      <c r="PTQ35" s="1884"/>
      <c r="PTR35" s="1884"/>
      <c r="PTS35" s="1884"/>
      <c r="PTT35" s="1884"/>
      <c r="PTU35" s="1884"/>
      <c r="PTV35" s="1884"/>
      <c r="PTW35" s="1884"/>
      <c r="PTX35" s="1884"/>
      <c r="PTY35" s="1884"/>
      <c r="PTZ35" s="1884"/>
      <c r="PUA35" s="1884"/>
      <c r="PUB35" s="1884"/>
      <c r="PUC35" s="1884"/>
      <c r="PUD35" s="1884"/>
      <c r="PUE35" s="1884"/>
      <c r="PUF35" s="1884"/>
      <c r="PUG35" s="1884"/>
      <c r="PUH35" s="1884"/>
      <c r="PUI35" s="1884"/>
      <c r="PUJ35" s="1884"/>
      <c r="PUK35" s="1884"/>
      <c r="PUL35" s="1884"/>
      <c r="PUM35" s="1884"/>
      <c r="PUN35" s="1884"/>
      <c r="PUO35" s="1884"/>
      <c r="PUP35" s="1884"/>
      <c r="PUQ35" s="1884"/>
      <c r="PUR35" s="1884"/>
      <c r="PUS35" s="1884"/>
      <c r="PUT35" s="1884"/>
      <c r="PUU35" s="1884"/>
      <c r="PUV35" s="1884"/>
      <c r="PUW35" s="1884"/>
      <c r="PUX35" s="1884"/>
      <c r="PUY35" s="1884"/>
      <c r="PUZ35" s="1884"/>
      <c r="PVA35" s="1884"/>
      <c r="PVB35" s="1884"/>
      <c r="PVC35" s="1884"/>
      <c r="PVD35" s="1884"/>
      <c r="PVE35" s="1884"/>
      <c r="PVF35" s="1884"/>
      <c r="PVG35" s="1884"/>
      <c r="PVH35" s="1884"/>
      <c r="PVI35" s="1884"/>
      <c r="PVJ35" s="1884"/>
      <c r="PVK35" s="1884"/>
      <c r="PVL35" s="1884"/>
      <c r="PVM35" s="1884"/>
      <c r="PVN35" s="1884"/>
      <c r="PVO35" s="1884"/>
      <c r="PVP35" s="1884"/>
      <c r="PVQ35" s="1884"/>
      <c r="PVR35" s="1884"/>
      <c r="PVS35" s="1884"/>
      <c r="PVT35" s="1884"/>
      <c r="PVU35" s="1884"/>
      <c r="PVV35" s="1884"/>
      <c r="PVW35" s="1884"/>
      <c r="PVX35" s="1884"/>
      <c r="PVY35" s="1884"/>
      <c r="PVZ35" s="1884"/>
      <c r="PWA35" s="1884"/>
      <c r="PWB35" s="1884"/>
      <c r="PWC35" s="1884"/>
      <c r="PWD35" s="1884"/>
      <c r="PWE35" s="1884"/>
      <c r="PWF35" s="1884"/>
      <c r="PWG35" s="1884"/>
      <c r="PWH35" s="1884"/>
      <c r="PWI35" s="1884"/>
      <c r="PWJ35" s="1884"/>
      <c r="PWK35" s="1884"/>
      <c r="PWL35" s="1884"/>
      <c r="PWM35" s="1884"/>
      <c r="PWN35" s="1884"/>
      <c r="PWO35" s="1884"/>
      <c r="PWP35" s="1884"/>
      <c r="PWQ35" s="1884"/>
      <c r="PWR35" s="1884"/>
      <c r="PWS35" s="1884"/>
      <c r="PWT35" s="1884"/>
      <c r="PWU35" s="1884"/>
      <c r="PWV35" s="1884"/>
      <c r="PWW35" s="1884"/>
      <c r="PWX35" s="1884"/>
      <c r="PWY35" s="1884"/>
      <c r="PWZ35" s="1884"/>
      <c r="PXA35" s="1884"/>
      <c r="PXB35" s="1884"/>
      <c r="PXC35" s="1884"/>
      <c r="PXD35" s="1884"/>
      <c r="PXE35" s="1884"/>
      <c r="PXF35" s="1884"/>
      <c r="PXG35" s="1884"/>
      <c r="PXH35" s="1884"/>
      <c r="PXI35" s="1884"/>
      <c r="PXJ35" s="1884"/>
      <c r="PXK35" s="1884"/>
      <c r="PXL35" s="1884"/>
      <c r="PXM35" s="1884"/>
      <c r="PXN35" s="1884"/>
      <c r="PXO35" s="1884"/>
      <c r="PXP35" s="1884"/>
      <c r="PXQ35" s="1884"/>
      <c r="PXR35" s="1884"/>
      <c r="PXS35" s="1884"/>
      <c r="PXT35" s="1884"/>
      <c r="PXU35" s="1884"/>
      <c r="PXV35" s="1884"/>
      <c r="PXW35" s="1884"/>
      <c r="PXX35" s="1884"/>
      <c r="PXY35" s="1884"/>
      <c r="PXZ35" s="1884"/>
      <c r="PYA35" s="1884"/>
      <c r="PYB35" s="1884"/>
      <c r="PYC35" s="1884"/>
      <c r="PYD35" s="1884"/>
      <c r="PYE35" s="1884"/>
      <c r="PYF35" s="1884"/>
      <c r="PYG35" s="1884"/>
      <c r="PYH35" s="1884"/>
      <c r="PYI35" s="1884"/>
      <c r="PYJ35" s="1884"/>
      <c r="PYK35" s="1884"/>
      <c r="PYL35" s="1884"/>
      <c r="PYM35" s="1884"/>
      <c r="PYN35" s="1884"/>
      <c r="PYO35" s="1884"/>
      <c r="PYP35" s="1884"/>
      <c r="PYQ35" s="1884"/>
      <c r="PYR35" s="1884"/>
      <c r="PYS35" s="1884"/>
      <c r="PYT35" s="1884"/>
      <c r="PYU35" s="1884"/>
      <c r="PYV35" s="1884"/>
      <c r="PYW35" s="1884"/>
      <c r="PYX35" s="1884"/>
      <c r="PYY35" s="1884"/>
      <c r="PYZ35" s="1884"/>
      <c r="PZA35" s="1884"/>
      <c r="PZB35" s="1884"/>
      <c r="PZC35" s="1884"/>
      <c r="PZD35" s="1884"/>
      <c r="PZE35" s="1884"/>
      <c r="PZF35" s="1884"/>
      <c r="PZG35" s="1884"/>
      <c r="PZH35" s="1884"/>
      <c r="PZI35" s="1884"/>
      <c r="PZJ35" s="1884"/>
      <c r="PZK35" s="1884"/>
      <c r="PZL35" s="1884"/>
      <c r="PZM35" s="1884"/>
      <c r="PZN35" s="1884"/>
      <c r="PZO35" s="1884"/>
      <c r="PZP35" s="1884"/>
      <c r="PZQ35" s="1884"/>
      <c r="PZR35" s="1884"/>
      <c r="PZS35" s="1884"/>
      <c r="PZT35" s="1884"/>
      <c r="PZU35" s="1884"/>
      <c r="PZV35" s="1884"/>
      <c r="PZW35" s="1884"/>
      <c r="PZX35" s="1884"/>
      <c r="PZY35" s="1884"/>
      <c r="PZZ35" s="1884"/>
      <c r="QAA35" s="1884"/>
      <c r="QAB35" s="1884"/>
      <c r="QAC35" s="1884"/>
      <c r="QAD35" s="1884"/>
      <c r="QAE35" s="1884"/>
      <c r="QAF35" s="1884"/>
      <c r="QAG35" s="1884"/>
      <c r="QAH35" s="1884"/>
      <c r="QAI35" s="1884"/>
      <c r="QAJ35" s="1884"/>
      <c r="QAK35" s="1884"/>
      <c r="QAL35" s="1884"/>
      <c r="QAM35" s="1884"/>
      <c r="QAN35" s="1884"/>
      <c r="QAO35" s="1884"/>
      <c r="QAP35" s="1884"/>
      <c r="QAQ35" s="1884"/>
      <c r="QAR35" s="1884"/>
      <c r="QAS35" s="1884"/>
      <c r="QAT35" s="1884"/>
      <c r="QAU35" s="1884"/>
      <c r="QAV35" s="1884"/>
      <c r="QAW35" s="1884"/>
      <c r="QAX35" s="1884"/>
      <c r="QAY35" s="1884"/>
      <c r="QAZ35" s="1884"/>
      <c r="QBA35" s="1884"/>
      <c r="QBB35" s="1884"/>
      <c r="QBC35" s="1884"/>
      <c r="QBD35" s="1884"/>
      <c r="QBE35" s="1884"/>
      <c r="QBF35" s="1884"/>
      <c r="QBG35" s="1884"/>
      <c r="QBH35" s="1884"/>
      <c r="QBI35" s="1884"/>
      <c r="QBJ35" s="1884"/>
      <c r="QBK35" s="1884"/>
      <c r="QBL35" s="1884"/>
      <c r="QBM35" s="1884"/>
      <c r="QBN35" s="1884"/>
      <c r="QBO35" s="1884"/>
      <c r="QBP35" s="1884"/>
      <c r="QBQ35" s="1884"/>
      <c r="QBR35" s="1884"/>
      <c r="QBS35" s="1884"/>
      <c r="QBT35" s="1884"/>
      <c r="QBU35" s="1884"/>
      <c r="QBV35" s="1884"/>
      <c r="QBW35" s="1884"/>
      <c r="QBX35" s="1884"/>
      <c r="QBY35" s="1884"/>
      <c r="QBZ35" s="1884"/>
      <c r="QCA35" s="1884"/>
      <c r="QCB35" s="1884"/>
      <c r="QCC35" s="1884"/>
      <c r="QCD35" s="1884"/>
      <c r="QCE35" s="1884"/>
      <c r="QCF35" s="1884"/>
      <c r="QCG35" s="1884"/>
      <c r="QCH35" s="1884"/>
      <c r="QCI35" s="1884"/>
      <c r="QCJ35" s="1884"/>
      <c r="QCK35" s="1884"/>
      <c r="QCL35" s="1884"/>
      <c r="QCM35" s="1884"/>
      <c r="QCN35" s="1884"/>
      <c r="QCO35" s="1884"/>
      <c r="QCP35" s="1884"/>
      <c r="QCQ35" s="1884"/>
      <c r="QCR35" s="1884"/>
      <c r="QCS35" s="1884"/>
      <c r="QCT35" s="1884"/>
      <c r="QCU35" s="1884"/>
      <c r="QCV35" s="1884"/>
      <c r="QCW35" s="1884"/>
      <c r="QCX35" s="1884"/>
      <c r="QCY35" s="1884"/>
      <c r="QCZ35" s="1884"/>
      <c r="QDA35" s="1884"/>
      <c r="QDB35" s="1884"/>
      <c r="QDC35" s="1884"/>
      <c r="QDD35" s="1884"/>
      <c r="QDE35" s="1884"/>
      <c r="QDF35" s="1884"/>
      <c r="QDG35" s="1884"/>
      <c r="QDH35" s="1884"/>
      <c r="QDI35" s="1884"/>
      <c r="QDJ35" s="1884"/>
      <c r="QDK35" s="1884"/>
      <c r="QDL35" s="1884"/>
      <c r="QDM35" s="1884"/>
      <c r="QDN35" s="1884"/>
      <c r="QDO35" s="1884"/>
      <c r="QDP35" s="1884"/>
      <c r="QDQ35" s="1884"/>
      <c r="QDR35" s="1884"/>
      <c r="QDS35" s="1884"/>
      <c r="QDT35" s="1884"/>
      <c r="QDU35" s="1884"/>
      <c r="QDV35" s="1884"/>
      <c r="QDW35" s="1884"/>
      <c r="QDX35" s="1884"/>
      <c r="QDY35" s="1884"/>
      <c r="QDZ35" s="1884"/>
      <c r="QEA35" s="1884"/>
      <c r="QEB35" s="1884"/>
      <c r="QEC35" s="1884"/>
      <c r="QED35" s="1884"/>
      <c r="QEE35" s="1884"/>
      <c r="QEF35" s="1884"/>
      <c r="QEG35" s="1884"/>
      <c r="QEH35" s="1884"/>
      <c r="QEI35" s="1884"/>
      <c r="QEJ35" s="1884"/>
      <c r="QEK35" s="1884"/>
      <c r="QEL35" s="1884"/>
      <c r="QEM35" s="1884"/>
      <c r="QEN35" s="1884"/>
      <c r="QEO35" s="1884"/>
      <c r="QEP35" s="1884"/>
      <c r="QEQ35" s="1884"/>
      <c r="QER35" s="1884"/>
      <c r="QES35" s="1884"/>
      <c r="QET35" s="1884"/>
      <c r="QEU35" s="1884"/>
      <c r="QEV35" s="1884"/>
      <c r="QEW35" s="1884"/>
      <c r="QEX35" s="1884"/>
      <c r="QEY35" s="1884"/>
      <c r="QEZ35" s="1884"/>
      <c r="QFA35" s="1884"/>
      <c r="QFB35" s="1884"/>
      <c r="QFC35" s="1884"/>
      <c r="QFD35" s="1884"/>
      <c r="QFE35" s="1884"/>
      <c r="QFF35" s="1884"/>
      <c r="QFG35" s="1884"/>
      <c r="QFH35" s="1884"/>
      <c r="QFI35" s="1884"/>
      <c r="QFJ35" s="1884"/>
      <c r="QFK35" s="1884"/>
      <c r="QFL35" s="1884"/>
      <c r="QFM35" s="1884"/>
      <c r="QFN35" s="1884"/>
      <c r="QFO35" s="1884"/>
      <c r="QFP35" s="1884"/>
      <c r="QFQ35" s="1884"/>
      <c r="QFR35" s="1884"/>
      <c r="QFS35" s="1884"/>
      <c r="QFT35" s="1884"/>
      <c r="QFU35" s="1884"/>
      <c r="QFV35" s="1884"/>
      <c r="QFW35" s="1884"/>
      <c r="QFX35" s="1884"/>
      <c r="QFY35" s="1884"/>
      <c r="QFZ35" s="1884"/>
      <c r="QGA35" s="1884"/>
      <c r="QGB35" s="1884"/>
      <c r="QGC35" s="1884"/>
      <c r="QGD35" s="1884"/>
      <c r="QGE35" s="1884"/>
      <c r="QGF35" s="1884"/>
      <c r="QGG35" s="1884"/>
      <c r="QGH35" s="1884"/>
      <c r="QGI35" s="1884"/>
      <c r="QGJ35" s="1884"/>
      <c r="QGK35" s="1884"/>
      <c r="QGL35" s="1884"/>
      <c r="QGM35" s="1884"/>
      <c r="QGN35" s="1884"/>
      <c r="QGO35" s="1884"/>
      <c r="QGP35" s="1884"/>
      <c r="QGQ35" s="1884"/>
      <c r="QGR35" s="1884"/>
      <c r="QGS35" s="1884"/>
      <c r="QGT35" s="1884"/>
      <c r="QGU35" s="1884"/>
      <c r="QGV35" s="1884"/>
      <c r="QGW35" s="1884"/>
      <c r="QGX35" s="1884"/>
      <c r="QGY35" s="1884"/>
      <c r="QGZ35" s="1884"/>
      <c r="QHA35" s="1884"/>
      <c r="QHB35" s="1884"/>
      <c r="QHC35" s="1884"/>
      <c r="QHD35" s="1884"/>
      <c r="QHE35" s="1884"/>
      <c r="QHF35" s="1884"/>
      <c r="QHG35" s="1884"/>
      <c r="QHH35" s="1884"/>
      <c r="QHI35" s="1884"/>
      <c r="QHJ35" s="1884"/>
      <c r="QHK35" s="1884"/>
      <c r="QHL35" s="1884"/>
      <c r="QHM35" s="1884"/>
      <c r="QHN35" s="1884"/>
      <c r="QHO35" s="1884"/>
      <c r="QHP35" s="1884"/>
      <c r="QHQ35" s="1884"/>
      <c r="QHR35" s="1884"/>
      <c r="QHS35" s="1884"/>
      <c r="QHT35" s="1884"/>
      <c r="QHU35" s="1884"/>
      <c r="QHV35" s="1884"/>
      <c r="QHW35" s="1884"/>
      <c r="QHX35" s="1884"/>
      <c r="QHY35" s="1884"/>
      <c r="QHZ35" s="1884"/>
      <c r="QIA35" s="1884"/>
      <c r="QIB35" s="1884"/>
      <c r="QIC35" s="1884"/>
      <c r="QID35" s="1884"/>
      <c r="QIE35" s="1884"/>
      <c r="QIF35" s="1884"/>
      <c r="QIG35" s="1884"/>
      <c r="QIH35" s="1884"/>
      <c r="QII35" s="1884"/>
      <c r="QIJ35" s="1884"/>
      <c r="QIK35" s="1884"/>
      <c r="QIL35" s="1884"/>
      <c r="QIM35" s="1884"/>
      <c r="QIN35" s="1884"/>
      <c r="QIO35" s="1884"/>
      <c r="QIP35" s="1884"/>
      <c r="QIQ35" s="1884"/>
      <c r="QIR35" s="1884"/>
      <c r="QIS35" s="1884"/>
      <c r="QIT35" s="1884"/>
      <c r="QIU35" s="1884"/>
      <c r="QIV35" s="1884"/>
      <c r="QIW35" s="1884"/>
      <c r="QIX35" s="1884"/>
      <c r="QIY35" s="1884"/>
      <c r="QIZ35" s="1884"/>
      <c r="QJA35" s="1884"/>
      <c r="QJB35" s="1884"/>
      <c r="QJC35" s="1884"/>
      <c r="QJD35" s="1884"/>
      <c r="QJE35" s="1884"/>
      <c r="QJF35" s="1884"/>
      <c r="QJG35" s="1884"/>
      <c r="QJH35" s="1884"/>
      <c r="QJI35" s="1884"/>
      <c r="QJJ35" s="1884"/>
      <c r="QJK35" s="1884"/>
      <c r="QJL35" s="1884"/>
      <c r="QJM35" s="1884"/>
      <c r="QJN35" s="1884"/>
      <c r="QJO35" s="1884"/>
      <c r="QJP35" s="1884"/>
      <c r="QJQ35" s="1884"/>
      <c r="QJR35" s="1884"/>
      <c r="QJS35" s="1884"/>
      <c r="QJT35" s="1884"/>
      <c r="QJU35" s="1884"/>
      <c r="QJV35" s="1884"/>
      <c r="QJW35" s="1884"/>
      <c r="QJX35" s="1884"/>
      <c r="QJY35" s="1884"/>
      <c r="QJZ35" s="1884"/>
      <c r="QKA35" s="1884"/>
      <c r="QKB35" s="1884"/>
      <c r="QKC35" s="1884"/>
      <c r="QKD35" s="1884"/>
      <c r="QKE35" s="1884"/>
      <c r="QKF35" s="1884"/>
      <c r="QKG35" s="1884"/>
      <c r="QKH35" s="1884"/>
      <c r="QKI35" s="1884"/>
      <c r="QKJ35" s="1884"/>
      <c r="QKK35" s="1884"/>
      <c r="QKL35" s="1884"/>
      <c r="QKM35" s="1884"/>
      <c r="QKN35" s="1884"/>
      <c r="QKO35" s="1884"/>
      <c r="QKP35" s="1884"/>
      <c r="QKQ35" s="1884"/>
      <c r="QKR35" s="1884"/>
      <c r="QKS35" s="1884"/>
      <c r="QKT35" s="1884"/>
      <c r="QKU35" s="1884"/>
      <c r="QKV35" s="1884"/>
      <c r="QKW35" s="1884"/>
      <c r="QKX35" s="1884"/>
      <c r="QKY35" s="1884"/>
      <c r="QKZ35" s="1884"/>
      <c r="QLA35" s="1884"/>
      <c r="QLB35" s="1884"/>
      <c r="QLC35" s="1884"/>
      <c r="QLD35" s="1884"/>
      <c r="QLE35" s="1884"/>
      <c r="QLF35" s="1884"/>
      <c r="QLG35" s="1884"/>
      <c r="QLH35" s="1884"/>
      <c r="QLI35" s="1884"/>
      <c r="QLJ35" s="1884"/>
      <c r="QLK35" s="1884"/>
      <c r="QLL35" s="1884"/>
      <c r="QLM35" s="1884"/>
      <c r="QLN35" s="1884"/>
      <c r="QLO35" s="1884"/>
      <c r="QLP35" s="1884"/>
      <c r="QLQ35" s="1884"/>
      <c r="QLR35" s="1884"/>
      <c r="QLS35" s="1884"/>
      <c r="QLT35" s="1884"/>
      <c r="QLU35" s="1884"/>
      <c r="QLV35" s="1884"/>
      <c r="QLW35" s="1884"/>
      <c r="QLX35" s="1884"/>
      <c r="QLY35" s="1884"/>
      <c r="QLZ35" s="1884"/>
      <c r="QMA35" s="1884"/>
      <c r="QMB35" s="1884"/>
      <c r="QMC35" s="1884"/>
      <c r="QMD35" s="1884"/>
      <c r="QME35" s="1884"/>
      <c r="QMF35" s="1884"/>
      <c r="QMG35" s="1884"/>
      <c r="QMH35" s="1884"/>
      <c r="QMI35" s="1884"/>
      <c r="QMJ35" s="1884"/>
      <c r="QMK35" s="1884"/>
      <c r="QML35" s="1884"/>
      <c r="QMM35" s="1884"/>
      <c r="QMN35" s="1884"/>
      <c r="QMO35" s="1884"/>
      <c r="QMP35" s="1884"/>
      <c r="QMQ35" s="1884"/>
      <c r="QMR35" s="1884"/>
      <c r="QMS35" s="1884"/>
      <c r="QMT35" s="1884"/>
      <c r="QMU35" s="1884"/>
      <c r="QMV35" s="1884"/>
      <c r="QMW35" s="1884"/>
      <c r="QMX35" s="1884"/>
      <c r="QMY35" s="1884"/>
      <c r="QMZ35" s="1884"/>
      <c r="QNA35" s="1884"/>
      <c r="QNB35" s="1884"/>
      <c r="QNC35" s="1884"/>
      <c r="QND35" s="1884"/>
      <c r="QNE35" s="1884"/>
      <c r="QNF35" s="1884"/>
      <c r="QNG35" s="1884"/>
      <c r="QNH35" s="1884"/>
      <c r="QNI35" s="1884"/>
      <c r="QNJ35" s="1884"/>
      <c r="QNK35" s="1884"/>
      <c r="QNL35" s="1884"/>
      <c r="QNM35" s="1884"/>
      <c r="QNN35" s="1884"/>
      <c r="QNO35" s="1884"/>
      <c r="QNP35" s="1884"/>
      <c r="QNQ35" s="1884"/>
      <c r="QNR35" s="1884"/>
      <c r="QNS35" s="1884"/>
      <c r="QNT35" s="1884"/>
      <c r="QNU35" s="1884"/>
      <c r="QNV35" s="1884"/>
      <c r="QNW35" s="1884"/>
      <c r="QNX35" s="1884"/>
      <c r="QNY35" s="1884"/>
      <c r="QNZ35" s="1884"/>
      <c r="QOA35" s="1884"/>
      <c r="QOB35" s="1884"/>
      <c r="QOC35" s="1884"/>
      <c r="QOD35" s="1884"/>
      <c r="QOE35" s="1884"/>
      <c r="QOF35" s="1884"/>
      <c r="QOG35" s="1884"/>
      <c r="QOH35" s="1884"/>
      <c r="QOI35" s="1884"/>
      <c r="QOJ35" s="1884"/>
      <c r="QOK35" s="1884"/>
      <c r="QOL35" s="1884"/>
      <c r="QOM35" s="1884"/>
      <c r="QON35" s="1884"/>
      <c r="QOO35" s="1884"/>
      <c r="QOP35" s="1884"/>
      <c r="QOQ35" s="1884"/>
      <c r="QOR35" s="1884"/>
      <c r="QOS35" s="1884"/>
      <c r="QOT35" s="1884"/>
      <c r="QOU35" s="1884"/>
      <c r="QOV35" s="1884"/>
      <c r="QOW35" s="1884"/>
      <c r="QOX35" s="1884"/>
      <c r="QOY35" s="1884"/>
      <c r="QOZ35" s="1884"/>
      <c r="QPA35" s="1884"/>
      <c r="QPB35" s="1884"/>
      <c r="QPC35" s="1884"/>
      <c r="QPD35" s="1884"/>
      <c r="QPE35" s="1884"/>
      <c r="QPF35" s="1884"/>
      <c r="QPG35" s="1884"/>
      <c r="QPH35" s="1884"/>
      <c r="QPI35" s="1884"/>
      <c r="QPJ35" s="1884"/>
      <c r="QPK35" s="1884"/>
      <c r="QPL35" s="1884"/>
      <c r="QPM35" s="1884"/>
      <c r="QPN35" s="1884"/>
      <c r="QPO35" s="1884"/>
      <c r="QPP35" s="1884"/>
      <c r="QPQ35" s="1884"/>
      <c r="QPR35" s="1884"/>
      <c r="QPS35" s="1884"/>
      <c r="QPT35" s="1884"/>
      <c r="QPU35" s="1884"/>
      <c r="QPV35" s="1884"/>
      <c r="QPW35" s="1884"/>
      <c r="QPX35" s="1884"/>
      <c r="QPY35" s="1884"/>
      <c r="QPZ35" s="1884"/>
      <c r="QQA35" s="1884"/>
      <c r="QQB35" s="1884"/>
      <c r="QQC35" s="1884"/>
      <c r="QQD35" s="1884"/>
      <c r="QQE35" s="1884"/>
      <c r="QQF35" s="1884"/>
      <c r="QQG35" s="1884"/>
      <c r="QQH35" s="1884"/>
      <c r="QQI35" s="1884"/>
      <c r="QQJ35" s="1884"/>
      <c r="QQK35" s="1884"/>
      <c r="QQL35" s="1884"/>
      <c r="QQM35" s="1884"/>
      <c r="QQN35" s="1884"/>
      <c r="QQO35" s="1884"/>
      <c r="QQP35" s="1884"/>
      <c r="QQQ35" s="1884"/>
      <c r="QQR35" s="1884"/>
      <c r="QQS35" s="1884"/>
      <c r="QQT35" s="1884"/>
      <c r="QQU35" s="1884"/>
      <c r="QQV35" s="1884"/>
      <c r="QQW35" s="1884"/>
      <c r="QQX35" s="1884"/>
      <c r="QQY35" s="1884"/>
      <c r="QQZ35" s="1884"/>
      <c r="QRA35" s="1884"/>
      <c r="QRB35" s="1884"/>
      <c r="QRC35" s="1884"/>
      <c r="QRD35" s="1884"/>
      <c r="QRE35" s="1884"/>
      <c r="QRF35" s="1884"/>
      <c r="QRG35" s="1884"/>
      <c r="QRH35" s="1884"/>
      <c r="QRI35" s="1884"/>
      <c r="QRJ35" s="1884"/>
      <c r="QRK35" s="1884"/>
      <c r="QRL35" s="1884"/>
      <c r="QRM35" s="1884"/>
      <c r="QRN35" s="1884"/>
      <c r="QRO35" s="1884"/>
      <c r="QRP35" s="1884"/>
      <c r="QRQ35" s="1884"/>
      <c r="QRR35" s="1884"/>
      <c r="QRS35" s="1884"/>
      <c r="QRT35" s="1884"/>
      <c r="QRU35" s="1884"/>
      <c r="QRV35" s="1884"/>
      <c r="QRW35" s="1884"/>
      <c r="QRX35" s="1884"/>
      <c r="QRY35" s="1884"/>
      <c r="QRZ35" s="1884"/>
      <c r="QSA35" s="1884"/>
      <c r="QSB35" s="1884"/>
      <c r="QSC35" s="1884"/>
      <c r="QSD35" s="1884"/>
      <c r="QSE35" s="1884"/>
      <c r="QSF35" s="1884"/>
      <c r="QSG35" s="1884"/>
      <c r="QSH35" s="1884"/>
      <c r="QSI35" s="1884"/>
      <c r="QSJ35" s="1884"/>
      <c r="QSK35" s="1884"/>
      <c r="QSL35" s="1884"/>
      <c r="QSM35" s="1884"/>
      <c r="QSN35" s="1884"/>
      <c r="QSO35" s="1884"/>
      <c r="QSP35" s="1884"/>
      <c r="QSQ35" s="1884"/>
      <c r="QSR35" s="1884"/>
      <c r="QSS35" s="1884"/>
      <c r="QST35" s="1884"/>
      <c r="QSU35" s="1884"/>
      <c r="QSV35" s="1884"/>
      <c r="QSW35" s="1884"/>
      <c r="QSX35" s="1884"/>
      <c r="QSY35" s="1884"/>
      <c r="QSZ35" s="1884"/>
      <c r="QTA35" s="1884"/>
      <c r="QTB35" s="1884"/>
      <c r="QTC35" s="1884"/>
      <c r="QTD35" s="1884"/>
      <c r="QTE35" s="1884"/>
      <c r="QTF35" s="1884"/>
      <c r="QTG35" s="1884"/>
      <c r="QTH35" s="1884"/>
      <c r="QTI35" s="1884"/>
      <c r="QTJ35" s="1884"/>
      <c r="QTK35" s="1884"/>
      <c r="QTL35" s="1884"/>
      <c r="QTM35" s="1884"/>
      <c r="QTN35" s="1884"/>
      <c r="QTO35" s="1884"/>
      <c r="QTP35" s="1884"/>
      <c r="QTQ35" s="1884"/>
      <c r="QTR35" s="1884"/>
      <c r="QTS35" s="1884"/>
      <c r="QTT35" s="1884"/>
      <c r="QTU35" s="1884"/>
      <c r="QTV35" s="1884"/>
      <c r="QTW35" s="1884"/>
      <c r="QTX35" s="1884"/>
      <c r="QTY35" s="1884"/>
      <c r="QTZ35" s="1884"/>
      <c r="QUA35" s="1884"/>
      <c r="QUB35" s="1884"/>
      <c r="QUC35" s="1884"/>
      <c r="QUD35" s="1884"/>
      <c r="QUE35" s="1884"/>
      <c r="QUF35" s="1884"/>
      <c r="QUG35" s="1884"/>
      <c r="QUH35" s="1884"/>
      <c r="QUI35" s="1884"/>
      <c r="QUJ35" s="1884"/>
      <c r="QUK35" s="1884"/>
      <c r="QUL35" s="1884"/>
      <c r="QUM35" s="1884"/>
      <c r="QUN35" s="1884"/>
      <c r="QUO35" s="1884"/>
      <c r="QUP35" s="1884"/>
      <c r="QUQ35" s="1884"/>
      <c r="QUR35" s="1884"/>
      <c r="QUS35" s="1884"/>
      <c r="QUT35" s="1884"/>
      <c r="QUU35" s="1884"/>
      <c r="QUV35" s="1884"/>
      <c r="QUW35" s="1884"/>
      <c r="QUX35" s="1884"/>
      <c r="QUY35" s="1884"/>
      <c r="QUZ35" s="1884"/>
      <c r="QVA35" s="1884"/>
      <c r="QVB35" s="1884"/>
      <c r="QVC35" s="1884"/>
      <c r="QVD35" s="1884"/>
      <c r="QVE35" s="1884"/>
      <c r="QVF35" s="1884"/>
      <c r="QVG35" s="1884"/>
      <c r="QVH35" s="1884"/>
      <c r="QVI35" s="1884"/>
      <c r="QVJ35" s="1884"/>
      <c r="QVK35" s="1884"/>
      <c r="QVL35" s="1884"/>
      <c r="QVM35" s="1884"/>
      <c r="QVN35" s="1884"/>
      <c r="QVO35" s="1884"/>
      <c r="QVP35" s="1884"/>
      <c r="QVQ35" s="1884"/>
      <c r="QVR35" s="1884"/>
      <c r="QVS35" s="1884"/>
      <c r="QVT35" s="1884"/>
      <c r="QVU35" s="1884"/>
      <c r="QVV35" s="1884"/>
      <c r="QVW35" s="1884"/>
      <c r="QVX35" s="1884"/>
      <c r="QVY35" s="1884"/>
      <c r="QVZ35" s="1884"/>
      <c r="QWA35" s="1884"/>
      <c r="QWB35" s="1884"/>
      <c r="QWC35" s="1884"/>
      <c r="QWD35" s="1884"/>
      <c r="QWE35" s="1884"/>
      <c r="QWF35" s="1884"/>
      <c r="QWG35" s="1884"/>
      <c r="QWH35" s="1884"/>
      <c r="QWI35" s="1884"/>
      <c r="QWJ35" s="1884"/>
      <c r="QWK35" s="1884"/>
      <c r="QWL35" s="1884"/>
      <c r="QWM35" s="1884"/>
      <c r="QWN35" s="1884"/>
      <c r="QWO35" s="1884"/>
      <c r="QWP35" s="1884"/>
      <c r="QWQ35" s="1884"/>
      <c r="QWR35" s="1884"/>
      <c r="QWS35" s="1884"/>
      <c r="QWT35" s="1884"/>
      <c r="QWU35" s="1884"/>
      <c r="QWV35" s="1884"/>
      <c r="QWW35" s="1884"/>
      <c r="QWX35" s="1884"/>
      <c r="QWY35" s="1884"/>
      <c r="QWZ35" s="1884"/>
      <c r="QXA35" s="1884"/>
      <c r="QXB35" s="1884"/>
      <c r="QXC35" s="1884"/>
      <c r="QXD35" s="1884"/>
      <c r="QXE35" s="1884"/>
      <c r="QXF35" s="1884"/>
      <c r="QXG35" s="1884"/>
      <c r="QXH35" s="1884"/>
      <c r="QXI35" s="1884"/>
      <c r="QXJ35" s="1884"/>
      <c r="QXK35" s="1884"/>
      <c r="QXL35" s="1884"/>
      <c r="QXM35" s="1884"/>
      <c r="QXN35" s="1884"/>
      <c r="QXO35" s="1884"/>
      <c r="QXP35" s="1884"/>
      <c r="QXQ35" s="1884"/>
      <c r="QXR35" s="1884"/>
      <c r="QXS35" s="1884"/>
      <c r="QXT35" s="1884"/>
      <c r="QXU35" s="1884"/>
      <c r="QXV35" s="1884"/>
      <c r="QXW35" s="1884"/>
      <c r="QXX35" s="1884"/>
      <c r="QXY35" s="1884"/>
      <c r="QXZ35" s="1884"/>
      <c r="QYA35" s="1884"/>
      <c r="QYB35" s="1884"/>
      <c r="QYC35" s="1884"/>
      <c r="QYD35" s="1884"/>
      <c r="QYE35" s="1884"/>
      <c r="QYF35" s="1884"/>
      <c r="QYG35" s="1884"/>
      <c r="QYH35" s="1884"/>
      <c r="QYI35" s="1884"/>
      <c r="QYJ35" s="1884"/>
      <c r="QYK35" s="1884"/>
      <c r="QYL35" s="1884"/>
      <c r="QYM35" s="1884"/>
      <c r="QYN35" s="1884"/>
      <c r="QYO35" s="1884"/>
      <c r="QYP35" s="1884"/>
      <c r="QYQ35" s="1884"/>
      <c r="QYR35" s="1884"/>
      <c r="QYS35" s="1884"/>
      <c r="QYT35" s="1884"/>
      <c r="QYU35" s="1884"/>
      <c r="QYV35" s="1884"/>
      <c r="QYW35" s="1884"/>
      <c r="QYX35" s="1884"/>
      <c r="QYY35" s="1884"/>
      <c r="QYZ35" s="1884"/>
      <c r="QZA35" s="1884"/>
      <c r="QZB35" s="1884"/>
      <c r="QZC35" s="1884"/>
      <c r="QZD35" s="1884"/>
      <c r="QZE35" s="1884"/>
      <c r="QZF35" s="1884"/>
      <c r="QZG35" s="1884"/>
      <c r="QZH35" s="1884"/>
      <c r="QZI35" s="1884"/>
      <c r="QZJ35" s="1884"/>
      <c r="QZK35" s="1884"/>
      <c r="QZL35" s="1884"/>
      <c r="QZM35" s="1884"/>
      <c r="QZN35" s="1884"/>
      <c r="QZO35" s="1884"/>
      <c r="QZP35" s="1884"/>
      <c r="QZQ35" s="1884"/>
      <c r="QZR35" s="1884"/>
      <c r="QZS35" s="1884"/>
      <c r="QZT35" s="1884"/>
      <c r="QZU35" s="1884"/>
      <c r="QZV35" s="1884"/>
      <c r="QZW35" s="1884"/>
      <c r="QZX35" s="1884"/>
      <c r="QZY35" s="1884"/>
      <c r="QZZ35" s="1884"/>
      <c r="RAA35" s="1884"/>
      <c r="RAB35" s="1884"/>
      <c r="RAC35" s="1884"/>
      <c r="RAD35" s="1884"/>
      <c r="RAE35" s="1884"/>
      <c r="RAF35" s="1884"/>
      <c r="RAG35" s="1884"/>
      <c r="RAH35" s="1884"/>
      <c r="RAI35" s="1884"/>
      <c r="RAJ35" s="1884"/>
      <c r="RAK35" s="1884"/>
      <c r="RAL35" s="1884"/>
      <c r="RAM35" s="1884"/>
      <c r="RAN35" s="1884"/>
      <c r="RAO35" s="1884"/>
      <c r="RAP35" s="1884"/>
      <c r="RAQ35" s="1884"/>
      <c r="RAR35" s="1884"/>
      <c r="RAS35" s="1884"/>
      <c r="RAT35" s="1884"/>
      <c r="RAU35" s="1884"/>
      <c r="RAV35" s="1884"/>
      <c r="RAW35" s="1884"/>
      <c r="RAX35" s="1884"/>
      <c r="RAY35" s="1884"/>
      <c r="RAZ35" s="1884"/>
      <c r="RBA35" s="1884"/>
      <c r="RBB35" s="1884"/>
      <c r="RBC35" s="1884"/>
      <c r="RBD35" s="1884"/>
      <c r="RBE35" s="1884"/>
      <c r="RBF35" s="1884"/>
      <c r="RBG35" s="1884"/>
      <c r="RBH35" s="1884"/>
      <c r="RBI35" s="1884"/>
      <c r="RBJ35" s="1884"/>
      <c r="RBK35" s="1884"/>
      <c r="RBL35" s="1884"/>
      <c r="RBM35" s="1884"/>
      <c r="RBN35" s="1884"/>
      <c r="RBO35" s="1884"/>
      <c r="RBP35" s="1884"/>
      <c r="RBQ35" s="1884"/>
      <c r="RBR35" s="1884"/>
      <c r="RBS35" s="1884"/>
      <c r="RBT35" s="1884"/>
      <c r="RBU35" s="1884"/>
      <c r="RBV35" s="1884"/>
      <c r="RBW35" s="1884"/>
      <c r="RBX35" s="1884"/>
      <c r="RBY35" s="1884"/>
      <c r="RBZ35" s="1884"/>
      <c r="RCA35" s="1884"/>
      <c r="RCB35" s="1884"/>
      <c r="RCC35" s="1884"/>
      <c r="RCD35" s="1884"/>
      <c r="RCE35" s="1884"/>
      <c r="RCF35" s="1884"/>
      <c r="RCG35" s="1884"/>
      <c r="RCH35" s="1884"/>
      <c r="RCI35" s="1884"/>
      <c r="RCJ35" s="1884"/>
      <c r="RCK35" s="1884"/>
      <c r="RCL35" s="1884"/>
      <c r="RCM35" s="1884"/>
      <c r="RCN35" s="1884"/>
      <c r="RCO35" s="1884"/>
      <c r="RCP35" s="1884"/>
      <c r="RCQ35" s="1884"/>
      <c r="RCR35" s="1884"/>
      <c r="RCS35" s="1884"/>
      <c r="RCT35" s="1884"/>
      <c r="RCU35" s="1884"/>
      <c r="RCV35" s="1884"/>
      <c r="RCW35" s="1884"/>
      <c r="RCX35" s="1884"/>
      <c r="RCY35" s="1884"/>
      <c r="RCZ35" s="1884"/>
      <c r="RDA35" s="1884"/>
      <c r="RDB35" s="1884"/>
      <c r="RDC35" s="1884"/>
      <c r="RDD35" s="1884"/>
      <c r="RDE35" s="1884"/>
      <c r="RDF35" s="1884"/>
      <c r="RDG35" s="1884"/>
      <c r="RDH35" s="1884"/>
      <c r="RDI35" s="1884"/>
      <c r="RDJ35" s="1884"/>
      <c r="RDK35" s="1884"/>
      <c r="RDL35" s="1884"/>
      <c r="RDM35" s="1884"/>
      <c r="RDN35" s="1884"/>
      <c r="RDO35" s="1884"/>
      <c r="RDP35" s="1884"/>
      <c r="RDQ35" s="1884"/>
      <c r="RDR35" s="1884"/>
      <c r="RDS35" s="1884"/>
      <c r="RDT35" s="1884"/>
      <c r="RDU35" s="1884"/>
      <c r="RDV35" s="1884"/>
      <c r="RDW35" s="1884"/>
      <c r="RDX35" s="1884"/>
      <c r="RDY35" s="1884"/>
      <c r="RDZ35" s="1884"/>
      <c r="REA35" s="1884"/>
      <c r="REB35" s="1884"/>
      <c r="REC35" s="1884"/>
      <c r="RED35" s="1884"/>
      <c r="REE35" s="1884"/>
      <c r="REF35" s="1884"/>
      <c r="REG35" s="1884"/>
      <c r="REH35" s="1884"/>
      <c r="REI35" s="1884"/>
      <c r="REJ35" s="1884"/>
      <c r="REK35" s="1884"/>
      <c r="REL35" s="1884"/>
      <c r="REM35" s="1884"/>
      <c r="REN35" s="1884"/>
      <c r="REO35" s="1884"/>
      <c r="REP35" s="1884"/>
      <c r="REQ35" s="1884"/>
      <c r="RER35" s="1884"/>
      <c r="RES35" s="1884"/>
      <c r="RET35" s="1884"/>
      <c r="REU35" s="1884"/>
      <c r="REV35" s="1884"/>
      <c r="REW35" s="1884"/>
      <c r="REX35" s="1884"/>
      <c r="REY35" s="1884"/>
      <c r="REZ35" s="1884"/>
      <c r="RFA35" s="1884"/>
      <c r="RFB35" s="1884"/>
      <c r="RFC35" s="1884"/>
      <c r="RFD35" s="1884"/>
      <c r="RFE35" s="1884"/>
      <c r="RFF35" s="1884"/>
      <c r="RFG35" s="1884"/>
      <c r="RFH35" s="1884"/>
      <c r="RFI35" s="1884"/>
      <c r="RFJ35" s="1884"/>
      <c r="RFK35" s="1884"/>
      <c r="RFL35" s="1884"/>
      <c r="RFM35" s="1884"/>
      <c r="RFN35" s="1884"/>
      <c r="RFO35" s="1884"/>
      <c r="RFP35" s="1884"/>
      <c r="RFQ35" s="1884"/>
      <c r="RFR35" s="1884"/>
      <c r="RFS35" s="1884"/>
      <c r="RFT35" s="1884"/>
      <c r="RFU35" s="1884"/>
      <c r="RFV35" s="1884"/>
      <c r="RFW35" s="1884"/>
      <c r="RFX35" s="1884"/>
      <c r="RFY35" s="1884"/>
      <c r="RFZ35" s="1884"/>
      <c r="RGA35" s="1884"/>
      <c r="RGB35" s="1884"/>
      <c r="RGC35" s="1884"/>
      <c r="RGD35" s="1884"/>
      <c r="RGE35" s="1884"/>
      <c r="RGF35" s="1884"/>
      <c r="RGG35" s="1884"/>
      <c r="RGH35" s="1884"/>
      <c r="RGI35" s="1884"/>
      <c r="RGJ35" s="1884"/>
      <c r="RGK35" s="1884"/>
      <c r="RGL35" s="1884"/>
      <c r="RGM35" s="1884"/>
      <c r="RGN35" s="1884"/>
      <c r="RGO35" s="1884"/>
      <c r="RGP35" s="1884"/>
      <c r="RGQ35" s="1884"/>
      <c r="RGR35" s="1884"/>
      <c r="RGS35" s="1884"/>
      <c r="RGT35" s="1884"/>
      <c r="RGU35" s="1884"/>
      <c r="RGV35" s="1884"/>
      <c r="RGW35" s="1884"/>
      <c r="RGX35" s="1884"/>
      <c r="RGY35" s="1884"/>
      <c r="RGZ35" s="1884"/>
      <c r="RHA35" s="1884"/>
      <c r="RHB35" s="1884"/>
      <c r="RHC35" s="1884"/>
      <c r="RHD35" s="1884"/>
      <c r="RHE35" s="1884"/>
      <c r="RHF35" s="1884"/>
      <c r="RHG35" s="1884"/>
      <c r="RHH35" s="1884"/>
      <c r="RHI35" s="1884"/>
      <c r="RHJ35" s="1884"/>
      <c r="RHK35" s="1884"/>
      <c r="RHL35" s="1884"/>
      <c r="RHM35" s="1884"/>
      <c r="RHN35" s="1884"/>
      <c r="RHO35" s="1884"/>
      <c r="RHP35" s="1884"/>
      <c r="RHQ35" s="1884"/>
      <c r="RHR35" s="1884"/>
      <c r="RHS35" s="1884"/>
      <c r="RHT35" s="1884"/>
      <c r="RHU35" s="1884"/>
      <c r="RHV35" s="1884"/>
      <c r="RHW35" s="1884"/>
      <c r="RHX35" s="1884"/>
      <c r="RHY35" s="1884"/>
      <c r="RHZ35" s="1884"/>
      <c r="RIA35" s="1884"/>
      <c r="RIB35" s="1884"/>
      <c r="RIC35" s="1884"/>
      <c r="RID35" s="1884"/>
      <c r="RIE35" s="1884"/>
      <c r="RIF35" s="1884"/>
      <c r="RIG35" s="1884"/>
      <c r="RIH35" s="1884"/>
      <c r="RII35" s="1884"/>
      <c r="RIJ35" s="1884"/>
      <c r="RIK35" s="1884"/>
      <c r="RIL35" s="1884"/>
      <c r="RIM35" s="1884"/>
      <c r="RIN35" s="1884"/>
      <c r="RIO35" s="1884"/>
      <c r="RIP35" s="1884"/>
      <c r="RIQ35" s="1884"/>
      <c r="RIR35" s="1884"/>
      <c r="RIS35" s="1884"/>
      <c r="RIT35" s="1884"/>
      <c r="RIU35" s="1884"/>
      <c r="RIV35" s="1884"/>
      <c r="RIW35" s="1884"/>
      <c r="RIX35" s="1884"/>
      <c r="RIY35" s="1884"/>
      <c r="RIZ35" s="1884"/>
      <c r="RJA35" s="1884"/>
      <c r="RJB35" s="1884"/>
      <c r="RJC35" s="1884"/>
      <c r="RJD35" s="1884"/>
      <c r="RJE35" s="1884"/>
      <c r="RJF35" s="1884"/>
      <c r="RJG35" s="1884"/>
      <c r="RJH35" s="1884"/>
      <c r="RJI35" s="1884"/>
      <c r="RJJ35" s="1884"/>
      <c r="RJK35" s="1884"/>
      <c r="RJL35" s="1884"/>
      <c r="RJM35" s="1884"/>
      <c r="RJN35" s="1884"/>
      <c r="RJO35" s="1884"/>
      <c r="RJP35" s="1884"/>
      <c r="RJQ35" s="1884"/>
      <c r="RJR35" s="1884"/>
      <c r="RJS35" s="1884"/>
      <c r="RJT35" s="1884"/>
      <c r="RJU35" s="1884"/>
      <c r="RJV35" s="1884"/>
      <c r="RJW35" s="1884"/>
      <c r="RJX35" s="1884"/>
      <c r="RJY35" s="1884"/>
      <c r="RJZ35" s="1884"/>
      <c r="RKA35" s="1884"/>
      <c r="RKB35" s="1884"/>
      <c r="RKC35" s="1884"/>
      <c r="RKD35" s="1884"/>
      <c r="RKE35" s="1884"/>
      <c r="RKF35" s="1884"/>
      <c r="RKG35" s="1884"/>
      <c r="RKH35" s="1884"/>
      <c r="RKI35" s="1884"/>
      <c r="RKJ35" s="1884"/>
      <c r="RKK35" s="1884"/>
      <c r="RKL35" s="1884"/>
      <c r="RKM35" s="1884"/>
      <c r="RKN35" s="1884"/>
      <c r="RKO35" s="1884"/>
      <c r="RKP35" s="1884"/>
      <c r="RKQ35" s="1884"/>
      <c r="RKR35" s="1884"/>
      <c r="RKS35" s="1884"/>
      <c r="RKT35" s="1884"/>
      <c r="RKU35" s="1884"/>
      <c r="RKV35" s="1884"/>
      <c r="RKW35" s="1884"/>
      <c r="RKX35" s="1884"/>
      <c r="RKY35" s="1884"/>
      <c r="RKZ35" s="1884"/>
      <c r="RLA35" s="1884"/>
      <c r="RLB35" s="1884"/>
      <c r="RLC35" s="1884"/>
      <c r="RLD35" s="1884"/>
      <c r="RLE35" s="1884"/>
      <c r="RLF35" s="1884"/>
      <c r="RLG35" s="1884"/>
      <c r="RLH35" s="1884"/>
      <c r="RLI35" s="1884"/>
      <c r="RLJ35" s="1884"/>
      <c r="RLK35" s="1884"/>
      <c r="RLL35" s="1884"/>
      <c r="RLM35" s="1884"/>
      <c r="RLN35" s="1884"/>
      <c r="RLO35" s="1884"/>
      <c r="RLP35" s="1884"/>
      <c r="RLQ35" s="1884"/>
      <c r="RLR35" s="1884"/>
      <c r="RLS35" s="1884"/>
      <c r="RLT35" s="1884"/>
      <c r="RLU35" s="1884"/>
      <c r="RLV35" s="1884"/>
      <c r="RLW35" s="1884"/>
      <c r="RLX35" s="1884"/>
      <c r="RLY35" s="1884"/>
      <c r="RLZ35" s="1884"/>
      <c r="RMA35" s="1884"/>
      <c r="RMB35" s="1884"/>
      <c r="RMC35" s="1884"/>
      <c r="RMD35" s="1884"/>
      <c r="RME35" s="1884"/>
      <c r="RMF35" s="1884"/>
      <c r="RMG35" s="1884"/>
      <c r="RMH35" s="1884"/>
      <c r="RMI35" s="1884"/>
      <c r="RMJ35" s="1884"/>
      <c r="RMK35" s="1884"/>
      <c r="RML35" s="1884"/>
      <c r="RMM35" s="1884"/>
      <c r="RMN35" s="1884"/>
      <c r="RMO35" s="1884"/>
      <c r="RMP35" s="1884"/>
      <c r="RMQ35" s="1884"/>
      <c r="RMR35" s="1884"/>
      <c r="RMS35" s="1884"/>
      <c r="RMT35" s="1884"/>
      <c r="RMU35" s="1884"/>
      <c r="RMV35" s="1884"/>
      <c r="RMW35" s="1884"/>
      <c r="RMX35" s="1884"/>
      <c r="RMY35" s="1884"/>
      <c r="RMZ35" s="1884"/>
      <c r="RNA35" s="1884"/>
      <c r="RNB35" s="1884"/>
      <c r="RNC35" s="1884"/>
      <c r="RND35" s="1884"/>
      <c r="RNE35" s="1884"/>
      <c r="RNF35" s="1884"/>
      <c r="RNG35" s="1884"/>
      <c r="RNH35" s="1884"/>
      <c r="RNI35" s="1884"/>
      <c r="RNJ35" s="1884"/>
      <c r="RNK35" s="1884"/>
      <c r="RNL35" s="1884"/>
      <c r="RNM35" s="1884"/>
      <c r="RNN35" s="1884"/>
      <c r="RNO35" s="1884"/>
      <c r="RNP35" s="1884"/>
      <c r="RNQ35" s="1884"/>
      <c r="RNR35" s="1884"/>
      <c r="RNS35" s="1884"/>
      <c r="RNT35" s="1884"/>
      <c r="RNU35" s="1884"/>
      <c r="RNV35" s="1884"/>
      <c r="RNW35" s="1884"/>
      <c r="RNX35" s="1884"/>
      <c r="RNY35" s="1884"/>
      <c r="RNZ35" s="1884"/>
      <c r="ROA35" s="1884"/>
      <c r="ROB35" s="1884"/>
      <c r="ROC35" s="1884"/>
      <c r="ROD35" s="1884"/>
      <c r="ROE35" s="1884"/>
      <c r="ROF35" s="1884"/>
      <c r="ROG35" s="1884"/>
      <c r="ROH35" s="1884"/>
      <c r="ROI35" s="1884"/>
      <c r="ROJ35" s="1884"/>
      <c r="ROK35" s="1884"/>
      <c r="ROL35" s="1884"/>
      <c r="ROM35" s="1884"/>
      <c r="RON35" s="1884"/>
      <c r="ROO35" s="1884"/>
      <c r="ROP35" s="1884"/>
      <c r="ROQ35" s="1884"/>
      <c r="ROR35" s="1884"/>
      <c r="ROS35" s="1884"/>
      <c r="ROT35" s="1884"/>
      <c r="ROU35" s="1884"/>
      <c r="ROV35" s="1884"/>
      <c r="ROW35" s="1884"/>
      <c r="ROX35" s="1884"/>
      <c r="ROY35" s="1884"/>
      <c r="ROZ35" s="1884"/>
      <c r="RPA35" s="1884"/>
      <c r="RPB35" s="1884"/>
      <c r="RPC35" s="1884"/>
      <c r="RPD35" s="1884"/>
      <c r="RPE35" s="1884"/>
      <c r="RPF35" s="1884"/>
      <c r="RPG35" s="1884"/>
      <c r="RPH35" s="1884"/>
      <c r="RPI35" s="1884"/>
      <c r="RPJ35" s="1884"/>
      <c r="RPK35" s="1884"/>
      <c r="RPL35" s="1884"/>
      <c r="RPM35" s="1884"/>
      <c r="RPN35" s="1884"/>
      <c r="RPO35" s="1884"/>
      <c r="RPP35" s="1884"/>
      <c r="RPQ35" s="1884"/>
      <c r="RPR35" s="1884"/>
      <c r="RPS35" s="1884"/>
      <c r="RPT35" s="1884"/>
      <c r="RPU35" s="1884"/>
      <c r="RPV35" s="1884"/>
      <c r="RPW35" s="1884"/>
      <c r="RPX35" s="1884"/>
      <c r="RPY35" s="1884"/>
      <c r="RPZ35" s="1884"/>
      <c r="RQA35" s="1884"/>
      <c r="RQB35" s="1884"/>
      <c r="RQC35" s="1884"/>
      <c r="RQD35" s="1884"/>
      <c r="RQE35" s="1884"/>
      <c r="RQF35" s="1884"/>
      <c r="RQG35" s="1884"/>
      <c r="RQH35" s="1884"/>
      <c r="RQI35" s="1884"/>
      <c r="RQJ35" s="1884"/>
      <c r="RQK35" s="1884"/>
      <c r="RQL35" s="1884"/>
      <c r="RQM35" s="1884"/>
      <c r="RQN35" s="1884"/>
      <c r="RQO35" s="1884"/>
      <c r="RQP35" s="1884"/>
      <c r="RQQ35" s="1884"/>
      <c r="RQR35" s="1884"/>
      <c r="RQS35" s="1884"/>
      <c r="RQT35" s="1884"/>
      <c r="RQU35" s="1884"/>
      <c r="RQV35" s="1884"/>
      <c r="RQW35" s="1884"/>
      <c r="RQX35" s="1884"/>
      <c r="RQY35" s="1884"/>
      <c r="RQZ35" s="1884"/>
      <c r="RRA35" s="1884"/>
      <c r="RRB35" s="1884"/>
      <c r="RRC35" s="1884"/>
      <c r="RRD35" s="1884"/>
      <c r="RRE35" s="1884"/>
      <c r="RRF35" s="1884"/>
      <c r="RRG35" s="1884"/>
      <c r="RRH35" s="1884"/>
      <c r="RRI35" s="1884"/>
      <c r="RRJ35" s="1884"/>
      <c r="RRK35" s="1884"/>
      <c r="RRL35" s="1884"/>
      <c r="RRM35" s="1884"/>
      <c r="RRN35" s="1884"/>
      <c r="RRO35" s="1884"/>
      <c r="RRP35" s="1884"/>
      <c r="RRQ35" s="1884"/>
      <c r="RRR35" s="1884"/>
      <c r="RRS35" s="1884"/>
      <c r="RRT35" s="1884"/>
      <c r="RRU35" s="1884"/>
      <c r="RRV35" s="1884"/>
      <c r="RRW35" s="1884"/>
      <c r="RRX35" s="1884"/>
      <c r="RRY35" s="1884"/>
      <c r="RRZ35" s="1884"/>
      <c r="RSA35" s="1884"/>
      <c r="RSB35" s="1884"/>
      <c r="RSC35" s="1884"/>
      <c r="RSD35" s="1884"/>
      <c r="RSE35" s="1884"/>
      <c r="RSF35" s="1884"/>
      <c r="RSG35" s="1884"/>
      <c r="RSH35" s="1884"/>
      <c r="RSI35" s="1884"/>
      <c r="RSJ35" s="1884"/>
      <c r="RSK35" s="1884"/>
      <c r="RSL35" s="1884"/>
      <c r="RSM35" s="1884"/>
      <c r="RSN35" s="1884"/>
      <c r="RSO35" s="1884"/>
      <c r="RSP35" s="1884"/>
      <c r="RSQ35" s="1884"/>
      <c r="RSR35" s="1884"/>
      <c r="RSS35" s="1884"/>
      <c r="RST35" s="1884"/>
      <c r="RSU35" s="1884"/>
      <c r="RSV35" s="1884"/>
      <c r="RSW35" s="1884"/>
      <c r="RSX35" s="1884"/>
      <c r="RSY35" s="1884"/>
      <c r="RSZ35" s="1884"/>
      <c r="RTA35" s="1884"/>
      <c r="RTB35" s="1884"/>
      <c r="RTC35" s="1884"/>
      <c r="RTD35" s="1884"/>
      <c r="RTE35" s="1884"/>
      <c r="RTF35" s="1884"/>
      <c r="RTG35" s="1884"/>
      <c r="RTH35" s="1884"/>
      <c r="RTI35" s="1884"/>
      <c r="RTJ35" s="1884"/>
      <c r="RTK35" s="1884"/>
      <c r="RTL35" s="1884"/>
      <c r="RTM35" s="1884"/>
      <c r="RTN35" s="1884"/>
      <c r="RTO35" s="1884"/>
      <c r="RTP35" s="1884"/>
      <c r="RTQ35" s="1884"/>
      <c r="RTR35" s="1884"/>
      <c r="RTS35" s="1884"/>
      <c r="RTT35" s="1884"/>
      <c r="RTU35" s="1884"/>
      <c r="RTV35" s="1884"/>
      <c r="RTW35" s="1884"/>
      <c r="RTX35" s="1884"/>
      <c r="RTY35" s="1884"/>
      <c r="RTZ35" s="1884"/>
      <c r="RUA35" s="1884"/>
      <c r="RUB35" s="1884"/>
      <c r="RUC35" s="1884"/>
      <c r="RUD35" s="1884"/>
      <c r="RUE35" s="1884"/>
      <c r="RUF35" s="1884"/>
      <c r="RUG35" s="1884"/>
      <c r="RUH35" s="1884"/>
      <c r="RUI35" s="1884"/>
      <c r="RUJ35" s="1884"/>
      <c r="RUK35" s="1884"/>
      <c r="RUL35" s="1884"/>
      <c r="RUM35" s="1884"/>
      <c r="RUN35" s="1884"/>
      <c r="RUO35" s="1884"/>
      <c r="RUP35" s="1884"/>
      <c r="RUQ35" s="1884"/>
      <c r="RUR35" s="1884"/>
      <c r="RUS35" s="1884"/>
      <c r="RUT35" s="1884"/>
      <c r="RUU35" s="1884"/>
      <c r="RUV35" s="1884"/>
      <c r="RUW35" s="1884"/>
      <c r="RUX35" s="1884"/>
      <c r="RUY35" s="1884"/>
      <c r="RUZ35" s="1884"/>
      <c r="RVA35" s="1884"/>
      <c r="RVB35" s="1884"/>
      <c r="RVC35" s="1884"/>
      <c r="RVD35" s="1884"/>
      <c r="RVE35" s="1884"/>
      <c r="RVF35" s="1884"/>
      <c r="RVG35" s="1884"/>
      <c r="RVH35" s="1884"/>
      <c r="RVI35" s="1884"/>
      <c r="RVJ35" s="1884"/>
      <c r="RVK35" s="1884"/>
      <c r="RVL35" s="1884"/>
      <c r="RVM35" s="1884"/>
      <c r="RVN35" s="1884"/>
      <c r="RVO35" s="1884"/>
      <c r="RVP35" s="1884"/>
      <c r="RVQ35" s="1884"/>
      <c r="RVR35" s="1884"/>
      <c r="RVS35" s="1884"/>
      <c r="RVT35" s="1884"/>
      <c r="RVU35" s="1884"/>
      <c r="RVV35" s="1884"/>
      <c r="RVW35" s="1884"/>
      <c r="RVX35" s="1884"/>
      <c r="RVY35" s="1884"/>
      <c r="RVZ35" s="1884"/>
      <c r="RWA35" s="1884"/>
      <c r="RWB35" s="1884"/>
      <c r="RWC35" s="1884"/>
      <c r="RWD35" s="1884"/>
      <c r="RWE35" s="1884"/>
      <c r="RWF35" s="1884"/>
      <c r="RWG35" s="1884"/>
      <c r="RWH35" s="1884"/>
      <c r="RWI35" s="1884"/>
      <c r="RWJ35" s="1884"/>
      <c r="RWK35" s="1884"/>
      <c r="RWL35" s="1884"/>
      <c r="RWM35" s="1884"/>
      <c r="RWN35" s="1884"/>
      <c r="RWO35" s="1884"/>
      <c r="RWP35" s="1884"/>
      <c r="RWQ35" s="1884"/>
      <c r="RWR35" s="1884"/>
      <c r="RWS35" s="1884"/>
      <c r="RWT35" s="1884"/>
      <c r="RWU35" s="1884"/>
      <c r="RWV35" s="1884"/>
      <c r="RWW35" s="1884"/>
      <c r="RWX35" s="1884"/>
      <c r="RWY35" s="1884"/>
      <c r="RWZ35" s="1884"/>
      <c r="RXA35" s="1884"/>
      <c r="RXB35" s="1884"/>
      <c r="RXC35" s="1884"/>
      <c r="RXD35" s="1884"/>
      <c r="RXE35" s="1884"/>
      <c r="RXF35" s="1884"/>
      <c r="RXG35" s="1884"/>
      <c r="RXH35" s="1884"/>
      <c r="RXI35" s="1884"/>
      <c r="RXJ35" s="1884"/>
      <c r="RXK35" s="1884"/>
      <c r="RXL35" s="1884"/>
      <c r="RXM35" s="1884"/>
      <c r="RXN35" s="1884"/>
      <c r="RXO35" s="1884"/>
      <c r="RXP35" s="1884"/>
      <c r="RXQ35" s="1884"/>
      <c r="RXR35" s="1884"/>
      <c r="RXS35" s="1884"/>
      <c r="RXT35" s="1884"/>
      <c r="RXU35" s="1884"/>
      <c r="RXV35" s="1884"/>
      <c r="RXW35" s="1884"/>
      <c r="RXX35" s="1884"/>
      <c r="RXY35" s="1884"/>
      <c r="RXZ35" s="1884"/>
      <c r="RYA35" s="1884"/>
      <c r="RYB35" s="1884"/>
      <c r="RYC35" s="1884"/>
      <c r="RYD35" s="1884"/>
      <c r="RYE35" s="1884"/>
      <c r="RYF35" s="1884"/>
      <c r="RYG35" s="1884"/>
      <c r="RYH35" s="1884"/>
      <c r="RYI35" s="1884"/>
      <c r="RYJ35" s="1884"/>
      <c r="RYK35" s="1884"/>
      <c r="RYL35" s="1884"/>
      <c r="RYM35" s="1884"/>
      <c r="RYN35" s="1884"/>
      <c r="RYO35" s="1884"/>
      <c r="RYP35" s="1884"/>
      <c r="RYQ35" s="1884"/>
      <c r="RYR35" s="1884"/>
      <c r="RYS35" s="1884"/>
      <c r="RYT35" s="1884"/>
      <c r="RYU35" s="1884"/>
      <c r="RYV35" s="1884"/>
      <c r="RYW35" s="1884"/>
      <c r="RYX35" s="1884"/>
      <c r="RYY35" s="1884"/>
      <c r="RYZ35" s="1884"/>
      <c r="RZA35" s="1884"/>
      <c r="RZB35" s="1884"/>
      <c r="RZC35" s="1884"/>
      <c r="RZD35" s="1884"/>
      <c r="RZE35" s="1884"/>
      <c r="RZF35" s="1884"/>
      <c r="RZG35" s="1884"/>
      <c r="RZH35" s="1884"/>
      <c r="RZI35" s="1884"/>
      <c r="RZJ35" s="1884"/>
      <c r="RZK35" s="1884"/>
      <c r="RZL35" s="1884"/>
      <c r="RZM35" s="1884"/>
      <c r="RZN35" s="1884"/>
      <c r="RZO35" s="1884"/>
      <c r="RZP35" s="1884"/>
      <c r="RZQ35" s="1884"/>
      <c r="RZR35" s="1884"/>
      <c r="RZS35" s="1884"/>
      <c r="RZT35" s="1884"/>
      <c r="RZU35" s="1884"/>
      <c r="RZV35" s="1884"/>
      <c r="RZW35" s="1884"/>
      <c r="RZX35" s="1884"/>
      <c r="RZY35" s="1884"/>
      <c r="RZZ35" s="1884"/>
      <c r="SAA35" s="1884"/>
      <c r="SAB35" s="1884"/>
      <c r="SAC35" s="1884"/>
      <c r="SAD35" s="1884"/>
      <c r="SAE35" s="1884"/>
      <c r="SAF35" s="1884"/>
      <c r="SAG35" s="1884"/>
      <c r="SAH35" s="1884"/>
      <c r="SAI35" s="1884"/>
      <c r="SAJ35" s="1884"/>
      <c r="SAK35" s="1884"/>
      <c r="SAL35" s="1884"/>
      <c r="SAM35" s="1884"/>
      <c r="SAN35" s="1884"/>
      <c r="SAO35" s="1884"/>
      <c r="SAP35" s="1884"/>
      <c r="SAQ35" s="1884"/>
      <c r="SAR35" s="1884"/>
      <c r="SAS35" s="1884"/>
      <c r="SAT35" s="1884"/>
      <c r="SAU35" s="1884"/>
      <c r="SAV35" s="1884"/>
      <c r="SAW35" s="1884"/>
      <c r="SAX35" s="1884"/>
      <c r="SAY35" s="1884"/>
      <c r="SAZ35" s="1884"/>
      <c r="SBA35" s="1884"/>
      <c r="SBB35" s="1884"/>
      <c r="SBC35" s="1884"/>
      <c r="SBD35" s="1884"/>
      <c r="SBE35" s="1884"/>
      <c r="SBF35" s="1884"/>
      <c r="SBG35" s="1884"/>
      <c r="SBH35" s="1884"/>
      <c r="SBI35" s="1884"/>
      <c r="SBJ35" s="1884"/>
      <c r="SBK35" s="1884"/>
      <c r="SBL35" s="1884"/>
      <c r="SBM35" s="1884"/>
      <c r="SBN35" s="1884"/>
      <c r="SBO35" s="1884"/>
      <c r="SBP35" s="1884"/>
      <c r="SBQ35" s="1884"/>
      <c r="SBR35" s="1884"/>
      <c r="SBS35" s="1884"/>
      <c r="SBT35" s="1884"/>
      <c r="SBU35" s="1884"/>
      <c r="SBV35" s="1884"/>
      <c r="SBW35" s="1884"/>
      <c r="SBX35" s="1884"/>
      <c r="SBY35" s="1884"/>
      <c r="SBZ35" s="1884"/>
      <c r="SCA35" s="1884"/>
      <c r="SCB35" s="1884"/>
      <c r="SCC35" s="1884"/>
      <c r="SCD35" s="1884"/>
      <c r="SCE35" s="1884"/>
      <c r="SCF35" s="1884"/>
      <c r="SCG35" s="1884"/>
      <c r="SCH35" s="1884"/>
      <c r="SCI35" s="1884"/>
      <c r="SCJ35" s="1884"/>
      <c r="SCK35" s="1884"/>
      <c r="SCL35" s="1884"/>
      <c r="SCM35" s="1884"/>
      <c r="SCN35" s="1884"/>
      <c r="SCO35" s="1884"/>
      <c r="SCP35" s="1884"/>
      <c r="SCQ35" s="1884"/>
      <c r="SCR35" s="1884"/>
      <c r="SCS35" s="1884"/>
      <c r="SCT35" s="1884"/>
      <c r="SCU35" s="1884"/>
      <c r="SCV35" s="1884"/>
      <c r="SCW35" s="1884"/>
      <c r="SCX35" s="1884"/>
      <c r="SCY35" s="1884"/>
      <c r="SCZ35" s="1884"/>
      <c r="SDA35" s="1884"/>
      <c r="SDB35" s="1884"/>
      <c r="SDC35" s="1884"/>
      <c r="SDD35" s="1884"/>
      <c r="SDE35" s="1884"/>
      <c r="SDF35" s="1884"/>
      <c r="SDG35" s="1884"/>
      <c r="SDH35" s="1884"/>
      <c r="SDI35" s="1884"/>
      <c r="SDJ35" s="1884"/>
      <c r="SDK35" s="1884"/>
      <c r="SDL35" s="1884"/>
      <c r="SDM35" s="1884"/>
      <c r="SDN35" s="1884"/>
      <c r="SDO35" s="1884"/>
      <c r="SDP35" s="1884"/>
      <c r="SDQ35" s="1884"/>
      <c r="SDR35" s="1884"/>
      <c r="SDS35" s="1884"/>
      <c r="SDT35" s="1884"/>
      <c r="SDU35" s="1884"/>
      <c r="SDV35" s="1884"/>
      <c r="SDW35" s="1884"/>
      <c r="SDX35" s="1884"/>
      <c r="SDY35" s="1884"/>
      <c r="SDZ35" s="1884"/>
      <c r="SEA35" s="1884"/>
      <c r="SEB35" s="1884"/>
      <c r="SEC35" s="1884"/>
      <c r="SED35" s="1884"/>
      <c r="SEE35" s="1884"/>
      <c r="SEF35" s="1884"/>
      <c r="SEG35" s="1884"/>
      <c r="SEH35" s="1884"/>
      <c r="SEI35" s="1884"/>
      <c r="SEJ35" s="1884"/>
      <c r="SEK35" s="1884"/>
      <c r="SEL35" s="1884"/>
      <c r="SEM35" s="1884"/>
      <c r="SEN35" s="1884"/>
      <c r="SEO35" s="1884"/>
      <c r="SEP35" s="1884"/>
      <c r="SEQ35" s="1884"/>
      <c r="SER35" s="1884"/>
      <c r="SES35" s="1884"/>
      <c r="SET35" s="1884"/>
      <c r="SEU35" s="1884"/>
      <c r="SEV35" s="1884"/>
      <c r="SEW35" s="1884"/>
      <c r="SEX35" s="1884"/>
      <c r="SEY35" s="1884"/>
      <c r="SEZ35" s="1884"/>
      <c r="SFA35" s="1884"/>
      <c r="SFB35" s="1884"/>
      <c r="SFC35" s="1884"/>
      <c r="SFD35" s="1884"/>
      <c r="SFE35" s="1884"/>
      <c r="SFF35" s="1884"/>
      <c r="SFG35" s="1884"/>
      <c r="SFH35" s="1884"/>
      <c r="SFI35" s="1884"/>
      <c r="SFJ35" s="1884"/>
      <c r="SFK35" s="1884"/>
      <c r="SFL35" s="1884"/>
      <c r="SFM35" s="1884"/>
      <c r="SFN35" s="1884"/>
      <c r="SFO35" s="1884"/>
      <c r="SFP35" s="1884"/>
      <c r="SFQ35" s="1884"/>
      <c r="SFR35" s="1884"/>
      <c r="SFS35" s="1884"/>
      <c r="SFT35" s="1884"/>
      <c r="SFU35" s="1884"/>
      <c r="SFV35" s="1884"/>
      <c r="SFW35" s="1884"/>
      <c r="SFX35" s="1884"/>
      <c r="SFY35" s="1884"/>
      <c r="SFZ35" s="1884"/>
      <c r="SGA35" s="1884"/>
      <c r="SGB35" s="1884"/>
      <c r="SGC35" s="1884"/>
      <c r="SGD35" s="1884"/>
      <c r="SGE35" s="1884"/>
      <c r="SGF35" s="1884"/>
      <c r="SGG35" s="1884"/>
      <c r="SGH35" s="1884"/>
      <c r="SGI35" s="1884"/>
      <c r="SGJ35" s="1884"/>
      <c r="SGK35" s="1884"/>
      <c r="SGL35" s="1884"/>
      <c r="SGM35" s="1884"/>
      <c r="SGN35" s="1884"/>
      <c r="SGO35" s="1884"/>
      <c r="SGP35" s="1884"/>
      <c r="SGQ35" s="1884"/>
      <c r="SGR35" s="1884"/>
      <c r="SGS35" s="1884"/>
      <c r="SGT35" s="1884"/>
      <c r="SGU35" s="1884"/>
      <c r="SGV35" s="1884"/>
      <c r="SGW35" s="1884"/>
      <c r="SGX35" s="1884"/>
      <c r="SGY35" s="1884"/>
      <c r="SGZ35" s="1884"/>
      <c r="SHA35" s="1884"/>
      <c r="SHB35" s="1884"/>
      <c r="SHC35" s="1884"/>
      <c r="SHD35" s="1884"/>
      <c r="SHE35" s="1884"/>
      <c r="SHF35" s="1884"/>
      <c r="SHG35" s="1884"/>
      <c r="SHH35" s="1884"/>
      <c r="SHI35" s="1884"/>
      <c r="SHJ35" s="1884"/>
      <c r="SHK35" s="1884"/>
      <c r="SHL35" s="1884"/>
      <c r="SHM35" s="1884"/>
      <c r="SHN35" s="1884"/>
      <c r="SHO35" s="1884"/>
      <c r="SHP35" s="1884"/>
      <c r="SHQ35" s="1884"/>
      <c r="SHR35" s="1884"/>
      <c r="SHS35" s="1884"/>
      <c r="SHT35" s="1884"/>
      <c r="SHU35" s="1884"/>
      <c r="SHV35" s="1884"/>
      <c r="SHW35" s="1884"/>
      <c r="SHX35" s="1884"/>
      <c r="SHY35" s="1884"/>
      <c r="SHZ35" s="1884"/>
      <c r="SIA35" s="1884"/>
      <c r="SIB35" s="1884"/>
      <c r="SIC35" s="1884"/>
      <c r="SID35" s="1884"/>
      <c r="SIE35" s="1884"/>
      <c r="SIF35" s="1884"/>
      <c r="SIG35" s="1884"/>
      <c r="SIH35" s="1884"/>
      <c r="SII35" s="1884"/>
      <c r="SIJ35" s="1884"/>
      <c r="SIK35" s="1884"/>
      <c r="SIL35" s="1884"/>
      <c r="SIM35" s="1884"/>
      <c r="SIN35" s="1884"/>
      <c r="SIO35" s="1884"/>
      <c r="SIP35" s="1884"/>
      <c r="SIQ35" s="1884"/>
      <c r="SIR35" s="1884"/>
      <c r="SIS35" s="1884"/>
      <c r="SIT35" s="1884"/>
      <c r="SIU35" s="1884"/>
      <c r="SIV35" s="1884"/>
      <c r="SIW35" s="1884"/>
      <c r="SIX35" s="1884"/>
      <c r="SIY35" s="1884"/>
      <c r="SIZ35" s="1884"/>
      <c r="SJA35" s="1884"/>
      <c r="SJB35" s="1884"/>
      <c r="SJC35" s="1884"/>
      <c r="SJD35" s="1884"/>
      <c r="SJE35" s="1884"/>
      <c r="SJF35" s="1884"/>
      <c r="SJG35" s="1884"/>
      <c r="SJH35" s="1884"/>
      <c r="SJI35" s="1884"/>
      <c r="SJJ35" s="1884"/>
      <c r="SJK35" s="1884"/>
      <c r="SJL35" s="1884"/>
      <c r="SJM35" s="1884"/>
      <c r="SJN35" s="1884"/>
      <c r="SJO35" s="1884"/>
      <c r="SJP35" s="1884"/>
      <c r="SJQ35" s="1884"/>
      <c r="SJR35" s="1884"/>
      <c r="SJS35" s="1884"/>
      <c r="SJT35" s="1884"/>
      <c r="SJU35" s="1884"/>
      <c r="SJV35" s="1884"/>
      <c r="SJW35" s="1884"/>
      <c r="SJX35" s="1884"/>
      <c r="SJY35" s="1884"/>
      <c r="SJZ35" s="1884"/>
      <c r="SKA35" s="1884"/>
      <c r="SKB35" s="1884"/>
      <c r="SKC35" s="1884"/>
      <c r="SKD35" s="1884"/>
      <c r="SKE35" s="1884"/>
      <c r="SKF35" s="1884"/>
      <c r="SKG35" s="1884"/>
      <c r="SKH35" s="1884"/>
      <c r="SKI35" s="1884"/>
      <c r="SKJ35" s="1884"/>
      <c r="SKK35" s="1884"/>
      <c r="SKL35" s="1884"/>
      <c r="SKM35" s="1884"/>
      <c r="SKN35" s="1884"/>
      <c r="SKO35" s="1884"/>
      <c r="SKP35" s="1884"/>
      <c r="SKQ35" s="1884"/>
      <c r="SKR35" s="1884"/>
      <c r="SKS35" s="1884"/>
      <c r="SKT35" s="1884"/>
      <c r="SKU35" s="1884"/>
      <c r="SKV35" s="1884"/>
      <c r="SKW35" s="1884"/>
      <c r="SKX35" s="1884"/>
      <c r="SKY35" s="1884"/>
      <c r="SKZ35" s="1884"/>
      <c r="SLA35" s="1884"/>
      <c r="SLB35" s="1884"/>
      <c r="SLC35" s="1884"/>
      <c r="SLD35" s="1884"/>
      <c r="SLE35" s="1884"/>
      <c r="SLF35" s="1884"/>
      <c r="SLG35" s="1884"/>
      <c r="SLH35" s="1884"/>
      <c r="SLI35" s="1884"/>
      <c r="SLJ35" s="1884"/>
      <c r="SLK35" s="1884"/>
      <c r="SLL35" s="1884"/>
      <c r="SLM35" s="1884"/>
      <c r="SLN35" s="1884"/>
      <c r="SLO35" s="1884"/>
      <c r="SLP35" s="1884"/>
      <c r="SLQ35" s="1884"/>
      <c r="SLR35" s="1884"/>
      <c r="SLS35" s="1884"/>
      <c r="SLT35" s="1884"/>
      <c r="SLU35" s="1884"/>
      <c r="SLV35" s="1884"/>
      <c r="SLW35" s="1884"/>
      <c r="SLX35" s="1884"/>
      <c r="SLY35" s="1884"/>
      <c r="SLZ35" s="1884"/>
      <c r="SMA35" s="1884"/>
      <c r="SMB35" s="1884"/>
      <c r="SMC35" s="1884"/>
      <c r="SMD35" s="1884"/>
      <c r="SME35" s="1884"/>
      <c r="SMF35" s="1884"/>
      <c r="SMG35" s="1884"/>
      <c r="SMH35" s="1884"/>
      <c r="SMI35" s="1884"/>
      <c r="SMJ35" s="1884"/>
      <c r="SMK35" s="1884"/>
      <c r="SML35" s="1884"/>
      <c r="SMM35" s="1884"/>
      <c r="SMN35" s="1884"/>
      <c r="SMO35" s="1884"/>
      <c r="SMP35" s="1884"/>
      <c r="SMQ35" s="1884"/>
      <c r="SMR35" s="1884"/>
      <c r="SMS35" s="1884"/>
      <c r="SMT35" s="1884"/>
      <c r="SMU35" s="1884"/>
      <c r="SMV35" s="1884"/>
      <c r="SMW35" s="1884"/>
      <c r="SMX35" s="1884"/>
      <c r="SMY35" s="1884"/>
      <c r="SMZ35" s="1884"/>
      <c r="SNA35" s="1884"/>
      <c r="SNB35" s="1884"/>
      <c r="SNC35" s="1884"/>
      <c r="SND35" s="1884"/>
      <c r="SNE35" s="1884"/>
      <c r="SNF35" s="1884"/>
      <c r="SNG35" s="1884"/>
      <c r="SNH35" s="1884"/>
      <c r="SNI35" s="1884"/>
      <c r="SNJ35" s="1884"/>
      <c r="SNK35" s="1884"/>
      <c r="SNL35" s="1884"/>
      <c r="SNM35" s="1884"/>
      <c r="SNN35" s="1884"/>
      <c r="SNO35" s="1884"/>
      <c r="SNP35" s="1884"/>
      <c r="SNQ35" s="1884"/>
      <c r="SNR35" s="1884"/>
      <c r="SNS35" s="1884"/>
      <c r="SNT35" s="1884"/>
      <c r="SNU35" s="1884"/>
      <c r="SNV35" s="1884"/>
      <c r="SNW35" s="1884"/>
      <c r="SNX35" s="1884"/>
      <c r="SNY35" s="1884"/>
      <c r="SNZ35" s="1884"/>
      <c r="SOA35" s="1884"/>
      <c r="SOB35" s="1884"/>
      <c r="SOC35" s="1884"/>
      <c r="SOD35" s="1884"/>
      <c r="SOE35" s="1884"/>
      <c r="SOF35" s="1884"/>
      <c r="SOG35" s="1884"/>
      <c r="SOH35" s="1884"/>
      <c r="SOI35" s="1884"/>
      <c r="SOJ35" s="1884"/>
      <c r="SOK35" s="1884"/>
      <c r="SOL35" s="1884"/>
      <c r="SOM35" s="1884"/>
      <c r="SON35" s="1884"/>
      <c r="SOO35" s="1884"/>
      <c r="SOP35" s="1884"/>
      <c r="SOQ35" s="1884"/>
      <c r="SOR35" s="1884"/>
      <c r="SOS35" s="1884"/>
      <c r="SOT35" s="1884"/>
      <c r="SOU35" s="1884"/>
      <c r="SOV35" s="1884"/>
      <c r="SOW35" s="1884"/>
      <c r="SOX35" s="1884"/>
      <c r="SOY35" s="1884"/>
      <c r="SOZ35" s="1884"/>
      <c r="SPA35" s="1884"/>
      <c r="SPB35" s="1884"/>
      <c r="SPC35" s="1884"/>
      <c r="SPD35" s="1884"/>
      <c r="SPE35" s="1884"/>
      <c r="SPF35" s="1884"/>
      <c r="SPG35" s="1884"/>
      <c r="SPH35" s="1884"/>
      <c r="SPI35" s="1884"/>
      <c r="SPJ35" s="1884"/>
      <c r="SPK35" s="1884"/>
      <c r="SPL35" s="1884"/>
      <c r="SPM35" s="1884"/>
      <c r="SPN35" s="1884"/>
      <c r="SPO35" s="1884"/>
      <c r="SPP35" s="1884"/>
      <c r="SPQ35" s="1884"/>
      <c r="SPR35" s="1884"/>
      <c r="SPS35" s="1884"/>
      <c r="SPT35" s="1884"/>
      <c r="SPU35" s="1884"/>
      <c r="SPV35" s="1884"/>
      <c r="SPW35" s="1884"/>
      <c r="SPX35" s="1884"/>
      <c r="SPY35" s="1884"/>
      <c r="SPZ35" s="1884"/>
      <c r="SQA35" s="1884"/>
      <c r="SQB35" s="1884"/>
      <c r="SQC35" s="1884"/>
      <c r="SQD35" s="1884"/>
      <c r="SQE35" s="1884"/>
      <c r="SQF35" s="1884"/>
      <c r="SQG35" s="1884"/>
      <c r="SQH35" s="1884"/>
      <c r="SQI35" s="1884"/>
      <c r="SQJ35" s="1884"/>
      <c r="SQK35" s="1884"/>
      <c r="SQL35" s="1884"/>
      <c r="SQM35" s="1884"/>
      <c r="SQN35" s="1884"/>
      <c r="SQO35" s="1884"/>
      <c r="SQP35" s="1884"/>
      <c r="SQQ35" s="1884"/>
      <c r="SQR35" s="1884"/>
      <c r="SQS35" s="1884"/>
      <c r="SQT35" s="1884"/>
      <c r="SQU35" s="1884"/>
      <c r="SQV35" s="1884"/>
      <c r="SQW35" s="1884"/>
      <c r="SQX35" s="1884"/>
      <c r="SQY35" s="1884"/>
      <c r="SQZ35" s="1884"/>
      <c r="SRA35" s="1884"/>
      <c r="SRB35" s="1884"/>
      <c r="SRC35" s="1884"/>
      <c r="SRD35" s="1884"/>
      <c r="SRE35" s="1884"/>
      <c r="SRF35" s="1884"/>
      <c r="SRG35" s="1884"/>
      <c r="SRH35" s="1884"/>
      <c r="SRI35" s="1884"/>
      <c r="SRJ35" s="1884"/>
      <c r="SRK35" s="1884"/>
      <c r="SRL35" s="1884"/>
      <c r="SRM35" s="1884"/>
      <c r="SRN35" s="1884"/>
      <c r="SRO35" s="1884"/>
      <c r="SRP35" s="1884"/>
      <c r="SRQ35" s="1884"/>
      <c r="SRR35" s="1884"/>
      <c r="SRS35" s="1884"/>
      <c r="SRT35" s="1884"/>
      <c r="SRU35" s="1884"/>
      <c r="SRV35" s="1884"/>
      <c r="SRW35" s="1884"/>
      <c r="SRX35" s="1884"/>
      <c r="SRY35" s="1884"/>
      <c r="SRZ35" s="1884"/>
      <c r="SSA35" s="1884"/>
      <c r="SSB35" s="1884"/>
      <c r="SSC35" s="1884"/>
      <c r="SSD35" s="1884"/>
      <c r="SSE35" s="1884"/>
      <c r="SSF35" s="1884"/>
      <c r="SSG35" s="1884"/>
      <c r="SSH35" s="1884"/>
      <c r="SSI35" s="1884"/>
      <c r="SSJ35" s="1884"/>
      <c r="SSK35" s="1884"/>
      <c r="SSL35" s="1884"/>
      <c r="SSM35" s="1884"/>
      <c r="SSN35" s="1884"/>
      <c r="SSO35" s="1884"/>
      <c r="SSP35" s="1884"/>
      <c r="SSQ35" s="1884"/>
      <c r="SSR35" s="1884"/>
      <c r="SSS35" s="1884"/>
      <c r="SST35" s="1884"/>
      <c r="SSU35" s="1884"/>
      <c r="SSV35" s="1884"/>
      <c r="SSW35" s="1884"/>
      <c r="SSX35" s="1884"/>
      <c r="SSY35" s="1884"/>
      <c r="SSZ35" s="1884"/>
      <c r="STA35" s="1884"/>
      <c r="STB35" s="1884"/>
      <c r="STC35" s="1884"/>
      <c r="STD35" s="1884"/>
      <c r="STE35" s="1884"/>
      <c r="STF35" s="1884"/>
      <c r="STG35" s="1884"/>
      <c r="STH35" s="1884"/>
      <c r="STI35" s="1884"/>
      <c r="STJ35" s="1884"/>
      <c r="STK35" s="1884"/>
      <c r="STL35" s="1884"/>
      <c r="STM35" s="1884"/>
      <c r="STN35" s="1884"/>
      <c r="STO35" s="1884"/>
      <c r="STP35" s="1884"/>
      <c r="STQ35" s="1884"/>
      <c r="STR35" s="1884"/>
      <c r="STS35" s="1884"/>
      <c r="STT35" s="1884"/>
      <c r="STU35" s="1884"/>
      <c r="STV35" s="1884"/>
      <c r="STW35" s="1884"/>
      <c r="STX35" s="1884"/>
      <c r="STY35" s="1884"/>
      <c r="STZ35" s="1884"/>
      <c r="SUA35" s="1884"/>
      <c r="SUB35" s="1884"/>
      <c r="SUC35" s="1884"/>
      <c r="SUD35" s="1884"/>
      <c r="SUE35" s="1884"/>
      <c r="SUF35" s="1884"/>
      <c r="SUG35" s="1884"/>
      <c r="SUH35" s="1884"/>
      <c r="SUI35" s="1884"/>
      <c r="SUJ35" s="1884"/>
      <c r="SUK35" s="1884"/>
      <c r="SUL35" s="1884"/>
      <c r="SUM35" s="1884"/>
      <c r="SUN35" s="1884"/>
      <c r="SUO35" s="1884"/>
      <c r="SUP35" s="1884"/>
      <c r="SUQ35" s="1884"/>
      <c r="SUR35" s="1884"/>
      <c r="SUS35" s="1884"/>
      <c r="SUT35" s="1884"/>
      <c r="SUU35" s="1884"/>
      <c r="SUV35" s="1884"/>
      <c r="SUW35" s="1884"/>
      <c r="SUX35" s="1884"/>
      <c r="SUY35" s="1884"/>
      <c r="SUZ35" s="1884"/>
      <c r="SVA35" s="1884"/>
      <c r="SVB35" s="1884"/>
      <c r="SVC35" s="1884"/>
      <c r="SVD35" s="1884"/>
      <c r="SVE35" s="1884"/>
      <c r="SVF35" s="1884"/>
      <c r="SVG35" s="1884"/>
      <c r="SVH35" s="1884"/>
      <c r="SVI35" s="1884"/>
      <c r="SVJ35" s="1884"/>
      <c r="SVK35" s="1884"/>
      <c r="SVL35" s="1884"/>
      <c r="SVM35" s="1884"/>
      <c r="SVN35" s="1884"/>
      <c r="SVO35" s="1884"/>
      <c r="SVP35" s="1884"/>
      <c r="SVQ35" s="1884"/>
      <c r="SVR35" s="1884"/>
      <c r="SVS35" s="1884"/>
      <c r="SVT35" s="1884"/>
      <c r="SVU35" s="1884"/>
      <c r="SVV35" s="1884"/>
      <c r="SVW35" s="1884"/>
      <c r="SVX35" s="1884"/>
      <c r="SVY35" s="1884"/>
      <c r="SVZ35" s="1884"/>
      <c r="SWA35" s="1884"/>
      <c r="SWB35" s="1884"/>
      <c r="SWC35" s="1884"/>
      <c r="SWD35" s="1884"/>
      <c r="SWE35" s="1884"/>
      <c r="SWF35" s="1884"/>
      <c r="SWG35" s="1884"/>
      <c r="SWH35" s="1884"/>
      <c r="SWI35" s="1884"/>
      <c r="SWJ35" s="1884"/>
      <c r="SWK35" s="1884"/>
      <c r="SWL35" s="1884"/>
      <c r="SWM35" s="1884"/>
      <c r="SWN35" s="1884"/>
      <c r="SWO35" s="1884"/>
      <c r="SWP35" s="1884"/>
      <c r="SWQ35" s="1884"/>
      <c r="SWR35" s="1884"/>
      <c r="SWS35" s="1884"/>
      <c r="SWT35" s="1884"/>
      <c r="SWU35" s="1884"/>
      <c r="SWV35" s="1884"/>
      <c r="SWW35" s="1884"/>
      <c r="SWX35" s="1884"/>
      <c r="SWY35" s="1884"/>
      <c r="SWZ35" s="1884"/>
      <c r="SXA35" s="1884"/>
      <c r="SXB35" s="1884"/>
      <c r="SXC35" s="1884"/>
      <c r="SXD35" s="1884"/>
      <c r="SXE35" s="1884"/>
      <c r="SXF35" s="1884"/>
      <c r="SXG35" s="1884"/>
      <c r="SXH35" s="1884"/>
      <c r="SXI35" s="1884"/>
      <c r="SXJ35" s="1884"/>
      <c r="SXK35" s="1884"/>
      <c r="SXL35" s="1884"/>
      <c r="SXM35" s="1884"/>
      <c r="SXN35" s="1884"/>
      <c r="SXO35" s="1884"/>
      <c r="SXP35" s="1884"/>
      <c r="SXQ35" s="1884"/>
      <c r="SXR35" s="1884"/>
      <c r="SXS35" s="1884"/>
      <c r="SXT35" s="1884"/>
      <c r="SXU35" s="1884"/>
      <c r="SXV35" s="1884"/>
      <c r="SXW35" s="1884"/>
      <c r="SXX35" s="1884"/>
      <c r="SXY35" s="1884"/>
      <c r="SXZ35" s="1884"/>
      <c r="SYA35" s="1884"/>
      <c r="SYB35" s="1884"/>
      <c r="SYC35" s="1884"/>
      <c r="SYD35" s="1884"/>
      <c r="SYE35" s="1884"/>
      <c r="SYF35" s="1884"/>
      <c r="SYG35" s="1884"/>
      <c r="SYH35" s="1884"/>
      <c r="SYI35" s="1884"/>
      <c r="SYJ35" s="1884"/>
      <c r="SYK35" s="1884"/>
      <c r="SYL35" s="1884"/>
      <c r="SYM35" s="1884"/>
      <c r="SYN35" s="1884"/>
      <c r="SYO35" s="1884"/>
      <c r="SYP35" s="1884"/>
      <c r="SYQ35" s="1884"/>
      <c r="SYR35" s="1884"/>
      <c r="SYS35" s="1884"/>
      <c r="SYT35" s="1884"/>
      <c r="SYU35" s="1884"/>
      <c r="SYV35" s="1884"/>
      <c r="SYW35" s="1884"/>
      <c r="SYX35" s="1884"/>
      <c r="SYY35" s="1884"/>
      <c r="SYZ35" s="1884"/>
      <c r="SZA35" s="1884"/>
      <c r="SZB35" s="1884"/>
      <c r="SZC35" s="1884"/>
      <c r="SZD35" s="1884"/>
      <c r="SZE35" s="1884"/>
      <c r="SZF35" s="1884"/>
      <c r="SZG35" s="1884"/>
      <c r="SZH35" s="1884"/>
      <c r="SZI35" s="1884"/>
      <c r="SZJ35" s="1884"/>
      <c r="SZK35" s="1884"/>
      <c r="SZL35" s="1884"/>
      <c r="SZM35" s="1884"/>
      <c r="SZN35" s="1884"/>
      <c r="SZO35" s="1884"/>
      <c r="SZP35" s="1884"/>
      <c r="SZQ35" s="1884"/>
      <c r="SZR35" s="1884"/>
      <c r="SZS35" s="1884"/>
      <c r="SZT35" s="1884"/>
      <c r="SZU35" s="1884"/>
      <c r="SZV35" s="1884"/>
      <c r="SZW35" s="1884"/>
      <c r="SZX35" s="1884"/>
      <c r="SZY35" s="1884"/>
      <c r="SZZ35" s="1884"/>
      <c r="TAA35" s="1884"/>
      <c r="TAB35" s="1884"/>
      <c r="TAC35" s="1884"/>
      <c r="TAD35" s="1884"/>
      <c r="TAE35" s="1884"/>
      <c r="TAF35" s="1884"/>
      <c r="TAG35" s="1884"/>
      <c r="TAH35" s="1884"/>
      <c r="TAI35" s="1884"/>
      <c r="TAJ35" s="1884"/>
      <c r="TAK35" s="1884"/>
      <c r="TAL35" s="1884"/>
      <c r="TAM35" s="1884"/>
      <c r="TAN35" s="1884"/>
      <c r="TAO35" s="1884"/>
      <c r="TAP35" s="1884"/>
      <c r="TAQ35" s="1884"/>
      <c r="TAR35" s="1884"/>
      <c r="TAS35" s="1884"/>
      <c r="TAT35" s="1884"/>
      <c r="TAU35" s="1884"/>
      <c r="TAV35" s="1884"/>
      <c r="TAW35" s="1884"/>
      <c r="TAX35" s="1884"/>
      <c r="TAY35" s="1884"/>
      <c r="TAZ35" s="1884"/>
      <c r="TBA35" s="1884"/>
      <c r="TBB35" s="1884"/>
      <c r="TBC35" s="1884"/>
      <c r="TBD35" s="1884"/>
      <c r="TBE35" s="1884"/>
      <c r="TBF35" s="1884"/>
      <c r="TBG35" s="1884"/>
      <c r="TBH35" s="1884"/>
      <c r="TBI35" s="1884"/>
      <c r="TBJ35" s="1884"/>
      <c r="TBK35" s="1884"/>
      <c r="TBL35" s="1884"/>
      <c r="TBM35" s="1884"/>
      <c r="TBN35" s="1884"/>
      <c r="TBO35" s="1884"/>
      <c r="TBP35" s="1884"/>
      <c r="TBQ35" s="1884"/>
      <c r="TBR35" s="1884"/>
      <c r="TBS35" s="1884"/>
      <c r="TBT35" s="1884"/>
      <c r="TBU35" s="1884"/>
      <c r="TBV35" s="1884"/>
      <c r="TBW35" s="1884"/>
      <c r="TBX35" s="1884"/>
      <c r="TBY35" s="1884"/>
      <c r="TBZ35" s="1884"/>
      <c r="TCA35" s="1884"/>
      <c r="TCB35" s="1884"/>
      <c r="TCC35" s="1884"/>
      <c r="TCD35" s="1884"/>
      <c r="TCE35" s="1884"/>
      <c r="TCF35" s="1884"/>
      <c r="TCG35" s="1884"/>
      <c r="TCH35" s="1884"/>
      <c r="TCI35" s="1884"/>
      <c r="TCJ35" s="1884"/>
      <c r="TCK35" s="1884"/>
      <c r="TCL35" s="1884"/>
      <c r="TCM35" s="1884"/>
      <c r="TCN35" s="1884"/>
      <c r="TCO35" s="1884"/>
      <c r="TCP35" s="1884"/>
      <c r="TCQ35" s="1884"/>
      <c r="TCR35" s="1884"/>
      <c r="TCS35" s="1884"/>
      <c r="TCT35" s="1884"/>
      <c r="TCU35" s="1884"/>
      <c r="TCV35" s="1884"/>
      <c r="TCW35" s="1884"/>
      <c r="TCX35" s="1884"/>
      <c r="TCY35" s="1884"/>
      <c r="TCZ35" s="1884"/>
      <c r="TDA35" s="1884"/>
      <c r="TDB35" s="1884"/>
      <c r="TDC35" s="1884"/>
      <c r="TDD35" s="1884"/>
      <c r="TDE35" s="1884"/>
      <c r="TDF35" s="1884"/>
      <c r="TDG35" s="1884"/>
      <c r="TDH35" s="1884"/>
      <c r="TDI35" s="1884"/>
      <c r="TDJ35" s="1884"/>
      <c r="TDK35" s="1884"/>
      <c r="TDL35" s="1884"/>
      <c r="TDM35" s="1884"/>
      <c r="TDN35" s="1884"/>
      <c r="TDO35" s="1884"/>
      <c r="TDP35" s="1884"/>
      <c r="TDQ35" s="1884"/>
      <c r="TDR35" s="1884"/>
      <c r="TDS35" s="1884"/>
      <c r="TDT35" s="1884"/>
      <c r="TDU35" s="1884"/>
      <c r="TDV35" s="1884"/>
      <c r="TDW35" s="1884"/>
      <c r="TDX35" s="1884"/>
      <c r="TDY35" s="1884"/>
      <c r="TDZ35" s="1884"/>
      <c r="TEA35" s="1884"/>
      <c r="TEB35" s="1884"/>
      <c r="TEC35" s="1884"/>
      <c r="TED35" s="1884"/>
      <c r="TEE35" s="1884"/>
      <c r="TEF35" s="1884"/>
      <c r="TEG35" s="1884"/>
      <c r="TEH35" s="1884"/>
      <c r="TEI35" s="1884"/>
      <c r="TEJ35" s="1884"/>
      <c r="TEK35" s="1884"/>
      <c r="TEL35" s="1884"/>
      <c r="TEM35" s="1884"/>
      <c r="TEN35" s="1884"/>
      <c r="TEO35" s="1884"/>
      <c r="TEP35" s="1884"/>
      <c r="TEQ35" s="1884"/>
      <c r="TER35" s="1884"/>
      <c r="TES35" s="1884"/>
      <c r="TET35" s="1884"/>
      <c r="TEU35" s="1884"/>
      <c r="TEV35" s="1884"/>
      <c r="TEW35" s="1884"/>
      <c r="TEX35" s="1884"/>
      <c r="TEY35" s="1884"/>
      <c r="TEZ35" s="1884"/>
      <c r="TFA35" s="1884"/>
      <c r="TFB35" s="1884"/>
      <c r="TFC35" s="1884"/>
      <c r="TFD35" s="1884"/>
      <c r="TFE35" s="1884"/>
      <c r="TFF35" s="1884"/>
      <c r="TFG35" s="1884"/>
      <c r="TFH35" s="1884"/>
      <c r="TFI35" s="1884"/>
      <c r="TFJ35" s="1884"/>
      <c r="TFK35" s="1884"/>
      <c r="TFL35" s="1884"/>
      <c r="TFM35" s="1884"/>
      <c r="TFN35" s="1884"/>
      <c r="TFO35" s="1884"/>
      <c r="TFP35" s="1884"/>
      <c r="TFQ35" s="1884"/>
      <c r="TFR35" s="1884"/>
      <c r="TFS35" s="1884"/>
      <c r="TFT35" s="1884"/>
      <c r="TFU35" s="1884"/>
      <c r="TFV35" s="1884"/>
      <c r="TFW35" s="1884"/>
      <c r="TFX35" s="1884"/>
      <c r="TFY35" s="1884"/>
      <c r="TFZ35" s="1884"/>
      <c r="TGA35" s="1884"/>
      <c r="TGB35" s="1884"/>
      <c r="TGC35" s="1884"/>
      <c r="TGD35" s="1884"/>
      <c r="TGE35" s="1884"/>
      <c r="TGF35" s="1884"/>
      <c r="TGG35" s="1884"/>
      <c r="TGH35" s="1884"/>
      <c r="TGI35" s="1884"/>
      <c r="TGJ35" s="1884"/>
      <c r="TGK35" s="1884"/>
      <c r="TGL35" s="1884"/>
      <c r="TGM35" s="1884"/>
      <c r="TGN35" s="1884"/>
      <c r="TGO35" s="1884"/>
      <c r="TGP35" s="1884"/>
      <c r="TGQ35" s="1884"/>
      <c r="TGR35" s="1884"/>
      <c r="TGS35" s="1884"/>
      <c r="TGT35" s="1884"/>
      <c r="TGU35" s="1884"/>
      <c r="TGV35" s="1884"/>
      <c r="TGW35" s="1884"/>
      <c r="TGX35" s="1884"/>
      <c r="TGY35" s="1884"/>
      <c r="TGZ35" s="1884"/>
      <c r="THA35" s="1884"/>
      <c r="THB35" s="1884"/>
      <c r="THC35" s="1884"/>
      <c r="THD35" s="1884"/>
      <c r="THE35" s="1884"/>
      <c r="THF35" s="1884"/>
      <c r="THG35" s="1884"/>
      <c r="THH35" s="1884"/>
      <c r="THI35" s="1884"/>
      <c r="THJ35" s="1884"/>
      <c r="THK35" s="1884"/>
      <c r="THL35" s="1884"/>
      <c r="THM35" s="1884"/>
      <c r="THN35" s="1884"/>
      <c r="THO35" s="1884"/>
      <c r="THP35" s="1884"/>
      <c r="THQ35" s="1884"/>
      <c r="THR35" s="1884"/>
      <c r="THS35" s="1884"/>
      <c r="THT35" s="1884"/>
      <c r="THU35" s="1884"/>
      <c r="THV35" s="1884"/>
      <c r="THW35" s="1884"/>
      <c r="THX35" s="1884"/>
      <c r="THY35" s="1884"/>
      <c r="THZ35" s="1884"/>
      <c r="TIA35" s="1884"/>
      <c r="TIB35" s="1884"/>
      <c r="TIC35" s="1884"/>
      <c r="TID35" s="1884"/>
      <c r="TIE35" s="1884"/>
      <c r="TIF35" s="1884"/>
      <c r="TIG35" s="1884"/>
      <c r="TIH35" s="1884"/>
      <c r="TII35" s="1884"/>
      <c r="TIJ35" s="1884"/>
      <c r="TIK35" s="1884"/>
      <c r="TIL35" s="1884"/>
      <c r="TIM35" s="1884"/>
      <c r="TIN35" s="1884"/>
      <c r="TIO35" s="1884"/>
      <c r="TIP35" s="1884"/>
      <c r="TIQ35" s="1884"/>
      <c r="TIR35" s="1884"/>
      <c r="TIS35" s="1884"/>
      <c r="TIT35" s="1884"/>
      <c r="TIU35" s="1884"/>
      <c r="TIV35" s="1884"/>
      <c r="TIW35" s="1884"/>
      <c r="TIX35" s="1884"/>
      <c r="TIY35" s="1884"/>
      <c r="TIZ35" s="1884"/>
      <c r="TJA35" s="1884"/>
      <c r="TJB35" s="1884"/>
      <c r="TJC35" s="1884"/>
      <c r="TJD35" s="1884"/>
      <c r="TJE35" s="1884"/>
      <c r="TJF35" s="1884"/>
      <c r="TJG35" s="1884"/>
      <c r="TJH35" s="1884"/>
      <c r="TJI35" s="1884"/>
      <c r="TJJ35" s="1884"/>
      <c r="TJK35" s="1884"/>
      <c r="TJL35" s="1884"/>
      <c r="TJM35" s="1884"/>
      <c r="TJN35" s="1884"/>
      <c r="TJO35" s="1884"/>
      <c r="TJP35" s="1884"/>
      <c r="TJQ35" s="1884"/>
      <c r="TJR35" s="1884"/>
      <c r="TJS35" s="1884"/>
      <c r="TJT35" s="1884"/>
      <c r="TJU35" s="1884"/>
      <c r="TJV35" s="1884"/>
      <c r="TJW35" s="1884"/>
      <c r="TJX35" s="1884"/>
      <c r="TJY35" s="1884"/>
      <c r="TJZ35" s="1884"/>
      <c r="TKA35" s="1884"/>
      <c r="TKB35" s="1884"/>
      <c r="TKC35" s="1884"/>
      <c r="TKD35" s="1884"/>
      <c r="TKE35" s="1884"/>
      <c r="TKF35" s="1884"/>
      <c r="TKG35" s="1884"/>
      <c r="TKH35" s="1884"/>
      <c r="TKI35" s="1884"/>
      <c r="TKJ35" s="1884"/>
      <c r="TKK35" s="1884"/>
      <c r="TKL35" s="1884"/>
      <c r="TKM35" s="1884"/>
      <c r="TKN35" s="1884"/>
      <c r="TKO35" s="1884"/>
      <c r="TKP35" s="1884"/>
      <c r="TKQ35" s="1884"/>
      <c r="TKR35" s="1884"/>
      <c r="TKS35" s="1884"/>
      <c r="TKT35" s="1884"/>
      <c r="TKU35" s="1884"/>
      <c r="TKV35" s="1884"/>
      <c r="TKW35" s="1884"/>
      <c r="TKX35" s="1884"/>
      <c r="TKY35" s="1884"/>
      <c r="TKZ35" s="1884"/>
      <c r="TLA35" s="1884"/>
      <c r="TLB35" s="1884"/>
      <c r="TLC35" s="1884"/>
      <c r="TLD35" s="1884"/>
      <c r="TLE35" s="1884"/>
      <c r="TLF35" s="1884"/>
      <c r="TLG35" s="1884"/>
      <c r="TLH35" s="1884"/>
      <c r="TLI35" s="1884"/>
      <c r="TLJ35" s="1884"/>
      <c r="TLK35" s="1884"/>
      <c r="TLL35" s="1884"/>
      <c r="TLM35" s="1884"/>
      <c r="TLN35" s="1884"/>
      <c r="TLO35" s="1884"/>
      <c r="TLP35" s="1884"/>
      <c r="TLQ35" s="1884"/>
      <c r="TLR35" s="1884"/>
      <c r="TLS35" s="1884"/>
      <c r="TLT35" s="1884"/>
      <c r="TLU35" s="1884"/>
      <c r="TLV35" s="1884"/>
      <c r="TLW35" s="1884"/>
      <c r="TLX35" s="1884"/>
      <c r="TLY35" s="1884"/>
      <c r="TLZ35" s="1884"/>
      <c r="TMA35" s="1884"/>
      <c r="TMB35" s="1884"/>
      <c r="TMC35" s="1884"/>
      <c r="TMD35" s="1884"/>
      <c r="TME35" s="1884"/>
      <c r="TMF35" s="1884"/>
      <c r="TMG35" s="1884"/>
      <c r="TMH35" s="1884"/>
      <c r="TMI35" s="1884"/>
      <c r="TMJ35" s="1884"/>
      <c r="TMK35" s="1884"/>
      <c r="TML35" s="1884"/>
      <c r="TMM35" s="1884"/>
      <c r="TMN35" s="1884"/>
      <c r="TMO35" s="1884"/>
      <c r="TMP35" s="1884"/>
      <c r="TMQ35" s="1884"/>
      <c r="TMR35" s="1884"/>
      <c r="TMS35" s="1884"/>
      <c r="TMT35" s="1884"/>
      <c r="TMU35" s="1884"/>
      <c r="TMV35" s="1884"/>
      <c r="TMW35" s="1884"/>
      <c r="TMX35" s="1884"/>
      <c r="TMY35" s="1884"/>
      <c r="TMZ35" s="1884"/>
      <c r="TNA35" s="1884"/>
      <c r="TNB35" s="1884"/>
      <c r="TNC35" s="1884"/>
      <c r="TND35" s="1884"/>
      <c r="TNE35" s="1884"/>
      <c r="TNF35" s="1884"/>
      <c r="TNG35" s="1884"/>
      <c r="TNH35" s="1884"/>
      <c r="TNI35" s="1884"/>
      <c r="TNJ35" s="1884"/>
      <c r="TNK35" s="1884"/>
      <c r="TNL35" s="1884"/>
      <c r="TNM35" s="1884"/>
      <c r="TNN35" s="1884"/>
      <c r="TNO35" s="1884"/>
      <c r="TNP35" s="1884"/>
      <c r="TNQ35" s="1884"/>
      <c r="TNR35" s="1884"/>
      <c r="TNS35" s="1884"/>
      <c r="TNT35" s="1884"/>
      <c r="TNU35" s="1884"/>
      <c r="TNV35" s="1884"/>
      <c r="TNW35" s="1884"/>
      <c r="TNX35" s="1884"/>
      <c r="TNY35" s="1884"/>
      <c r="TNZ35" s="1884"/>
      <c r="TOA35" s="1884"/>
      <c r="TOB35" s="1884"/>
      <c r="TOC35" s="1884"/>
      <c r="TOD35" s="1884"/>
      <c r="TOE35" s="1884"/>
      <c r="TOF35" s="1884"/>
      <c r="TOG35" s="1884"/>
      <c r="TOH35" s="1884"/>
      <c r="TOI35" s="1884"/>
      <c r="TOJ35" s="1884"/>
      <c r="TOK35" s="1884"/>
      <c r="TOL35" s="1884"/>
      <c r="TOM35" s="1884"/>
      <c r="TON35" s="1884"/>
      <c r="TOO35" s="1884"/>
      <c r="TOP35" s="1884"/>
      <c r="TOQ35" s="1884"/>
      <c r="TOR35" s="1884"/>
      <c r="TOS35" s="1884"/>
      <c r="TOT35" s="1884"/>
      <c r="TOU35" s="1884"/>
      <c r="TOV35" s="1884"/>
      <c r="TOW35" s="1884"/>
      <c r="TOX35" s="1884"/>
      <c r="TOY35" s="1884"/>
      <c r="TOZ35" s="1884"/>
      <c r="TPA35" s="1884"/>
      <c r="TPB35" s="1884"/>
      <c r="TPC35" s="1884"/>
      <c r="TPD35" s="1884"/>
      <c r="TPE35" s="1884"/>
      <c r="TPF35" s="1884"/>
      <c r="TPG35" s="1884"/>
      <c r="TPH35" s="1884"/>
      <c r="TPI35" s="1884"/>
      <c r="TPJ35" s="1884"/>
      <c r="TPK35" s="1884"/>
      <c r="TPL35" s="1884"/>
      <c r="TPM35" s="1884"/>
      <c r="TPN35" s="1884"/>
      <c r="TPO35" s="1884"/>
      <c r="TPP35" s="1884"/>
      <c r="TPQ35" s="1884"/>
      <c r="TPR35" s="1884"/>
      <c r="TPS35" s="1884"/>
      <c r="TPT35" s="1884"/>
      <c r="TPU35" s="1884"/>
      <c r="TPV35" s="1884"/>
      <c r="TPW35" s="1884"/>
      <c r="TPX35" s="1884"/>
      <c r="TPY35" s="1884"/>
      <c r="TPZ35" s="1884"/>
      <c r="TQA35" s="1884"/>
      <c r="TQB35" s="1884"/>
      <c r="TQC35" s="1884"/>
      <c r="TQD35" s="1884"/>
      <c r="TQE35" s="1884"/>
      <c r="TQF35" s="1884"/>
      <c r="TQG35" s="1884"/>
      <c r="TQH35" s="1884"/>
      <c r="TQI35" s="1884"/>
      <c r="TQJ35" s="1884"/>
      <c r="TQK35" s="1884"/>
      <c r="TQL35" s="1884"/>
      <c r="TQM35" s="1884"/>
      <c r="TQN35" s="1884"/>
      <c r="TQO35" s="1884"/>
      <c r="TQP35" s="1884"/>
      <c r="TQQ35" s="1884"/>
      <c r="TQR35" s="1884"/>
      <c r="TQS35" s="1884"/>
      <c r="TQT35" s="1884"/>
      <c r="TQU35" s="1884"/>
      <c r="TQV35" s="1884"/>
      <c r="TQW35" s="1884"/>
      <c r="TQX35" s="1884"/>
      <c r="TQY35" s="1884"/>
      <c r="TQZ35" s="1884"/>
      <c r="TRA35" s="1884"/>
      <c r="TRB35" s="1884"/>
      <c r="TRC35" s="1884"/>
      <c r="TRD35" s="1884"/>
      <c r="TRE35" s="1884"/>
      <c r="TRF35" s="1884"/>
      <c r="TRG35" s="1884"/>
      <c r="TRH35" s="1884"/>
      <c r="TRI35" s="1884"/>
      <c r="TRJ35" s="1884"/>
      <c r="TRK35" s="1884"/>
      <c r="TRL35" s="1884"/>
      <c r="TRM35" s="1884"/>
      <c r="TRN35" s="1884"/>
      <c r="TRO35" s="1884"/>
      <c r="TRP35" s="1884"/>
      <c r="TRQ35" s="1884"/>
      <c r="TRR35" s="1884"/>
      <c r="TRS35" s="1884"/>
      <c r="TRT35" s="1884"/>
      <c r="TRU35" s="1884"/>
      <c r="TRV35" s="1884"/>
      <c r="TRW35" s="1884"/>
      <c r="TRX35" s="1884"/>
      <c r="TRY35" s="1884"/>
      <c r="TRZ35" s="1884"/>
      <c r="TSA35" s="1884"/>
      <c r="TSB35" s="1884"/>
      <c r="TSC35" s="1884"/>
      <c r="TSD35" s="1884"/>
      <c r="TSE35" s="1884"/>
      <c r="TSF35" s="1884"/>
      <c r="TSG35" s="1884"/>
      <c r="TSH35" s="1884"/>
      <c r="TSI35" s="1884"/>
      <c r="TSJ35" s="1884"/>
      <c r="TSK35" s="1884"/>
      <c r="TSL35" s="1884"/>
      <c r="TSM35" s="1884"/>
      <c r="TSN35" s="1884"/>
      <c r="TSO35" s="1884"/>
      <c r="TSP35" s="1884"/>
      <c r="TSQ35" s="1884"/>
      <c r="TSR35" s="1884"/>
      <c r="TSS35" s="1884"/>
      <c r="TST35" s="1884"/>
      <c r="TSU35" s="1884"/>
      <c r="TSV35" s="1884"/>
      <c r="TSW35" s="1884"/>
      <c r="TSX35" s="1884"/>
      <c r="TSY35" s="1884"/>
      <c r="TSZ35" s="1884"/>
      <c r="TTA35" s="1884"/>
      <c r="TTB35" s="1884"/>
      <c r="TTC35" s="1884"/>
      <c r="TTD35" s="1884"/>
      <c r="TTE35" s="1884"/>
      <c r="TTF35" s="1884"/>
      <c r="TTG35" s="1884"/>
      <c r="TTH35" s="1884"/>
      <c r="TTI35" s="1884"/>
      <c r="TTJ35" s="1884"/>
      <c r="TTK35" s="1884"/>
      <c r="TTL35" s="1884"/>
      <c r="TTM35" s="1884"/>
      <c r="TTN35" s="1884"/>
      <c r="TTO35" s="1884"/>
      <c r="TTP35" s="1884"/>
      <c r="TTQ35" s="1884"/>
      <c r="TTR35" s="1884"/>
      <c r="TTS35" s="1884"/>
      <c r="TTT35" s="1884"/>
      <c r="TTU35" s="1884"/>
      <c r="TTV35" s="1884"/>
      <c r="TTW35" s="1884"/>
      <c r="TTX35" s="1884"/>
      <c r="TTY35" s="1884"/>
      <c r="TTZ35" s="1884"/>
      <c r="TUA35" s="1884"/>
      <c r="TUB35" s="1884"/>
      <c r="TUC35" s="1884"/>
      <c r="TUD35" s="1884"/>
      <c r="TUE35" s="1884"/>
      <c r="TUF35" s="1884"/>
      <c r="TUG35" s="1884"/>
      <c r="TUH35" s="1884"/>
      <c r="TUI35" s="1884"/>
      <c r="TUJ35" s="1884"/>
      <c r="TUK35" s="1884"/>
      <c r="TUL35" s="1884"/>
      <c r="TUM35" s="1884"/>
      <c r="TUN35" s="1884"/>
      <c r="TUO35" s="1884"/>
      <c r="TUP35" s="1884"/>
      <c r="TUQ35" s="1884"/>
      <c r="TUR35" s="1884"/>
      <c r="TUS35" s="1884"/>
      <c r="TUT35" s="1884"/>
      <c r="TUU35" s="1884"/>
      <c r="TUV35" s="1884"/>
      <c r="TUW35" s="1884"/>
      <c r="TUX35" s="1884"/>
      <c r="TUY35" s="1884"/>
      <c r="TUZ35" s="1884"/>
      <c r="TVA35" s="1884"/>
      <c r="TVB35" s="1884"/>
      <c r="TVC35" s="1884"/>
      <c r="TVD35" s="1884"/>
      <c r="TVE35" s="1884"/>
      <c r="TVF35" s="1884"/>
      <c r="TVG35" s="1884"/>
      <c r="TVH35" s="1884"/>
      <c r="TVI35" s="1884"/>
      <c r="TVJ35" s="1884"/>
      <c r="TVK35" s="1884"/>
      <c r="TVL35" s="1884"/>
      <c r="TVM35" s="1884"/>
      <c r="TVN35" s="1884"/>
      <c r="TVO35" s="1884"/>
      <c r="TVP35" s="1884"/>
      <c r="TVQ35" s="1884"/>
      <c r="TVR35" s="1884"/>
      <c r="TVS35" s="1884"/>
      <c r="TVT35" s="1884"/>
      <c r="TVU35" s="1884"/>
      <c r="TVV35" s="1884"/>
      <c r="TVW35" s="1884"/>
      <c r="TVX35" s="1884"/>
      <c r="TVY35" s="1884"/>
      <c r="TVZ35" s="1884"/>
      <c r="TWA35" s="1884"/>
      <c r="TWB35" s="1884"/>
      <c r="TWC35" s="1884"/>
      <c r="TWD35" s="1884"/>
      <c r="TWE35" s="1884"/>
      <c r="TWF35" s="1884"/>
      <c r="TWG35" s="1884"/>
      <c r="TWH35" s="1884"/>
      <c r="TWI35" s="1884"/>
      <c r="TWJ35" s="1884"/>
      <c r="TWK35" s="1884"/>
      <c r="TWL35" s="1884"/>
      <c r="TWM35" s="1884"/>
      <c r="TWN35" s="1884"/>
      <c r="TWO35" s="1884"/>
      <c r="TWP35" s="1884"/>
      <c r="TWQ35" s="1884"/>
      <c r="TWR35" s="1884"/>
      <c r="TWS35" s="1884"/>
      <c r="TWT35" s="1884"/>
      <c r="TWU35" s="1884"/>
      <c r="TWV35" s="1884"/>
      <c r="TWW35" s="1884"/>
      <c r="TWX35" s="1884"/>
      <c r="TWY35" s="1884"/>
      <c r="TWZ35" s="1884"/>
      <c r="TXA35" s="1884"/>
      <c r="TXB35" s="1884"/>
      <c r="TXC35" s="1884"/>
      <c r="TXD35" s="1884"/>
      <c r="TXE35" s="1884"/>
      <c r="TXF35" s="1884"/>
      <c r="TXG35" s="1884"/>
      <c r="TXH35" s="1884"/>
      <c r="TXI35" s="1884"/>
      <c r="TXJ35" s="1884"/>
      <c r="TXK35" s="1884"/>
      <c r="TXL35" s="1884"/>
      <c r="TXM35" s="1884"/>
      <c r="TXN35" s="1884"/>
      <c r="TXO35" s="1884"/>
      <c r="TXP35" s="1884"/>
      <c r="TXQ35" s="1884"/>
      <c r="TXR35" s="1884"/>
      <c r="TXS35" s="1884"/>
      <c r="TXT35" s="1884"/>
      <c r="TXU35" s="1884"/>
      <c r="TXV35" s="1884"/>
      <c r="TXW35" s="1884"/>
      <c r="TXX35" s="1884"/>
      <c r="TXY35" s="1884"/>
      <c r="TXZ35" s="1884"/>
      <c r="TYA35" s="1884"/>
      <c r="TYB35" s="1884"/>
      <c r="TYC35" s="1884"/>
      <c r="TYD35" s="1884"/>
      <c r="TYE35" s="1884"/>
      <c r="TYF35" s="1884"/>
      <c r="TYG35" s="1884"/>
      <c r="TYH35" s="1884"/>
      <c r="TYI35" s="1884"/>
      <c r="TYJ35" s="1884"/>
      <c r="TYK35" s="1884"/>
      <c r="TYL35" s="1884"/>
      <c r="TYM35" s="1884"/>
      <c r="TYN35" s="1884"/>
      <c r="TYO35" s="1884"/>
      <c r="TYP35" s="1884"/>
      <c r="TYQ35" s="1884"/>
      <c r="TYR35" s="1884"/>
      <c r="TYS35" s="1884"/>
      <c r="TYT35" s="1884"/>
      <c r="TYU35" s="1884"/>
      <c r="TYV35" s="1884"/>
      <c r="TYW35" s="1884"/>
      <c r="TYX35" s="1884"/>
      <c r="TYY35" s="1884"/>
      <c r="TYZ35" s="1884"/>
      <c r="TZA35" s="1884"/>
      <c r="TZB35" s="1884"/>
      <c r="TZC35" s="1884"/>
      <c r="TZD35" s="1884"/>
      <c r="TZE35" s="1884"/>
      <c r="TZF35" s="1884"/>
      <c r="TZG35" s="1884"/>
      <c r="TZH35" s="1884"/>
      <c r="TZI35" s="1884"/>
      <c r="TZJ35" s="1884"/>
      <c r="TZK35" s="1884"/>
      <c r="TZL35" s="1884"/>
      <c r="TZM35" s="1884"/>
      <c r="TZN35" s="1884"/>
      <c r="TZO35" s="1884"/>
      <c r="TZP35" s="1884"/>
      <c r="TZQ35" s="1884"/>
      <c r="TZR35" s="1884"/>
      <c r="TZS35" s="1884"/>
      <c r="TZT35" s="1884"/>
      <c r="TZU35" s="1884"/>
      <c r="TZV35" s="1884"/>
      <c r="TZW35" s="1884"/>
      <c r="TZX35" s="1884"/>
      <c r="TZY35" s="1884"/>
      <c r="TZZ35" s="1884"/>
      <c r="UAA35" s="1884"/>
      <c r="UAB35" s="1884"/>
      <c r="UAC35" s="1884"/>
      <c r="UAD35" s="1884"/>
      <c r="UAE35" s="1884"/>
      <c r="UAF35" s="1884"/>
      <c r="UAG35" s="1884"/>
      <c r="UAH35" s="1884"/>
      <c r="UAI35" s="1884"/>
      <c r="UAJ35" s="1884"/>
      <c r="UAK35" s="1884"/>
      <c r="UAL35" s="1884"/>
      <c r="UAM35" s="1884"/>
      <c r="UAN35" s="1884"/>
      <c r="UAO35" s="1884"/>
      <c r="UAP35" s="1884"/>
      <c r="UAQ35" s="1884"/>
      <c r="UAR35" s="1884"/>
      <c r="UAS35" s="1884"/>
      <c r="UAT35" s="1884"/>
      <c r="UAU35" s="1884"/>
      <c r="UAV35" s="1884"/>
      <c r="UAW35" s="1884"/>
      <c r="UAX35" s="1884"/>
      <c r="UAY35" s="1884"/>
      <c r="UAZ35" s="1884"/>
      <c r="UBA35" s="1884"/>
      <c r="UBB35" s="1884"/>
      <c r="UBC35" s="1884"/>
      <c r="UBD35" s="1884"/>
      <c r="UBE35" s="1884"/>
      <c r="UBF35" s="1884"/>
      <c r="UBG35" s="1884"/>
      <c r="UBH35" s="1884"/>
      <c r="UBI35" s="1884"/>
      <c r="UBJ35" s="1884"/>
      <c r="UBK35" s="1884"/>
      <c r="UBL35" s="1884"/>
      <c r="UBM35" s="1884"/>
      <c r="UBN35" s="1884"/>
      <c r="UBO35" s="1884"/>
      <c r="UBP35" s="1884"/>
      <c r="UBQ35" s="1884"/>
      <c r="UBR35" s="1884"/>
      <c r="UBS35" s="1884"/>
      <c r="UBT35" s="1884"/>
      <c r="UBU35" s="1884"/>
      <c r="UBV35" s="1884"/>
      <c r="UBW35" s="1884"/>
      <c r="UBX35" s="1884"/>
      <c r="UBY35" s="1884"/>
      <c r="UBZ35" s="1884"/>
      <c r="UCA35" s="1884"/>
      <c r="UCB35" s="1884"/>
      <c r="UCC35" s="1884"/>
      <c r="UCD35" s="1884"/>
      <c r="UCE35" s="1884"/>
      <c r="UCF35" s="1884"/>
      <c r="UCG35" s="1884"/>
      <c r="UCH35" s="1884"/>
      <c r="UCI35" s="1884"/>
      <c r="UCJ35" s="1884"/>
      <c r="UCK35" s="1884"/>
      <c r="UCL35" s="1884"/>
      <c r="UCM35" s="1884"/>
      <c r="UCN35" s="1884"/>
      <c r="UCO35" s="1884"/>
      <c r="UCP35" s="1884"/>
      <c r="UCQ35" s="1884"/>
      <c r="UCR35" s="1884"/>
      <c r="UCS35" s="1884"/>
      <c r="UCT35" s="1884"/>
      <c r="UCU35" s="1884"/>
      <c r="UCV35" s="1884"/>
      <c r="UCW35" s="1884"/>
      <c r="UCX35" s="1884"/>
      <c r="UCY35" s="1884"/>
      <c r="UCZ35" s="1884"/>
      <c r="UDA35" s="1884"/>
      <c r="UDB35" s="1884"/>
      <c r="UDC35" s="1884"/>
      <c r="UDD35" s="1884"/>
      <c r="UDE35" s="1884"/>
      <c r="UDF35" s="1884"/>
      <c r="UDG35" s="1884"/>
      <c r="UDH35" s="1884"/>
      <c r="UDI35" s="1884"/>
      <c r="UDJ35" s="1884"/>
      <c r="UDK35" s="1884"/>
      <c r="UDL35" s="1884"/>
      <c r="UDM35" s="1884"/>
      <c r="UDN35" s="1884"/>
      <c r="UDO35" s="1884"/>
      <c r="UDP35" s="1884"/>
      <c r="UDQ35" s="1884"/>
      <c r="UDR35" s="1884"/>
      <c r="UDS35" s="1884"/>
      <c r="UDT35" s="1884"/>
      <c r="UDU35" s="1884"/>
      <c r="UDV35" s="1884"/>
      <c r="UDW35" s="1884"/>
      <c r="UDX35" s="1884"/>
      <c r="UDY35" s="1884"/>
      <c r="UDZ35" s="1884"/>
      <c r="UEA35" s="1884"/>
      <c r="UEB35" s="1884"/>
      <c r="UEC35" s="1884"/>
      <c r="UED35" s="1884"/>
      <c r="UEE35" s="1884"/>
      <c r="UEF35" s="1884"/>
      <c r="UEG35" s="1884"/>
      <c r="UEH35" s="1884"/>
      <c r="UEI35" s="1884"/>
      <c r="UEJ35" s="1884"/>
      <c r="UEK35" s="1884"/>
      <c r="UEL35" s="1884"/>
      <c r="UEM35" s="1884"/>
      <c r="UEN35" s="1884"/>
      <c r="UEO35" s="1884"/>
      <c r="UEP35" s="1884"/>
      <c r="UEQ35" s="1884"/>
      <c r="UER35" s="1884"/>
      <c r="UES35" s="1884"/>
      <c r="UET35" s="1884"/>
      <c r="UEU35" s="1884"/>
      <c r="UEV35" s="1884"/>
      <c r="UEW35" s="1884"/>
      <c r="UEX35" s="1884"/>
      <c r="UEY35" s="1884"/>
      <c r="UEZ35" s="1884"/>
      <c r="UFA35" s="1884"/>
      <c r="UFB35" s="1884"/>
      <c r="UFC35" s="1884"/>
      <c r="UFD35" s="1884"/>
      <c r="UFE35" s="1884"/>
      <c r="UFF35" s="1884"/>
      <c r="UFG35" s="1884"/>
      <c r="UFH35" s="1884"/>
      <c r="UFI35" s="1884"/>
      <c r="UFJ35" s="1884"/>
      <c r="UFK35" s="1884"/>
      <c r="UFL35" s="1884"/>
      <c r="UFM35" s="1884"/>
      <c r="UFN35" s="1884"/>
      <c r="UFO35" s="1884"/>
      <c r="UFP35" s="1884"/>
      <c r="UFQ35" s="1884"/>
      <c r="UFR35" s="1884"/>
      <c r="UFS35" s="1884"/>
      <c r="UFT35" s="1884"/>
      <c r="UFU35" s="1884"/>
      <c r="UFV35" s="1884"/>
      <c r="UFW35" s="1884"/>
      <c r="UFX35" s="1884"/>
      <c r="UFY35" s="1884"/>
      <c r="UFZ35" s="1884"/>
      <c r="UGA35" s="1884"/>
      <c r="UGB35" s="1884"/>
      <c r="UGC35" s="1884"/>
      <c r="UGD35" s="1884"/>
      <c r="UGE35" s="1884"/>
      <c r="UGF35" s="1884"/>
      <c r="UGG35" s="1884"/>
      <c r="UGH35" s="1884"/>
      <c r="UGI35" s="1884"/>
      <c r="UGJ35" s="1884"/>
      <c r="UGK35" s="1884"/>
      <c r="UGL35" s="1884"/>
      <c r="UGM35" s="1884"/>
      <c r="UGN35" s="1884"/>
      <c r="UGO35" s="1884"/>
      <c r="UGP35" s="1884"/>
      <c r="UGQ35" s="1884"/>
      <c r="UGR35" s="1884"/>
      <c r="UGS35" s="1884"/>
      <c r="UGT35" s="1884"/>
      <c r="UGU35" s="1884"/>
      <c r="UGV35" s="1884"/>
      <c r="UGW35" s="1884"/>
      <c r="UGX35" s="1884"/>
      <c r="UGY35" s="1884"/>
      <c r="UGZ35" s="1884"/>
      <c r="UHA35" s="1884"/>
      <c r="UHB35" s="1884"/>
      <c r="UHC35" s="1884"/>
      <c r="UHD35" s="1884"/>
      <c r="UHE35" s="1884"/>
      <c r="UHF35" s="1884"/>
      <c r="UHG35" s="1884"/>
      <c r="UHH35" s="1884"/>
      <c r="UHI35" s="1884"/>
      <c r="UHJ35" s="1884"/>
      <c r="UHK35" s="1884"/>
      <c r="UHL35" s="1884"/>
      <c r="UHM35" s="1884"/>
      <c r="UHN35" s="1884"/>
      <c r="UHO35" s="1884"/>
      <c r="UHP35" s="1884"/>
      <c r="UHQ35" s="1884"/>
      <c r="UHR35" s="1884"/>
      <c r="UHS35" s="1884"/>
      <c r="UHT35" s="1884"/>
      <c r="UHU35" s="1884"/>
      <c r="UHV35" s="1884"/>
      <c r="UHW35" s="1884"/>
      <c r="UHX35" s="1884"/>
      <c r="UHY35" s="1884"/>
      <c r="UHZ35" s="1884"/>
      <c r="UIA35" s="1884"/>
      <c r="UIB35" s="1884"/>
      <c r="UIC35" s="1884"/>
      <c r="UID35" s="1884"/>
      <c r="UIE35" s="1884"/>
      <c r="UIF35" s="1884"/>
      <c r="UIG35" s="1884"/>
      <c r="UIH35" s="1884"/>
      <c r="UII35" s="1884"/>
      <c r="UIJ35" s="1884"/>
      <c r="UIK35" s="1884"/>
      <c r="UIL35" s="1884"/>
      <c r="UIM35" s="1884"/>
      <c r="UIN35" s="1884"/>
      <c r="UIO35" s="1884"/>
      <c r="UIP35" s="1884"/>
      <c r="UIQ35" s="1884"/>
      <c r="UIR35" s="1884"/>
      <c r="UIS35" s="1884"/>
      <c r="UIT35" s="1884"/>
      <c r="UIU35" s="1884"/>
      <c r="UIV35" s="1884"/>
      <c r="UIW35" s="1884"/>
      <c r="UIX35" s="1884"/>
      <c r="UIY35" s="1884"/>
      <c r="UIZ35" s="1884"/>
      <c r="UJA35" s="1884"/>
      <c r="UJB35" s="1884"/>
      <c r="UJC35" s="1884"/>
      <c r="UJD35" s="1884"/>
      <c r="UJE35" s="1884"/>
      <c r="UJF35" s="1884"/>
      <c r="UJG35" s="1884"/>
      <c r="UJH35" s="1884"/>
      <c r="UJI35" s="1884"/>
      <c r="UJJ35" s="1884"/>
      <c r="UJK35" s="1884"/>
      <c r="UJL35" s="1884"/>
      <c r="UJM35" s="1884"/>
      <c r="UJN35" s="1884"/>
      <c r="UJO35" s="1884"/>
      <c r="UJP35" s="1884"/>
      <c r="UJQ35" s="1884"/>
      <c r="UJR35" s="1884"/>
      <c r="UJS35" s="1884"/>
      <c r="UJT35" s="1884"/>
      <c r="UJU35" s="1884"/>
      <c r="UJV35" s="1884"/>
      <c r="UJW35" s="1884"/>
      <c r="UJX35" s="1884"/>
      <c r="UJY35" s="1884"/>
      <c r="UJZ35" s="1884"/>
      <c r="UKA35" s="1884"/>
      <c r="UKB35" s="1884"/>
      <c r="UKC35" s="1884"/>
      <c r="UKD35" s="1884"/>
      <c r="UKE35" s="1884"/>
      <c r="UKF35" s="1884"/>
      <c r="UKG35" s="1884"/>
      <c r="UKH35" s="1884"/>
      <c r="UKI35" s="1884"/>
      <c r="UKJ35" s="1884"/>
      <c r="UKK35" s="1884"/>
      <c r="UKL35" s="1884"/>
      <c r="UKM35" s="1884"/>
      <c r="UKN35" s="1884"/>
      <c r="UKO35" s="1884"/>
      <c r="UKP35" s="1884"/>
      <c r="UKQ35" s="1884"/>
      <c r="UKR35" s="1884"/>
      <c r="UKS35" s="1884"/>
      <c r="UKT35" s="1884"/>
      <c r="UKU35" s="1884"/>
      <c r="UKV35" s="1884"/>
      <c r="UKW35" s="1884"/>
      <c r="UKX35" s="1884"/>
      <c r="UKY35" s="1884"/>
      <c r="UKZ35" s="1884"/>
      <c r="ULA35" s="1884"/>
      <c r="ULB35" s="1884"/>
      <c r="ULC35" s="1884"/>
      <c r="ULD35" s="1884"/>
      <c r="ULE35" s="1884"/>
      <c r="ULF35" s="1884"/>
      <c r="ULG35" s="1884"/>
      <c r="ULH35" s="1884"/>
      <c r="ULI35" s="1884"/>
      <c r="ULJ35" s="1884"/>
      <c r="ULK35" s="1884"/>
      <c r="ULL35" s="1884"/>
      <c r="ULM35" s="1884"/>
      <c r="ULN35" s="1884"/>
      <c r="ULO35" s="1884"/>
      <c r="ULP35" s="1884"/>
      <c r="ULQ35" s="1884"/>
      <c r="ULR35" s="1884"/>
      <c r="ULS35" s="1884"/>
      <c r="ULT35" s="1884"/>
      <c r="ULU35" s="1884"/>
      <c r="ULV35" s="1884"/>
      <c r="ULW35" s="1884"/>
      <c r="ULX35" s="1884"/>
      <c r="ULY35" s="1884"/>
      <c r="ULZ35" s="1884"/>
      <c r="UMA35" s="1884"/>
      <c r="UMB35" s="1884"/>
      <c r="UMC35" s="1884"/>
      <c r="UMD35" s="1884"/>
      <c r="UME35" s="1884"/>
      <c r="UMF35" s="1884"/>
      <c r="UMG35" s="1884"/>
      <c r="UMH35" s="1884"/>
      <c r="UMI35" s="1884"/>
      <c r="UMJ35" s="1884"/>
      <c r="UMK35" s="1884"/>
      <c r="UML35" s="1884"/>
      <c r="UMM35" s="1884"/>
      <c r="UMN35" s="1884"/>
      <c r="UMO35" s="1884"/>
      <c r="UMP35" s="1884"/>
      <c r="UMQ35" s="1884"/>
      <c r="UMR35" s="1884"/>
      <c r="UMS35" s="1884"/>
      <c r="UMT35" s="1884"/>
      <c r="UMU35" s="1884"/>
      <c r="UMV35" s="1884"/>
      <c r="UMW35" s="1884"/>
      <c r="UMX35" s="1884"/>
      <c r="UMY35" s="1884"/>
      <c r="UMZ35" s="1884"/>
      <c r="UNA35" s="1884"/>
      <c r="UNB35" s="1884"/>
      <c r="UNC35" s="1884"/>
      <c r="UND35" s="1884"/>
      <c r="UNE35" s="1884"/>
      <c r="UNF35" s="1884"/>
      <c r="UNG35" s="1884"/>
      <c r="UNH35" s="1884"/>
      <c r="UNI35" s="1884"/>
      <c r="UNJ35" s="1884"/>
      <c r="UNK35" s="1884"/>
      <c r="UNL35" s="1884"/>
      <c r="UNM35" s="1884"/>
      <c r="UNN35" s="1884"/>
      <c r="UNO35" s="1884"/>
      <c r="UNP35" s="1884"/>
      <c r="UNQ35" s="1884"/>
      <c r="UNR35" s="1884"/>
      <c r="UNS35" s="1884"/>
      <c r="UNT35" s="1884"/>
      <c r="UNU35" s="1884"/>
      <c r="UNV35" s="1884"/>
      <c r="UNW35" s="1884"/>
      <c r="UNX35" s="1884"/>
      <c r="UNY35" s="1884"/>
      <c r="UNZ35" s="1884"/>
      <c r="UOA35" s="1884"/>
      <c r="UOB35" s="1884"/>
      <c r="UOC35" s="1884"/>
      <c r="UOD35" s="1884"/>
      <c r="UOE35" s="1884"/>
      <c r="UOF35" s="1884"/>
      <c r="UOG35" s="1884"/>
      <c r="UOH35" s="1884"/>
      <c r="UOI35" s="1884"/>
      <c r="UOJ35" s="1884"/>
      <c r="UOK35" s="1884"/>
      <c r="UOL35" s="1884"/>
      <c r="UOM35" s="1884"/>
      <c r="UON35" s="1884"/>
      <c r="UOO35" s="1884"/>
      <c r="UOP35" s="1884"/>
      <c r="UOQ35" s="1884"/>
      <c r="UOR35" s="1884"/>
      <c r="UOS35" s="1884"/>
      <c r="UOT35" s="1884"/>
      <c r="UOU35" s="1884"/>
      <c r="UOV35" s="1884"/>
      <c r="UOW35" s="1884"/>
      <c r="UOX35" s="1884"/>
      <c r="UOY35" s="1884"/>
      <c r="UOZ35" s="1884"/>
      <c r="UPA35" s="1884"/>
      <c r="UPB35" s="1884"/>
      <c r="UPC35" s="1884"/>
      <c r="UPD35" s="1884"/>
      <c r="UPE35" s="1884"/>
      <c r="UPF35" s="1884"/>
      <c r="UPG35" s="1884"/>
      <c r="UPH35" s="1884"/>
      <c r="UPI35" s="1884"/>
      <c r="UPJ35" s="1884"/>
      <c r="UPK35" s="1884"/>
      <c r="UPL35" s="1884"/>
      <c r="UPM35" s="1884"/>
      <c r="UPN35" s="1884"/>
      <c r="UPO35" s="1884"/>
      <c r="UPP35" s="1884"/>
      <c r="UPQ35" s="1884"/>
      <c r="UPR35" s="1884"/>
      <c r="UPS35" s="1884"/>
      <c r="UPT35" s="1884"/>
      <c r="UPU35" s="1884"/>
      <c r="UPV35" s="1884"/>
      <c r="UPW35" s="1884"/>
      <c r="UPX35" s="1884"/>
      <c r="UPY35" s="1884"/>
      <c r="UPZ35" s="1884"/>
      <c r="UQA35" s="1884"/>
      <c r="UQB35" s="1884"/>
      <c r="UQC35" s="1884"/>
      <c r="UQD35" s="1884"/>
      <c r="UQE35" s="1884"/>
      <c r="UQF35" s="1884"/>
      <c r="UQG35" s="1884"/>
      <c r="UQH35" s="1884"/>
      <c r="UQI35" s="1884"/>
      <c r="UQJ35" s="1884"/>
      <c r="UQK35" s="1884"/>
      <c r="UQL35" s="1884"/>
      <c r="UQM35" s="1884"/>
      <c r="UQN35" s="1884"/>
      <c r="UQO35" s="1884"/>
      <c r="UQP35" s="1884"/>
      <c r="UQQ35" s="1884"/>
      <c r="UQR35" s="1884"/>
      <c r="UQS35" s="1884"/>
      <c r="UQT35" s="1884"/>
      <c r="UQU35" s="1884"/>
      <c r="UQV35" s="1884"/>
      <c r="UQW35" s="1884"/>
      <c r="UQX35" s="1884"/>
      <c r="UQY35" s="1884"/>
      <c r="UQZ35" s="1884"/>
      <c r="URA35" s="1884"/>
      <c r="URB35" s="1884"/>
      <c r="URC35" s="1884"/>
      <c r="URD35" s="1884"/>
      <c r="URE35" s="1884"/>
      <c r="URF35" s="1884"/>
      <c r="URG35" s="1884"/>
      <c r="URH35" s="1884"/>
      <c r="URI35" s="1884"/>
      <c r="URJ35" s="1884"/>
      <c r="URK35" s="1884"/>
      <c r="URL35" s="1884"/>
      <c r="URM35" s="1884"/>
      <c r="URN35" s="1884"/>
      <c r="URO35" s="1884"/>
      <c r="URP35" s="1884"/>
      <c r="URQ35" s="1884"/>
      <c r="URR35" s="1884"/>
      <c r="URS35" s="1884"/>
      <c r="URT35" s="1884"/>
      <c r="URU35" s="1884"/>
      <c r="URV35" s="1884"/>
      <c r="URW35" s="1884"/>
      <c r="URX35" s="1884"/>
      <c r="URY35" s="1884"/>
      <c r="URZ35" s="1884"/>
      <c r="USA35" s="1884"/>
      <c r="USB35" s="1884"/>
      <c r="USC35" s="1884"/>
      <c r="USD35" s="1884"/>
      <c r="USE35" s="1884"/>
      <c r="USF35" s="1884"/>
      <c r="USG35" s="1884"/>
      <c r="USH35" s="1884"/>
      <c r="USI35" s="1884"/>
      <c r="USJ35" s="1884"/>
      <c r="USK35" s="1884"/>
      <c r="USL35" s="1884"/>
      <c r="USM35" s="1884"/>
      <c r="USN35" s="1884"/>
      <c r="USO35" s="1884"/>
      <c r="USP35" s="1884"/>
      <c r="USQ35" s="1884"/>
      <c r="USR35" s="1884"/>
      <c r="USS35" s="1884"/>
      <c r="UST35" s="1884"/>
      <c r="USU35" s="1884"/>
      <c r="USV35" s="1884"/>
      <c r="USW35" s="1884"/>
      <c r="USX35" s="1884"/>
      <c r="USY35" s="1884"/>
      <c r="USZ35" s="1884"/>
      <c r="UTA35" s="1884"/>
      <c r="UTB35" s="1884"/>
      <c r="UTC35" s="1884"/>
      <c r="UTD35" s="1884"/>
      <c r="UTE35" s="1884"/>
      <c r="UTF35" s="1884"/>
      <c r="UTG35" s="1884"/>
      <c r="UTH35" s="1884"/>
      <c r="UTI35" s="1884"/>
      <c r="UTJ35" s="1884"/>
      <c r="UTK35" s="1884"/>
      <c r="UTL35" s="1884"/>
      <c r="UTM35" s="1884"/>
      <c r="UTN35" s="1884"/>
      <c r="UTO35" s="1884"/>
      <c r="UTP35" s="1884"/>
      <c r="UTQ35" s="1884"/>
      <c r="UTR35" s="1884"/>
      <c r="UTS35" s="1884"/>
      <c r="UTT35" s="1884"/>
      <c r="UTU35" s="1884"/>
      <c r="UTV35" s="1884"/>
      <c r="UTW35" s="1884"/>
      <c r="UTX35" s="1884"/>
      <c r="UTY35" s="1884"/>
      <c r="UTZ35" s="1884"/>
      <c r="UUA35" s="1884"/>
      <c r="UUB35" s="1884"/>
      <c r="UUC35" s="1884"/>
      <c r="UUD35" s="1884"/>
      <c r="UUE35" s="1884"/>
      <c r="UUF35" s="1884"/>
      <c r="UUG35" s="1884"/>
      <c r="UUH35" s="1884"/>
      <c r="UUI35" s="1884"/>
      <c r="UUJ35" s="1884"/>
      <c r="UUK35" s="1884"/>
      <c r="UUL35" s="1884"/>
      <c r="UUM35" s="1884"/>
      <c r="UUN35" s="1884"/>
      <c r="UUO35" s="1884"/>
      <c r="UUP35" s="1884"/>
      <c r="UUQ35" s="1884"/>
      <c r="UUR35" s="1884"/>
      <c r="UUS35" s="1884"/>
      <c r="UUT35" s="1884"/>
      <c r="UUU35" s="1884"/>
      <c r="UUV35" s="1884"/>
      <c r="UUW35" s="1884"/>
      <c r="UUX35" s="1884"/>
      <c r="UUY35" s="1884"/>
      <c r="UUZ35" s="1884"/>
      <c r="UVA35" s="1884"/>
      <c r="UVB35" s="1884"/>
      <c r="UVC35" s="1884"/>
      <c r="UVD35" s="1884"/>
      <c r="UVE35" s="1884"/>
      <c r="UVF35" s="1884"/>
      <c r="UVG35" s="1884"/>
      <c r="UVH35" s="1884"/>
      <c r="UVI35" s="1884"/>
      <c r="UVJ35" s="1884"/>
      <c r="UVK35" s="1884"/>
      <c r="UVL35" s="1884"/>
      <c r="UVM35" s="1884"/>
      <c r="UVN35" s="1884"/>
      <c r="UVO35" s="1884"/>
      <c r="UVP35" s="1884"/>
      <c r="UVQ35" s="1884"/>
      <c r="UVR35" s="1884"/>
      <c r="UVS35" s="1884"/>
      <c r="UVT35" s="1884"/>
      <c r="UVU35" s="1884"/>
      <c r="UVV35" s="1884"/>
      <c r="UVW35" s="1884"/>
      <c r="UVX35" s="1884"/>
      <c r="UVY35" s="1884"/>
      <c r="UVZ35" s="1884"/>
      <c r="UWA35" s="1884"/>
      <c r="UWB35" s="1884"/>
      <c r="UWC35" s="1884"/>
      <c r="UWD35" s="1884"/>
      <c r="UWE35" s="1884"/>
      <c r="UWF35" s="1884"/>
      <c r="UWG35" s="1884"/>
      <c r="UWH35" s="1884"/>
      <c r="UWI35" s="1884"/>
      <c r="UWJ35" s="1884"/>
      <c r="UWK35" s="1884"/>
      <c r="UWL35" s="1884"/>
      <c r="UWM35" s="1884"/>
      <c r="UWN35" s="1884"/>
      <c r="UWO35" s="1884"/>
      <c r="UWP35" s="1884"/>
      <c r="UWQ35" s="1884"/>
      <c r="UWR35" s="1884"/>
      <c r="UWS35" s="1884"/>
      <c r="UWT35" s="1884"/>
      <c r="UWU35" s="1884"/>
      <c r="UWV35" s="1884"/>
      <c r="UWW35" s="1884"/>
      <c r="UWX35" s="1884"/>
      <c r="UWY35" s="1884"/>
      <c r="UWZ35" s="1884"/>
      <c r="UXA35" s="1884"/>
      <c r="UXB35" s="1884"/>
      <c r="UXC35" s="1884"/>
      <c r="UXD35" s="1884"/>
      <c r="UXE35" s="1884"/>
      <c r="UXF35" s="1884"/>
      <c r="UXG35" s="1884"/>
      <c r="UXH35" s="1884"/>
      <c r="UXI35" s="1884"/>
      <c r="UXJ35" s="1884"/>
      <c r="UXK35" s="1884"/>
      <c r="UXL35" s="1884"/>
      <c r="UXM35" s="1884"/>
      <c r="UXN35" s="1884"/>
      <c r="UXO35" s="1884"/>
      <c r="UXP35" s="1884"/>
      <c r="UXQ35" s="1884"/>
      <c r="UXR35" s="1884"/>
      <c r="UXS35" s="1884"/>
      <c r="UXT35" s="1884"/>
      <c r="UXU35" s="1884"/>
      <c r="UXV35" s="1884"/>
      <c r="UXW35" s="1884"/>
      <c r="UXX35" s="1884"/>
      <c r="UXY35" s="1884"/>
      <c r="UXZ35" s="1884"/>
      <c r="UYA35" s="1884"/>
      <c r="UYB35" s="1884"/>
      <c r="UYC35" s="1884"/>
      <c r="UYD35" s="1884"/>
      <c r="UYE35" s="1884"/>
      <c r="UYF35" s="1884"/>
      <c r="UYG35" s="1884"/>
      <c r="UYH35" s="1884"/>
      <c r="UYI35" s="1884"/>
      <c r="UYJ35" s="1884"/>
      <c r="UYK35" s="1884"/>
      <c r="UYL35" s="1884"/>
      <c r="UYM35" s="1884"/>
      <c r="UYN35" s="1884"/>
      <c r="UYO35" s="1884"/>
      <c r="UYP35" s="1884"/>
      <c r="UYQ35" s="1884"/>
      <c r="UYR35" s="1884"/>
      <c r="UYS35" s="1884"/>
      <c r="UYT35" s="1884"/>
      <c r="UYU35" s="1884"/>
      <c r="UYV35" s="1884"/>
      <c r="UYW35" s="1884"/>
      <c r="UYX35" s="1884"/>
      <c r="UYY35" s="1884"/>
      <c r="UYZ35" s="1884"/>
      <c r="UZA35" s="1884"/>
      <c r="UZB35" s="1884"/>
      <c r="UZC35" s="1884"/>
      <c r="UZD35" s="1884"/>
      <c r="UZE35" s="1884"/>
      <c r="UZF35" s="1884"/>
      <c r="UZG35" s="1884"/>
      <c r="UZH35" s="1884"/>
      <c r="UZI35" s="1884"/>
      <c r="UZJ35" s="1884"/>
      <c r="UZK35" s="1884"/>
      <c r="UZL35" s="1884"/>
      <c r="UZM35" s="1884"/>
      <c r="UZN35" s="1884"/>
      <c r="UZO35" s="1884"/>
      <c r="UZP35" s="1884"/>
      <c r="UZQ35" s="1884"/>
      <c r="UZR35" s="1884"/>
      <c r="UZS35" s="1884"/>
      <c r="UZT35" s="1884"/>
      <c r="UZU35" s="1884"/>
      <c r="UZV35" s="1884"/>
      <c r="UZW35" s="1884"/>
      <c r="UZX35" s="1884"/>
      <c r="UZY35" s="1884"/>
      <c r="UZZ35" s="1884"/>
      <c r="VAA35" s="1884"/>
      <c r="VAB35" s="1884"/>
      <c r="VAC35" s="1884"/>
      <c r="VAD35" s="1884"/>
      <c r="VAE35" s="1884"/>
      <c r="VAF35" s="1884"/>
      <c r="VAG35" s="1884"/>
      <c r="VAH35" s="1884"/>
      <c r="VAI35" s="1884"/>
      <c r="VAJ35" s="1884"/>
      <c r="VAK35" s="1884"/>
      <c r="VAL35" s="1884"/>
      <c r="VAM35" s="1884"/>
      <c r="VAN35" s="1884"/>
      <c r="VAO35" s="1884"/>
      <c r="VAP35" s="1884"/>
      <c r="VAQ35" s="1884"/>
      <c r="VAR35" s="1884"/>
      <c r="VAS35" s="1884"/>
      <c r="VAT35" s="1884"/>
      <c r="VAU35" s="1884"/>
      <c r="VAV35" s="1884"/>
      <c r="VAW35" s="1884"/>
      <c r="VAX35" s="1884"/>
      <c r="VAY35" s="1884"/>
      <c r="VAZ35" s="1884"/>
      <c r="VBA35" s="1884"/>
      <c r="VBB35" s="1884"/>
      <c r="VBC35" s="1884"/>
      <c r="VBD35" s="1884"/>
      <c r="VBE35" s="1884"/>
      <c r="VBF35" s="1884"/>
      <c r="VBG35" s="1884"/>
      <c r="VBH35" s="1884"/>
      <c r="VBI35" s="1884"/>
      <c r="VBJ35" s="1884"/>
      <c r="VBK35" s="1884"/>
      <c r="VBL35" s="1884"/>
      <c r="VBM35" s="1884"/>
      <c r="VBN35" s="1884"/>
      <c r="VBO35" s="1884"/>
      <c r="VBP35" s="1884"/>
      <c r="VBQ35" s="1884"/>
      <c r="VBR35" s="1884"/>
      <c r="VBS35" s="1884"/>
      <c r="VBT35" s="1884"/>
      <c r="VBU35" s="1884"/>
      <c r="VBV35" s="1884"/>
      <c r="VBW35" s="1884"/>
      <c r="VBX35" s="1884"/>
      <c r="VBY35" s="1884"/>
      <c r="VBZ35" s="1884"/>
      <c r="VCA35" s="1884"/>
      <c r="VCB35" s="1884"/>
      <c r="VCC35" s="1884"/>
      <c r="VCD35" s="1884"/>
      <c r="VCE35" s="1884"/>
      <c r="VCF35" s="1884"/>
      <c r="VCG35" s="1884"/>
      <c r="VCH35" s="1884"/>
      <c r="VCI35" s="1884"/>
      <c r="VCJ35" s="1884"/>
      <c r="VCK35" s="1884"/>
      <c r="VCL35" s="1884"/>
      <c r="VCM35" s="1884"/>
      <c r="VCN35" s="1884"/>
      <c r="VCO35" s="1884"/>
      <c r="VCP35" s="1884"/>
      <c r="VCQ35" s="1884"/>
      <c r="VCR35" s="1884"/>
      <c r="VCS35" s="1884"/>
      <c r="VCT35" s="1884"/>
      <c r="VCU35" s="1884"/>
      <c r="VCV35" s="1884"/>
      <c r="VCW35" s="1884"/>
      <c r="VCX35" s="1884"/>
      <c r="VCY35" s="1884"/>
      <c r="VCZ35" s="1884"/>
      <c r="VDA35" s="1884"/>
      <c r="VDB35" s="1884"/>
      <c r="VDC35" s="1884"/>
      <c r="VDD35" s="1884"/>
      <c r="VDE35" s="1884"/>
      <c r="VDF35" s="1884"/>
      <c r="VDG35" s="1884"/>
      <c r="VDH35" s="1884"/>
      <c r="VDI35" s="1884"/>
      <c r="VDJ35" s="1884"/>
      <c r="VDK35" s="1884"/>
      <c r="VDL35" s="1884"/>
      <c r="VDM35" s="1884"/>
      <c r="VDN35" s="1884"/>
      <c r="VDO35" s="1884"/>
      <c r="VDP35" s="1884"/>
      <c r="VDQ35" s="1884"/>
      <c r="VDR35" s="1884"/>
      <c r="VDS35" s="1884"/>
      <c r="VDT35" s="1884"/>
      <c r="VDU35" s="1884"/>
      <c r="VDV35" s="1884"/>
      <c r="VDW35" s="1884"/>
      <c r="VDX35" s="1884"/>
      <c r="VDY35" s="1884"/>
      <c r="VDZ35" s="1884"/>
      <c r="VEA35" s="1884"/>
      <c r="VEB35" s="1884"/>
      <c r="VEC35" s="1884"/>
      <c r="VED35" s="1884"/>
      <c r="VEE35" s="1884"/>
      <c r="VEF35" s="1884"/>
      <c r="VEG35" s="1884"/>
      <c r="VEH35" s="1884"/>
      <c r="VEI35" s="1884"/>
      <c r="VEJ35" s="1884"/>
      <c r="VEK35" s="1884"/>
      <c r="VEL35" s="1884"/>
      <c r="VEM35" s="1884"/>
      <c r="VEN35" s="1884"/>
      <c r="VEO35" s="1884"/>
      <c r="VEP35" s="1884"/>
      <c r="VEQ35" s="1884"/>
      <c r="VER35" s="1884"/>
      <c r="VES35" s="1884"/>
      <c r="VET35" s="1884"/>
      <c r="VEU35" s="1884"/>
      <c r="VEV35" s="1884"/>
      <c r="VEW35" s="1884"/>
      <c r="VEX35" s="1884"/>
      <c r="VEY35" s="1884"/>
      <c r="VEZ35" s="1884"/>
      <c r="VFA35" s="1884"/>
      <c r="VFB35" s="1884"/>
      <c r="VFC35" s="1884"/>
      <c r="VFD35" s="1884"/>
      <c r="VFE35" s="1884"/>
      <c r="VFF35" s="1884"/>
      <c r="VFG35" s="1884"/>
      <c r="VFH35" s="1884"/>
      <c r="VFI35" s="1884"/>
      <c r="VFJ35" s="1884"/>
      <c r="VFK35" s="1884"/>
      <c r="VFL35" s="1884"/>
      <c r="VFM35" s="1884"/>
      <c r="VFN35" s="1884"/>
      <c r="VFO35" s="1884"/>
      <c r="VFP35" s="1884"/>
      <c r="VFQ35" s="1884"/>
      <c r="VFR35" s="1884"/>
      <c r="VFS35" s="1884"/>
      <c r="VFT35" s="1884"/>
      <c r="VFU35" s="1884"/>
      <c r="VFV35" s="1884"/>
      <c r="VFW35" s="1884"/>
      <c r="VFX35" s="1884"/>
      <c r="VFY35" s="1884"/>
      <c r="VFZ35" s="1884"/>
      <c r="VGA35" s="1884"/>
      <c r="VGB35" s="1884"/>
      <c r="VGC35" s="1884"/>
      <c r="VGD35" s="1884"/>
      <c r="VGE35" s="1884"/>
      <c r="VGF35" s="1884"/>
      <c r="VGG35" s="1884"/>
      <c r="VGH35" s="1884"/>
      <c r="VGI35" s="1884"/>
      <c r="VGJ35" s="1884"/>
      <c r="VGK35" s="1884"/>
      <c r="VGL35" s="1884"/>
      <c r="VGM35" s="1884"/>
      <c r="VGN35" s="1884"/>
      <c r="VGO35" s="1884"/>
      <c r="VGP35" s="1884"/>
      <c r="VGQ35" s="1884"/>
      <c r="VGR35" s="1884"/>
      <c r="VGS35" s="1884"/>
      <c r="VGT35" s="1884"/>
      <c r="VGU35" s="1884"/>
      <c r="VGV35" s="1884"/>
      <c r="VGW35" s="1884"/>
      <c r="VGX35" s="1884"/>
      <c r="VGY35" s="1884"/>
      <c r="VGZ35" s="1884"/>
      <c r="VHA35" s="1884"/>
      <c r="VHB35" s="1884"/>
      <c r="VHC35" s="1884"/>
      <c r="VHD35" s="1884"/>
      <c r="VHE35" s="1884"/>
      <c r="VHF35" s="1884"/>
      <c r="VHG35" s="1884"/>
      <c r="VHH35" s="1884"/>
      <c r="VHI35" s="1884"/>
      <c r="VHJ35" s="1884"/>
      <c r="VHK35" s="1884"/>
      <c r="VHL35" s="1884"/>
      <c r="VHM35" s="1884"/>
      <c r="VHN35" s="1884"/>
      <c r="VHO35" s="1884"/>
      <c r="VHP35" s="1884"/>
      <c r="VHQ35" s="1884"/>
      <c r="VHR35" s="1884"/>
      <c r="VHS35" s="1884"/>
      <c r="VHT35" s="1884"/>
      <c r="VHU35" s="1884"/>
      <c r="VHV35" s="1884"/>
      <c r="VHW35" s="1884"/>
      <c r="VHX35" s="1884"/>
      <c r="VHY35" s="1884"/>
      <c r="VHZ35" s="1884"/>
      <c r="VIA35" s="1884"/>
      <c r="VIB35" s="1884"/>
      <c r="VIC35" s="1884"/>
      <c r="VID35" s="1884"/>
      <c r="VIE35" s="1884"/>
      <c r="VIF35" s="1884"/>
      <c r="VIG35" s="1884"/>
      <c r="VIH35" s="1884"/>
      <c r="VII35" s="1884"/>
      <c r="VIJ35" s="1884"/>
      <c r="VIK35" s="1884"/>
      <c r="VIL35" s="1884"/>
      <c r="VIM35" s="1884"/>
      <c r="VIN35" s="1884"/>
      <c r="VIO35" s="1884"/>
      <c r="VIP35" s="1884"/>
      <c r="VIQ35" s="1884"/>
      <c r="VIR35" s="1884"/>
      <c r="VIS35" s="1884"/>
      <c r="VIT35" s="1884"/>
      <c r="VIU35" s="1884"/>
      <c r="VIV35" s="1884"/>
      <c r="VIW35" s="1884"/>
      <c r="VIX35" s="1884"/>
      <c r="VIY35" s="1884"/>
      <c r="VIZ35" s="1884"/>
      <c r="VJA35" s="1884"/>
      <c r="VJB35" s="1884"/>
      <c r="VJC35" s="1884"/>
      <c r="VJD35" s="1884"/>
      <c r="VJE35" s="1884"/>
      <c r="VJF35" s="1884"/>
      <c r="VJG35" s="1884"/>
      <c r="VJH35" s="1884"/>
      <c r="VJI35" s="1884"/>
      <c r="VJJ35" s="1884"/>
      <c r="VJK35" s="1884"/>
      <c r="VJL35" s="1884"/>
      <c r="VJM35" s="1884"/>
      <c r="VJN35" s="1884"/>
      <c r="VJO35" s="1884"/>
      <c r="VJP35" s="1884"/>
      <c r="VJQ35" s="1884"/>
      <c r="VJR35" s="1884"/>
      <c r="VJS35" s="1884"/>
      <c r="VJT35" s="1884"/>
      <c r="VJU35" s="1884"/>
      <c r="VJV35" s="1884"/>
      <c r="VJW35" s="1884"/>
      <c r="VJX35" s="1884"/>
      <c r="VJY35" s="1884"/>
      <c r="VJZ35" s="1884"/>
      <c r="VKA35" s="1884"/>
      <c r="VKB35" s="1884"/>
      <c r="VKC35" s="1884"/>
      <c r="VKD35" s="1884"/>
      <c r="VKE35" s="1884"/>
      <c r="VKF35" s="1884"/>
      <c r="VKG35" s="1884"/>
      <c r="VKH35" s="1884"/>
      <c r="VKI35" s="1884"/>
      <c r="VKJ35" s="1884"/>
      <c r="VKK35" s="1884"/>
      <c r="VKL35" s="1884"/>
      <c r="VKM35" s="1884"/>
      <c r="VKN35" s="1884"/>
      <c r="VKO35" s="1884"/>
      <c r="VKP35" s="1884"/>
      <c r="VKQ35" s="1884"/>
      <c r="VKR35" s="1884"/>
      <c r="VKS35" s="1884"/>
      <c r="VKT35" s="1884"/>
      <c r="VKU35" s="1884"/>
      <c r="VKV35" s="1884"/>
      <c r="VKW35" s="1884"/>
      <c r="VKX35" s="1884"/>
      <c r="VKY35" s="1884"/>
      <c r="VKZ35" s="1884"/>
      <c r="VLA35" s="1884"/>
      <c r="VLB35" s="1884"/>
      <c r="VLC35" s="1884"/>
      <c r="VLD35" s="1884"/>
      <c r="VLE35" s="1884"/>
      <c r="VLF35" s="1884"/>
      <c r="VLG35" s="1884"/>
      <c r="VLH35" s="1884"/>
      <c r="VLI35" s="1884"/>
      <c r="VLJ35" s="1884"/>
      <c r="VLK35" s="1884"/>
      <c r="VLL35" s="1884"/>
      <c r="VLM35" s="1884"/>
      <c r="VLN35" s="1884"/>
      <c r="VLO35" s="1884"/>
      <c r="VLP35" s="1884"/>
      <c r="VLQ35" s="1884"/>
      <c r="VLR35" s="1884"/>
      <c r="VLS35" s="1884"/>
      <c r="VLT35" s="1884"/>
      <c r="VLU35" s="1884"/>
      <c r="VLV35" s="1884"/>
      <c r="VLW35" s="1884"/>
      <c r="VLX35" s="1884"/>
      <c r="VLY35" s="1884"/>
      <c r="VLZ35" s="1884"/>
      <c r="VMA35" s="1884"/>
      <c r="VMB35" s="1884"/>
      <c r="VMC35" s="1884"/>
      <c r="VMD35" s="1884"/>
      <c r="VME35" s="1884"/>
      <c r="VMF35" s="1884"/>
      <c r="VMG35" s="1884"/>
      <c r="VMH35" s="1884"/>
      <c r="VMI35" s="1884"/>
      <c r="VMJ35" s="1884"/>
      <c r="VMK35" s="1884"/>
      <c r="VML35" s="1884"/>
      <c r="VMM35" s="1884"/>
      <c r="VMN35" s="1884"/>
      <c r="VMO35" s="1884"/>
      <c r="VMP35" s="1884"/>
      <c r="VMQ35" s="1884"/>
      <c r="VMR35" s="1884"/>
      <c r="VMS35" s="1884"/>
      <c r="VMT35" s="1884"/>
      <c r="VMU35" s="1884"/>
      <c r="VMV35" s="1884"/>
      <c r="VMW35" s="1884"/>
      <c r="VMX35" s="1884"/>
      <c r="VMY35" s="1884"/>
      <c r="VMZ35" s="1884"/>
      <c r="VNA35" s="1884"/>
      <c r="VNB35" s="1884"/>
      <c r="VNC35" s="1884"/>
      <c r="VND35" s="1884"/>
      <c r="VNE35" s="1884"/>
      <c r="VNF35" s="1884"/>
      <c r="VNG35" s="1884"/>
      <c r="VNH35" s="1884"/>
      <c r="VNI35" s="1884"/>
      <c r="VNJ35" s="1884"/>
      <c r="VNK35" s="1884"/>
      <c r="VNL35" s="1884"/>
      <c r="VNM35" s="1884"/>
      <c r="VNN35" s="1884"/>
      <c r="VNO35" s="1884"/>
      <c r="VNP35" s="1884"/>
      <c r="VNQ35" s="1884"/>
      <c r="VNR35" s="1884"/>
      <c r="VNS35" s="1884"/>
      <c r="VNT35" s="1884"/>
      <c r="VNU35" s="1884"/>
      <c r="VNV35" s="1884"/>
      <c r="VNW35" s="1884"/>
      <c r="VNX35" s="1884"/>
      <c r="VNY35" s="1884"/>
      <c r="VNZ35" s="1884"/>
      <c r="VOA35" s="1884"/>
      <c r="VOB35" s="1884"/>
      <c r="VOC35" s="1884"/>
      <c r="VOD35" s="1884"/>
      <c r="VOE35" s="1884"/>
      <c r="VOF35" s="1884"/>
      <c r="VOG35" s="1884"/>
      <c r="VOH35" s="1884"/>
      <c r="VOI35" s="1884"/>
      <c r="VOJ35" s="1884"/>
      <c r="VOK35" s="1884"/>
      <c r="VOL35" s="1884"/>
      <c r="VOM35" s="1884"/>
      <c r="VON35" s="1884"/>
      <c r="VOO35" s="1884"/>
      <c r="VOP35" s="1884"/>
      <c r="VOQ35" s="1884"/>
      <c r="VOR35" s="1884"/>
      <c r="VOS35" s="1884"/>
      <c r="VOT35" s="1884"/>
      <c r="VOU35" s="1884"/>
      <c r="VOV35" s="1884"/>
      <c r="VOW35" s="1884"/>
      <c r="VOX35" s="1884"/>
      <c r="VOY35" s="1884"/>
      <c r="VOZ35" s="1884"/>
      <c r="VPA35" s="1884"/>
      <c r="VPB35" s="1884"/>
      <c r="VPC35" s="1884"/>
      <c r="VPD35" s="1884"/>
      <c r="VPE35" s="1884"/>
      <c r="VPF35" s="1884"/>
      <c r="VPG35" s="1884"/>
      <c r="VPH35" s="1884"/>
      <c r="VPI35" s="1884"/>
      <c r="VPJ35" s="1884"/>
      <c r="VPK35" s="1884"/>
      <c r="VPL35" s="1884"/>
      <c r="VPM35" s="1884"/>
      <c r="VPN35" s="1884"/>
      <c r="VPO35" s="1884"/>
      <c r="VPP35" s="1884"/>
      <c r="VPQ35" s="1884"/>
      <c r="VPR35" s="1884"/>
      <c r="VPS35" s="1884"/>
      <c r="VPT35" s="1884"/>
      <c r="VPU35" s="1884"/>
      <c r="VPV35" s="1884"/>
      <c r="VPW35" s="1884"/>
      <c r="VPX35" s="1884"/>
      <c r="VPY35" s="1884"/>
      <c r="VPZ35" s="1884"/>
      <c r="VQA35" s="1884"/>
      <c r="VQB35" s="1884"/>
      <c r="VQC35" s="1884"/>
      <c r="VQD35" s="1884"/>
      <c r="VQE35" s="1884"/>
      <c r="VQF35" s="1884"/>
      <c r="VQG35" s="1884"/>
      <c r="VQH35" s="1884"/>
      <c r="VQI35" s="1884"/>
      <c r="VQJ35" s="1884"/>
      <c r="VQK35" s="1884"/>
      <c r="VQL35" s="1884"/>
      <c r="VQM35" s="1884"/>
      <c r="VQN35" s="1884"/>
      <c r="VQO35" s="1884"/>
      <c r="VQP35" s="1884"/>
      <c r="VQQ35" s="1884"/>
      <c r="VQR35" s="1884"/>
      <c r="VQS35" s="1884"/>
      <c r="VQT35" s="1884"/>
      <c r="VQU35" s="1884"/>
      <c r="VQV35" s="1884"/>
      <c r="VQW35" s="1884"/>
      <c r="VQX35" s="1884"/>
      <c r="VQY35" s="1884"/>
      <c r="VQZ35" s="1884"/>
      <c r="VRA35" s="1884"/>
      <c r="VRB35" s="1884"/>
      <c r="VRC35" s="1884"/>
      <c r="VRD35" s="1884"/>
      <c r="VRE35" s="1884"/>
      <c r="VRF35" s="1884"/>
      <c r="VRG35" s="1884"/>
      <c r="VRH35" s="1884"/>
      <c r="VRI35" s="1884"/>
      <c r="VRJ35" s="1884"/>
      <c r="VRK35" s="1884"/>
      <c r="VRL35" s="1884"/>
      <c r="VRM35" s="1884"/>
      <c r="VRN35" s="1884"/>
      <c r="VRO35" s="1884"/>
      <c r="VRP35" s="1884"/>
      <c r="VRQ35" s="1884"/>
      <c r="VRR35" s="1884"/>
      <c r="VRS35" s="1884"/>
      <c r="VRT35" s="1884"/>
      <c r="VRU35" s="1884"/>
      <c r="VRV35" s="1884"/>
      <c r="VRW35" s="1884"/>
      <c r="VRX35" s="1884"/>
      <c r="VRY35" s="1884"/>
      <c r="VRZ35" s="1884"/>
      <c r="VSA35" s="1884"/>
      <c r="VSB35" s="1884"/>
      <c r="VSC35" s="1884"/>
      <c r="VSD35" s="1884"/>
      <c r="VSE35" s="1884"/>
      <c r="VSF35" s="1884"/>
      <c r="VSG35" s="1884"/>
      <c r="VSH35" s="1884"/>
      <c r="VSI35" s="1884"/>
      <c r="VSJ35" s="1884"/>
      <c r="VSK35" s="1884"/>
      <c r="VSL35" s="1884"/>
      <c r="VSM35" s="1884"/>
      <c r="VSN35" s="1884"/>
      <c r="VSO35" s="1884"/>
      <c r="VSP35" s="1884"/>
      <c r="VSQ35" s="1884"/>
      <c r="VSR35" s="1884"/>
      <c r="VSS35" s="1884"/>
      <c r="VST35" s="1884"/>
      <c r="VSU35" s="1884"/>
      <c r="VSV35" s="1884"/>
      <c r="VSW35" s="1884"/>
      <c r="VSX35" s="1884"/>
      <c r="VSY35" s="1884"/>
      <c r="VSZ35" s="1884"/>
      <c r="VTA35" s="1884"/>
      <c r="VTB35" s="1884"/>
      <c r="VTC35" s="1884"/>
      <c r="VTD35" s="1884"/>
      <c r="VTE35" s="1884"/>
      <c r="VTF35" s="1884"/>
      <c r="VTG35" s="1884"/>
      <c r="VTH35" s="1884"/>
      <c r="VTI35" s="1884"/>
      <c r="VTJ35" s="1884"/>
      <c r="VTK35" s="1884"/>
      <c r="VTL35" s="1884"/>
      <c r="VTM35" s="1884"/>
      <c r="VTN35" s="1884"/>
      <c r="VTO35" s="1884"/>
      <c r="VTP35" s="1884"/>
      <c r="VTQ35" s="1884"/>
      <c r="VTR35" s="1884"/>
      <c r="VTS35" s="1884"/>
      <c r="VTT35" s="1884"/>
      <c r="VTU35" s="1884"/>
      <c r="VTV35" s="1884"/>
      <c r="VTW35" s="1884"/>
      <c r="VTX35" s="1884"/>
      <c r="VTY35" s="1884"/>
      <c r="VTZ35" s="1884"/>
      <c r="VUA35" s="1884"/>
      <c r="VUB35" s="1884"/>
      <c r="VUC35" s="1884"/>
      <c r="VUD35" s="1884"/>
      <c r="VUE35" s="1884"/>
      <c r="VUF35" s="1884"/>
      <c r="VUG35" s="1884"/>
      <c r="VUH35" s="1884"/>
      <c r="VUI35" s="1884"/>
      <c r="VUJ35" s="1884"/>
      <c r="VUK35" s="1884"/>
      <c r="VUL35" s="1884"/>
      <c r="VUM35" s="1884"/>
      <c r="VUN35" s="1884"/>
      <c r="VUO35" s="1884"/>
      <c r="VUP35" s="1884"/>
      <c r="VUQ35" s="1884"/>
      <c r="VUR35" s="1884"/>
      <c r="VUS35" s="1884"/>
      <c r="VUT35" s="1884"/>
      <c r="VUU35" s="1884"/>
      <c r="VUV35" s="1884"/>
      <c r="VUW35" s="1884"/>
      <c r="VUX35" s="1884"/>
      <c r="VUY35" s="1884"/>
      <c r="VUZ35" s="1884"/>
      <c r="VVA35" s="1884"/>
      <c r="VVB35" s="1884"/>
      <c r="VVC35" s="1884"/>
      <c r="VVD35" s="1884"/>
      <c r="VVE35" s="1884"/>
      <c r="VVF35" s="1884"/>
      <c r="VVG35" s="1884"/>
      <c r="VVH35" s="1884"/>
      <c r="VVI35" s="1884"/>
      <c r="VVJ35" s="1884"/>
      <c r="VVK35" s="1884"/>
      <c r="VVL35" s="1884"/>
      <c r="VVM35" s="1884"/>
      <c r="VVN35" s="1884"/>
      <c r="VVO35" s="1884"/>
      <c r="VVP35" s="1884"/>
      <c r="VVQ35" s="1884"/>
      <c r="VVR35" s="1884"/>
      <c r="VVS35" s="1884"/>
      <c r="VVT35" s="1884"/>
      <c r="VVU35" s="1884"/>
      <c r="VVV35" s="1884"/>
      <c r="VVW35" s="1884"/>
      <c r="VVX35" s="1884"/>
      <c r="VVY35" s="1884"/>
      <c r="VVZ35" s="1884"/>
      <c r="VWA35" s="1884"/>
      <c r="VWB35" s="1884"/>
      <c r="VWC35" s="1884"/>
      <c r="VWD35" s="1884"/>
      <c r="VWE35" s="1884"/>
      <c r="VWF35" s="1884"/>
      <c r="VWG35" s="1884"/>
      <c r="VWH35" s="1884"/>
      <c r="VWI35" s="1884"/>
      <c r="VWJ35" s="1884"/>
      <c r="VWK35" s="1884"/>
      <c r="VWL35" s="1884"/>
      <c r="VWM35" s="1884"/>
      <c r="VWN35" s="1884"/>
      <c r="VWO35" s="1884"/>
      <c r="VWP35" s="1884"/>
      <c r="VWQ35" s="1884"/>
      <c r="VWR35" s="1884"/>
      <c r="VWS35" s="1884"/>
      <c r="VWT35" s="1884"/>
      <c r="VWU35" s="1884"/>
      <c r="VWV35" s="1884"/>
      <c r="VWW35" s="1884"/>
      <c r="VWX35" s="1884"/>
      <c r="VWY35" s="1884"/>
      <c r="VWZ35" s="1884"/>
      <c r="VXA35" s="1884"/>
      <c r="VXB35" s="1884"/>
      <c r="VXC35" s="1884"/>
      <c r="VXD35" s="1884"/>
      <c r="VXE35" s="1884"/>
      <c r="VXF35" s="1884"/>
      <c r="VXG35" s="1884"/>
      <c r="VXH35" s="1884"/>
      <c r="VXI35" s="1884"/>
      <c r="VXJ35" s="1884"/>
      <c r="VXK35" s="1884"/>
      <c r="VXL35" s="1884"/>
      <c r="VXM35" s="1884"/>
      <c r="VXN35" s="1884"/>
      <c r="VXO35" s="1884"/>
      <c r="VXP35" s="1884"/>
      <c r="VXQ35" s="1884"/>
      <c r="VXR35" s="1884"/>
      <c r="VXS35" s="1884"/>
      <c r="VXT35" s="1884"/>
      <c r="VXU35" s="1884"/>
      <c r="VXV35" s="1884"/>
      <c r="VXW35" s="1884"/>
      <c r="VXX35" s="1884"/>
      <c r="VXY35" s="1884"/>
      <c r="VXZ35" s="1884"/>
      <c r="VYA35" s="1884"/>
      <c r="VYB35" s="1884"/>
      <c r="VYC35" s="1884"/>
      <c r="VYD35" s="1884"/>
      <c r="VYE35" s="1884"/>
      <c r="VYF35" s="1884"/>
      <c r="VYG35" s="1884"/>
      <c r="VYH35" s="1884"/>
      <c r="VYI35" s="1884"/>
      <c r="VYJ35" s="1884"/>
      <c r="VYK35" s="1884"/>
      <c r="VYL35" s="1884"/>
      <c r="VYM35" s="1884"/>
      <c r="VYN35" s="1884"/>
      <c r="VYO35" s="1884"/>
      <c r="VYP35" s="1884"/>
      <c r="VYQ35" s="1884"/>
      <c r="VYR35" s="1884"/>
      <c r="VYS35" s="1884"/>
      <c r="VYT35" s="1884"/>
      <c r="VYU35" s="1884"/>
      <c r="VYV35" s="1884"/>
      <c r="VYW35" s="1884"/>
      <c r="VYX35" s="1884"/>
      <c r="VYY35" s="1884"/>
      <c r="VYZ35" s="1884"/>
      <c r="VZA35" s="1884"/>
      <c r="VZB35" s="1884"/>
      <c r="VZC35" s="1884"/>
      <c r="VZD35" s="1884"/>
      <c r="VZE35" s="1884"/>
      <c r="VZF35" s="1884"/>
      <c r="VZG35" s="1884"/>
      <c r="VZH35" s="1884"/>
      <c r="VZI35" s="1884"/>
      <c r="VZJ35" s="1884"/>
      <c r="VZK35" s="1884"/>
      <c r="VZL35" s="1884"/>
      <c r="VZM35" s="1884"/>
      <c r="VZN35" s="1884"/>
      <c r="VZO35" s="1884"/>
      <c r="VZP35" s="1884"/>
      <c r="VZQ35" s="1884"/>
      <c r="VZR35" s="1884"/>
      <c r="VZS35" s="1884"/>
      <c r="VZT35" s="1884"/>
      <c r="VZU35" s="1884"/>
      <c r="VZV35" s="1884"/>
      <c r="VZW35" s="1884"/>
      <c r="VZX35" s="1884"/>
      <c r="VZY35" s="1884"/>
      <c r="VZZ35" s="1884"/>
      <c r="WAA35" s="1884"/>
      <c r="WAB35" s="1884"/>
      <c r="WAC35" s="1884"/>
      <c r="WAD35" s="1884"/>
      <c r="WAE35" s="1884"/>
      <c r="WAF35" s="1884"/>
      <c r="WAG35" s="1884"/>
      <c r="WAH35" s="1884"/>
      <c r="WAI35" s="1884"/>
      <c r="WAJ35" s="1884"/>
      <c r="WAK35" s="1884"/>
      <c r="WAL35" s="1884"/>
      <c r="WAM35" s="1884"/>
      <c r="WAN35" s="1884"/>
      <c r="WAO35" s="1884"/>
      <c r="WAP35" s="1884"/>
      <c r="WAQ35" s="1884"/>
      <c r="WAR35" s="1884"/>
      <c r="WAS35" s="1884"/>
      <c r="WAT35" s="1884"/>
      <c r="WAU35" s="1884"/>
      <c r="WAV35" s="1884"/>
      <c r="WAW35" s="1884"/>
      <c r="WAX35" s="1884"/>
      <c r="WAY35" s="1884"/>
      <c r="WAZ35" s="1884"/>
      <c r="WBA35" s="1884"/>
      <c r="WBB35" s="1884"/>
      <c r="WBC35" s="1884"/>
      <c r="WBD35" s="1884"/>
      <c r="WBE35" s="1884"/>
      <c r="WBF35" s="1884"/>
      <c r="WBG35" s="1884"/>
      <c r="WBH35" s="1884"/>
      <c r="WBI35" s="1884"/>
      <c r="WBJ35" s="1884"/>
      <c r="WBK35" s="1884"/>
      <c r="WBL35" s="1884"/>
      <c r="WBM35" s="1884"/>
      <c r="WBN35" s="1884"/>
      <c r="WBO35" s="1884"/>
      <c r="WBP35" s="1884"/>
      <c r="WBQ35" s="1884"/>
      <c r="WBR35" s="1884"/>
      <c r="WBS35" s="1884"/>
      <c r="WBT35" s="1884"/>
      <c r="WBU35" s="1884"/>
      <c r="WBV35" s="1884"/>
      <c r="WBW35" s="1884"/>
      <c r="WBX35" s="1884"/>
      <c r="WBY35" s="1884"/>
      <c r="WBZ35" s="1884"/>
      <c r="WCA35" s="1884"/>
      <c r="WCB35" s="1884"/>
      <c r="WCC35" s="1884"/>
      <c r="WCD35" s="1884"/>
      <c r="WCE35" s="1884"/>
      <c r="WCF35" s="1884"/>
      <c r="WCG35" s="1884"/>
      <c r="WCH35" s="1884"/>
      <c r="WCI35" s="1884"/>
      <c r="WCJ35" s="1884"/>
      <c r="WCK35" s="1884"/>
      <c r="WCL35" s="1884"/>
      <c r="WCM35" s="1884"/>
      <c r="WCN35" s="1884"/>
      <c r="WCO35" s="1884"/>
      <c r="WCP35" s="1884"/>
      <c r="WCQ35" s="1884"/>
      <c r="WCR35" s="1884"/>
      <c r="WCS35" s="1884"/>
      <c r="WCT35" s="1884"/>
      <c r="WCU35" s="1884"/>
      <c r="WCV35" s="1884"/>
      <c r="WCW35" s="1884"/>
      <c r="WCX35" s="1884"/>
      <c r="WCY35" s="1884"/>
      <c r="WCZ35" s="1884"/>
      <c r="WDA35" s="1884"/>
      <c r="WDB35" s="1884"/>
      <c r="WDC35" s="1884"/>
      <c r="WDD35" s="1884"/>
      <c r="WDE35" s="1884"/>
      <c r="WDF35" s="1884"/>
      <c r="WDG35" s="1884"/>
      <c r="WDH35" s="1884"/>
      <c r="WDI35" s="1884"/>
      <c r="WDJ35" s="1884"/>
      <c r="WDK35" s="1884"/>
      <c r="WDL35" s="1884"/>
      <c r="WDM35" s="1884"/>
      <c r="WDN35" s="1884"/>
      <c r="WDO35" s="1884"/>
      <c r="WDP35" s="1884"/>
      <c r="WDQ35" s="1884"/>
      <c r="WDR35" s="1884"/>
      <c r="WDS35" s="1884"/>
      <c r="WDT35" s="1884"/>
      <c r="WDU35" s="1884"/>
      <c r="WDV35" s="1884"/>
      <c r="WDW35" s="1884"/>
      <c r="WDX35" s="1884"/>
      <c r="WDY35" s="1884"/>
      <c r="WDZ35" s="1884"/>
      <c r="WEA35" s="1884"/>
      <c r="WEB35" s="1884"/>
      <c r="WEC35" s="1884"/>
      <c r="WED35" s="1884"/>
      <c r="WEE35" s="1884"/>
      <c r="WEF35" s="1884"/>
      <c r="WEG35" s="1884"/>
      <c r="WEH35" s="1884"/>
      <c r="WEI35" s="1884"/>
      <c r="WEJ35" s="1884"/>
      <c r="WEK35" s="1884"/>
      <c r="WEL35" s="1884"/>
      <c r="WEM35" s="1884"/>
      <c r="WEN35" s="1884"/>
      <c r="WEO35" s="1884"/>
      <c r="WEP35" s="1884"/>
      <c r="WEQ35" s="1884"/>
      <c r="WER35" s="1884"/>
      <c r="WES35" s="1884"/>
      <c r="WET35" s="1884"/>
      <c r="WEU35" s="1884"/>
      <c r="WEV35" s="1884"/>
      <c r="WEW35" s="1884"/>
      <c r="WEX35" s="1884"/>
      <c r="WEY35" s="1884"/>
      <c r="WEZ35" s="1884"/>
      <c r="WFA35" s="1884"/>
      <c r="WFB35" s="1884"/>
      <c r="WFC35" s="1884"/>
      <c r="WFD35" s="1884"/>
      <c r="WFE35" s="1884"/>
      <c r="WFF35" s="1884"/>
      <c r="WFG35" s="1884"/>
      <c r="WFH35" s="1884"/>
      <c r="WFI35" s="1884"/>
      <c r="WFJ35" s="1884"/>
      <c r="WFK35" s="1884"/>
      <c r="WFL35" s="1884"/>
      <c r="WFM35" s="1884"/>
      <c r="WFN35" s="1884"/>
      <c r="WFO35" s="1884"/>
      <c r="WFP35" s="1884"/>
      <c r="WFQ35" s="1884"/>
      <c r="WFR35" s="1884"/>
      <c r="WFS35" s="1884"/>
      <c r="WFT35" s="1884"/>
      <c r="WFU35" s="1884"/>
      <c r="WFV35" s="1884"/>
      <c r="WFW35" s="1884"/>
      <c r="WFX35" s="1884"/>
      <c r="WFY35" s="1884"/>
      <c r="WFZ35" s="1884"/>
      <c r="WGA35" s="1884"/>
      <c r="WGB35" s="1884"/>
      <c r="WGC35" s="1884"/>
      <c r="WGD35" s="1884"/>
      <c r="WGE35" s="1884"/>
      <c r="WGF35" s="1884"/>
      <c r="WGG35" s="1884"/>
      <c r="WGH35" s="1884"/>
      <c r="WGI35" s="1884"/>
      <c r="WGJ35" s="1884"/>
      <c r="WGK35" s="1884"/>
      <c r="WGL35" s="1884"/>
      <c r="WGM35" s="1884"/>
      <c r="WGN35" s="1884"/>
      <c r="WGO35" s="1884"/>
      <c r="WGP35" s="1884"/>
      <c r="WGQ35" s="1884"/>
      <c r="WGR35" s="1884"/>
      <c r="WGS35" s="1884"/>
      <c r="WGT35" s="1884"/>
      <c r="WGU35" s="1884"/>
      <c r="WGV35" s="1884"/>
      <c r="WGW35" s="1884"/>
      <c r="WGX35" s="1884"/>
      <c r="WGY35" s="1884"/>
      <c r="WGZ35" s="1884"/>
      <c r="WHA35" s="1884"/>
      <c r="WHB35" s="1884"/>
      <c r="WHC35" s="1884"/>
      <c r="WHD35" s="1884"/>
      <c r="WHE35" s="1884"/>
      <c r="WHF35" s="1884"/>
      <c r="WHG35" s="1884"/>
      <c r="WHH35" s="1884"/>
      <c r="WHI35" s="1884"/>
      <c r="WHJ35" s="1884"/>
      <c r="WHK35" s="1884"/>
      <c r="WHL35" s="1884"/>
      <c r="WHM35" s="1884"/>
      <c r="WHN35" s="1884"/>
      <c r="WHO35" s="1884"/>
      <c r="WHP35" s="1884"/>
      <c r="WHQ35" s="1884"/>
      <c r="WHR35" s="1884"/>
      <c r="WHS35" s="1884"/>
      <c r="WHT35" s="1884"/>
      <c r="WHU35" s="1884"/>
      <c r="WHV35" s="1884"/>
      <c r="WHW35" s="1884"/>
      <c r="WHX35" s="1884"/>
      <c r="WHY35" s="1884"/>
      <c r="WHZ35" s="1884"/>
      <c r="WIA35" s="1884"/>
      <c r="WIB35" s="1884"/>
      <c r="WIC35" s="1884"/>
      <c r="WID35" s="1884"/>
      <c r="WIE35" s="1884"/>
      <c r="WIF35" s="1884"/>
      <c r="WIG35" s="1884"/>
      <c r="WIH35" s="1884"/>
      <c r="WII35" s="1884"/>
      <c r="WIJ35" s="1884"/>
      <c r="WIK35" s="1884"/>
      <c r="WIL35" s="1884"/>
      <c r="WIM35" s="1884"/>
      <c r="WIN35" s="1884"/>
      <c r="WIO35" s="1884"/>
      <c r="WIP35" s="1884"/>
      <c r="WIQ35" s="1884"/>
      <c r="WIR35" s="1884"/>
      <c r="WIS35" s="1884"/>
      <c r="WIT35" s="1884"/>
      <c r="WIU35" s="1884"/>
      <c r="WIV35" s="1884"/>
      <c r="WIW35" s="1884"/>
      <c r="WIX35" s="1884"/>
      <c r="WIY35" s="1884"/>
      <c r="WIZ35" s="1884"/>
      <c r="WJA35" s="1884"/>
      <c r="WJB35" s="1884"/>
      <c r="WJC35" s="1884"/>
      <c r="WJD35" s="1884"/>
      <c r="WJE35" s="1884"/>
      <c r="WJF35" s="1884"/>
      <c r="WJG35" s="1884"/>
      <c r="WJH35" s="1884"/>
      <c r="WJI35" s="1884"/>
      <c r="WJJ35" s="1884"/>
      <c r="WJK35" s="1884"/>
      <c r="WJL35" s="1884"/>
      <c r="WJM35" s="1884"/>
      <c r="WJN35" s="1884"/>
      <c r="WJO35" s="1884"/>
      <c r="WJP35" s="1884"/>
      <c r="WJQ35" s="1884"/>
      <c r="WJR35" s="1884"/>
      <c r="WJS35" s="1884"/>
      <c r="WJT35" s="1884"/>
      <c r="WJU35" s="1884"/>
      <c r="WJV35" s="1884"/>
      <c r="WJW35" s="1884"/>
      <c r="WJX35" s="1884"/>
      <c r="WJY35" s="1884"/>
      <c r="WJZ35" s="1884"/>
      <c r="WKA35" s="1884"/>
      <c r="WKB35" s="1884"/>
      <c r="WKC35" s="1884"/>
      <c r="WKD35" s="1884"/>
      <c r="WKE35" s="1884"/>
      <c r="WKF35" s="1884"/>
      <c r="WKG35" s="1884"/>
      <c r="WKH35" s="1884"/>
      <c r="WKI35" s="1884"/>
      <c r="WKJ35" s="1884"/>
      <c r="WKK35" s="1884"/>
      <c r="WKL35" s="1884"/>
      <c r="WKM35" s="1884"/>
      <c r="WKN35" s="1884"/>
      <c r="WKO35" s="1884"/>
      <c r="WKP35" s="1884"/>
      <c r="WKQ35" s="1884"/>
      <c r="WKR35" s="1884"/>
      <c r="WKS35" s="1884"/>
      <c r="WKT35" s="1884"/>
      <c r="WKU35" s="1884"/>
      <c r="WKV35" s="1884"/>
      <c r="WKW35" s="1884"/>
      <c r="WKX35" s="1884"/>
      <c r="WKY35" s="1884"/>
      <c r="WKZ35" s="1884"/>
      <c r="WLA35" s="1884"/>
      <c r="WLB35" s="1884"/>
      <c r="WLC35" s="1884"/>
      <c r="WLD35" s="1884"/>
      <c r="WLE35" s="1884"/>
      <c r="WLF35" s="1884"/>
      <c r="WLG35" s="1884"/>
      <c r="WLH35" s="1884"/>
      <c r="WLI35" s="1884"/>
      <c r="WLJ35" s="1884"/>
      <c r="WLK35" s="1884"/>
      <c r="WLL35" s="1884"/>
      <c r="WLM35" s="1884"/>
      <c r="WLN35" s="1884"/>
      <c r="WLO35" s="1884"/>
      <c r="WLP35" s="1884"/>
      <c r="WLQ35" s="1884"/>
      <c r="WLR35" s="1884"/>
      <c r="WLS35" s="1884"/>
      <c r="WLT35" s="1884"/>
      <c r="WLU35" s="1884"/>
      <c r="WLV35" s="1884"/>
      <c r="WLW35" s="1884"/>
      <c r="WLX35" s="1884"/>
      <c r="WLY35" s="1884"/>
      <c r="WLZ35" s="1884"/>
      <c r="WMA35" s="1884"/>
      <c r="WMB35" s="1884"/>
      <c r="WMC35" s="1884"/>
      <c r="WMD35" s="1884"/>
      <c r="WME35" s="1884"/>
      <c r="WMF35" s="1884"/>
      <c r="WMG35" s="1884"/>
      <c r="WMH35" s="1884"/>
      <c r="WMI35" s="1884"/>
      <c r="WMJ35" s="1884"/>
      <c r="WMK35" s="1884"/>
      <c r="WML35" s="1884"/>
      <c r="WMM35" s="1884"/>
      <c r="WMN35" s="1884"/>
      <c r="WMO35" s="1884"/>
      <c r="WMP35" s="1884"/>
      <c r="WMQ35" s="1884"/>
      <c r="WMR35" s="1884"/>
      <c r="WMS35" s="1884"/>
      <c r="WMT35" s="1884"/>
      <c r="WMU35" s="1884"/>
      <c r="WMV35" s="1884"/>
      <c r="WMW35" s="1884"/>
      <c r="WMX35" s="1884"/>
      <c r="WMY35" s="1884"/>
      <c r="WMZ35" s="1884"/>
      <c r="WNA35" s="1884"/>
      <c r="WNB35" s="1884"/>
      <c r="WNC35" s="1884"/>
      <c r="WND35" s="1884"/>
      <c r="WNE35" s="1884"/>
      <c r="WNF35" s="1884"/>
      <c r="WNG35" s="1884"/>
      <c r="WNH35" s="1884"/>
      <c r="WNI35" s="1884"/>
      <c r="WNJ35" s="1884"/>
      <c r="WNK35" s="1884"/>
      <c r="WNL35" s="1884"/>
      <c r="WNM35" s="1884"/>
      <c r="WNN35" s="1884"/>
      <c r="WNO35" s="1884"/>
      <c r="WNP35" s="1884"/>
      <c r="WNQ35" s="1884"/>
      <c r="WNR35" s="1884"/>
      <c r="WNS35" s="1884"/>
      <c r="WNT35" s="1884"/>
      <c r="WNU35" s="1884"/>
      <c r="WNV35" s="1884"/>
      <c r="WNW35" s="1884"/>
      <c r="WNX35" s="1884"/>
      <c r="WNY35" s="1884"/>
      <c r="WNZ35" s="1884"/>
      <c r="WOA35" s="1884"/>
      <c r="WOB35" s="1884"/>
      <c r="WOC35" s="1884"/>
      <c r="WOD35" s="1884"/>
      <c r="WOE35" s="1884"/>
      <c r="WOF35" s="1884"/>
      <c r="WOG35" s="1884"/>
      <c r="WOH35" s="1884"/>
      <c r="WOI35" s="1884"/>
      <c r="WOJ35" s="1884"/>
      <c r="WOK35" s="1884"/>
      <c r="WOL35" s="1884"/>
      <c r="WOM35" s="1884"/>
      <c r="WON35" s="1884"/>
      <c r="WOO35" s="1884"/>
      <c r="WOP35" s="1884"/>
      <c r="WOQ35" s="1884"/>
      <c r="WOR35" s="1884"/>
      <c r="WOS35" s="1884"/>
      <c r="WOT35" s="1884"/>
      <c r="WOU35" s="1884"/>
      <c r="WOV35" s="1884"/>
      <c r="WOW35" s="1884"/>
      <c r="WOX35" s="1884"/>
      <c r="WOY35" s="1884"/>
      <c r="WOZ35" s="1884"/>
      <c r="WPA35" s="1884"/>
      <c r="WPB35" s="1884"/>
      <c r="WPC35" s="1884"/>
      <c r="WPD35" s="1884"/>
      <c r="WPE35" s="1884"/>
      <c r="WPF35" s="1884"/>
      <c r="WPG35" s="1884"/>
      <c r="WPH35" s="1884"/>
      <c r="WPI35" s="1884"/>
      <c r="WPJ35" s="1884"/>
      <c r="WPK35" s="1884"/>
      <c r="WPL35" s="1884"/>
      <c r="WPM35" s="1884"/>
      <c r="WPN35" s="1884"/>
      <c r="WPO35" s="1884"/>
      <c r="WPP35" s="1884"/>
      <c r="WPQ35" s="1884"/>
      <c r="WPR35" s="1884"/>
      <c r="WPS35" s="1884"/>
      <c r="WPT35" s="1884"/>
      <c r="WPU35" s="1884"/>
      <c r="WPV35" s="1884"/>
      <c r="WPW35" s="1884"/>
      <c r="WPX35" s="1884"/>
      <c r="WPY35" s="1884"/>
      <c r="WPZ35" s="1884"/>
      <c r="WQA35" s="1884"/>
      <c r="WQB35" s="1884"/>
      <c r="WQC35" s="1884"/>
      <c r="WQD35" s="1884"/>
      <c r="WQE35" s="1884"/>
      <c r="WQF35" s="1884"/>
      <c r="WQG35" s="1884"/>
      <c r="WQH35" s="1884"/>
      <c r="WQI35" s="1884"/>
      <c r="WQJ35" s="1884"/>
      <c r="WQK35" s="1884"/>
      <c r="WQL35" s="1884"/>
      <c r="WQM35" s="1884"/>
      <c r="WQN35" s="1884"/>
      <c r="WQO35" s="1884"/>
      <c r="WQP35" s="1884"/>
      <c r="WQQ35" s="1884"/>
      <c r="WQR35" s="1884"/>
      <c r="WQS35" s="1884"/>
      <c r="WQT35" s="1884"/>
      <c r="WQU35" s="1884"/>
      <c r="WQV35" s="1884"/>
      <c r="WQW35" s="1884"/>
      <c r="WQX35" s="1884"/>
      <c r="WQY35" s="1884"/>
      <c r="WQZ35" s="1884"/>
      <c r="WRA35" s="1884"/>
      <c r="WRB35" s="1884"/>
      <c r="WRC35" s="1884"/>
      <c r="WRD35" s="1884"/>
      <c r="WRE35" s="1884"/>
      <c r="WRF35" s="1884"/>
      <c r="WRG35" s="1884"/>
      <c r="WRH35" s="1884"/>
      <c r="WRI35" s="1884"/>
      <c r="WRJ35" s="1884"/>
      <c r="WRK35" s="1884"/>
      <c r="WRL35" s="1884"/>
      <c r="WRM35" s="1884"/>
      <c r="WRN35" s="1884"/>
      <c r="WRO35" s="1884"/>
      <c r="WRP35" s="1884"/>
      <c r="WRQ35" s="1884"/>
      <c r="WRR35" s="1884"/>
      <c r="WRS35" s="1884"/>
      <c r="WRT35" s="1884"/>
      <c r="WRU35" s="1884"/>
      <c r="WRV35" s="1884"/>
      <c r="WRW35" s="1884"/>
      <c r="WRX35" s="1884"/>
      <c r="WRY35" s="1884"/>
      <c r="WRZ35" s="1884"/>
      <c r="WSA35" s="1884"/>
      <c r="WSB35" s="1884"/>
      <c r="WSC35" s="1884"/>
      <c r="WSD35" s="1884"/>
      <c r="WSE35" s="1884"/>
      <c r="WSF35" s="1884"/>
      <c r="WSG35" s="1884"/>
      <c r="WSH35" s="1884"/>
      <c r="WSI35" s="1884"/>
      <c r="WSJ35" s="1884"/>
      <c r="WSK35" s="1884"/>
      <c r="WSL35" s="1884"/>
      <c r="WSM35" s="1884"/>
      <c r="WSN35" s="1884"/>
      <c r="WSO35" s="1884"/>
      <c r="WSP35" s="1884"/>
      <c r="WSQ35" s="1884"/>
      <c r="WSR35" s="1884"/>
      <c r="WSS35" s="1884"/>
      <c r="WST35" s="1884"/>
      <c r="WSU35" s="1884"/>
      <c r="WSV35" s="1884"/>
      <c r="WSW35" s="1884"/>
      <c r="WSX35" s="1884"/>
      <c r="WSY35" s="1884"/>
      <c r="WSZ35" s="1884"/>
      <c r="WTA35" s="1884"/>
      <c r="WTB35" s="1884"/>
      <c r="WTC35" s="1884"/>
      <c r="WTD35" s="1884"/>
      <c r="WTE35" s="1884"/>
      <c r="WTF35" s="1884"/>
      <c r="WTG35" s="1884"/>
      <c r="WTH35" s="1884"/>
      <c r="WTI35" s="1884"/>
      <c r="WTJ35" s="1884"/>
      <c r="WTK35" s="1884"/>
      <c r="WTL35" s="1884"/>
      <c r="WTM35" s="1884"/>
      <c r="WTN35" s="1884"/>
      <c r="WTO35" s="1884"/>
      <c r="WTP35" s="1884"/>
      <c r="WTQ35" s="1884"/>
      <c r="WTR35" s="1884"/>
      <c r="WTS35" s="1884"/>
      <c r="WTT35" s="1884"/>
      <c r="WTU35" s="1884"/>
      <c r="WTV35" s="1884"/>
      <c r="WTW35" s="1884"/>
      <c r="WTX35" s="1884"/>
      <c r="WTY35" s="1884"/>
      <c r="WTZ35" s="1884"/>
      <c r="WUA35" s="1884"/>
      <c r="WUB35" s="1884"/>
      <c r="WUC35" s="1884"/>
      <c r="WUD35" s="1884"/>
      <c r="WUE35" s="1884"/>
      <c r="WUF35" s="1884"/>
      <c r="WUG35" s="1884"/>
      <c r="WUH35" s="1884"/>
      <c r="WUI35" s="1884"/>
      <c r="WUJ35" s="1884"/>
      <c r="WUK35" s="1884"/>
      <c r="WUL35" s="1884"/>
      <c r="WUM35" s="1884"/>
      <c r="WUN35" s="1884"/>
      <c r="WUO35" s="1884"/>
      <c r="WUP35" s="1884"/>
      <c r="WUQ35" s="1884"/>
      <c r="WUR35" s="1884"/>
      <c r="WUS35" s="1884"/>
      <c r="WUT35" s="1884"/>
      <c r="WUU35" s="1884"/>
      <c r="WUV35" s="1884"/>
      <c r="WUW35" s="1884"/>
      <c r="WUX35" s="1884"/>
      <c r="WUY35" s="1884"/>
      <c r="WUZ35" s="1884"/>
      <c r="WVA35" s="1884"/>
      <c r="WVB35" s="1884"/>
      <c r="WVC35" s="1884"/>
      <c r="WVD35" s="1884"/>
      <c r="WVE35" s="1884"/>
      <c r="WVF35" s="1884"/>
      <c r="WVG35" s="1884"/>
      <c r="WVH35" s="1884"/>
      <c r="WVI35" s="1884"/>
      <c r="WVJ35" s="1884"/>
      <c r="WVK35" s="1884"/>
      <c r="WVL35" s="1884"/>
      <c r="WVM35" s="1884"/>
      <c r="WVN35" s="1884"/>
      <c r="WVO35" s="1884"/>
      <c r="WVP35" s="1884"/>
      <c r="WVQ35" s="1884"/>
      <c r="WVR35" s="1884"/>
      <c r="WVS35" s="1884"/>
      <c r="WVT35" s="1884"/>
      <c r="WVU35" s="1884"/>
      <c r="WVV35" s="1884"/>
      <c r="WVW35" s="1884"/>
      <c r="WVX35" s="1884"/>
      <c r="WVY35" s="1884"/>
      <c r="WVZ35" s="1884"/>
      <c r="WWA35" s="1884"/>
      <c r="WWB35" s="1884"/>
      <c r="WWC35" s="1884"/>
      <c r="WWD35" s="1884"/>
      <c r="WWE35" s="1884"/>
      <c r="WWF35" s="1884"/>
      <c r="WWG35" s="1884"/>
      <c r="WWH35" s="1884"/>
      <c r="WWI35" s="1884"/>
      <c r="WWJ35" s="1884"/>
      <c r="WWK35" s="1884"/>
      <c r="WWL35" s="1884"/>
      <c r="WWM35" s="1884"/>
      <c r="WWN35" s="1884"/>
      <c r="WWO35" s="1884"/>
      <c r="WWP35" s="1884"/>
      <c r="WWQ35" s="1884"/>
      <c r="WWR35" s="1884"/>
      <c r="WWS35" s="1884"/>
      <c r="WWT35" s="1884"/>
      <c r="WWU35" s="1884"/>
      <c r="WWV35" s="1884"/>
      <c r="WWW35" s="1884"/>
      <c r="WWX35" s="1884"/>
      <c r="WWY35" s="1884"/>
      <c r="WWZ35" s="1884"/>
      <c r="WXA35" s="1884"/>
      <c r="WXB35" s="1884"/>
      <c r="WXC35" s="1884"/>
      <c r="WXD35" s="1884"/>
      <c r="WXE35" s="1884"/>
      <c r="WXF35" s="1884"/>
      <c r="WXG35" s="1884"/>
      <c r="WXH35" s="1884"/>
      <c r="WXI35" s="1884"/>
      <c r="WXJ35" s="1884"/>
      <c r="WXK35" s="1884"/>
      <c r="WXL35" s="1884"/>
      <c r="WXM35" s="1884"/>
      <c r="WXN35" s="1884"/>
      <c r="WXO35" s="1884"/>
      <c r="WXP35" s="1884"/>
      <c r="WXQ35" s="1884"/>
      <c r="WXR35" s="1884"/>
      <c r="WXS35" s="1884"/>
      <c r="WXT35" s="1884"/>
      <c r="WXU35" s="1884"/>
      <c r="WXV35" s="1884"/>
      <c r="WXW35" s="1884"/>
      <c r="WXX35" s="1884"/>
      <c r="WXY35" s="1884"/>
      <c r="WXZ35" s="1884"/>
      <c r="WYA35" s="1884"/>
      <c r="WYB35" s="1884"/>
      <c r="WYC35" s="1884"/>
      <c r="WYD35" s="1884"/>
      <c r="WYE35" s="1884"/>
      <c r="WYF35" s="1884"/>
      <c r="WYG35" s="1884"/>
      <c r="WYH35" s="1884"/>
      <c r="WYI35" s="1884"/>
      <c r="WYJ35" s="1884"/>
      <c r="WYK35" s="1884"/>
      <c r="WYL35" s="1884"/>
      <c r="WYM35" s="1884"/>
      <c r="WYN35" s="1884"/>
      <c r="WYO35" s="1884"/>
      <c r="WYP35" s="1884"/>
      <c r="WYQ35" s="1884"/>
      <c r="WYR35" s="1884"/>
      <c r="WYS35" s="1884"/>
      <c r="WYT35" s="1884"/>
      <c r="WYU35" s="1884"/>
      <c r="WYV35" s="1884"/>
      <c r="WYW35" s="1884"/>
      <c r="WYX35" s="1884"/>
      <c r="WYY35" s="1884"/>
      <c r="WYZ35" s="1884"/>
      <c r="WZA35" s="1884"/>
      <c r="WZB35" s="1884"/>
      <c r="WZC35" s="1884"/>
      <c r="WZD35" s="1884"/>
      <c r="WZE35" s="1884"/>
      <c r="WZF35" s="1884"/>
      <c r="WZG35" s="1884"/>
      <c r="WZH35" s="1884"/>
      <c r="WZI35" s="1884"/>
      <c r="WZJ35" s="1884"/>
      <c r="WZK35" s="1884"/>
      <c r="WZL35" s="1884"/>
      <c r="WZM35" s="1884"/>
      <c r="WZN35" s="1884"/>
      <c r="WZO35" s="1884"/>
      <c r="WZP35" s="1884"/>
      <c r="WZQ35" s="1884"/>
      <c r="WZR35" s="1884"/>
      <c r="WZS35" s="1884"/>
      <c r="WZT35" s="1884"/>
      <c r="WZU35" s="1884"/>
      <c r="WZV35" s="1884"/>
      <c r="WZW35" s="1884"/>
      <c r="WZX35" s="1884"/>
      <c r="WZY35" s="1884"/>
      <c r="WZZ35" s="1884"/>
      <c r="XAA35" s="1884"/>
      <c r="XAB35" s="1884"/>
      <c r="XAC35" s="1884"/>
      <c r="XAD35" s="1884"/>
      <c r="XAE35" s="1884"/>
      <c r="XAF35" s="1884"/>
      <c r="XAG35" s="1884"/>
      <c r="XAH35" s="1884"/>
      <c r="XAI35" s="1884"/>
      <c r="XAJ35" s="1884"/>
      <c r="XAK35" s="1884"/>
      <c r="XAL35" s="1884"/>
      <c r="XAM35" s="1884"/>
      <c r="XAN35" s="1884"/>
      <c r="XAO35" s="1884"/>
      <c r="XAP35" s="1884"/>
      <c r="XAQ35" s="1884"/>
      <c r="XAR35" s="1884"/>
      <c r="XAS35" s="1884"/>
      <c r="XAT35" s="1884"/>
      <c r="XAU35" s="1884"/>
      <c r="XAV35" s="1884"/>
      <c r="XAW35" s="1884"/>
      <c r="XAX35" s="1884"/>
      <c r="XAY35" s="1884"/>
      <c r="XAZ35" s="1884"/>
      <c r="XBA35" s="1884"/>
      <c r="XBB35" s="1884"/>
      <c r="XBC35" s="1884"/>
      <c r="XBD35" s="1884"/>
      <c r="XBE35" s="1884"/>
      <c r="XBF35" s="1884"/>
      <c r="XBG35" s="1884"/>
      <c r="XBH35" s="1884"/>
      <c r="XBI35" s="1884"/>
      <c r="XBJ35" s="1884"/>
      <c r="XBK35" s="1884"/>
      <c r="XBL35" s="1884"/>
      <c r="XBM35" s="1884"/>
      <c r="XBN35" s="1884"/>
      <c r="XBO35" s="1884"/>
      <c r="XBP35" s="1884"/>
      <c r="XBQ35" s="1884"/>
      <c r="XBR35" s="1884"/>
      <c r="XBS35" s="1884"/>
      <c r="XBT35" s="1884"/>
      <c r="XBU35" s="1884"/>
      <c r="XBV35" s="1884"/>
      <c r="XBW35" s="1884"/>
      <c r="XBX35" s="1884"/>
      <c r="XBY35" s="1884"/>
      <c r="XBZ35" s="1884"/>
      <c r="XCA35" s="1884"/>
      <c r="XCB35" s="1884"/>
      <c r="XCC35" s="1884"/>
      <c r="XCD35" s="1884"/>
      <c r="XCE35" s="1884"/>
      <c r="XCF35" s="1884"/>
      <c r="XCG35" s="1884"/>
      <c r="XCH35" s="1884"/>
      <c r="XCI35" s="1884"/>
      <c r="XCJ35" s="1884"/>
      <c r="XCK35" s="1884"/>
      <c r="XCL35" s="1884"/>
      <c r="XCM35" s="1884"/>
      <c r="XCN35" s="1884"/>
      <c r="XCO35" s="1884"/>
      <c r="XCP35" s="1884"/>
      <c r="XCQ35" s="1884"/>
      <c r="XCR35" s="1884"/>
      <c r="XCS35" s="1884"/>
      <c r="XCT35" s="1884"/>
      <c r="XCU35" s="1884"/>
      <c r="XCV35" s="1884"/>
      <c r="XCW35" s="1884"/>
      <c r="XCX35" s="1884"/>
      <c r="XCY35" s="1884"/>
      <c r="XCZ35" s="1884"/>
      <c r="XDA35" s="1884"/>
      <c r="XDB35" s="1884"/>
      <c r="XDC35" s="1884"/>
      <c r="XDD35" s="1884"/>
      <c r="XDE35" s="1884"/>
      <c r="XDF35" s="1884"/>
      <c r="XDG35" s="1884"/>
      <c r="XDH35" s="1884"/>
      <c r="XDI35" s="1884"/>
      <c r="XDJ35" s="1884"/>
      <c r="XDK35" s="1884"/>
      <c r="XDL35" s="1884"/>
      <c r="XDM35" s="1884"/>
      <c r="XDN35" s="1884"/>
      <c r="XDO35" s="1884"/>
      <c r="XDP35" s="1884"/>
      <c r="XDQ35" s="1884"/>
      <c r="XDR35" s="1884"/>
      <c r="XDS35" s="1884"/>
      <c r="XDT35" s="1884"/>
      <c r="XDU35" s="1884"/>
      <c r="XDV35" s="1884"/>
      <c r="XDW35" s="1884"/>
      <c r="XDX35" s="1884"/>
      <c r="XDY35" s="1884"/>
      <c r="XDZ35" s="1884"/>
      <c r="XEA35" s="1884"/>
      <c r="XEB35" s="1884"/>
      <c r="XEC35" s="1884"/>
      <c r="XED35" s="1884"/>
      <c r="XEE35" s="1884"/>
      <c r="XEF35" s="1884"/>
      <c r="XEG35" s="1884"/>
      <c r="XEH35" s="1884"/>
      <c r="XEI35" s="1884"/>
      <c r="XEJ35" s="1884"/>
      <c r="XEK35" s="1884"/>
      <c r="XEL35" s="1884"/>
      <c r="XEM35" s="1884"/>
      <c r="XEN35" s="1884"/>
      <c r="XEO35" s="1884"/>
      <c r="XEP35" s="1884"/>
      <c r="XEQ35" s="1884"/>
      <c r="XER35" s="1884"/>
      <c r="XES35" s="1884"/>
      <c r="XET35" s="1884"/>
      <c r="XEU35" s="1884"/>
      <c r="XEV35" s="1884"/>
      <c r="XEW35" s="1884"/>
      <c r="XEX35" s="1884"/>
      <c r="XEY35" s="1884"/>
      <c r="XEZ35" s="1884"/>
      <c r="XFA35" s="1884"/>
      <c r="XFB35" s="1884"/>
      <c r="XFC35" s="1884"/>
      <c r="XFD35" s="1884"/>
    </row>
    <row r="36" spans="1:16384" ht="15">
      <c r="A36" s="512"/>
      <c r="B36" s="512"/>
      <c r="C36" s="512"/>
      <c r="D36" s="512"/>
      <c r="E36" s="512"/>
      <c r="F36" s="512"/>
      <c r="G36" s="512"/>
      <c r="H36" s="512"/>
      <c r="I36" s="512"/>
      <c r="J36" s="512"/>
      <c r="K36" s="512"/>
      <c r="L36" s="512"/>
      <c r="M36" s="512"/>
      <c r="N36" s="196"/>
    </row>
    <row r="37" spans="1:16384" ht="15.75">
      <c r="A37" s="196"/>
      <c r="B37" s="196"/>
      <c r="C37" s="196"/>
      <c r="D37" s="1880" t="s">
        <v>2274</v>
      </c>
      <c r="E37" s="1880" t="s">
        <v>2275</v>
      </c>
      <c r="F37" s="1880" t="s">
        <v>1841</v>
      </c>
      <c r="G37" s="1880" t="s">
        <v>982</v>
      </c>
      <c r="H37" s="534"/>
      <c r="I37" s="1880" t="s">
        <v>1001</v>
      </c>
      <c r="J37" s="1884"/>
      <c r="K37" s="1884"/>
      <c r="L37" s="1884"/>
      <c r="M37" s="1884"/>
      <c r="N37" s="196"/>
    </row>
    <row r="38" spans="1:16384" ht="15.75">
      <c r="A38" s="679" t="s">
        <v>628</v>
      </c>
      <c r="B38" s="530" t="s">
        <v>232</v>
      </c>
      <c r="C38" s="679"/>
      <c r="D38" s="526">
        <f>'GSN Benchmarks'!B11</f>
        <v>6248.46</v>
      </c>
      <c r="E38" s="526">
        <f>'GSN Benchmarks'!B12</f>
        <v>5662.47</v>
      </c>
      <c r="F38" s="526">
        <f>'GSN Benchmarks'!B14</f>
        <v>4769.68</v>
      </c>
      <c r="G38" s="526">
        <f>'GSN Benchmarks'!B16</f>
        <v>5879.73</v>
      </c>
      <c r="H38" s="512"/>
      <c r="I38" s="512"/>
      <c r="J38" s="1884"/>
      <c r="K38" s="1884"/>
      <c r="L38" s="1884"/>
      <c r="M38" s="1884"/>
      <c r="N38" s="196"/>
    </row>
    <row r="39" spans="1:16384" ht="15">
      <c r="A39" s="514" t="s">
        <v>629</v>
      </c>
      <c r="B39" s="680" t="s">
        <v>2996</v>
      </c>
      <c r="C39" s="631"/>
      <c r="D39" s="521">
        <f>IF($F$3=0,0,VLOOKUP($F$3,Tables!$A$5:$AW8,48,FALSE))</f>
        <v>0</v>
      </c>
      <c r="E39" s="521">
        <f>IF($F$3=0,0,VLOOKUP($F$3,Tables!$A$5:$AW8,49,FALSE))</f>
        <v>0</v>
      </c>
      <c r="F39" s="521">
        <f>IF($F$3=0,0,VLOOKUP($F$3,Tables!$A$5:$AN8,32,FALSE))</f>
        <v>0</v>
      </c>
      <c r="G39" s="521">
        <f>IF($F$3=0,0,VLOOKUP($F$3,Tables!$A$5:$AN8,33,FALSE))</f>
        <v>0</v>
      </c>
      <c r="H39" s="512"/>
      <c r="I39" s="512"/>
      <c r="J39" s="1884"/>
      <c r="K39" s="1884"/>
      <c r="L39" s="1884"/>
      <c r="M39" s="1884"/>
      <c r="N39" s="196"/>
    </row>
    <row r="40" spans="1:16384" ht="15">
      <c r="A40" s="514" t="s">
        <v>630</v>
      </c>
      <c r="B40" s="324" t="s">
        <v>631</v>
      </c>
      <c r="C40" s="514"/>
      <c r="D40" s="537">
        <v>0</v>
      </c>
      <c r="E40" s="537">
        <v>0</v>
      </c>
      <c r="F40" s="537">
        <v>0</v>
      </c>
      <c r="G40" s="537">
        <v>0</v>
      </c>
      <c r="H40" s="512"/>
      <c r="I40" s="512"/>
      <c r="J40" s="1884"/>
      <c r="K40" s="1884"/>
      <c r="L40" s="1884"/>
      <c r="M40" s="1884"/>
      <c r="N40" s="196"/>
    </row>
    <row r="41" spans="1:16384" ht="15">
      <c r="A41" s="514" t="s">
        <v>632</v>
      </c>
      <c r="B41" s="324" t="s">
        <v>1904</v>
      </c>
      <c r="C41" s="514"/>
      <c r="D41" s="526">
        <f>D39+D40</f>
        <v>0</v>
      </c>
      <c r="E41" s="526">
        <f>E39+E40</f>
        <v>0</v>
      </c>
      <c r="F41" s="526">
        <f>F39+F40</f>
        <v>0</v>
      </c>
      <c r="G41" s="526">
        <f>G39+G40</f>
        <v>0</v>
      </c>
      <c r="H41" s="512"/>
      <c r="I41" s="527">
        <f>SUM(D41:G41)</f>
        <v>0</v>
      </c>
      <c r="J41" s="1884"/>
      <c r="K41" s="1884"/>
      <c r="L41" s="1884"/>
      <c r="M41" s="1884"/>
      <c r="N41" s="196"/>
    </row>
    <row r="42" spans="1:16384" ht="15">
      <c r="A42" s="1891" t="s">
        <v>1905</v>
      </c>
      <c r="B42" s="1892" t="s">
        <v>2997</v>
      </c>
      <c r="C42" s="1893"/>
      <c r="D42" s="1894">
        <f>D41*D38</f>
        <v>0</v>
      </c>
      <c r="E42" s="1894">
        <f>E41*E38</f>
        <v>0</v>
      </c>
      <c r="F42" s="1894">
        <f>F41*F38</f>
        <v>0</v>
      </c>
      <c r="G42" s="1894">
        <f>G41*G38</f>
        <v>0</v>
      </c>
      <c r="H42" s="1895"/>
      <c r="I42" s="1895"/>
      <c r="J42" s="1884"/>
      <c r="K42" s="1884"/>
      <c r="L42" s="1884"/>
      <c r="M42" s="1884"/>
      <c r="N42" s="196"/>
    </row>
    <row r="43" spans="1:16384" ht="15.75">
      <c r="A43" s="679" t="s">
        <v>1906</v>
      </c>
      <c r="B43" s="530" t="s">
        <v>232</v>
      </c>
      <c r="C43" s="679"/>
      <c r="D43" s="683">
        <f>D42*0.13</f>
        <v>0</v>
      </c>
      <c r="E43" s="683">
        <f>E42*0.13</f>
        <v>0</v>
      </c>
      <c r="F43" s="683">
        <f>F42*0.13</f>
        <v>0</v>
      </c>
      <c r="G43" s="683">
        <f>G42*0.13</f>
        <v>0</v>
      </c>
      <c r="H43" s="534"/>
      <c r="I43" s="683">
        <f>ROUND(SUM(D43:G43),0)</f>
        <v>0</v>
      </c>
      <c r="J43" s="1884"/>
      <c r="K43" s="1884"/>
      <c r="L43" s="1884"/>
      <c r="M43" s="1884"/>
      <c r="N43" s="196"/>
    </row>
    <row r="44" spans="1:16384" ht="15.75">
      <c r="A44" s="534"/>
      <c r="B44" s="530" t="s">
        <v>2907</v>
      </c>
      <c r="C44" s="679"/>
      <c r="D44" s="534"/>
      <c r="E44" s="534"/>
      <c r="F44" s="534"/>
      <c r="G44" s="534"/>
      <c r="H44" s="534"/>
      <c r="I44" s="534"/>
      <c r="J44" s="1884"/>
      <c r="K44" s="1884"/>
      <c r="L44" s="1884"/>
      <c r="M44" s="1884"/>
      <c r="N44" s="196"/>
    </row>
    <row r="45" spans="1:16384" ht="15">
      <c r="A45" s="512"/>
      <c r="B45" s="307"/>
      <c r="C45" s="512"/>
      <c r="D45" s="512"/>
      <c r="E45" s="512"/>
      <c r="F45" s="512"/>
      <c r="G45" s="512"/>
      <c r="H45" s="512"/>
      <c r="I45" s="512"/>
      <c r="J45" s="1884"/>
      <c r="K45" s="1884"/>
      <c r="L45" s="1884"/>
      <c r="M45" s="1884"/>
      <c r="N45" s="196"/>
    </row>
    <row r="46" spans="1:16384" ht="15">
      <c r="A46" s="512"/>
      <c r="B46" s="307"/>
      <c r="C46" s="512"/>
      <c r="D46" s="512"/>
      <c r="E46" s="512"/>
      <c r="F46" s="512"/>
      <c r="G46" s="512"/>
      <c r="H46" s="512"/>
      <c r="I46" s="512"/>
      <c r="J46" s="1884"/>
      <c r="K46" s="1884"/>
      <c r="L46" s="1884"/>
      <c r="M46" s="1884"/>
      <c r="N46" s="196"/>
    </row>
    <row r="47" spans="1:16384" ht="15.75">
      <c r="A47" s="679" t="s">
        <v>1907</v>
      </c>
      <c r="B47" s="530" t="s">
        <v>2682</v>
      </c>
      <c r="C47" s="679"/>
      <c r="D47" s="512"/>
      <c r="E47" s="1880" t="s">
        <v>627</v>
      </c>
      <c r="F47" s="1880" t="s">
        <v>1841</v>
      </c>
      <c r="G47" s="1880" t="s">
        <v>982</v>
      </c>
      <c r="H47" s="534"/>
      <c r="I47" s="1880" t="s">
        <v>1001</v>
      </c>
      <c r="J47" s="1884"/>
      <c r="K47" s="1884"/>
      <c r="L47" s="1884"/>
      <c r="M47" s="1884"/>
      <c r="N47" s="196"/>
    </row>
    <row r="48" spans="1:16384" ht="15">
      <c r="A48" s="514" t="s">
        <v>1908</v>
      </c>
      <c r="B48" s="680" t="s">
        <v>2996</v>
      </c>
      <c r="C48" s="631"/>
      <c r="D48" s="512"/>
      <c r="E48" s="526">
        <f>+D39+E39</f>
        <v>0</v>
      </c>
      <c r="F48" s="526">
        <f>F41</f>
        <v>0</v>
      </c>
      <c r="G48" s="526">
        <f>G41</f>
        <v>0</v>
      </c>
      <c r="H48" s="512"/>
      <c r="I48" s="512"/>
      <c r="J48" s="1884"/>
      <c r="K48" s="1884"/>
      <c r="L48" s="1884"/>
      <c r="M48" s="1884"/>
      <c r="N48" s="196"/>
    </row>
    <row r="49" spans="1:14" ht="15">
      <c r="A49" s="1891" t="s">
        <v>1909</v>
      </c>
      <c r="B49" s="1892" t="s">
        <v>2998</v>
      </c>
      <c r="C49" s="1893"/>
      <c r="D49" s="1895"/>
      <c r="E49" s="1897">
        <f>'GSN Benchmarks'!B39</f>
        <v>975.77</v>
      </c>
      <c r="F49" s="1897">
        <f>'GSN Benchmarks'!B40</f>
        <v>749.52</v>
      </c>
      <c r="G49" s="1897">
        <f>'GSN Benchmarks'!B41</f>
        <v>494.9</v>
      </c>
      <c r="H49" s="1895"/>
      <c r="I49" s="1895"/>
      <c r="J49" s="1884"/>
      <c r="K49" s="1884"/>
      <c r="L49" s="1884"/>
      <c r="M49" s="1884"/>
      <c r="N49" s="196"/>
    </row>
    <row r="50" spans="1:14" ht="15.75">
      <c r="A50" s="679" t="s">
        <v>1910</v>
      </c>
      <c r="B50" s="530" t="s">
        <v>2682</v>
      </c>
      <c r="C50" s="679"/>
      <c r="D50" s="534"/>
      <c r="E50" s="1896">
        <f>E48*E49</f>
        <v>0</v>
      </c>
      <c r="F50" s="1896">
        <f>F48*F49</f>
        <v>0</v>
      </c>
      <c r="G50" s="1896">
        <f>G48*G49</f>
        <v>0</v>
      </c>
      <c r="H50" s="534"/>
      <c r="I50" s="1896">
        <f>ROUND(SUM(E50:G50),0)</f>
        <v>0</v>
      </c>
      <c r="J50" s="1884"/>
      <c r="K50" s="1884"/>
      <c r="L50" s="1884"/>
      <c r="M50" s="1884"/>
      <c r="N50" s="196"/>
    </row>
    <row r="51" spans="1:14" ht="15.75">
      <c r="A51" s="534"/>
      <c r="B51" s="530" t="s">
        <v>908</v>
      </c>
      <c r="C51" s="679"/>
      <c r="D51" s="534"/>
      <c r="E51" s="534"/>
      <c r="F51" s="534"/>
      <c r="G51" s="534"/>
      <c r="H51" s="534"/>
      <c r="I51" s="534"/>
      <c r="J51" s="1884"/>
      <c r="K51" s="1884"/>
      <c r="L51" s="1884"/>
      <c r="M51" s="1884"/>
      <c r="N51" s="196"/>
    </row>
    <row r="52" spans="1:14" ht="15">
      <c r="A52" s="512"/>
      <c r="B52" s="512"/>
      <c r="C52" s="512"/>
      <c r="D52" s="512"/>
      <c r="E52" s="512"/>
      <c r="F52" s="512"/>
      <c r="G52" s="512"/>
      <c r="H52" s="512"/>
      <c r="I52" s="512"/>
      <c r="J52" s="512"/>
      <c r="K52" s="512"/>
      <c r="L52" s="512"/>
      <c r="M52" s="512"/>
      <c r="N52" s="196"/>
    </row>
    <row r="53" spans="1:14" ht="15">
      <c r="A53" s="512"/>
      <c r="B53" s="512"/>
      <c r="C53" s="512"/>
      <c r="D53" s="512"/>
      <c r="E53" s="512"/>
      <c r="F53" s="512"/>
      <c r="G53" s="512"/>
      <c r="H53" s="512"/>
      <c r="I53" s="512"/>
      <c r="J53" s="512"/>
      <c r="K53" s="512"/>
      <c r="L53" s="512"/>
      <c r="M53" s="513"/>
      <c r="N53" s="196"/>
    </row>
    <row r="54" spans="1:14" ht="15.75">
      <c r="A54" s="1199">
        <v>16.100000000000001</v>
      </c>
      <c r="B54" s="530" t="s">
        <v>1464</v>
      </c>
      <c r="C54" s="196"/>
      <c r="D54" s="512"/>
      <c r="E54" s="512"/>
      <c r="F54" s="512"/>
      <c r="G54" s="512"/>
      <c r="H54" s="512"/>
      <c r="I54" s="512"/>
      <c r="J54" s="531"/>
      <c r="K54" s="531"/>
      <c r="L54" s="327"/>
      <c r="M54" s="341"/>
      <c r="N54" s="196"/>
    </row>
    <row r="55" spans="1:14" ht="15.75">
      <c r="A55" s="1883" t="s">
        <v>1251</v>
      </c>
      <c r="B55" s="530" t="s">
        <v>2685</v>
      </c>
      <c r="C55" s="196"/>
      <c r="D55" s="512"/>
      <c r="E55" s="512"/>
      <c r="F55" s="512"/>
      <c r="G55" s="512"/>
      <c r="H55" s="512"/>
      <c r="I55" s="512"/>
      <c r="J55" s="531"/>
      <c r="K55" s="531"/>
      <c r="L55" s="327"/>
      <c r="M55" s="341"/>
      <c r="N55" s="196"/>
    </row>
    <row r="56" spans="1:14" ht="15.75">
      <c r="A56" s="399" t="s">
        <v>789</v>
      </c>
      <c r="B56" s="632" t="s">
        <v>789</v>
      </c>
      <c r="C56" s="196"/>
      <c r="D56" s="196"/>
      <c r="E56" s="196"/>
      <c r="F56" s="196"/>
      <c r="G56" s="196"/>
      <c r="H56" s="196"/>
      <c r="I56" s="302"/>
      <c r="J56" s="196"/>
      <c r="K56" s="303"/>
      <c r="L56" s="341"/>
      <c r="M56" s="196"/>
      <c r="N56" s="196"/>
    </row>
    <row r="57" spans="1:14" ht="15.75">
      <c r="A57" s="399" t="s">
        <v>789</v>
      </c>
      <c r="B57" s="632" t="s">
        <v>789</v>
      </c>
      <c r="C57" s="196"/>
      <c r="D57" s="196"/>
      <c r="E57" s="196"/>
      <c r="F57" s="196"/>
      <c r="G57" s="196"/>
      <c r="H57" s="196"/>
      <c r="I57" s="302"/>
      <c r="J57" s="196"/>
      <c r="K57" s="303"/>
      <c r="L57" s="512"/>
      <c r="M57" s="526"/>
      <c r="N57" s="196"/>
    </row>
    <row r="58" spans="1:14" ht="15.75">
      <c r="A58" s="400" t="s">
        <v>2683</v>
      </c>
      <c r="B58" s="301" t="s">
        <v>1878</v>
      </c>
      <c r="C58" s="196"/>
      <c r="D58" s="196"/>
      <c r="E58" s="305"/>
      <c r="F58" s="305"/>
      <c r="G58" s="302"/>
      <c r="H58" s="389">
        <f>D41+E41+F41+G41</f>
        <v>0</v>
      </c>
      <c r="I58" s="302"/>
      <c r="J58" s="196"/>
      <c r="K58" s="303"/>
      <c r="L58" s="512"/>
      <c r="M58" s="512"/>
      <c r="N58" s="196"/>
    </row>
    <row r="59" spans="1:14" ht="15.75">
      <c r="A59" s="78"/>
      <c r="B59" s="301"/>
      <c r="C59" s="196"/>
      <c r="D59" s="196"/>
      <c r="E59" s="305"/>
      <c r="F59" s="305"/>
      <c r="G59" s="302"/>
      <c r="H59" s="306"/>
      <c r="I59" s="302"/>
      <c r="J59" s="196"/>
      <c r="K59" s="303"/>
      <c r="L59" s="512"/>
      <c r="M59" s="512"/>
      <c r="N59" s="196"/>
    </row>
    <row r="60" spans="1:14" ht="15.75">
      <c r="A60" s="78"/>
      <c r="B60" s="301"/>
      <c r="C60" s="196"/>
      <c r="D60" s="305"/>
      <c r="E60" s="532" t="s">
        <v>1342</v>
      </c>
      <c r="F60" s="532" t="s">
        <v>1341</v>
      </c>
      <c r="G60" s="302"/>
      <c r="H60" s="306"/>
      <c r="I60" s="302"/>
      <c r="J60" s="196"/>
      <c r="K60" s="303"/>
      <c r="L60" s="512"/>
      <c r="M60" s="512"/>
      <c r="N60" s="196"/>
    </row>
    <row r="61" spans="1:14" ht="15.75">
      <c r="A61" s="78"/>
      <c r="B61" s="301"/>
      <c r="C61" s="196"/>
      <c r="D61" s="196"/>
      <c r="E61" s="307"/>
      <c r="F61" s="196"/>
      <c r="G61" s="302"/>
      <c r="H61" s="196"/>
      <c r="I61" s="302"/>
      <c r="J61" s="196"/>
      <c r="K61" s="303"/>
      <c r="L61" s="512"/>
      <c r="M61" s="528"/>
      <c r="N61" s="196"/>
    </row>
    <row r="62" spans="1:14" ht="24.75" customHeight="1">
      <c r="A62" s="78" t="s">
        <v>2686</v>
      </c>
      <c r="B62" s="301" t="str">
        <f>" &lt; 4000 ADE  {[$ "&amp;E62&amp;"-(Line 16.10.2 X $"&amp;F62&amp;")] X Line 16.10.2}"</f>
        <v xml:space="preserve"> &lt; 4000 ADE  {[$ 323.28-(Line 16.10.2 X $0.01756)] X Line 16.10.2}</v>
      </c>
      <c r="C62" s="301"/>
      <c r="D62" s="196"/>
      <c r="E62" s="367">
        <f>'5 Remote and Rural'!E12</f>
        <v>323.27999999999997</v>
      </c>
      <c r="F62" s="368">
        <f>'5 Remote and Rural'!G12</f>
        <v>1.7559999999999999E-2</v>
      </c>
      <c r="G62" s="302"/>
      <c r="H62" s="1900">
        <f>ROUND(IF(H58=0,0,IF(H58&lt;4000,ROUND((E62-(H58*F62))*H58,0),0)),0)</f>
        <v>0</v>
      </c>
      <c r="I62" s="302"/>
      <c r="J62" s="196"/>
      <c r="K62" s="303"/>
      <c r="L62" s="512"/>
      <c r="M62" s="512"/>
      <c r="N62" s="196"/>
    </row>
    <row r="63" spans="1:14" ht="15.75">
      <c r="A63" s="78"/>
      <c r="B63" s="301"/>
      <c r="C63" s="301"/>
      <c r="D63" s="196"/>
      <c r="E63" s="367"/>
      <c r="F63" s="196"/>
      <c r="G63" s="302"/>
      <c r="H63" s="308"/>
      <c r="I63" s="302"/>
      <c r="J63" s="196"/>
      <c r="K63" s="303"/>
      <c r="L63" s="512"/>
      <c r="M63" s="512"/>
      <c r="N63" s="196"/>
    </row>
    <row r="64" spans="1:14" ht="15.75">
      <c r="A64" s="78"/>
      <c r="B64" s="301"/>
      <c r="C64" s="29"/>
      <c r="D64" s="196"/>
      <c r="E64" s="196"/>
      <c r="F64" s="196"/>
      <c r="G64" s="302"/>
      <c r="H64" s="310"/>
      <c r="I64" s="302"/>
      <c r="J64" s="196"/>
      <c r="K64" s="303"/>
      <c r="L64" s="512"/>
      <c r="M64" s="512"/>
      <c r="N64" s="196"/>
    </row>
    <row r="65" spans="1:14" ht="15.75">
      <c r="A65" s="399" t="s">
        <v>1252</v>
      </c>
      <c r="B65" s="262" t="s">
        <v>1433</v>
      </c>
      <c r="C65" s="196"/>
      <c r="D65" s="196"/>
      <c r="E65" s="311"/>
      <c r="F65" s="311"/>
      <c r="G65" s="313"/>
      <c r="H65" s="312"/>
      <c r="I65" s="302"/>
      <c r="J65" s="196"/>
      <c r="K65" s="303"/>
      <c r="L65" s="512"/>
      <c r="M65" s="529"/>
      <c r="N65" s="196"/>
    </row>
    <row r="66" spans="1:14" ht="15.75">
      <c r="A66" s="400" t="s">
        <v>2687</v>
      </c>
      <c r="B66" s="632" t="s">
        <v>2999</v>
      </c>
      <c r="C66" s="196"/>
      <c r="D66" s="196"/>
      <c r="E66" s="196"/>
      <c r="F66" s="196"/>
      <c r="G66" s="314">
        <v>402</v>
      </c>
      <c r="H66" s="390">
        <f>IF($F$3=0,0,VLOOKUP($F$3,Tables!$A$5:$AN8,10,FALSE))</f>
        <v>0</v>
      </c>
      <c r="I66" s="302"/>
      <c r="J66" s="196"/>
      <c r="K66" s="303"/>
      <c r="L66" s="512"/>
      <c r="M66" s="529"/>
      <c r="N66" s="196"/>
    </row>
    <row r="67" spans="1:14" ht="15.75">
      <c r="A67" s="400"/>
      <c r="B67" s="301"/>
      <c r="C67" s="196"/>
      <c r="D67" s="196"/>
      <c r="E67" s="301"/>
      <c r="F67" s="301"/>
      <c r="G67" s="369"/>
      <c r="H67" s="196"/>
      <c r="I67" s="302"/>
      <c r="J67" s="196"/>
      <c r="K67" s="303"/>
      <c r="L67" s="512"/>
      <c r="M67" s="512"/>
      <c r="N67" s="196"/>
    </row>
    <row r="68" spans="1:14" ht="15.75">
      <c r="A68" s="400" t="s">
        <v>2684</v>
      </c>
      <c r="B68" s="301" t="s">
        <v>2117</v>
      </c>
      <c r="C68" s="196"/>
      <c r="D68" s="196"/>
      <c r="E68" s="315"/>
      <c r="F68" s="315"/>
      <c r="G68" s="369"/>
      <c r="H68" s="394">
        <f>ROUND(IF(H66&lt;151,0,IF(H66&lt;650,((H66-150)*F70),IF(H66&lt;1150,((H66-650)*F81)+D81,E82))),3)</f>
        <v>0</v>
      </c>
      <c r="I68" s="302"/>
      <c r="J68" s="196"/>
      <c r="K68" s="303"/>
      <c r="L68" s="512"/>
      <c r="M68" s="512"/>
      <c r="N68" s="196"/>
    </row>
    <row r="69" spans="1:14" ht="15.75">
      <c r="A69" s="400"/>
      <c r="B69" s="317" t="s">
        <v>2146</v>
      </c>
      <c r="C69" s="395" t="s">
        <v>1471</v>
      </c>
      <c r="D69" s="318"/>
      <c r="E69" s="532" t="s">
        <v>1342</v>
      </c>
      <c r="F69" s="533" t="s">
        <v>1341</v>
      </c>
      <c r="G69" s="369"/>
      <c r="H69" s="196"/>
      <c r="I69" s="302"/>
      <c r="J69" s="196"/>
      <c r="K69" s="303"/>
      <c r="L69" s="512"/>
      <c r="M69" s="528"/>
      <c r="N69" s="196"/>
    </row>
    <row r="70" spans="1:14" ht="30.75">
      <c r="A70" s="400"/>
      <c r="B70" s="317" t="s">
        <v>2146</v>
      </c>
      <c r="C70" s="395" t="str">
        <f>"if line 16.10.5 is greater than 150, but less than 650, enter (Line 16.10.5 - 150) X " &amp;F70</f>
        <v>if line 16.10.5 is greater than 150, but less than 650, enter (Line 16.10.5 - 150) X 1.10288</v>
      </c>
      <c r="D70" s="318"/>
      <c r="E70" s="196"/>
      <c r="F70" s="370">
        <f>'5 Remote and Rural'!G20</f>
        <v>1.1028800000000001</v>
      </c>
      <c r="G70" s="369"/>
      <c r="H70" s="196"/>
      <c r="I70" s="302"/>
      <c r="J70" s="196"/>
      <c r="K70" s="303"/>
      <c r="L70" s="512"/>
      <c r="M70" s="512"/>
      <c r="N70" s="196"/>
    </row>
    <row r="71" spans="1:14" ht="30">
      <c r="A71" s="400"/>
      <c r="B71" s="317" t="s">
        <v>2146</v>
      </c>
      <c r="C71" s="2101" t="str">
        <f>"if line 5.2.1 is greater than or equal to 650 but less than 1,150, enter [(Line 5.2.1 - 650) X $ "&amp;F71&amp;"+$ "&amp;E71</f>
        <v>if line 5.2.1 is greater than or equal to 650 but less than 1,150, enter [(Line 5.2.1 - 650) X $ 0.14844+$ 551.44</v>
      </c>
      <c r="D71" s="318"/>
      <c r="E71" s="320">
        <f>'5 Remote and Rural'!E21</f>
        <v>551.44000000000005</v>
      </c>
      <c r="F71" s="370">
        <f>'5 Remote and Rural'!G21</f>
        <v>0.14843999999999999</v>
      </c>
      <c r="G71" s="196"/>
      <c r="H71" s="302"/>
      <c r="I71" s="302"/>
      <c r="J71" s="319"/>
      <c r="K71" s="303"/>
      <c r="L71" s="512"/>
      <c r="M71" s="529"/>
      <c r="N71" s="196"/>
    </row>
    <row r="72" spans="1:14" ht="12.75" customHeight="1">
      <c r="A72" s="400"/>
      <c r="B72" s="317"/>
      <c r="C72" s="2101"/>
      <c r="D72" s="318"/>
      <c r="E72" s="320"/>
      <c r="F72" s="196"/>
      <c r="G72" s="196"/>
      <c r="H72" s="302"/>
      <c r="I72" s="302"/>
      <c r="J72" s="319"/>
      <c r="K72" s="303"/>
      <c r="L72" s="512"/>
      <c r="M72" s="512"/>
      <c r="N72" s="196"/>
    </row>
    <row r="73" spans="1:14" ht="25.5" customHeight="1">
      <c r="A73" s="400"/>
      <c r="B73" s="317" t="s">
        <v>2146</v>
      </c>
      <c r="C73" s="321" t="str">
        <f>"If Line 5.2.1 is greater than or equal to 1,150, enter $ "&amp;E73</f>
        <v>If Line 5.2.1 is greater than or equal to 1,150, enter $ 625.66</v>
      </c>
      <c r="D73" s="304"/>
      <c r="E73" s="320">
        <f>'5 Remote and Rural'!E22</f>
        <v>625.66</v>
      </c>
      <c r="F73" s="322"/>
      <c r="G73" s="301"/>
      <c r="H73" s="323"/>
      <c r="I73" s="302"/>
      <c r="J73" s="319"/>
      <c r="K73" s="303"/>
      <c r="L73" s="512"/>
      <c r="M73" s="512"/>
      <c r="N73" s="196"/>
    </row>
    <row r="74" spans="1:14" ht="25.5" customHeight="1">
      <c r="A74" s="1882"/>
      <c r="B74" s="317"/>
      <c r="C74" s="321"/>
      <c r="D74" s="304"/>
      <c r="E74" s="320"/>
      <c r="F74" s="322"/>
      <c r="G74" s="301"/>
      <c r="H74" s="323"/>
      <c r="I74" s="302"/>
      <c r="J74" s="319"/>
      <c r="K74" s="303"/>
      <c r="L74" s="1884"/>
      <c r="M74" s="1884"/>
      <c r="N74" s="196"/>
    </row>
    <row r="75" spans="1:14" ht="13.5" customHeight="1">
      <c r="A75" s="400"/>
      <c r="B75" s="317"/>
      <c r="C75" s="321"/>
      <c r="D75" s="304"/>
      <c r="E75" s="301"/>
      <c r="F75" s="301"/>
      <c r="G75" s="301"/>
      <c r="H75" s="323"/>
      <c r="I75" s="302"/>
      <c r="J75" s="319"/>
      <c r="K75" s="303"/>
      <c r="L75" s="512"/>
      <c r="M75" s="512"/>
      <c r="N75" s="196"/>
    </row>
    <row r="76" spans="1:14" ht="24" customHeight="1">
      <c r="A76" s="400" t="s">
        <v>2688</v>
      </c>
      <c r="B76" s="316" t="s">
        <v>1275</v>
      </c>
      <c r="C76" s="316"/>
      <c r="D76" s="304"/>
      <c r="E76" s="301"/>
      <c r="F76" s="301"/>
      <c r="G76" s="314" t="s">
        <v>92</v>
      </c>
      <c r="H76" s="1900">
        <f>ROUND(H68*H58,0)</f>
        <v>0</v>
      </c>
      <c r="I76" s="302"/>
      <c r="J76" s="319"/>
      <c r="K76" s="303"/>
      <c r="L76" s="512"/>
      <c r="M76" s="513"/>
      <c r="N76" s="196"/>
    </row>
    <row r="77" spans="1:14" ht="15.75">
      <c r="A77" s="316"/>
      <c r="B77" s="680" t="s">
        <v>2694</v>
      </c>
      <c r="C77" s="316"/>
      <c r="D77" s="304"/>
      <c r="E77" s="301"/>
      <c r="F77" s="301"/>
      <c r="G77" s="301"/>
      <c r="H77" s="323"/>
      <c r="I77" s="302"/>
      <c r="J77" s="319"/>
      <c r="K77" s="303"/>
      <c r="L77" s="512"/>
      <c r="M77" s="529"/>
      <c r="N77" s="196"/>
    </row>
    <row r="78" spans="1:14" ht="12.75" customHeight="1">
      <c r="A78" s="316"/>
      <c r="B78" s="317"/>
      <c r="C78" s="316"/>
      <c r="D78" s="304"/>
      <c r="E78" s="301"/>
      <c r="F78" s="301"/>
      <c r="G78" s="371"/>
      <c r="H78" s="301"/>
      <c r="I78" s="302"/>
      <c r="J78" s="319"/>
      <c r="K78" s="325"/>
      <c r="L78" s="512"/>
      <c r="M78" s="528"/>
      <c r="N78" s="196"/>
    </row>
    <row r="79" spans="1:14" ht="12.75" customHeight="1">
      <c r="A79" s="373"/>
      <c r="B79" s="196"/>
      <c r="C79" s="196"/>
      <c r="D79" s="196"/>
      <c r="E79" s="196"/>
      <c r="F79" s="196"/>
      <c r="G79" s="369"/>
      <c r="H79" s="196"/>
      <c r="I79" s="302"/>
      <c r="J79" s="319"/>
      <c r="K79" s="196"/>
      <c r="L79" s="512"/>
      <c r="M79" s="327"/>
      <c r="N79" s="328"/>
    </row>
    <row r="80" spans="1:14" ht="12.75" customHeight="1">
      <c r="A80" s="373"/>
      <c r="B80" s="196"/>
      <c r="C80" s="196"/>
      <c r="D80" s="196"/>
      <c r="E80" s="196"/>
      <c r="F80" s="196"/>
      <c r="G80" s="369"/>
      <c r="H80" s="196"/>
      <c r="I80" s="326"/>
      <c r="J80" s="196"/>
      <c r="K80" s="196"/>
      <c r="L80" s="512"/>
      <c r="M80" s="327"/>
      <c r="N80" s="328"/>
    </row>
    <row r="81" spans="1:14" ht="30">
      <c r="A81" s="373"/>
      <c r="B81" s="196"/>
      <c r="C81" s="2101" t="str">
        <f>"if line 16.10.2b is greater than or equal to 650 but less than 1,150, enter [(Line 16.10.2b - 650) X $ "&amp;F81&amp;"+$ "&amp;E81</f>
        <v>if line 16.10.2b is greater than or equal to 650 but less than 1,150, enter [(Line 16.10.2b - 650) X $ 0.14844+$ 551.44</v>
      </c>
      <c r="D81" s="318"/>
      <c r="E81" s="320">
        <f>'5 Remote and Rural'!E21</f>
        <v>551.44000000000005</v>
      </c>
      <c r="F81" s="370">
        <f>'5 Remote and Rural'!G21</f>
        <v>0.14843999999999999</v>
      </c>
      <c r="G81" s="369"/>
      <c r="H81" s="196"/>
      <c r="I81" s="326"/>
      <c r="J81" s="196"/>
      <c r="K81" s="196"/>
      <c r="L81" s="512"/>
      <c r="M81" s="327"/>
      <c r="N81" s="328"/>
    </row>
    <row r="82" spans="1:14" ht="24.75" customHeight="1">
      <c r="A82" s="373"/>
      <c r="B82" s="196"/>
      <c r="C82" s="321" t="str">
        <f>"If Line 16.10.2b is greater than or equal to 1,150, enter $ "&amp;E82</f>
        <v>If Line 16.10.2b is greater than or equal to 1,150, enter $ 625.66</v>
      </c>
      <c r="D82" s="304"/>
      <c r="E82" s="320">
        <f>'5 Remote and Rural'!E22</f>
        <v>625.66</v>
      </c>
      <c r="F82" s="322"/>
      <c r="G82" s="301"/>
      <c r="H82" s="196"/>
      <c r="I82" s="326"/>
      <c r="J82" s="196"/>
      <c r="K82" s="196"/>
      <c r="L82" s="512"/>
      <c r="M82" s="327"/>
      <c r="N82" s="328"/>
    </row>
    <row r="83" spans="1:14" ht="12.75" customHeight="1">
      <c r="A83" s="373"/>
      <c r="B83" s="196"/>
      <c r="C83" s="196"/>
      <c r="D83" s="196"/>
      <c r="E83" s="196"/>
      <c r="F83" s="196"/>
      <c r="G83" s="196"/>
      <c r="H83" s="196"/>
      <c r="I83" s="326"/>
      <c r="J83" s="196"/>
      <c r="K83" s="196"/>
      <c r="L83" s="512"/>
      <c r="M83" s="327"/>
      <c r="N83" s="328"/>
    </row>
    <row r="84" spans="1:14" ht="12.75" customHeight="1">
      <c r="A84" s="373"/>
      <c r="B84" s="196"/>
      <c r="C84" s="196"/>
      <c r="D84" s="196"/>
      <c r="E84" s="196"/>
      <c r="F84" s="196"/>
      <c r="G84" s="196"/>
      <c r="H84" s="196"/>
      <c r="I84" s="326"/>
      <c r="J84" s="196"/>
      <c r="K84" s="196"/>
      <c r="L84" s="512"/>
      <c r="M84" s="327"/>
      <c r="N84" s="328"/>
    </row>
    <row r="85" spans="1:14" ht="12.75" customHeight="1">
      <c r="A85" s="373"/>
      <c r="B85" s="196"/>
      <c r="C85" s="196"/>
      <c r="D85" s="196"/>
      <c r="E85" s="196"/>
      <c r="F85" s="196"/>
      <c r="G85" s="196"/>
      <c r="H85" s="196"/>
      <c r="I85" s="326"/>
      <c r="J85" s="196"/>
      <c r="K85" s="196"/>
      <c r="L85" s="512"/>
      <c r="M85" s="327"/>
      <c r="N85" s="328"/>
    </row>
    <row r="86" spans="1:14" ht="12.75" customHeight="1">
      <c r="A86" s="373"/>
      <c r="B86" s="196"/>
      <c r="C86" s="196"/>
      <c r="D86" s="196"/>
      <c r="E86" s="196"/>
      <c r="F86" s="196"/>
      <c r="G86" s="196"/>
      <c r="H86" s="196"/>
      <c r="I86" s="326"/>
      <c r="J86" s="196"/>
      <c r="K86" s="196"/>
      <c r="L86" s="512"/>
      <c r="M86" s="327"/>
      <c r="N86" s="328"/>
    </row>
    <row r="87" spans="1:14" ht="12.75" customHeight="1" thickBot="1">
      <c r="A87" s="373"/>
      <c r="B87" s="196"/>
      <c r="C87" s="196"/>
      <c r="D87" s="196"/>
      <c r="E87" s="196"/>
      <c r="F87" s="196"/>
      <c r="G87" s="196"/>
      <c r="H87" s="196"/>
      <c r="I87" s="326"/>
      <c r="J87" s="196"/>
      <c r="K87" s="196"/>
      <c r="L87" s="512"/>
      <c r="M87" s="327"/>
      <c r="N87" s="328"/>
    </row>
    <row r="88" spans="1:14" ht="16.5" thickBot="1">
      <c r="A88" s="1901" t="s">
        <v>909</v>
      </c>
      <c r="B88" s="1898" t="s">
        <v>1250</v>
      </c>
      <c r="C88" s="1899"/>
      <c r="D88" s="1899"/>
      <c r="E88" s="1899"/>
      <c r="F88" s="1899"/>
      <c r="G88" s="1899"/>
      <c r="H88" s="1899"/>
      <c r="I88" s="975">
        <f>ROUND(H62+H76,0)</f>
        <v>0</v>
      </c>
      <c r="J88" s="196"/>
      <c r="K88" s="196"/>
      <c r="L88" s="512"/>
      <c r="M88" s="327"/>
      <c r="N88" s="328" t="str">
        <f>+A88</f>
        <v>16.10.3</v>
      </c>
    </row>
    <row r="89" spans="1:14" ht="15.75">
      <c r="A89" s="316"/>
      <c r="B89" s="86" t="s">
        <v>2695</v>
      </c>
      <c r="C89" s="196"/>
      <c r="D89" s="196"/>
      <c r="E89" s="196"/>
      <c r="F89" s="196"/>
      <c r="G89" s="196"/>
      <c r="H89" s="196"/>
      <c r="I89" s="196"/>
      <c r="J89" s="196"/>
      <c r="K89" s="196"/>
      <c r="L89" s="512"/>
      <c r="M89" s="327"/>
      <c r="N89" s="196"/>
    </row>
    <row r="90" spans="1:14" ht="15.75">
      <c r="A90" s="316"/>
      <c r="B90" s="86"/>
      <c r="C90" s="196"/>
      <c r="D90" s="196"/>
      <c r="E90" s="196"/>
      <c r="F90" s="196"/>
      <c r="G90" s="196"/>
      <c r="H90" s="196"/>
      <c r="I90" s="196"/>
      <c r="J90" s="196"/>
      <c r="K90" s="196"/>
      <c r="L90" s="1884"/>
      <c r="M90" s="327"/>
      <c r="N90" s="196"/>
    </row>
    <row r="91" spans="1:14" ht="15.75">
      <c r="A91" s="2412">
        <v>16.11</v>
      </c>
      <c r="B91" s="2398" t="s">
        <v>1465</v>
      </c>
      <c r="C91" s="2411"/>
      <c r="D91" s="2411"/>
      <c r="E91" s="2411"/>
      <c r="F91" s="2411"/>
      <c r="G91" s="2411"/>
      <c r="H91" s="2411"/>
      <c r="I91" s="2411"/>
      <c r="J91" s="2396"/>
      <c r="K91" s="2396"/>
      <c r="L91" s="2396"/>
      <c r="M91" s="2396"/>
      <c r="N91" s="2396"/>
    </row>
    <row r="92" spans="1:14" ht="15.75">
      <c r="A92" s="2397"/>
      <c r="B92" s="2396"/>
      <c r="C92" s="2396"/>
      <c r="D92" s="2396"/>
      <c r="E92" s="2401"/>
      <c r="F92" s="2401"/>
      <c r="G92" s="2404"/>
      <c r="H92" s="2396"/>
      <c r="I92" s="2396"/>
      <c r="J92" s="2405"/>
      <c r="K92" s="2396"/>
      <c r="L92" s="2396"/>
      <c r="M92" s="2396"/>
      <c r="N92" s="2396"/>
    </row>
    <row r="93" spans="1:14" ht="15.75">
      <c r="A93" s="2397" t="s">
        <v>789</v>
      </c>
      <c r="B93" s="2396" t="s">
        <v>3187</v>
      </c>
      <c r="C93" s="2396"/>
      <c r="D93" s="2396"/>
      <c r="E93" s="2406"/>
      <c r="F93" s="2396"/>
      <c r="G93" s="2396"/>
      <c r="H93" s="2410">
        <f>H58</f>
        <v>0</v>
      </c>
      <c r="I93" s="2396"/>
      <c r="J93" s="2405"/>
      <c r="K93" s="2396"/>
      <c r="L93" s="2396"/>
      <c r="M93" s="2409" t="s">
        <v>789</v>
      </c>
      <c r="N93" s="2396"/>
    </row>
    <row r="94" spans="1:14" ht="15.75">
      <c r="A94" s="2397"/>
      <c r="B94" s="2396"/>
      <c r="C94" s="2396"/>
      <c r="D94" s="2396"/>
      <c r="E94" s="2406"/>
      <c r="F94" s="2396"/>
      <c r="G94" s="2396"/>
      <c r="H94" s="2406"/>
      <c r="I94" s="2396"/>
      <c r="J94" s="2405"/>
      <c r="K94" s="2396"/>
      <c r="L94" s="2396"/>
      <c r="M94" s="2409"/>
      <c r="N94" s="2396"/>
    </row>
    <row r="95" spans="1:14" ht="15">
      <c r="A95" s="2403"/>
      <c r="B95" s="2396"/>
      <c r="C95" s="2396"/>
      <c r="D95" s="2396"/>
      <c r="E95" s="2386"/>
      <c r="F95" s="2386"/>
      <c r="G95" s="2396"/>
      <c r="H95" s="2402"/>
      <c r="I95" s="2396"/>
      <c r="J95" s="2387"/>
      <c r="K95" s="2396"/>
      <c r="L95" s="2396"/>
      <c r="M95" s="2396"/>
      <c r="N95" s="2396"/>
    </row>
    <row r="96" spans="1:14" ht="15.75">
      <c r="A96" s="2409" t="s">
        <v>1253</v>
      </c>
      <c r="B96" s="2395" t="s">
        <v>1062</v>
      </c>
      <c r="C96" s="2396"/>
      <c r="D96" s="2396"/>
      <c r="E96" s="2396"/>
      <c r="F96" s="2396"/>
      <c r="G96" s="2386"/>
      <c r="H96" s="2396"/>
      <c r="I96" s="2396"/>
      <c r="J96" s="2400"/>
      <c r="K96" s="2396"/>
      <c r="L96" s="2396"/>
      <c r="M96" s="2396"/>
      <c r="N96" s="2396"/>
    </row>
    <row r="97" spans="1:14" ht="15.75">
      <c r="A97" s="2397"/>
      <c r="B97" s="2396"/>
      <c r="C97" s="2396"/>
      <c r="D97" s="2396"/>
      <c r="E97" s="2396"/>
      <c r="F97" s="2396"/>
      <c r="G97" s="2396"/>
      <c r="H97" s="2396"/>
      <c r="I97" s="2396"/>
      <c r="J97" s="2400"/>
      <c r="K97" s="2396"/>
      <c r="L97" s="2396"/>
      <c r="M97" s="2396"/>
      <c r="N97" s="2396"/>
    </row>
    <row r="98" spans="1:14" ht="15.75">
      <c r="A98" s="2397" t="s">
        <v>1254</v>
      </c>
      <c r="B98" s="2396" t="s">
        <v>3185</v>
      </c>
      <c r="C98" s="2396"/>
      <c r="D98" s="2396"/>
      <c r="E98" s="2396"/>
      <c r="F98" s="2396"/>
      <c r="G98" s="2385">
        <v>915</v>
      </c>
      <c r="H98" s="2393">
        <f>IF($F$3=0,0,VLOOKUP($F$3,Tables!$A$5:$AN98,12,FALSE))</f>
        <v>0</v>
      </c>
      <c r="I98" s="2396"/>
      <c r="J98" s="2405"/>
      <c r="K98" s="2396"/>
      <c r="L98" s="2396"/>
      <c r="M98" s="2409" t="s">
        <v>1254</v>
      </c>
      <c r="N98" s="2396"/>
    </row>
    <row r="99" spans="1:14" ht="15.75">
      <c r="A99" s="2397" t="s">
        <v>1255</v>
      </c>
      <c r="B99" s="2396" t="s">
        <v>3186</v>
      </c>
      <c r="C99" s="2396"/>
      <c r="D99" s="2396"/>
      <c r="E99" s="2396"/>
      <c r="F99" s="2396"/>
      <c r="G99" s="2396"/>
      <c r="H99" s="2393">
        <f>IF($F$3=0,0,VLOOKUP($F$3,Tables!$A$5:$AN99,13,FALSE))</f>
        <v>0</v>
      </c>
      <c r="I99" s="2396"/>
      <c r="J99" s="2405"/>
      <c r="K99" s="2396"/>
      <c r="L99" s="2396"/>
      <c r="M99" s="2409" t="s">
        <v>1255</v>
      </c>
      <c r="N99" s="2396"/>
    </row>
    <row r="100" spans="1:14" ht="15.75">
      <c r="A100" s="2397" t="s">
        <v>1256</v>
      </c>
      <c r="B100" s="2396" t="s">
        <v>854</v>
      </c>
      <c r="C100" s="2396"/>
      <c r="D100" s="2396"/>
      <c r="E100" s="2396"/>
      <c r="F100" s="2396"/>
      <c r="G100" s="2396"/>
      <c r="H100" s="2388">
        <f>IF(H98=0,0,IF(H93&lt;=100,B101*H98,IF(H93&lt;=300,H98*B102,IF(H93&gt;300,H98*B103,0))))</f>
        <v>0</v>
      </c>
      <c r="I100" s="2396"/>
      <c r="J100" s="2405"/>
      <c r="K100" s="2396"/>
      <c r="L100" s="2396"/>
      <c r="M100" s="2409" t="s">
        <v>1256</v>
      </c>
      <c r="N100" s="2396"/>
    </row>
    <row r="101" spans="1:14" ht="15.75">
      <c r="A101" s="2397"/>
      <c r="B101" s="2408">
        <v>1500</v>
      </c>
      <c r="C101" s="2399" t="s">
        <v>2197</v>
      </c>
      <c r="D101" s="2399"/>
      <c r="E101" s="2396"/>
      <c r="F101" s="2396"/>
      <c r="G101" s="2396"/>
      <c r="H101" s="2389"/>
      <c r="I101" s="2396"/>
      <c r="J101" s="2405"/>
      <c r="K101" s="2396"/>
      <c r="L101" s="2396"/>
      <c r="M101" s="2396"/>
      <c r="N101" s="2396"/>
    </row>
    <row r="102" spans="1:14" ht="15.75">
      <c r="A102" s="2397"/>
      <c r="B102" s="2408">
        <v>2000</v>
      </c>
      <c r="C102" s="2399" t="s">
        <v>2198</v>
      </c>
      <c r="D102" s="2399"/>
      <c r="E102" s="2396"/>
      <c r="F102" s="2396"/>
      <c r="G102" s="2396"/>
      <c r="H102" s="2389"/>
      <c r="I102" s="2396"/>
      <c r="J102" s="2405"/>
      <c r="K102" s="2396"/>
      <c r="L102" s="2396"/>
      <c r="M102" s="2396"/>
      <c r="N102" s="2396"/>
    </row>
    <row r="103" spans="1:14" ht="15.75">
      <c r="A103" s="2397"/>
      <c r="B103" s="2408">
        <v>3000</v>
      </c>
      <c r="C103" s="2399" t="s">
        <v>930</v>
      </c>
      <c r="D103" s="2399"/>
      <c r="E103" s="2396"/>
      <c r="F103" s="2396"/>
      <c r="G103" s="2396"/>
      <c r="H103" s="2389"/>
      <c r="I103" s="2396"/>
      <c r="J103" s="2405"/>
      <c r="K103" s="2396"/>
      <c r="L103" s="2396"/>
      <c r="M103" s="2396"/>
      <c r="N103" s="2396"/>
    </row>
    <row r="104" spans="1:14" ht="15.75">
      <c r="A104" s="2397"/>
      <c r="B104" s="2396"/>
      <c r="C104" s="2396"/>
      <c r="D104" s="2396"/>
      <c r="E104" s="2396"/>
      <c r="F104" s="2396"/>
      <c r="G104" s="2407"/>
      <c r="H104" s="2390"/>
      <c r="I104" s="2396"/>
      <c r="J104" s="2405"/>
      <c r="K104" s="2396"/>
      <c r="L104" s="2396"/>
      <c r="M104" s="2396"/>
      <c r="N104" s="2396"/>
    </row>
    <row r="105" spans="1:14" ht="15.75">
      <c r="A105" s="2397" t="s">
        <v>1257</v>
      </c>
      <c r="B105" s="2395" t="s">
        <v>37</v>
      </c>
      <c r="C105" s="2396"/>
      <c r="D105" s="2396"/>
      <c r="E105" s="2396"/>
      <c r="F105" s="2396"/>
      <c r="G105" s="2391">
        <v>916</v>
      </c>
      <c r="H105" s="2394">
        <f>ROUND(H99+H100,0)</f>
        <v>0</v>
      </c>
      <c r="I105" s="2396"/>
      <c r="J105" s="2405"/>
      <c r="K105" s="2396"/>
      <c r="L105" s="2396"/>
      <c r="M105" s="2409" t="s">
        <v>1257</v>
      </c>
      <c r="N105" s="2396"/>
    </row>
    <row r="106" spans="1:14" ht="15.75">
      <c r="A106" s="2397"/>
      <c r="B106" s="2396" t="s">
        <v>2679</v>
      </c>
      <c r="C106" s="2396"/>
      <c r="D106" s="2396"/>
      <c r="E106" s="2396"/>
      <c r="F106" s="2396"/>
      <c r="G106" s="2392"/>
      <c r="H106" s="2389"/>
      <c r="I106" s="2396"/>
      <c r="J106" s="2405"/>
      <c r="K106" s="2396"/>
      <c r="L106" s="2396"/>
      <c r="M106" s="2396"/>
      <c r="N106" s="2396"/>
    </row>
    <row r="107" spans="1:14" ht="15.75">
      <c r="A107" s="316"/>
      <c r="B107" s="86"/>
      <c r="C107" s="196"/>
      <c r="D107" s="196"/>
      <c r="E107" s="196"/>
      <c r="F107" s="196"/>
      <c r="G107" s="196"/>
      <c r="H107" s="196"/>
      <c r="I107" s="196"/>
      <c r="J107" s="196"/>
      <c r="K107" s="196"/>
      <c r="L107" s="1884"/>
      <c r="M107" s="327"/>
      <c r="N107" s="196"/>
    </row>
    <row r="108" spans="1:14" ht="15.75">
      <c r="A108" s="316"/>
      <c r="B108" s="2212" t="s">
        <v>3000</v>
      </c>
      <c r="C108" s="196"/>
      <c r="D108" s="196"/>
      <c r="E108" s="196"/>
      <c r="F108" s="196"/>
      <c r="G108" s="196"/>
      <c r="H108" s="196"/>
      <c r="I108" s="196"/>
      <c r="J108" s="196"/>
      <c r="K108" s="196"/>
      <c r="L108" s="512"/>
      <c r="M108" s="528"/>
      <c r="N108" s="196"/>
    </row>
    <row r="109" spans="1:14" ht="25.5" hidden="1" customHeight="1">
      <c r="A109" s="1890" t="s">
        <v>2681</v>
      </c>
      <c r="B109" s="104"/>
      <c r="C109" s="104"/>
      <c r="D109" s="304"/>
      <c r="E109" s="320"/>
      <c r="F109" s="322"/>
      <c r="G109" s="301"/>
      <c r="H109" s="323"/>
      <c r="I109" s="302"/>
      <c r="J109" s="319"/>
      <c r="K109" s="303"/>
      <c r="L109" s="1884"/>
      <c r="M109" s="1884"/>
      <c r="N109" s="196"/>
    </row>
    <row r="110" spans="1:14" ht="25.5" hidden="1" customHeight="1">
      <c r="A110" s="1890"/>
      <c r="B110" s="104"/>
      <c r="C110" s="104"/>
      <c r="D110" s="304"/>
      <c r="E110" s="320"/>
      <c r="F110" s="322"/>
      <c r="G110" s="301"/>
      <c r="H110" s="323"/>
      <c r="I110" s="302"/>
      <c r="J110" s="319"/>
      <c r="K110" s="303"/>
      <c r="L110" s="1884"/>
      <c r="M110" s="1884"/>
      <c r="N110" s="196"/>
    </row>
    <row r="111" spans="1:14" ht="15.75" hidden="1">
      <c r="A111" s="1199">
        <v>16.11</v>
      </c>
      <c r="B111" s="262" t="s">
        <v>1465</v>
      </c>
      <c r="C111" s="512"/>
      <c r="D111" s="512"/>
      <c r="E111" s="512"/>
      <c r="F111" s="512"/>
      <c r="G111" s="512"/>
      <c r="H111" s="512"/>
      <c r="I111" s="512"/>
      <c r="J111" s="196"/>
      <c r="K111" s="196"/>
      <c r="L111" s="196"/>
      <c r="M111" s="196"/>
      <c r="N111" s="196"/>
    </row>
    <row r="112" spans="1:14" ht="15.75" hidden="1">
      <c r="A112" s="316"/>
      <c r="B112" s="196"/>
      <c r="C112" s="196"/>
      <c r="D112" s="196"/>
      <c r="E112" s="307"/>
      <c r="F112" s="307"/>
      <c r="G112" s="329"/>
      <c r="H112" s="196"/>
      <c r="I112" s="196"/>
      <c r="J112" s="330"/>
      <c r="K112" s="196"/>
      <c r="L112" s="196"/>
      <c r="M112" s="196"/>
      <c r="N112" s="196"/>
    </row>
    <row r="113" spans="1:14" ht="15.75" hidden="1">
      <c r="A113" s="104" t="s">
        <v>789</v>
      </c>
      <c r="B113" s="78" t="s">
        <v>2737</v>
      </c>
      <c r="C113" s="196"/>
      <c r="D113" s="196"/>
      <c r="E113" s="331"/>
      <c r="F113" s="196"/>
      <c r="G113" s="196"/>
      <c r="H113" s="391">
        <f>H58</f>
        <v>0</v>
      </c>
      <c r="I113" s="196"/>
      <c r="J113" s="330"/>
      <c r="K113" s="196"/>
      <c r="L113" s="196"/>
      <c r="M113" s="535" t="str">
        <f>A113</f>
        <v xml:space="preserve"> </v>
      </c>
      <c r="N113" s="196"/>
    </row>
    <row r="114" spans="1:14" ht="15.75" hidden="1">
      <c r="A114" s="316"/>
      <c r="B114" s="196"/>
      <c r="C114" s="196"/>
      <c r="D114" s="196"/>
      <c r="E114" s="331"/>
      <c r="F114" s="196"/>
      <c r="G114" s="196"/>
      <c r="H114" s="331"/>
      <c r="I114" s="196"/>
      <c r="J114" s="330"/>
      <c r="K114" s="196"/>
      <c r="L114" s="196"/>
      <c r="M114" s="196"/>
      <c r="N114" s="196"/>
    </row>
    <row r="115" spans="1:14" ht="15" hidden="1">
      <c r="A115" s="321"/>
      <c r="B115" s="196"/>
      <c r="C115" s="196"/>
      <c r="D115" s="196"/>
      <c r="E115" s="332"/>
      <c r="F115" s="332"/>
      <c r="G115" s="196"/>
      <c r="H115" s="312"/>
      <c r="I115" s="196"/>
      <c r="J115" s="333"/>
      <c r="K115" s="196"/>
      <c r="L115" s="196"/>
      <c r="M115" s="196"/>
      <c r="N115" s="196"/>
    </row>
    <row r="116" spans="1:14" ht="15.75" hidden="1">
      <c r="A116" s="374" t="s">
        <v>1253</v>
      </c>
      <c r="B116" s="29" t="s">
        <v>1062</v>
      </c>
      <c r="C116" s="196"/>
      <c r="D116" s="196"/>
      <c r="E116" s="196"/>
      <c r="F116" s="196"/>
      <c r="G116" s="332"/>
      <c r="H116" s="196"/>
      <c r="I116" s="196"/>
      <c r="J116" s="304"/>
      <c r="K116" s="196"/>
      <c r="L116" s="196"/>
      <c r="M116" s="196"/>
      <c r="N116" s="196"/>
    </row>
    <row r="117" spans="1:14" ht="15.75" hidden="1">
      <c r="A117" s="316"/>
      <c r="B117" s="196"/>
      <c r="C117" s="196"/>
      <c r="D117" s="196"/>
      <c r="E117" s="196"/>
      <c r="F117" s="196"/>
      <c r="G117" s="196"/>
      <c r="H117" s="196"/>
      <c r="I117" s="196"/>
      <c r="J117" s="304"/>
      <c r="K117" s="196"/>
      <c r="L117" s="196"/>
      <c r="M117" s="196"/>
      <c r="N117" s="196"/>
    </row>
    <row r="118" spans="1:14" ht="15.75" hidden="1">
      <c r="A118" s="316" t="s">
        <v>1254</v>
      </c>
      <c r="B118" s="78" t="s">
        <v>2733</v>
      </c>
      <c r="C118" s="196"/>
      <c r="D118" s="196"/>
      <c r="E118" s="196"/>
      <c r="F118" s="196"/>
      <c r="G118" s="314">
        <v>915</v>
      </c>
      <c r="H118" s="392">
        <f>IF($F$3=0,0,VLOOKUP($F$3,Tables!$A$5:$AN8,12,FALSE))</f>
        <v>0</v>
      </c>
      <c r="I118" s="196"/>
      <c r="J118" s="330"/>
      <c r="K118" s="196"/>
      <c r="L118" s="196"/>
      <c r="M118" s="535" t="str">
        <f>A118</f>
        <v>16.11.2</v>
      </c>
      <c r="N118" s="196"/>
    </row>
    <row r="119" spans="1:14" ht="15.75" hidden="1">
      <c r="A119" s="316" t="s">
        <v>1255</v>
      </c>
      <c r="B119" s="78" t="s">
        <v>2734</v>
      </c>
      <c r="C119" s="196"/>
      <c r="D119" s="196"/>
      <c r="E119" s="196"/>
      <c r="F119" s="196"/>
      <c r="G119" s="196"/>
      <c r="H119" s="392">
        <f>IF($F$3=0,0,VLOOKUP($F$3,Tables!$A$5:$AN8,13,FALSE))</f>
        <v>0</v>
      </c>
      <c r="I119" s="196"/>
      <c r="J119" s="330"/>
      <c r="K119" s="196"/>
      <c r="L119" s="196"/>
      <c r="M119" s="535" t="str">
        <f>A119</f>
        <v>16.11.3</v>
      </c>
      <c r="N119" s="196"/>
    </row>
    <row r="120" spans="1:14" ht="15.75" hidden="1">
      <c r="A120" s="316" t="s">
        <v>1256</v>
      </c>
      <c r="B120" s="196" t="s">
        <v>854</v>
      </c>
      <c r="C120" s="196"/>
      <c r="D120" s="196"/>
      <c r="E120" s="196"/>
      <c r="F120" s="196"/>
      <c r="G120" s="196"/>
      <c r="H120" s="334">
        <f>IF(H118=0,0,IF(H113&lt;=100,B121*H118,IF(H113&lt;=300,H118*B122,IF(H113&gt;300,H118*B123,0))))</f>
        <v>0</v>
      </c>
      <c r="I120" s="196"/>
      <c r="J120" s="330"/>
      <c r="K120" s="196"/>
      <c r="L120" s="196"/>
      <c r="M120" s="535" t="str">
        <f>A120</f>
        <v>16.11.4</v>
      </c>
      <c r="N120" s="196"/>
    </row>
    <row r="121" spans="1:14" ht="15.75" hidden="1">
      <c r="A121" s="316"/>
      <c r="B121" s="372">
        <f>'GSN Benchmarks'!B175</f>
        <v>1500</v>
      </c>
      <c r="C121" s="301" t="s">
        <v>2197</v>
      </c>
      <c r="D121" s="301"/>
      <c r="E121" s="196"/>
      <c r="F121" s="196"/>
      <c r="G121" s="196"/>
      <c r="H121" s="335"/>
      <c r="I121" s="196"/>
      <c r="J121" s="330"/>
      <c r="K121" s="196"/>
      <c r="L121" s="196"/>
      <c r="M121" s="196"/>
      <c r="N121" s="196"/>
    </row>
    <row r="122" spans="1:14" ht="15.75" hidden="1">
      <c r="A122" s="316"/>
      <c r="B122" s="372">
        <f>'GSN Benchmarks'!B176</f>
        <v>2000</v>
      </c>
      <c r="C122" s="301" t="s">
        <v>2198</v>
      </c>
      <c r="D122" s="301"/>
      <c r="E122" s="196"/>
      <c r="F122" s="196"/>
      <c r="G122" s="196"/>
      <c r="H122" s="335"/>
      <c r="I122" s="196"/>
      <c r="J122" s="330"/>
      <c r="K122" s="196"/>
      <c r="L122" s="196"/>
      <c r="M122" s="196"/>
      <c r="N122" s="196"/>
    </row>
    <row r="123" spans="1:14" ht="15.75" hidden="1">
      <c r="A123" s="316"/>
      <c r="B123" s="372">
        <f>'GSN Benchmarks'!B177</f>
        <v>3000</v>
      </c>
      <c r="C123" s="301" t="s">
        <v>930</v>
      </c>
      <c r="D123" s="301"/>
      <c r="E123" s="196"/>
      <c r="F123" s="196"/>
      <c r="G123" s="196"/>
      <c r="H123" s="335"/>
      <c r="I123" s="196"/>
      <c r="J123" s="330"/>
      <c r="K123" s="196"/>
      <c r="L123" s="196"/>
      <c r="M123" s="196"/>
      <c r="N123" s="196"/>
    </row>
    <row r="124" spans="1:14" ht="15.75" hidden="1">
      <c r="A124" s="316"/>
      <c r="B124" s="196"/>
      <c r="C124" s="196"/>
      <c r="D124" s="196"/>
      <c r="E124" s="196"/>
      <c r="F124" s="196"/>
      <c r="G124" s="336"/>
      <c r="H124" s="337"/>
      <c r="I124" s="196"/>
      <c r="J124" s="330"/>
      <c r="K124" s="196"/>
      <c r="L124" s="196"/>
      <c r="M124" s="196"/>
      <c r="N124" s="196"/>
    </row>
    <row r="125" spans="1:14" ht="15.75" hidden="1">
      <c r="A125" s="316" t="s">
        <v>1257</v>
      </c>
      <c r="B125" s="29" t="s">
        <v>37</v>
      </c>
      <c r="C125" s="196"/>
      <c r="D125" s="196"/>
      <c r="E125" s="196"/>
      <c r="F125" s="196"/>
      <c r="G125" s="338">
        <v>916</v>
      </c>
      <c r="H125" s="1913">
        <f>SUM(H119:H120)</f>
        <v>0</v>
      </c>
      <c r="I125" s="196"/>
      <c r="J125" s="330"/>
      <c r="K125" s="196"/>
      <c r="L125" s="196"/>
      <c r="M125" s="535" t="str">
        <f>A125</f>
        <v>16.11.5</v>
      </c>
      <c r="N125" s="196"/>
    </row>
    <row r="126" spans="1:14" ht="15.75" hidden="1">
      <c r="A126" s="316"/>
      <c r="B126" s="78" t="s">
        <v>2679</v>
      </c>
      <c r="C126" s="196"/>
      <c r="D126" s="196"/>
      <c r="E126" s="196"/>
      <c r="F126" s="196"/>
      <c r="G126" s="339"/>
      <c r="H126" s="335"/>
      <c r="I126" s="196"/>
      <c r="J126" s="330"/>
      <c r="K126" s="196"/>
      <c r="L126" s="196"/>
      <c r="M126" s="196"/>
      <c r="N126" s="196"/>
    </row>
    <row r="127" spans="1:14" ht="15.75" hidden="1">
      <c r="A127" s="316"/>
      <c r="B127" s="196"/>
      <c r="C127" s="196"/>
      <c r="D127" s="196"/>
      <c r="E127" s="196"/>
      <c r="F127" s="196"/>
      <c r="G127" s="339"/>
      <c r="H127" s="335"/>
      <c r="I127" s="196"/>
      <c r="J127" s="330"/>
      <c r="K127" s="196"/>
      <c r="L127" s="196"/>
      <c r="M127" s="196"/>
      <c r="N127" s="196"/>
    </row>
    <row r="128" spans="1:14" ht="15.75" hidden="1">
      <c r="A128" s="316"/>
      <c r="B128" s="196"/>
      <c r="C128" s="196"/>
      <c r="D128" s="196"/>
      <c r="E128" s="196"/>
      <c r="F128" s="196"/>
      <c r="G128" s="196"/>
      <c r="H128" s="196"/>
      <c r="I128" s="196"/>
      <c r="J128" s="330"/>
      <c r="K128" s="196"/>
      <c r="L128" s="196"/>
      <c r="M128" s="196"/>
      <c r="N128" s="196"/>
    </row>
    <row r="129" spans="1:14" ht="15.75" hidden="1">
      <c r="A129" s="316">
        <v>16.12</v>
      </c>
      <c r="B129" s="27" t="s">
        <v>881</v>
      </c>
      <c r="C129" s="196"/>
      <c r="D129" s="196"/>
      <c r="E129" s="196"/>
      <c r="F129" s="196"/>
      <c r="G129" s="196"/>
      <c r="H129" s="196"/>
      <c r="I129" s="332"/>
      <c r="J129" s="330"/>
      <c r="K129" s="196"/>
      <c r="L129" s="196"/>
      <c r="M129" s="196"/>
      <c r="N129" s="196"/>
    </row>
    <row r="130" spans="1:14" ht="15.75" hidden="1">
      <c r="A130" s="316"/>
      <c r="B130" s="196"/>
      <c r="C130" s="196"/>
      <c r="D130" s="196"/>
      <c r="E130" s="196"/>
      <c r="F130" s="196"/>
      <c r="G130" s="196"/>
      <c r="H130" s="196"/>
      <c r="I130" s="332"/>
      <c r="J130" s="330"/>
      <c r="K130" s="196"/>
      <c r="L130" s="196"/>
      <c r="M130" s="196"/>
      <c r="N130" s="196"/>
    </row>
    <row r="131" spans="1:14" ht="15.75" hidden="1">
      <c r="A131" s="316" t="s">
        <v>910</v>
      </c>
      <c r="B131" s="78" t="s">
        <v>1579</v>
      </c>
      <c r="C131" s="196"/>
      <c r="D131" s="196"/>
      <c r="E131" s="309">
        <f>IF($H$113=0,0,IF($H$113&gt;200,$B$135,IF($H$113&gt;100,$B$134,IF($H$113&gt;=50,$B$133,$B$132))))</f>
        <v>0</v>
      </c>
      <c r="F131" s="196"/>
      <c r="G131" s="337"/>
      <c r="H131" s="334">
        <f>E131</f>
        <v>0</v>
      </c>
      <c r="I131" s="332"/>
      <c r="J131" s="330"/>
      <c r="K131" s="196"/>
      <c r="L131" s="196"/>
      <c r="M131" s="535" t="str">
        <f>A131</f>
        <v>16.12.1</v>
      </c>
      <c r="N131" s="196"/>
    </row>
    <row r="132" spans="1:14" ht="15.75" hidden="1">
      <c r="A132" s="316"/>
      <c r="B132" s="340">
        <f>'GSN Benchmarks'!B200</f>
        <v>21623.053474</v>
      </c>
      <c r="C132" s="196" t="s">
        <v>474</v>
      </c>
      <c r="D132" s="196"/>
      <c r="E132" s="338" t="s">
        <v>1782</v>
      </c>
      <c r="F132" s="196"/>
      <c r="G132" s="337"/>
      <c r="H132" s="335"/>
      <c r="I132" s="332"/>
      <c r="J132" s="330"/>
      <c r="K132" s="196"/>
      <c r="L132" s="196"/>
      <c r="M132" s="196"/>
      <c r="N132" s="196"/>
    </row>
    <row r="133" spans="1:14" ht="15.75" hidden="1">
      <c r="A133" s="316"/>
      <c r="B133" s="340">
        <f>'GSN Benchmarks'!B201</f>
        <v>25946.817069000004</v>
      </c>
      <c r="C133" s="196" t="s">
        <v>1749</v>
      </c>
      <c r="D133" s="196"/>
      <c r="E133" s="196"/>
      <c r="F133" s="196"/>
      <c r="G133" s="337"/>
      <c r="H133" s="335"/>
      <c r="I133" s="332"/>
      <c r="J133" s="330"/>
      <c r="K133" s="196"/>
      <c r="L133" s="196"/>
      <c r="M133" s="196"/>
      <c r="N133" s="196"/>
    </row>
    <row r="134" spans="1:14" ht="15.75" hidden="1">
      <c r="A134" s="316"/>
      <c r="B134" s="340">
        <f>'GSN Benchmarks'!B202</f>
        <v>32434.039509000002</v>
      </c>
      <c r="C134" s="196" t="s">
        <v>1750</v>
      </c>
      <c r="D134" s="196"/>
      <c r="E134" s="196"/>
      <c r="F134" s="196"/>
      <c r="G134" s="337"/>
      <c r="H134" s="335"/>
      <c r="I134" s="332"/>
      <c r="J134" s="330"/>
      <c r="K134" s="196"/>
      <c r="L134" s="196"/>
      <c r="M134" s="196"/>
      <c r="N134" s="196"/>
    </row>
    <row r="135" spans="1:14" ht="15.75" hidden="1">
      <c r="A135" s="316"/>
      <c r="B135" s="340">
        <f>'GSN Benchmarks'!B203</f>
        <v>43246.106948000001</v>
      </c>
      <c r="C135" s="196" t="s">
        <v>1988</v>
      </c>
      <c r="D135" s="196"/>
      <c r="E135" s="196"/>
      <c r="F135" s="196"/>
      <c r="G135" s="337"/>
      <c r="H135" s="335"/>
      <c r="I135" s="332"/>
      <c r="J135" s="330"/>
      <c r="K135" s="196"/>
      <c r="L135" s="196"/>
      <c r="M135" s="196"/>
      <c r="N135" s="196"/>
    </row>
    <row r="136" spans="1:14" ht="15.75" hidden="1">
      <c r="A136" s="316"/>
      <c r="B136" s="342"/>
      <c r="C136" s="196"/>
      <c r="D136" s="196"/>
      <c r="E136" s="196"/>
      <c r="F136" s="196"/>
      <c r="G136" s="337"/>
      <c r="H136" s="335"/>
      <c r="I136" s="332"/>
      <c r="J136" s="330"/>
      <c r="K136" s="196"/>
      <c r="L136" s="196"/>
      <c r="M136" s="196"/>
      <c r="N136" s="196"/>
    </row>
    <row r="137" spans="1:14" ht="15.75" hidden="1">
      <c r="A137" s="316" t="s">
        <v>911</v>
      </c>
      <c r="B137" s="78" t="s">
        <v>2389</v>
      </c>
      <c r="C137" s="196"/>
      <c r="D137" s="196"/>
      <c r="E137" s="309">
        <f>ROUND(E131/3,0)</f>
        <v>0</v>
      </c>
      <c r="F137" s="196"/>
      <c r="G137" s="337"/>
      <c r="H137" s="334">
        <f>E137</f>
        <v>0</v>
      </c>
      <c r="I137" s="332"/>
      <c r="J137" s="330"/>
      <c r="K137" s="196"/>
      <c r="L137" s="196"/>
      <c r="M137" s="535" t="str">
        <f>A137</f>
        <v>16.12.2</v>
      </c>
      <c r="N137" s="196"/>
    </row>
    <row r="138" spans="1:14" ht="15.75" hidden="1">
      <c r="A138" s="316"/>
      <c r="B138" s="196"/>
      <c r="C138" s="196"/>
      <c r="D138" s="196"/>
      <c r="E138" s="196"/>
      <c r="F138" s="341"/>
      <c r="G138" s="337"/>
      <c r="H138" s="337"/>
      <c r="I138" s="332"/>
      <c r="J138" s="330"/>
      <c r="K138" s="196"/>
      <c r="L138" s="196"/>
      <c r="M138" s="196"/>
      <c r="N138" s="196"/>
    </row>
    <row r="139" spans="1:14" ht="15.75" hidden="1">
      <c r="A139" s="316" t="s">
        <v>912</v>
      </c>
      <c r="B139" s="78" t="s">
        <v>2735</v>
      </c>
      <c r="C139" s="196"/>
      <c r="D139" s="196"/>
      <c r="E139" s="196"/>
      <c r="F139" s="196"/>
      <c r="G139" s="196"/>
      <c r="H139" s="393">
        <f>IF($F$3=0,0,VLOOKUP($F$3,Tables!$A$5:$AN8,15,FALSE))</f>
        <v>0</v>
      </c>
      <c r="I139" s="332"/>
      <c r="J139" s="330"/>
      <c r="K139" s="196"/>
      <c r="L139" s="196"/>
      <c r="M139" s="535" t="str">
        <f>A139</f>
        <v>16.12.3</v>
      </c>
      <c r="N139" s="196"/>
    </row>
    <row r="140" spans="1:14" ht="15.75" hidden="1">
      <c r="A140" s="375"/>
      <c r="B140" s="196"/>
      <c r="C140" s="341"/>
      <c r="D140" s="341"/>
      <c r="E140" s="341"/>
      <c r="F140" s="341"/>
      <c r="G140" s="341"/>
      <c r="H140" s="343"/>
      <c r="I140" s="332"/>
      <c r="J140" s="344"/>
      <c r="K140" s="196"/>
      <c r="L140" s="196"/>
      <c r="M140" s="196"/>
      <c r="N140" s="196"/>
    </row>
    <row r="141" spans="1:14" ht="15.75" hidden="1">
      <c r="A141" s="376" t="s">
        <v>913</v>
      </c>
      <c r="B141" s="78" t="s">
        <v>2390</v>
      </c>
      <c r="C141" s="196"/>
      <c r="D141" s="196"/>
      <c r="E141" s="309">
        <f>ROUND(IF(H139=0,0,(H139-1)*E137),0)</f>
        <v>0</v>
      </c>
      <c r="F141" s="196"/>
      <c r="G141" s="196"/>
      <c r="H141" s="345">
        <f>E141</f>
        <v>0</v>
      </c>
      <c r="I141" s="332"/>
      <c r="J141" s="330"/>
      <c r="K141" s="196"/>
      <c r="L141" s="196"/>
      <c r="M141" s="535" t="str">
        <f>A141</f>
        <v>16.12.4</v>
      </c>
      <c r="N141" s="196"/>
    </row>
    <row r="142" spans="1:14" ht="15.75" hidden="1">
      <c r="A142" s="377"/>
      <c r="B142" s="341"/>
      <c r="C142" s="341"/>
      <c r="D142" s="341"/>
      <c r="E142" s="346" t="s">
        <v>398</v>
      </c>
      <c r="F142" s="341"/>
      <c r="G142" s="347"/>
      <c r="H142" s="341"/>
      <c r="I142" s="332"/>
      <c r="J142" s="348"/>
      <c r="K142" s="196"/>
      <c r="L142" s="196"/>
      <c r="M142" s="196"/>
      <c r="N142" s="196"/>
    </row>
    <row r="143" spans="1:14" ht="15.75" hidden="1">
      <c r="A143" s="376"/>
      <c r="B143" s="196"/>
      <c r="C143" s="196"/>
      <c r="D143" s="196"/>
      <c r="E143" s="196"/>
      <c r="F143" s="196"/>
      <c r="G143" s="196"/>
      <c r="H143" s="335"/>
      <c r="I143" s="332"/>
      <c r="J143" s="330"/>
      <c r="K143" s="196"/>
      <c r="L143" s="196"/>
      <c r="M143" s="196"/>
      <c r="N143" s="196"/>
    </row>
    <row r="144" spans="1:14" ht="15.75" hidden="1">
      <c r="A144" s="376"/>
      <c r="B144" s="196"/>
      <c r="C144" s="196"/>
      <c r="D144" s="196"/>
      <c r="E144" s="196"/>
      <c r="F144" s="196"/>
      <c r="G144" s="196"/>
      <c r="H144" s="349"/>
      <c r="I144" s="332"/>
      <c r="J144" s="330"/>
      <c r="K144" s="196"/>
      <c r="L144" s="196"/>
      <c r="M144" s="196"/>
      <c r="N144" s="196"/>
    </row>
    <row r="145" spans="1:14" ht="15.75" hidden="1">
      <c r="A145" s="374" t="s">
        <v>1473</v>
      </c>
      <c r="B145" s="29" t="s">
        <v>880</v>
      </c>
      <c r="C145" s="196"/>
      <c r="D145" s="196"/>
      <c r="E145" s="196"/>
      <c r="F145" s="196"/>
      <c r="G145" s="338">
        <v>917</v>
      </c>
      <c r="H145" s="1213">
        <f>+H141+H131+H137</f>
        <v>0</v>
      </c>
      <c r="I145" s="332"/>
      <c r="J145" s="350"/>
      <c r="K145" s="196"/>
      <c r="L145" s="196"/>
      <c r="M145" s="535" t="str">
        <f>A145</f>
        <v>16.12.5</v>
      </c>
      <c r="N145" s="196"/>
    </row>
    <row r="146" spans="1:14" ht="15.75" hidden="1">
      <c r="A146" s="374"/>
      <c r="B146" s="196" t="s">
        <v>1472</v>
      </c>
      <c r="C146" s="196"/>
      <c r="D146" s="196"/>
      <c r="E146" s="196"/>
      <c r="F146" s="196"/>
      <c r="G146" s="196"/>
      <c r="H146" s="339"/>
      <c r="I146" s="332"/>
      <c r="J146" s="350"/>
      <c r="K146" s="196"/>
      <c r="L146" s="196"/>
      <c r="M146" s="196"/>
      <c r="N146" s="196"/>
    </row>
    <row r="147" spans="1:14" ht="15.75" hidden="1">
      <c r="A147" s="374"/>
      <c r="B147" s="196"/>
      <c r="C147" s="196"/>
      <c r="D147" s="196"/>
      <c r="E147" s="196"/>
      <c r="F147" s="196"/>
      <c r="G147" s="196"/>
      <c r="H147" s="339"/>
      <c r="I147" s="332"/>
      <c r="J147" s="350"/>
      <c r="K147" s="196"/>
      <c r="L147" s="196"/>
      <c r="M147" s="196"/>
      <c r="N147" s="196"/>
    </row>
    <row r="148" spans="1:14" ht="15" hidden="1">
      <c r="A148" s="321"/>
      <c r="B148" s="196"/>
      <c r="C148" s="196"/>
      <c r="D148" s="196"/>
      <c r="E148" s="196"/>
      <c r="F148" s="196"/>
      <c r="G148" s="196"/>
      <c r="H148" s="336"/>
      <c r="I148" s="335"/>
      <c r="J148" s="352"/>
      <c r="K148" s="196"/>
      <c r="L148" s="196"/>
      <c r="M148" s="196"/>
      <c r="N148" s="196"/>
    </row>
    <row r="149" spans="1:14" ht="15.75" hidden="1">
      <c r="A149" s="316"/>
      <c r="B149" s="29" t="s">
        <v>1063</v>
      </c>
      <c r="C149" s="196"/>
      <c r="D149" s="196"/>
      <c r="E149" s="196"/>
      <c r="F149" s="196"/>
      <c r="G149" s="196"/>
      <c r="H149" s="336"/>
      <c r="I149" s="337"/>
      <c r="J149" s="350"/>
      <c r="K149" s="196"/>
      <c r="L149" s="196"/>
      <c r="M149" s="196"/>
      <c r="N149" s="196"/>
    </row>
    <row r="150" spans="1:14" ht="15.75" hidden="1">
      <c r="A150" s="316"/>
      <c r="B150" s="29"/>
      <c r="C150" s="196"/>
      <c r="D150" s="196"/>
      <c r="E150" s="196"/>
      <c r="F150" s="307" t="s">
        <v>1267</v>
      </c>
      <c r="G150" s="336"/>
      <c r="H150" s="337"/>
      <c r="I150" s="337"/>
      <c r="J150" s="350"/>
      <c r="K150" s="196"/>
      <c r="L150" s="196"/>
      <c r="M150" s="196"/>
      <c r="N150" s="196"/>
    </row>
    <row r="151" spans="1:14" ht="15.75" hidden="1">
      <c r="A151" s="196"/>
      <c r="B151" s="196"/>
      <c r="C151" s="196"/>
      <c r="D151" s="196"/>
      <c r="E151" s="307"/>
      <c r="F151" s="307" t="s">
        <v>2065</v>
      </c>
      <c r="G151" s="336"/>
      <c r="H151" s="353"/>
      <c r="I151" s="337"/>
      <c r="J151" s="350"/>
      <c r="K151" s="196"/>
      <c r="L151" s="196"/>
      <c r="M151" s="196"/>
      <c r="N151" s="196"/>
    </row>
    <row r="152" spans="1:14" ht="15.75" hidden="1">
      <c r="A152" s="374">
        <v>16.13</v>
      </c>
      <c r="B152" s="78" t="s">
        <v>1579</v>
      </c>
      <c r="C152" s="196"/>
      <c r="D152" s="196"/>
      <c r="E152" s="354"/>
      <c r="F152" s="320">
        <f>'GSN Benchmarks'!B215</f>
        <v>69000.464577999985</v>
      </c>
      <c r="G152" s="336"/>
      <c r="H152" s="675">
        <f>IF('1 Summary'!G3=0,0,F152)</f>
        <v>0</v>
      </c>
      <c r="I152" s="337"/>
      <c r="J152" s="350"/>
      <c r="K152" s="196"/>
      <c r="L152" s="196"/>
      <c r="M152" s="535">
        <f>A152</f>
        <v>16.13</v>
      </c>
      <c r="N152" s="196"/>
    </row>
    <row r="153" spans="1:14" ht="15.75" hidden="1">
      <c r="A153" s="374"/>
      <c r="B153" s="196"/>
      <c r="C153" s="196"/>
      <c r="D153" s="196"/>
      <c r="E153" s="354"/>
      <c r="F153" s="354"/>
      <c r="G153" s="355"/>
      <c r="H153" s="336"/>
      <c r="I153" s="337"/>
      <c r="J153" s="350"/>
      <c r="K153" s="196"/>
      <c r="L153" s="196"/>
      <c r="M153" s="196"/>
      <c r="N153" s="196"/>
    </row>
    <row r="154" spans="1:14" ht="15.75" hidden="1">
      <c r="A154" s="316" t="s">
        <v>1474</v>
      </c>
      <c r="B154" s="78" t="s">
        <v>1274</v>
      </c>
      <c r="C154" s="196"/>
      <c r="D154" s="196"/>
      <c r="E154" s="196"/>
      <c r="F154" s="196"/>
      <c r="G154" s="341"/>
      <c r="H154" s="336"/>
      <c r="I154" s="356"/>
      <c r="J154" s="304"/>
      <c r="K154" s="196"/>
      <c r="L154" s="196"/>
      <c r="M154" s="536" t="str">
        <f>A154</f>
        <v>16.13.1</v>
      </c>
      <c r="N154" s="196"/>
    </row>
    <row r="155" spans="1:14" ht="15.75" hidden="1">
      <c r="A155" s="316"/>
      <c r="B155" s="320">
        <f>'GSN Benchmarks'!B217</f>
        <v>487.79992799999997</v>
      </c>
      <c r="C155" s="357" t="s">
        <v>1268</v>
      </c>
      <c r="D155" s="196"/>
      <c r="E155" s="358">
        <f>ROUND(IF(H113=0,0,IF(H113&lt;=149,B155*H113,B155*150)),0)</f>
        <v>0</v>
      </c>
      <c r="F155" s="359"/>
      <c r="G155" s="360"/>
      <c r="H155" s="359"/>
      <c r="I155" s="361"/>
      <c r="J155" s="350"/>
      <c r="K155" s="196"/>
      <c r="L155" s="196"/>
      <c r="M155" s="196"/>
      <c r="N155" s="196"/>
    </row>
    <row r="156" spans="1:14" ht="15.75" hidden="1">
      <c r="A156" s="316"/>
      <c r="B156" s="320">
        <f>'GSN Benchmarks'!B218</f>
        <v>417.72391199999993</v>
      </c>
      <c r="C156" s="357" t="s">
        <v>1269</v>
      </c>
      <c r="D156" s="196"/>
      <c r="E156" s="358">
        <f>ROUND(IF(H113=0,0,IF(H113&gt;150,IF(H113&lt;=300,(H113-150)*B156,150*B156),0)),0)</f>
        <v>0</v>
      </c>
      <c r="F156" s="359"/>
      <c r="G156" s="360"/>
      <c r="H156" s="359"/>
      <c r="I156" s="361"/>
      <c r="J156" s="350"/>
      <c r="K156" s="196"/>
      <c r="L156" s="196"/>
      <c r="M156" s="196"/>
      <c r="N156" s="196"/>
    </row>
    <row r="157" spans="1:14" ht="15.75" hidden="1">
      <c r="A157" s="316"/>
      <c r="B157" s="320">
        <f>'GSN Benchmarks'!B219</f>
        <v>208.88697599999998</v>
      </c>
      <c r="C157" s="357" t="s">
        <v>1259</v>
      </c>
      <c r="D157" s="196"/>
      <c r="E157" s="358">
        <f>ROUND(IF(H113=0,0,IF(H113&gt;300,(H113-300)*B157,0)),0)</f>
        <v>0</v>
      </c>
      <c r="F157" s="359"/>
      <c r="G157" s="360"/>
      <c r="H157" s="334">
        <f>SUM(E155:E157)</f>
        <v>0</v>
      </c>
      <c r="I157" s="361"/>
      <c r="J157" s="350"/>
      <c r="K157" s="196"/>
      <c r="L157" s="196"/>
      <c r="M157" s="536"/>
      <c r="N157" s="196"/>
    </row>
    <row r="158" spans="1:14" ht="15.75" hidden="1">
      <c r="A158" s="374"/>
      <c r="B158" s="196"/>
      <c r="C158" s="196"/>
      <c r="D158" s="196"/>
      <c r="E158" s="362"/>
      <c r="F158" s="360"/>
      <c r="G158" s="362"/>
      <c r="H158" s="362"/>
      <c r="I158" s="361"/>
      <c r="J158" s="350"/>
      <c r="K158" s="196"/>
      <c r="L158" s="196"/>
      <c r="M158" s="196"/>
      <c r="N158" s="196"/>
    </row>
    <row r="159" spans="1:14" ht="15.75" hidden="1">
      <c r="A159" s="374" t="s">
        <v>1475</v>
      </c>
      <c r="B159" s="78" t="s">
        <v>2680</v>
      </c>
      <c r="C159" s="196"/>
      <c r="D159" s="196"/>
      <c r="E159" s="196"/>
      <c r="F159" s="309">
        <f>I88</f>
        <v>0</v>
      </c>
      <c r="G159" s="363">
        <f>'GSN Benchmarks'!B223</f>
        <v>0.11940000000000001</v>
      </c>
      <c r="H159" s="334">
        <f>ROUND('5 Remote and Rural'!J30*'16 Declining Enrolment'!G159,0)</f>
        <v>0</v>
      </c>
      <c r="I159" s="361"/>
      <c r="J159" s="350"/>
      <c r="K159" s="196"/>
      <c r="L159" s="196"/>
      <c r="M159" s="536" t="str">
        <f>A159</f>
        <v>16.13.2</v>
      </c>
      <c r="N159" s="196"/>
    </row>
    <row r="160" spans="1:14" ht="15.75" hidden="1">
      <c r="A160" s="374"/>
      <c r="B160" s="196"/>
      <c r="C160" s="196"/>
      <c r="D160" s="196"/>
      <c r="E160" s="196"/>
      <c r="F160" s="388"/>
      <c r="G160" s="307"/>
      <c r="H160" s="364"/>
      <c r="I160" s="361"/>
      <c r="J160" s="350"/>
      <c r="K160" s="196"/>
      <c r="L160" s="196"/>
      <c r="M160" s="196"/>
      <c r="N160" s="196"/>
    </row>
    <row r="161" spans="1:14" ht="15.75" hidden="1">
      <c r="A161" s="374" t="s">
        <v>1476</v>
      </c>
      <c r="B161" s="399" t="s">
        <v>1714</v>
      </c>
      <c r="C161" s="196"/>
      <c r="D161" s="196"/>
      <c r="E161" s="196"/>
      <c r="F161" s="397">
        <f>'13 Learning Opportunities'!H6</f>
        <v>0</v>
      </c>
      <c r="G161" s="363">
        <f>'GSN Benchmarks'!B224</f>
        <v>6.1999999999999998E-3</v>
      </c>
      <c r="H161" s="334">
        <f>F161*G161</f>
        <v>0</v>
      </c>
      <c r="I161" s="361"/>
      <c r="J161" s="350"/>
      <c r="K161" s="196"/>
      <c r="L161" s="196"/>
      <c r="M161" s="536" t="str">
        <f>A161</f>
        <v>16.13.3</v>
      </c>
      <c r="N161" s="196"/>
    </row>
    <row r="162" spans="1:14" ht="15.75" hidden="1">
      <c r="A162" s="374"/>
      <c r="B162" s="78" t="s">
        <v>789</v>
      </c>
      <c r="C162" s="196"/>
      <c r="D162" s="196"/>
      <c r="E162" s="196"/>
      <c r="F162" s="196"/>
      <c r="G162" s="196"/>
      <c r="H162" s="196"/>
      <c r="I162" s="361"/>
      <c r="J162" s="350"/>
      <c r="K162" s="196"/>
      <c r="L162" s="196"/>
      <c r="M162" s="196"/>
      <c r="N162" s="196"/>
    </row>
    <row r="163" spans="1:14" ht="15.75" hidden="1">
      <c r="A163" s="377"/>
      <c r="B163" s="365"/>
      <c r="C163" s="341"/>
      <c r="D163" s="341"/>
      <c r="E163" s="341"/>
      <c r="F163" s="341"/>
      <c r="G163" s="341"/>
      <c r="H163" s="341"/>
      <c r="I163" s="361"/>
      <c r="J163" s="350"/>
      <c r="K163" s="196"/>
      <c r="L163" s="196"/>
      <c r="M163" s="196"/>
      <c r="N163" s="196"/>
    </row>
    <row r="164" spans="1:14" ht="15.75" hidden="1">
      <c r="A164" s="374"/>
      <c r="B164" s="196"/>
      <c r="C164" s="196"/>
      <c r="D164" s="196"/>
      <c r="E164" s="196"/>
      <c r="F164" s="196"/>
      <c r="G164" s="196"/>
      <c r="H164" s="196"/>
      <c r="I164" s="361"/>
      <c r="J164" s="350"/>
      <c r="K164" s="196"/>
      <c r="L164" s="196"/>
      <c r="M164" s="196"/>
      <c r="N164" s="196"/>
    </row>
    <row r="165" spans="1:14" ht="15.75" hidden="1">
      <c r="A165" s="374" t="s">
        <v>1477</v>
      </c>
      <c r="B165" s="29" t="s">
        <v>77</v>
      </c>
      <c r="C165" s="196"/>
      <c r="D165" s="196"/>
      <c r="E165" s="196"/>
      <c r="F165" s="196"/>
      <c r="G165" s="346">
        <v>918</v>
      </c>
      <c r="H165" s="1213">
        <f>H161+H159+H157+H152</f>
        <v>0</v>
      </c>
      <c r="I165" s="361"/>
      <c r="J165" s="350"/>
      <c r="K165" s="196"/>
      <c r="L165" s="196"/>
      <c r="M165" s="536" t="str">
        <f>A165</f>
        <v>16.13.4</v>
      </c>
      <c r="N165" s="196"/>
    </row>
    <row r="166" spans="1:14" ht="15.75" hidden="1">
      <c r="A166" s="374"/>
      <c r="B166" s="196" t="s">
        <v>1478</v>
      </c>
      <c r="C166" s="196"/>
      <c r="D166" s="196"/>
      <c r="E166" s="196"/>
      <c r="F166" s="196"/>
      <c r="G166" s="307"/>
      <c r="H166" s="339"/>
      <c r="I166" s="361"/>
      <c r="J166" s="350"/>
      <c r="K166" s="196"/>
      <c r="L166" s="196"/>
      <c r="M166" s="196"/>
      <c r="N166" s="196"/>
    </row>
    <row r="167" spans="1:14" ht="15.75" hidden="1">
      <c r="A167" s="374"/>
      <c r="B167" s="196"/>
      <c r="C167" s="196"/>
      <c r="D167" s="196"/>
      <c r="E167" s="196"/>
      <c r="F167" s="196"/>
      <c r="G167" s="307"/>
      <c r="H167" s="339"/>
      <c r="I167" s="351"/>
      <c r="J167" s="350"/>
      <c r="K167" s="196"/>
      <c r="L167" s="196"/>
      <c r="M167" s="196"/>
      <c r="N167" s="196"/>
    </row>
    <row r="168" spans="1:14" ht="15.75" hidden="1">
      <c r="A168" s="377"/>
      <c r="B168" s="341"/>
      <c r="C168" s="341"/>
      <c r="D168" s="341"/>
      <c r="E168" s="341"/>
      <c r="F168" s="341"/>
      <c r="G168" s="329"/>
      <c r="H168" s="339"/>
      <c r="I168" s="366"/>
      <c r="J168" s="348"/>
      <c r="K168" s="196"/>
      <c r="L168" s="196"/>
      <c r="M168" s="196"/>
      <c r="N168" s="196"/>
    </row>
    <row r="169" spans="1:14" ht="15.75" hidden="1">
      <c r="A169" s="374"/>
      <c r="B169" s="196"/>
      <c r="C169" s="196"/>
      <c r="D169" s="196"/>
      <c r="E169" s="341"/>
      <c r="F169" s="196"/>
      <c r="G169" s="307"/>
      <c r="H169" s="339"/>
      <c r="I169" s="366"/>
      <c r="J169" s="350"/>
      <c r="K169" s="196"/>
      <c r="L169" s="196"/>
      <c r="M169" s="196"/>
      <c r="N169" s="196"/>
    </row>
    <row r="170" spans="1:14" ht="15.75" hidden="1">
      <c r="A170" s="374">
        <v>16.13</v>
      </c>
      <c r="B170" s="29" t="s">
        <v>2004</v>
      </c>
      <c r="C170" s="196"/>
      <c r="D170" s="196"/>
      <c r="E170" s="341"/>
      <c r="F170" s="196"/>
      <c r="G170" s="307"/>
      <c r="H170" s="339"/>
      <c r="I170" s="366"/>
      <c r="J170" s="350"/>
      <c r="K170" s="196"/>
      <c r="L170" s="196"/>
      <c r="M170" s="196"/>
      <c r="N170" s="196"/>
    </row>
    <row r="171" spans="1:14" ht="15.75" hidden="1">
      <c r="A171" s="374"/>
      <c r="B171" s="196"/>
      <c r="C171" s="196"/>
      <c r="D171" s="196"/>
      <c r="E171" s="341"/>
      <c r="F171" s="196"/>
      <c r="G171" s="307"/>
      <c r="H171" s="339"/>
      <c r="I171" s="366"/>
      <c r="J171" s="350"/>
      <c r="K171" s="196"/>
      <c r="L171" s="196"/>
      <c r="M171" s="196"/>
      <c r="N171" s="196"/>
    </row>
    <row r="172" spans="1:14" ht="15.75" hidden="1">
      <c r="A172" s="374">
        <v>16.14</v>
      </c>
      <c r="B172" s="78" t="s">
        <v>2005</v>
      </c>
      <c r="C172" s="196"/>
      <c r="D172" s="196"/>
      <c r="E172" s="341"/>
      <c r="F172" s="196"/>
      <c r="G172" s="307"/>
      <c r="H172" s="1913">
        <f>IF('1 Summary'!G3=0,0,500)</f>
        <v>0</v>
      </c>
      <c r="I172" s="366"/>
      <c r="J172" s="350"/>
      <c r="K172" s="196"/>
      <c r="L172" s="196"/>
      <c r="M172" s="196"/>
      <c r="N172" s="196"/>
    </row>
    <row r="173" spans="1:14" ht="15.75" hidden="1">
      <c r="A173" s="1902"/>
      <c r="B173" s="1903"/>
      <c r="C173" s="1903"/>
      <c r="D173" s="1903"/>
      <c r="E173" s="1903"/>
      <c r="F173" s="1903"/>
      <c r="G173" s="1904"/>
      <c r="H173" s="1905"/>
      <c r="I173" s="366"/>
      <c r="J173" s="350"/>
      <c r="K173" s="196"/>
      <c r="L173" s="196"/>
      <c r="M173" s="196"/>
      <c r="N173" s="196"/>
    </row>
    <row r="174" spans="1:14" ht="16.5" hidden="1" thickBot="1">
      <c r="A174" s="374">
        <v>16.149999999999999</v>
      </c>
      <c r="B174" s="27" t="s">
        <v>1191</v>
      </c>
      <c r="C174" s="196"/>
      <c r="D174" s="196"/>
      <c r="E174" s="196"/>
      <c r="F174" s="196"/>
      <c r="G174" s="196"/>
      <c r="H174" s="1908">
        <f>H125+H145+H165+H172</f>
        <v>0</v>
      </c>
      <c r="I174" s="366"/>
      <c r="J174" s="350"/>
      <c r="K174" s="196"/>
      <c r="L174" s="196"/>
      <c r="M174" s="535">
        <f>A174</f>
        <v>16.149999999999999</v>
      </c>
      <c r="N174" s="196"/>
    </row>
    <row r="175" spans="1:14" ht="15.75" hidden="1">
      <c r="A175" s="374"/>
      <c r="B175" s="196" t="s">
        <v>1479</v>
      </c>
      <c r="C175" s="196"/>
      <c r="D175" s="196"/>
      <c r="E175" s="196"/>
      <c r="F175" s="196"/>
      <c r="G175" s="307"/>
      <c r="H175" s="196"/>
      <c r="I175" s="366"/>
      <c r="J175" s="350"/>
      <c r="K175" s="196"/>
      <c r="L175" s="196"/>
      <c r="M175" s="196"/>
      <c r="N175" s="196"/>
    </row>
    <row r="176" spans="1:14" ht="15" hidden="1">
      <c r="A176" s="512"/>
      <c r="B176" s="512"/>
      <c r="C176" s="512"/>
      <c r="D176" s="512"/>
      <c r="E176" s="512"/>
      <c r="F176" s="512"/>
      <c r="G176" s="512"/>
      <c r="H176" s="512"/>
      <c r="I176" s="512"/>
      <c r="J176" s="196"/>
      <c r="K176" s="196"/>
      <c r="L176" s="196"/>
      <c r="M176" s="196"/>
      <c r="N176" s="196"/>
    </row>
    <row r="177" spans="1:14" ht="15" hidden="1">
      <c r="A177" s="512"/>
      <c r="B177" s="512"/>
      <c r="C177" s="512"/>
      <c r="D177" s="512"/>
      <c r="E177" s="512"/>
      <c r="F177" s="512"/>
      <c r="G177" s="512"/>
      <c r="H177" s="512"/>
      <c r="I177" s="512"/>
      <c r="J177" s="196"/>
      <c r="K177" s="196"/>
      <c r="L177" s="196"/>
      <c r="M177" s="196"/>
      <c r="N177" s="196"/>
    </row>
    <row r="178" spans="1:14" ht="15.75" hidden="1">
      <c r="A178" s="512"/>
      <c r="B178" s="530" t="s">
        <v>2738</v>
      </c>
      <c r="C178" s="679"/>
      <c r="D178" s="512"/>
      <c r="E178" s="512"/>
      <c r="F178" s="512"/>
      <c r="G178" s="512"/>
      <c r="H178" s="512"/>
      <c r="I178" s="512"/>
      <c r="J178" s="196"/>
      <c r="K178" s="196"/>
      <c r="L178" s="196"/>
      <c r="M178" s="196"/>
      <c r="N178" s="196"/>
    </row>
    <row r="179" spans="1:14" ht="15" hidden="1">
      <c r="A179" s="512"/>
      <c r="B179" s="512"/>
      <c r="C179" s="512"/>
      <c r="D179" s="512"/>
      <c r="E179" s="512"/>
      <c r="F179" s="512"/>
      <c r="G179" s="512"/>
      <c r="H179" s="512"/>
      <c r="I179" s="512"/>
      <c r="J179" s="196"/>
      <c r="K179" s="196"/>
      <c r="L179" s="196"/>
      <c r="M179" s="196"/>
      <c r="N179" s="196"/>
    </row>
    <row r="180" spans="1:14" hidden="1"/>
    <row r="181" spans="1:14" hidden="1"/>
    <row r="182" spans="1:14" hidden="1"/>
    <row r="183" spans="1:14" hidden="1"/>
    <row r="184" spans="1:14" hidden="1"/>
    <row r="185" spans="1:14" hidden="1"/>
    <row r="186" spans="1:14" hidden="1"/>
    <row r="187" spans="1:14" hidden="1"/>
    <row r="188" spans="1:14" hidden="1"/>
    <row r="189" spans="1:14" hidden="1"/>
    <row r="190" spans="1:14" hidden="1"/>
    <row r="191" spans="1:14" hidden="1"/>
    <row r="192" spans="1:14"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sheetData>
  <sheetProtection password="C7B7" sheet="1" objects="1" scenarios="1"/>
  <protectedRanges>
    <protectedRange sqref="D40:G40" name="Range2"/>
  </protectedRanges>
  <phoneticPr fontId="13" type="noConversion"/>
  <printOptions horizontalCentered="1"/>
  <pageMargins left="0" right="0" top="1" bottom="1" header="0.5" footer="0.5"/>
  <pageSetup scale="68" fitToHeight="3" orientation="portrait" r:id="rId1"/>
  <headerFooter alignWithMargins="0">
    <oddFooter>&amp;L&amp;D,&amp;" ,Regular" &amp;T
&amp;CPage &amp;P of &amp;N&amp;R2015/16 School Authority Estimates
&amp;A</oddFooter>
  </headerFooter>
  <rowBreaks count="2" manualBreakCount="2">
    <brk id="33" max="11" man="1"/>
    <brk id="107"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217"/>
  <sheetViews>
    <sheetView topLeftCell="A28" zoomScaleNormal="100" workbookViewId="0">
      <selection activeCell="H15" sqref="G15:H15"/>
    </sheetView>
  </sheetViews>
  <sheetFormatPr defaultColWidth="0" defaultRowHeight="0" customHeight="1" zeroHeight="1"/>
  <cols>
    <col min="1" max="1" width="9.140625" style="78" customWidth="1"/>
    <col min="2" max="2" width="4.28515625" style="78" customWidth="1"/>
    <col min="3" max="3" width="36.85546875" style="78" customWidth="1"/>
    <col min="4" max="4" width="8.7109375" style="78" customWidth="1"/>
    <col min="5" max="5" width="15.5703125" style="78" customWidth="1"/>
    <col min="6" max="6" width="15.140625" style="78" customWidth="1"/>
    <col min="7" max="7" width="15" style="78" customWidth="1"/>
    <col min="8" max="8" width="14" style="78" customWidth="1"/>
    <col min="9" max="9" width="7.140625" style="78" bestFit="1" customWidth="1"/>
    <col min="10" max="10" width="17.140625" style="78" customWidth="1"/>
    <col min="11" max="11" width="1.5703125" style="78" customWidth="1"/>
    <col min="12" max="12" width="0.28515625" style="78" customWidth="1"/>
    <col min="13" max="13" width="10.28515625" style="401" customWidth="1"/>
    <col min="14" max="16384" width="0" style="976" hidden="1"/>
  </cols>
  <sheetData>
    <row r="1" spans="1:13" ht="6" customHeight="1" thickBot="1">
      <c r="A1" s="2159" t="s">
        <v>2831</v>
      </c>
      <c r="B1" s="2137" t="s">
        <v>1289</v>
      </c>
      <c r="C1" s="2137" t="s">
        <v>2482</v>
      </c>
      <c r="D1" s="2137" t="s">
        <v>3068</v>
      </c>
      <c r="E1" s="2137" t="s">
        <v>3069</v>
      </c>
      <c r="F1" s="2137" t="s">
        <v>392</v>
      </c>
      <c r="G1" s="2137" t="s">
        <v>537</v>
      </c>
      <c r="H1" s="2159"/>
    </row>
    <row r="2" spans="1:13" ht="18.75" thickBot="1">
      <c r="A2" s="26" t="s">
        <v>621</v>
      </c>
      <c r="B2" s="1469"/>
      <c r="C2" s="1469"/>
      <c r="D2" s="1469"/>
      <c r="E2" s="1469"/>
      <c r="F2" s="941" t="s">
        <v>163</v>
      </c>
      <c r="H2" s="936" t="str">
        <f>'1 Summary'!G2</f>
        <v/>
      </c>
      <c r="I2" s="943"/>
      <c r="J2" s="1446"/>
    </row>
    <row r="3" spans="1:13" ht="18" customHeight="1" thickBot="1">
      <c r="A3" s="2103" t="s">
        <v>3065</v>
      </c>
      <c r="B3" s="2102"/>
      <c r="C3" s="2102"/>
      <c r="D3" s="2102"/>
      <c r="E3" s="2102"/>
      <c r="F3" s="941" t="s">
        <v>162</v>
      </c>
      <c r="H3" s="1143">
        <f>'1 Summary'!G3</f>
        <v>0</v>
      </c>
      <c r="J3" s="941"/>
    </row>
    <row r="4" spans="1:13" ht="18" customHeight="1">
      <c r="A4" s="2103" t="s">
        <v>789</v>
      </c>
      <c r="B4" s="2102"/>
      <c r="C4" s="2102"/>
      <c r="D4" s="2102"/>
      <c r="E4" s="2102"/>
      <c r="F4" s="27"/>
      <c r="H4" s="1030"/>
      <c r="I4" s="1030"/>
      <c r="J4" s="1447"/>
    </row>
    <row r="5" spans="1:13" ht="15.75">
      <c r="D5" s="27"/>
      <c r="F5" s="27"/>
      <c r="H5" s="1030"/>
      <c r="I5" s="1030"/>
      <c r="J5" s="1447"/>
    </row>
    <row r="6" spans="1:13" ht="15.75">
      <c r="D6" s="27"/>
      <c r="F6" s="27"/>
      <c r="H6" s="1030"/>
      <c r="I6" s="1030"/>
      <c r="J6" s="1447"/>
    </row>
    <row r="7" spans="1:13" ht="15.75">
      <c r="A7" s="1164">
        <v>18.100000000000001</v>
      </c>
      <c r="B7" s="1144" t="s">
        <v>3066</v>
      </c>
      <c r="C7" s="1144"/>
      <c r="D7" s="27"/>
      <c r="E7" s="27"/>
      <c r="F7" s="27"/>
      <c r="G7" s="27"/>
      <c r="H7" s="27"/>
      <c r="I7" s="27"/>
      <c r="J7" s="27"/>
      <c r="K7" s="27"/>
      <c r="M7" s="1205">
        <f>+A7</f>
        <v>18.100000000000001</v>
      </c>
    </row>
    <row r="8" spans="1:13" ht="15.75">
      <c r="A8" s="977"/>
      <c r="B8" s="27"/>
      <c r="C8" s="27"/>
      <c r="D8" s="27"/>
      <c r="E8" s="27"/>
      <c r="F8" s="27"/>
      <c r="G8" s="27"/>
      <c r="H8" s="27"/>
      <c r="I8" s="27"/>
      <c r="J8" s="27"/>
      <c r="K8" s="27"/>
      <c r="M8" s="1145"/>
    </row>
    <row r="9" spans="1:13" ht="15.75">
      <c r="A9" s="27" t="s">
        <v>1326</v>
      </c>
      <c r="B9" s="27" t="s">
        <v>1289</v>
      </c>
      <c r="C9" s="27"/>
      <c r="D9" s="200"/>
      <c r="E9" s="200"/>
      <c r="G9" s="1092" t="s">
        <v>1286</v>
      </c>
      <c r="H9" s="1147" t="s">
        <v>1287</v>
      </c>
      <c r="I9" s="1147"/>
      <c r="J9" s="1092" t="s">
        <v>1288</v>
      </c>
      <c r="K9" s="104"/>
      <c r="M9" s="1205" t="str">
        <f>+A9</f>
        <v>18.1.1</v>
      </c>
    </row>
    <row r="10" spans="1:13" ht="60.75">
      <c r="A10" s="981"/>
      <c r="B10" s="1448" t="s">
        <v>1381</v>
      </c>
      <c r="C10" s="200"/>
      <c r="D10" s="886"/>
      <c r="E10" s="886"/>
      <c r="G10" s="1098" t="s">
        <v>1325</v>
      </c>
      <c r="H10" s="1149" t="s">
        <v>2065</v>
      </c>
      <c r="I10" s="1035"/>
      <c r="J10" s="1150" t="s">
        <v>1006</v>
      </c>
      <c r="K10" s="104"/>
      <c r="L10" s="27"/>
      <c r="M10" s="1146"/>
    </row>
    <row r="11" spans="1:13" ht="15.75">
      <c r="A11" s="981"/>
      <c r="B11" s="78" t="s">
        <v>1382</v>
      </c>
      <c r="C11" s="1264"/>
      <c r="D11" s="901"/>
      <c r="E11" s="901"/>
      <c r="G11" s="1160"/>
      <c r="H11" s="1449">
        <f>'GSN Benchmarks'!B78</f>
        <v>1384.17</v>
      </c>
      <c r="I11" s="1162"/>
      <c r="J11" s="1154">
        <f>ROUND(G11*H11,0)</f>
        <v>0</v>
      </c>
      <c r="K11" s="104"/>
      <c r="L11" s="27"/>
      <c r="M11" s="1021"/>
    </row>
    <row r="12" spans="1:13" ht="15">
      <c r="A12" s="981"/>
      <c r="B12" s="78" t="s">
        <v>1383</v>
      </c>
      <c r="C12" s="1264"/>
      <c r="G12" s="1160"/>
      <c r="H12" s="1449">
        <f>'GSN Benchmarks'!B79</f>
        <v>2076.2600000000002</v>
      </c>
      <c r="I12" s="1162"/>
      <c r="J12" s="1154">
        <f>ROUND(G12*H12,0)</f>
        <v>0</v>
      </c>
      <c r="M12" s="1146"/>
    </row>
    <row r="13" spans="1:13" ht="15">
      <c r="A13" s="981"/>
      <c r="C13" s="1264"/>
      <c r="G13" s="1450"/>
      <c r="H13" s="1449"/>
      <c r="I13" s="941"/>
      <c r="J13" s="1163"/>
      <c r="M13" s="1146"/>
    </row>
    <row r="14" spans="1:13" ht="15">
      <c r="A14" s="981"/>
      <c r="C14" s="1264"/>
      <c r="G14" s="1450"/>
      <c r="H14" s="1449"/>
      <c r="I14" s="941"/>
      <c r="J14" s="1163"/>
      <c r="M14" s="1146"/>
    </row>
    <row r="15" spans="1:13" ht="15.75">
      <c r="A15" s="981"/>
      <c r="B15" s="78" t="s">
        <v>3067</v>
      </c>
      <c r="C15" s="1264"/>
      <c r="H15" s="941"/>
      <c r="I15" s="314">
        <v>658</v>
      </c>
      <c r="J15" s="1154">
        <f>+J11+J12</f>
        <v>0</v>
      </c>
      <c r="M15" s="1146"/>
    </row>
    <row r="16" spans="1:13" ht="15">
      <c r="A16" s="981"/>
      <c r="C16" s="1264"/>
      <c r="H16" s="941"/>
      <c r="I16" s="941"/>
      <c r="J16" s="941"/>
      <c r="M16" s="1146"/>
    </row>
    <row r="17" spans="1:13" ht="15.75">
      <c r="A17" s="977" t="s">
        <v>1327</v>
      </c>
      <c r="B17" s="27" t="s">
        <v>2482</v>
      </c>
      <c r="C17" s="27"/>
      <c r="D17" s="200"/>
      <c r="G17" s="1092" t="s">
        <v>1286</v>
      </c>
      <c r="H17" s="1147" t="s">
        <v>1287</v>
      </c>
      <c r="I17" s="1147"/>
      <c r="J17" s="1092" t="s">
        <v>1288</v>
      </c>
      <c r="M17" s="1205" t="str">
        <f>+A17</f>
        <v>18.1.2</v>
      </c>
    </row>
    <row r="18" spans="1:13" ht="60">
      <c r="A18" s="981"/>
      <c r="B18" s="1448" t="s">
        <v>538</v>
      </c>
      <c r="C18" s="200"/>
      <c r="D18" s="886"/>
      <c r="E18" s="886"/>
      <c r="G18" s="1098" t="s">
        <v>1661</v>
      </c>
      <c r="H18" s="1149" t="s">
        <v>2065</v>
      </c>
      <c r="I18" s="1035"/>
      <c r="J18" s="1150" t="s">
        <v>1006</v>
      </c>
      <c r="M18" s="1146"/>
    </row>
    <row r="19" spans="1:13" ht="15">
      <c r="A19" s="981"/>
      <c r="B19" s="400" t="s">
        <v>1330</v>
      </c>
      <c r="C19" s="400"/>
      <c r="D19" s="901"/>
      <c r="E19" s="901"/>
      <c r="G19" s="1160"/>
      <c r="H19" s="1449">
        <f>'GSN Benchmarks'!B82</f>
        <v>1153.48</v>
      </c>
      <c r="I19" s="1162"/>
      <c r="J19" s="1154">
        <f>ROUND(G19*H19,0)</f>
        <v>0</v>
      </c>
      <c r="M19" s="1146"/>
    </row>
    <row r="20" spans="1:13" ht="15">
      <c r="A20" s="981"/>
      <c r="B20" s="400" t="s">
        <v>990</v>
      </c>
      <c r="C20" s="400"/>
      <c r="D20" s="901"/>
      <c r="E20" s="901"/>
      <c r="G20" s="1160"/>
      <c r="H20" s="1449">
        <f>'GSN Benchmarks'!B83</f>
        <v>1153.48</v>
      </c>
      <c r="I20" s="1162"/>
      <c r="J20" s="1154">
        <f>ROUND(G20*H20,0)</f>
        <v>0</v>
      </c>
      <c r="M20" s="1146"/>
    </row>
    <row r="21" spans="1:13" ht="15">
      <c r="A21" s="981"/>
      <c r="B21" s="400"/>
      <c r="C21" s="400"/>
      <c r="D21" s="901"/>
      <c r="E21" s="901"/>
      <c r="H21" s="1162"/>
      <c r="I21" s="1162"/>
      <c r="J21" s="1162"/>
      <c r="M21" s="1146"/>
    </row>
    <row r="22" spans="1:13" ht="15.75">
      <c r="A22" s="981"/>
      <c r="B22" s="78" t="s">
        <v>3070</v>
      </c>
      <c r="D22" s="27"/>
      <c r="G22" s="401"/>
      <c r="I22" s="314">
        <v>659</v>
      </c>
      <c r="J22" s="1154">
        <f>+J20+J19</f>
        <v>0</v>
      </c>
      <c r="M22" s="1205"/>
    </row>
    <row r="23" spans="1:13" ht="15.75">
      <c r="A23" s="981"/>
      <c r="B23" s="27"/>
      <c r="C23" s="27"/>
      <c r="F23" s="401"/>
      <c r="I23" s="1155"/>
      <c r="J23" s="1451"/>
      <c r="K23" s="27"/>
      <c r="M23" s="1146"/>
    </row>
    <row r="24" spans="1:13" ht="15.75">
      <c r="A24" s="977" t="s">
        <v>1328</v>
      </c>
      <c r="B24" s="27" t="s">
        <v>3068</v>
      </c>
      <c r="C24" s="27"/>
      <c r="D24" s="27"/>
      <c r="I24" s="314">
        <v>660</v>
      </c>
      <c r="J24" s="1154">
        <f>+J15+J22</f>
        <v>0</v>
      </c>
      <c r="K24" s="27"/>
      <c r="M24" s="1205" t="str">
        <f>+A24</f>
        <v>18.1.3</v>
      </c>
    </row>
    <row r="25" spans="1:13" ht="15.75">
      <c r="A25" s="977"/>
      <c r="B25" s="78" t="s">
        <v>1329</v>
      </c>
      <c r="C25" s="27"/>
      <c r="G25" s="401"/>
      <c r="H25" s="941"/>
      <c r="I25" s="941"/>
      <c r="J25" s="1033"/>
      <c r="M25" s="1145"/>
    </row>
    <row r="26" spans="1:13" ht="15.75">
      <c r="A26" s="981"/>
      <c r="B26" s="27"/>
      <c r="C26" s="680"/>
      <c r="D26" s="680"/>
      <c r="G26" s="401"/>
      <c r="H26" s="941"/>
      <c r="I26" s="941"/>
      <c r="J26" s="941"/>
      <c r="K26" s="104"/>
      <c r="M26" s="1146"/>
    </row>
    <row r="27" spans="1:13" ht="45.75">
      <c r="A27" s="981"/>
      <c r="B27" s="680"/>
      <c r="C27" s="680"/>
      <c r="D27" s="680"/>
      <c r="G27" s="1098" t="s">
        <v>1661</v>
      </c>
      <c r="H27" s="941"/>
      <c r="I27" s="941"/>
      <c r="J27" s="941"/>
      <c r="K27" s="104"/>
      <c r="M27" s="1146"/>
    </row>
    <row r="28" spans="1:13" ht="12.75" customHeight="1">
      <c r="A28" s="1164">
        <v>18.2</v>
      </c>
      <c r="B28" s="1144" t="s">
        <v>3069</v>
      </c>
      <c r="C28" s="1144"/>
      <c r="D28" s="680"/>
      <c r="G28" s="1160"/>
      <c r="H28" s="1449">
        <f>'GSN Benchmarks'!B86</f>
        <v>1153.48</v>
      </c>
      <c r="I28" s="941"/>
      <c r="J28" s="1154">
        <f>ROUND(G28*H28,0)</f>
        <v>0</v>
      </c>
      <c r="K28" s="104"/>
      <c r="M28" s="1205">
        <f>+A28</f>
        <v>18.2</v>
      </c>
    </row>
    <row r="29" spans="1:13" ht="12.75" customHeight="1">
      <c r="A29" s="981"/>
      <c r="B29" s="680"/>
      <c r="C29" s="680"/>
      <c r="D29" s="680"/>
      <c r="G29" s="401"/>
      <c r="H29" s="941"/>
      <c r="I29" s="941"/>
      <c r="J29" s="941"/>
      <c r="K29" s="104"/>
      <c r="M29" s="1146"/>
    </row>
    <row r="30" spans="1:13" ht="12.75" customHeight="1">
      <c r="A30" s="1442"/>
      <c r="B30" s="1452"/>
      <c r="C30" s="1452"/>
      <c r="D30" s="200"/>
      <c r="E30" s="200"/>
      <c r="F30" s="200"/>
      <c r="G30" s="1099"/>
      <c r="H30" s="1105"/>
      <c r="I30" s="1105"/>
      <c r="J30" s="1105"/>
      <c r="K30" s="1105"/>
      <c r="L30" s="1099"/>
      <c r="M30" s="1453"/>
    </row>
    <row r="31" spans="1:13" ht="12.75" customHeight="1">
      <c r="A31" s="1164">
        <v>18.3</v>
      </c>
      <c r="B31" s="1144" t="s">
        <v>3071</v>
      </c>
      <c r="C31" s="1144"/>
      <c r="D31" s="200"/>
      <c r="E31" s="200"/>
      <c r="F31" s="200"/>
      <c r="G31" s="1454"/>
      <c r="H31" s="1101"/>
      <c r="I31" s="1101"/>
      <c r="J31" s="1100"/>
      <c r="K31" s="1105"/>
      <c r="L31" s="1099"/>
      <c r="M31" s="1132"/>
    </row>
    <row r="32" spans="1:13" ht="12.75" customHeight="1">
      <c r="A32" s="1455"/>
      <c r="B32" s="200"/>
      <c r="C32" s="200"/>
      <c r="D32" s="1456"/>
      <c r="E32" s="1456"/>
      <c r="F32" s="1456"/>
      <c r="G32" s="1454"/>
      <c r="H32" s="1457"/>
      <c r="I32" s="1457"/>
      <c r="J32" s="1458"/>
      <c r="K32" s="1105"/>
      <c r="L32" s="1099"/>
      <c r="M32" s="952"/>
    </row>
    <row r="33" spans="1:13" ht="15.75">
      <c r="A33" s="1459" t="s">
        <v>393</v>
      </c>
      <c r="B33" s="200" t="s">
        <v>394</v>
      </c>
      <c r="C33" s="200"/>
      <c r="D33" s="200"/>
      <c r="E33" s="200"/>
      <c r="F33" s="200"/>
      <c r="G33" s="1099"/>
      <c r="H33" s="1101"/>
      <c r="I33" s="1101"/>
      <c r="J33" s="1004">
        <f>+'Sch 13 Enrolment'!V70</f>
        <v>0</v>
      </c>
      <c r="K33" s="1105"/>
      <c r="L33" s="1099"/>
      <c r="M33" s="1205" t="str">
        <f>+A33</f>
        <v>18.3.1</v>
      </c>
    </row>
    <row r="34" spans="1:13" ht="15.75">
      <c r="A34" s="1460"/>
      <c r="B34" s="200"/>
      <c r="C34" s="200"/>
      <c r="D34" s="200"/>
      <c r="E34" s="200"/>
      <c r="F34" s="339"/>
      <c r="G34" s="1408"/>
      <c r="H34" s="1174"/>
      <c r="I34" s="1175"/>
      <c r="J34" s="1105"/>
      <c r="K34" s="223"/>
      <c r="L34" s="1099"/>
      <c r="M34" s="1461"/>
    </row>
    <row r="35" spans="1:13" ht="15.75">
      <c r="A35" s="1459" t="s">
        <v>395</v>
      </c>
      <c r="B35" s="200" t="s">
        <v>3072</v>
      </c>
      <c r="C35" s="200"/>
      <c r="D35" s="200"/>
      <c r="E35" s="200"/>
      <c r="F35" s="200"/>
      <c r="G35" s="962"/>
      <c r="H35" s="1174"/>
      <c r="I35" s="1175"/>
      <c r="J35" s="1462"/>
      <c r="K35" s="223"/>
      <c r="L35" s="1099"/>
      <c r="M35" s="1205" t="str">
        <f>+A35</f>
        <v>18.3.2</v>
      </c>
    </row>
    <row r="36" spans="1:13" ht="15.75">
      <c r="A36" s="1460"/>
      <c r="B36" s="200"/>
      <c r="C36" s="200"/>
      <c r="D36" s="200"/>
      <c r="E36" s="200"/>
      <c r="F36" s="200"/>
      <c r="G36" s="1099"/>
      <c r="H36" s="1175"/>
      <c r="I36" s="1175"/>
      <c r="J36" s="1105"/>
      <c r="K36" s="223"/>
      <c r="L36" s="1099"/>
      <c r="M36" s="1461"/>
    </row>
    <row r="37" spans="1:13" ht="15.75">
      <c r="A37" s="1459" t="s">
        <v>397</v>
      </c>
      <c r="B37" s="200" t="s">
        <v>528</v>
      </c>
      <c r="C37" s="200"/>
      <c r="D37" s="200"/>
      <c r="E37" s="200"/>
      <c r="F37" s="200"/>
      <c r="G37" s="1099"/>
      <c r="H37" s="1175"/>
      <c r="I37" s="1175"/>
      <c r="J37" s="1463">
        <f>ROUND(IF(J33=0,0,J35/J33),4)</f>
        <v>0</v>
      </c>
      <c r="K37" s="223"/>
      <c r="L37" s="1099"/>
      <c r="M37" s="1205" t="str">
        <f>+A37</f>
        <v>18.3.3</v>
      </c>
    </row>
    <row r="38" spans="1:13" ht="15.75">
      <c r="A38" s="1460"/>
      <c r="B38" s="200" t="s">
        <v>1650</v>
      </c>
      <c r="C38" s="200"/>
      <c r="D38" s="200"/>
      <c r="E38" s="200"/>
      <c r="F38" s="200"/>
      <c r="G38" s="1099"/>
      <c r="H38" s="1175"/>
      <c r="I38" s="1175"/>
      <c r="J38" s="1105"/>
      <c r="K38" s="223"/>
      <c r="L38" s="1099"/>
      <c r="M38" s="1461"/>
    </row>
    <row r="39" spans="1:13" ht="15.75">
      <c r="A39" s="1460"/>
      <c r="B39" s="200"/>
      <c r="C39" s="200"/>
      <c r="D39" s="200"/>
      <c r="E39" s="200"/>
      <c r="F39" s="200"/>
      <c r="G39" s="1099"/>
      <c r="H39" s="1175"/>
      <c r="I39" s="1175"/>
      <c r="J39" s="1105"/>
      <c r="K39" s="223"/>
      <c r="L39" s="1099"/>
      <c r="M39" s="1461"/>
    </row>
    <row r="40" spans="1:13" ht="15.75">
      <c r="A40" s="1459" t="s">
        <v>1707</v>
      </c>
      <c r="B40" s="200" t="s">
        <v>396</v>
      </c>
      <c r="C40" s="223"/>
      <c r="D40" s="1177"/>
      <c r="E40" s="200"/>
      <c r="F40" s="200"/>
      <c r="G40" s="1177"/>
      <c r="H40" s="1105"/>
      <c r="I40" s="339"/>
      <c r="J40" s="1464">
        <f>IF(J37=0,0,IF(J37&lt;0.075,1,IF(J37&lt;0.15,2,3)))</f>
        <v>0</v>
      </c>
      <c r="K40" s="1465"/>
      <c r="L40" s="1099"/>
      <c r="M40" s="1205" t="str">
        <f>+A40</f>
        <v>18.3.4</v>
      </c>
    </row>
    <row r="41" spans="1:13" ht="15">
      <c r="A41" s="200"/>
      <c r="B41" s="200"/>
      <c r="C41" s="200"/>
      <c r="D41" s="200"/>
      <c r="E41" s="200"/>
      <c r="F41" s="200"/>
      <c r="G41" s="1099"/>
      <c r="H41" s="1105"/>
      <c r="I41" s="1105"/>
      <c r="J41" s="1105"/>
      <c r="K41" s="1105"/>
      <c r="L41" s="1099"/>
      <c r="M41" s="949"/>
    </row>
    <row r="42" spans="1:13" ht="15.75">
      <c r="A42" s="223" t="s">
        <v>2867</v>
      </c>
      <c r="B42" s="78" t="s">
        <v>3073</v>
      </c>
      <c r="C42" s="200"/>
      <c r="D42" s="200"/>
      <c r="E42" s="200"/>
      <c r="F42" s="200"/>
      <c r="G42" s="1099"/>
      <c r="H42" s="1449">
        <f>'GSN Benchmarks'!B89</f>
        <v>184.94</v>
      </c>
      <c r="I42" s="1105"/>
      <c r="J42" s="1154">
        <f>ROUND(J35*J40*H42,0)</f>
        <v>0</v>
      </c>
      <c r="K42" s="1105"/>
      <c r="L42" s="1099"/>
      <c r="M42" s="1205" t="str">
        <f>+A42</f>
        <v>18.3.5a</v>
      </c>
    </row>
    <row r="43" spans="1:13" ht="15.75">
      <c r="A43" s="1442"/>
      <c r="B43" s="78" t="str">
        <f>"(Line 18.3.2 x line 18.3.4 x $"&amp;H42&amp;")"</f>
        <v>(Line 18.3.2 x line 18.3.4 x $184.94)</v>
      </c>
      <c r="C43" s="1452"/>
      <c r="D43" s="200"/>
      <c r="E43" s="200"/>
      <c r="F43" s="200"/>
      <c r="G43" s="1099"/>
      <c r="H43" s="1105"/>
      <c r="I43" s="1105"/>
      <c r="J43" s="1105"/>
      <c r="K43" s="1105"/>
      <c r="L43" s="1099"/>
      <c r="M43" s="1453"/>
    </row>
    <row r="44" spans="1:13" ht="15.75">
      <c r="A44" s="1442"/>
      <c r="C44" s="1452"/>
      <c r="D44" s="1915"/>
      <c r="E44" s="1915"/>
      <c r="F44" s="1915"/>
      <c r="G44" s="1099"/>
      <c r="H44" s="1105"/>
      <c r="I44" s="1105"/>
      <c r="J44" s="1105"/>
      <c r="K44" s="1105"/>
      <c r="L44" s="1099"/>
      <c r="M44" s="1453"/>
    </row>
    <row r="45" spans="1:13" ht="15.75">
      <c r="A45" s="223" t="s">
        <v>2866</v>
      </c>
      <c r="B45" s="78" t="s">
        <v>3074</v>
      </c>
      <c r="C45" s="1452"/>
      <c r="D45" s="1915"/>
      <c r="E45" s="1915"/>
      <c r="F45" s="1915"/>
      <c r="G45" s="1099"/>
      <c r="H45" s="1105"/>
      <c r="I45" s="1105"/>
      <c r="J45" s="1154">
        <f>'GSN Benchmarks'!B389</f>
        <v>42042</v>
      </c>
      <c r="K45" s="1105"/>
      <c r="L45" s="1099"/>
      <c r="M45" s="1205" t="str">
        <f>+A45</f>
        <v>18.3.5b</v>
      </c>
    </row>
    <row r="46" spans="1:13" ht="15.75">
      <c r="A46" s="223"/>
      <c r="C46" s="1452"/>
      <c r="D46" s="1915"/>
      <c r="E46" s="1915"/>
      <c r="F46" s="1915"/>
      <c r="G46" s="1099"/>
      <c r="H46" s="1105"/>
      <c r="I46" s="1105"/>
      <c r="J46" s="1155"/>
      <c r="K46" s="1105"/>
      <c r="L46" s="1099"/>
      <c r="M46" s="1205"/>
    </row>
    <row r="47" spans="1:13" ht="15.75">
      <c r="A47" s="223" t="s">
        <v>2869</v>
      </c>
      <c r="B47" s="1144" t="s">
        <v>3075</v>
      </c>
      <c r="C47" s="1452"/>
      <c r="D47" s="1915"/>
      <c r="E47" s="1915"/>
      <c r="F47" s="1915"/>
      <c r="G47" s="1099"/>
      <c r="H47" s="1105"/>
      <c r="I47" s="1105"/>
      <c r="J47" s="1154">
        <f>MAX(J42,J45)</f>
        <v>42042</v>
      </c>
      <c r="K47" s="1105"/>
      <c r="L47" s="1099"/>
      <c r="M47" s="1205" t="str">
        <f>+A47</f>
        <v>18.3.5c</v>
      </c>
    </row>
    <row r="48" spans="1:13" ht="15.75">
      <c r="A48" s="223"/>
      <c r="B48" s="78" t="s">
        <v>2871</v>
      </c>
      <c r="C48" s="1452"/>
      <c r="D48" s="1915"/>
      <c r="E48" s="1915"/>
      <c r="F48" s="1915"/>
      <c r="G48" s="1099"/>
      <c r="H48" s="1105"/>
      <c r="I48" s="1105"/>
      <c r="J48" s="1155"/>
      <c r="K48" s="1105"/>
      <c r="L48" s="1099"/>
      <c r="M48" s="1205"/>
    </row>
    <row r="49" spans="1:13" ht="15.75">
      <c r="A49" s="223"/>
      <c r="C49" s="1452"/>
      <c r="D49" s="1915"/>
      <c r="E49" s="1915"/>
      <c r="F49" s="1915"/>
      <c r="G49" s="1099"/>
      <c r="H49" s="1105"/>
      <c r="I49" s="1105"/>
      <c r="J49" s="1155"/>
      <c r="K49" s="1105"/>
      <c r="L49" s="1099"/>
      <c r="M49" s="1205"/>
    </row>
    <row r="50" spans="1:13" ht="15.75">
      <c r="A50" s="223" t="s">
        <v>2909</v>
      </c>
      <c r="B50" s="1144" t="s">
        <v>3076</v>
      </c>
      <c r="C50" s="1452"/>
      <c r="D50" s="1915"/>
      <c r="E50" s="1915"/>
      <c r="F50" s="1915"/>
      <c r="G50" s="1099"/>
      <c r="H50" s="1105"/>
      <c r="I50" s="1105"/>
      <c r="J50" s="1154">
        <f>IF($H$3=0,0,VLOOKUP($H$3,Tables!$A$5:$BG$8,59,FALSE))</f>
        <v>0</v>
      </c>
      <c r="K50" s="1105"/>
      <c r="L50" s="1099"/>
      <c r="M50" s="1205"/>
    </row>
    <row r="51" spans="1:13" ht="15.75">
      <c r="A51" s="223"/>
      <c r="B51" s="78" t="s">
        <v>3001</v>
      </c>
      <c r="C51" s="1452"/>
      <c r="D51" s="1915"/>
      <c r="E51" s="1915"/>
      <c r="F51" s="1915"/>
      <c r="G51" s="1099"/>
      <c r="H51" s="1105"/>
      <c r="I51" s="1105"/>
      <c r="J51" s="1155"/>
      <c r="K51" s="1105"/>
      <c r="L51" s="1099"/>
      <c r="M51" s="1205"/>
    </row>
    <row r="52" spans="1:13" ht="15.75">
      <c r="A52" s="1466"/>
      <c r="B52" s="1452"/>
      <c r="C52" s="1452"/>
      <c r="D52" s="200"/>
      <c r="E52" s="200"/>
      <c r="F52" s="200"/>
      <c r="G52" s="1099"/>
      <c r="H52" s="1100"/>
      <c r="I52" s="1105"/>
      <c r="J52" s="1105"/>
      <c r="K52" s="1105"/>
      <c r="L52" s="1099"/>
      <c r="M52" s="1453"/>
    </row>
    <row r="53" spans="1:13" ht="15.75">
      <c r="A53" s="1164">
        <v>18.399999999999999</v>
      </c>
      <c r="B53" s="1144" t="s">
        <v>3077</v>
      </c>
      <c r="C53" s="1452"/>
      <c r="D53" s="200"/>
      <c r="E53" s="200"/>
      <c r="F53" s="200"/>
      <c r="G53" s="1099"/>
      <c r="H53" s="1100"/>
      <c r="I53" s="1105"/>
      <c r="J53" s="1909">
        <f>ROUND(J24+J28+J47+J50,0)</f>
        <v>42042</v>
      </c>
      <c r="K53" s="1105"/>
      <c r="L53" s="1099"/>
      <c r="M53" s="1205">
        <f>+A53</f>
        <v>18.399999999999999</v>
      </c>
    </row>
    <row r="54" spans="1:13" ht="15.75">
      <c r="A54" s="223"/>
      <c r="B54" s="1452" t="s">
        <v>2910</v>
      </c>
      <c r="C54" s="1452"/>
      <c r="D54" s="200"/>
      <c r="E54" s="200"/>
      <c r="F54" s="200"/>
      <c r="G54" s="1099"/>
      <c r="H54" s="1115"/>
      <c r="I54" s="339"/>
      <c r="J54" s="1105"/>
      <c r="K54" s="1105"/>
      <c r="L54" s="1099"/>
      <c r="M54" s="1020"/>
    </row>
    <row r="55" spans="1:13" ht="12.75" customHeight="1">
      <c r="A55" s="200"/>
      <c r="B55" s="1452"/>
      <c r="C55" s="1452"/>
      <c r="D55" s="200"/>
      <c r="E55" s="200"/>
      <c r="F55" s="200"/>
      <c r="G55" s="1099"/>
      <c r="H55" s="1105"/>
      <c r="I55" s="1105"/>
      <c r="J55" s="1105"/>
      <c r="K55" s="1105"/>
      <c r="L55" s="1099"/>
      <c r="M55" s="949"/>
    </row>
    <row r="56" spans="1:13" ht="12.75" customHeight="1">
      <c r="A56" s="223"/>
      <c r="B56" s="1452"/>
      <c r="C56" s="1452"/>
      <c r="D56" s="200"/>
      <c r="E56" s="200"/>
      <c r="F56" s="200"/>
      <c r="G56" s="1099"/>
      <c r="H56" s="1208"/>
      <c r="I56" s="1105"/>
      <c r="J56" s="1105"/>
      <c r="K56" s="1105"/>
      <c r="L56" s="1099"/>
      <c r="M56" s="1020"/>
    </row>
    <row r="57" spans="1:13" ht="15.75">
      <c r="A57" s="1467"/>
      <c r="B57" s="223"/>
      <c r="C57" s="200"/>
      <c r="D57" s="223"/>
      <c r="E57" s="200"/>
      <c r="F57" s="200"/>
      <c r="G57" s="1099"/>
      <c r="H57" s="1105"/>
      <c r="I57" s="1105"/>
      <c r="J57" s="1105"/>
      <c r="K57" s="1105"/>
      <c r="L57" s="200"/>
      <c r="M57" s="1468"/>
    </row>
    <row r="58" spans="1:13" ht="15.75">
      <c r="A58" s="1467"/>
      <c r="B58" s="223"/>
      <c r="C58" s="200"/>
      <c r="D58" s="223"/>
      <c r="E58" s="200"/>
      <c r="F58" s="200"/>
      <c r="G58" s="1099"/>
      <c r="H58" s="1105"/>
      <c r="I58" s="1105"/>
      <c r="J58" s="1105"/>
      <c r="K58" s="1105"/>
      <c r="L58" s="200"/>
      <c r="M58" s="1468"/>
    </row>
    <row r="59" spans="1:13" ht="15.75">
      <c r="A59" s="1467"/>
      <c r="B59" s="223"/>
      <c r="C59" s="200"/>
      <c r="D59" s="223"/>
      <c r="E59" s="200"/>
      <c r="F59" s="200"/>
      <c r="G59" s="1099"/>
      <c r="H59" s="1105"/>
      <c r="I59" s="1105"/>
      <c r="J59" s="1105"/>
      <c r="K59" s="1105"/>
      <c r="L59" s="200"/>
      <c r="M59" s="1468"/>
    </row>
    <row r="60" spans="1:13" ht="15" hidden="1">
      <c r="A60" s="976"/>
      <c r="B60" s="976"/>
      <c r="C60" s="976"/>
      <c r="D60" s="976"/>
      <c r="E60" s="976"/>
      <c r="F60" s="976"/>
      <c r="G60" s="976"/>
      <c r="H60" s="976"/>
      <c r="I60" s="976"/>
      <c r="J60" s="976"/>
      <c r="K60" s="976"/>
      <c r="L60" s="976"/>
      <c r="M60" s="976"/>
    </row>
    <row r="61" spans="1:13" ht="15" hidden="1">
      <c r="A61" s="976"/>
      <c r="B61" s="976"/>
      <c r="C61" s="976"/>
      <c r="D61" s="976"/>
      <c r="E61" s="976"/>
      <c r="F61" s="976"/>
      <c r="G61" s="976"/>
      <c r="H61" s="976"/>
      <c r="I61" s="976"/>
      <c r="J61" s="976"/>
      <c r="K61" s="976"/>
      <c r="L61" s="976"/>
      <c r="M61" s="976"/>
    </row>
    <row r="62" spans="1:13" ht="15" hidden="1">
      <c r="A62" s="976"/>
      <c r="B62" s="976"/>
      <c r="C62" s="976"/>
      <c r="D62" s="976"/>
      <c r="E62" s="976"/>
      <c r="F62" s="976"/>
      <c r="G62" s="976"/>
      <c r="H62" s="976"/>
      <c r="I62" s="976"/>
      <c r="J62" s="976"/>
      <c r="K62" s="976"/>
      <c r="L62" s="976"/>
      <c r="M62" s="976"/>
    </row>
    <row r="63" spans="1:13" ht="15" hidden="1">
      <c r="A63" s="976"/>
      <c r="B63" s="976"/>
      <c r="C63" s="976"/>
      <c r="D63" s="976"/>
      <c r="E63" s="976"/>
      <c r="F63" s="976"/>
      <c r="G63" s="976"/>
      <c r="H63" s="976"/>
      <c r="I63" s="976"/>
      <c r="J63" s="976"/>
      <c r="K63" s="976"/>
      <c r="L63" s="976"/>
      <c r="M63" s="976"/>
    </row>
    <row r="64" spans="1:13" ht="15" hidden="1">
      <c r="A64" s="976"/>
      <c r="B64" s="976"/>
      <c r="C64" s="976"/>
      <c r="D64" s="976"/>
      <c r="E64" s="976"/>
      <c r="F64" s="976"/>
      <c r="G64" s="976"/>
      <c r="H64" s="976"/>
      <c r="I64" s="976"/>
      <c r="J64" s="976"/>
      <c r="K64" s="976"/>
      <c r="L64" s="976"/>
      <c r="M64" s="976"/>
    </row>
    <row r="65" spans="1:13" ht="15" hidden="1">
      <c r="A65" s="976"/>
      <c r="B65" s="976"/>
      <c r="C65" s="976"/>
      <c r="D65" s="976"/>
      <c r="E65" s="976"/>
      <c r="F65" s="976"/>
      <c r="G65" s="976"/>
      <c r="H65" s="976"/>
      <c r="I65" s="976"/>
      <c r="J65" s="976"/>
      <c r="K65" s="976"/>
      <c r="L65" s="976"/>
      <c r="M65" s="976"/>
    </row>
    <row r="66" spans="1:13" ht="15" hidden="1">
      <c r="A66" s="976"/>
      <c r="B66" s="976"/>
      <c r="C66" s="976"/>
      <c r="D66" s="976"/>
      <c r="E66" s="976"/>
      <c r="F66" s="976"/>
      <c r="G66" s="976"/>
      <c r="H66" s="976"/>
      <c r="I66" s="976"/>
      <c r="J66" s="976"/>
      <c r="K66" s="976"/>
      <c r="L66" s="976"/>
      <c r="M66" s="976"/>
    </row>
    <row r="67" spans="1:13" ht="15" hidden="1">
      <c r="A67" s="976"/>
      <c r="B67" s="976"/>
      <c r="C67" s="976"/>
      <c r="D67" s="976"/>
      <c r="E67" s="976"/>
      <c r="F67" s="976"/>
      <c r="G67" s="976"/>
      <c r="H67" s="976"/>
      <c r="I67" s="976"/>
      <c r="J67" s="976"/>
      <c r="K67" s="976"/>
      <c r="L67" s="976"/>
      <c r="M67" s="976"/>
    </row>
    <row r="68" spans="1:13" ht="15" hidden="1">
      <c r="A68" s="976"/>
      <c r="B68" s="976"/>
      <c r="C68" s="976"/>
      <c r="D68" s="976"/>
      <c r="E68" s="976"/>
      <c r="F68" s="976"/>
      <c r="G68" s="976"/>
      <c r="H68" s="976"/>
      <c r="I68" s="976"/>
      <c r="J68" s="976"/>
      <c r="K68" s="976"/>
      <c r="L68" s="976"/>
      <c r="M68" s="976"/>
    </row>
    <row r="69" spans="1:13" ht="15" hidden="1">
      <c r="A69" s="976"/>
      <c r="B69" s="976"/>
      <c r="C69" s="976"/>
      <c r="D69" s="976"/>
      <c r="E69" s="976"/>
      <c r="F69" s="976"/>
      <c r="G69" s="976"/>
      <c r="H69" s="976"/>
      <c r="I69" s="976"/>
      <c r="J69" s="976"/>
      <c r="K69" s="976"/>
      <c r="L69" s="976"/>
      <c r="M69" s="976"/>
    </row>
    <row r="70" spans="1:13" ht="15" hidden="1">
      <c r="A70" s="976"/>
      <c r="B70" s="976"/>
      <c r="C70" s="976"/>
      <c r="D70" s="976"/>
      <c r="E70" s="976"/>
      <c r="F70" s="976"/>
      <c r="G70" s="976"/>
      <c r="H70" s="976"/>
      <c r="I70" s="976"/>
      <c r="J70" s="976"/>
      <c r="K70" s="976"/>
      <c r="L70" s="976"/>
      <c r="M70" s="976"/>
    </row>
    <row r="71" spans="1:13" ht="15" hidden="1">
      <c r="A71" s="976"/>
      <c r="B71" s="976"/>
      <c r="C71" s="976"/>
      <c r="D71" s="976"/>
      <c r="E71" s="976"/>
      <c r="F71" s="976"/>
      <c r="G71" s="976"/>
      <c r="H71" s="976"/>
      <c r="I71" s="976"/>
      <c r="J71" s="976"/>
      <c r="K71" s="976"/>
      <c r="L71" s="976"/>
      <c r="M71" s="976"/>
    </row>
    <row r="72" spans="1:13" ht="15" hidden="1">
      <c r="A72" s="976"/>
      <c r="B72" s="976"/>
      <c r="C72" s="976"/>
      <c r="D72" s="976"/>
      <c r="E72" s="976"/>
      <c r="F72" s="976"/>
      <c r="G72" s="976"/>
      <c r="H72" s="976"/>
      <c r="I72" s="976"/>
      <c r="J72" s="976"/>
      <c r="K72" s="976"/>
      <c r="L72" s="976"/>
      <c r="M72" s="976"/>
    </row>
    <row r="73" spans="1:13" ht="15" hidden="1">
      <c r="A73" s="976"/>
      <c r="B73" s="976"/>
      <c r="C73" s="976"/>
      <c r="D73" s="976"/>
      <c r="E73" s="976"/>
      <c r="F73" s="976"/>
      <c r="G73" s="976"/>
      <c r="H73" s="976"/>
      <c r="I73" s="976"/>
      <c r="J73" s="976"/>
      <c r="K73" s="976"/>
      <c r="L73" s="976"/>
      <c r="M73" s="976"/>
    </row>
    <row r="74" spans="1:13" ht="15" hidden="1">
      <c r="A74" s="976"/>
      <c r="B74" s="976"/>
      <c r="C74" s="976"/>
      <c r="D74" s="976"/>
      <c r="E74" s="976"/>
      <c r="F74" s="976"/>
      <c r="G74" s="976"/>
      <c r="H74" s="976"/>
      <c r="I74" s="976"/>
      <c r="J74" s="976"/>
      <c r="K74" s="976"/>
      <c r="L74" s="976"/>
      <c r="M74" s="976"/>
    </row>
    <row r="75" spans="1:13" ht="15" hidden="1">
      <c r="A75" s="976"/>
      <c r="B75" s="976"/>
      <c r="C75" s="976"/>
      <c r="D75" s="976"/>
      <c r="E75" s="976"/>
      <c r="F75" s="976"/>
      <c r="G75" s="976"/>
      <c r="H75" s="976"/>
      <c r="I75" s="976"/>
      <c r="J75" s="976"/>
      <c r="K75" s="976"/>
      <c r="L75" s="976"/>
      <c r="M75" s="976"/>
    </row>
    <row r="76" spans="1:13" ht="15" hidden="1">
      <c r="A76" s="976"/>
      <c r="B76" s="976"/>
      <c r="C76" s="976"/>
      <c r="D76" s="976"/>
      <c r="E76" s="976"/>
      <c r="F76" s="976"/>
      <c r="G76" s="976"/>
      <c r="H76" s="976"/>
      <c r="I76" s="976"/>
      <c r="J76" s="976"/>
      <c r="K76" s="976"/>
      <c r="L76" s="976"/>
      <c r="M76" s="976"/>
    </row>
    <row r="77" spans="1:13" ht="15" hidden="1">
      <c r="A77" s="976"/>
      <c r="B77" s="976"/>
      <c r="C77" s="976"/>
      <c r="D77" s="976"/>
      <c r="E77" s="976"/>
      <c r="F77" s="976"/>
      <c r="G77" s="976"/>
      <c r="H77" s="976"/>
      <c r="I77" s="976"/>
      <c r="J77" s="976"/>
      <c r="K77" s="976"/>
      <c r="L77" s="976"/>
      <c r="M77" s="976"/>
    </row>
    <row r="78" spans="1:13" ht="15" hidden="1">
      <c r="A78" s="976"/>
      <c r="B78" s="976"/>
      <c r="C78" s="976"/>
      <c r="D78" s="976"/>
      <c r="E78" s="976"/>
      <c r="F78" s="976"/>
      <c r="G78" s="976"/>
      <c r="H78" s="976"/>
      <c r="I78" s="976"/>
      <c r="J78" s="976"/>
      <c r="K78" s="976"/>
      <c r="L78" s="976"/>
      <c r="M78" s="976"/>
    </row>
    <row r="79" spans="1:13" ht="15" hidden="1">
      <c r="A79" s="976"/>
      <c r="B79" s="976"/>
      <c r="C79" s="976"/>
      <c r="D79" s="976"/>
      <c r="E79" s="976"/>
      <c r="F79" s="976"/>
      <c r="G79" s="976"/>
      <c r="H79" s="976"/>
      <c r="I79" s="976"/>
      <c r="J79" s="976"/>
      <c r="K79" s="976"/>
      <c r="L79" s="976"/>
      <c r="M79" s="976"/>
    </row>
    <row r="80" spans="1:13" ht="12.75" hidden="1" customHeight="1">
      <c r="A80" s="976"/>
      <c r="B80" s="976"/>
      <c r="C80" s="976"/>
      <c r="D80" s="976"/>
      <c r="E80" s="976"/>
      <c r="F80" s="976"/>
      <c r="G80" s="976"/>
      <c r="H80" s="976"/>
      <c r="I80" s="976"/>
      <c r="J80" s="976"/>
      <c r="K80" s="976"/>
      <c r="L80" s="976"/>
      <c r="M80" s="976"/>
    </row>
    <row r="81" spans="1:13" ht="12.75" hidden="1" customHeight="1">
      <c r="A81" s="976"/>
      <c r="B81" s="976"/>
      <c r="C81" s="976"/>
      <c r="D81" s="976"/>
      <c r="E81" s="976"/>
      <c r="F81" s="976"/>
      <c r="G81" s="976"/>
      <c r="H81" s="976"/>
      <c r="I81" s="976"/>
      <c r="J81" s="976"/>
      <c r="K81" s="976"/>
      <c r="L81" s="976"/>
      <c r="M81" s="976"/>
    </row>
    <row r="82" spans="1:13" ht="12.75" hidden="1" customHeight="1">
      <c r="A82" s="976"/>
      <c r="B82" s="976"/>
      <c r="C82" s="976"/>
      <c r="D82" s="976"/>
      <c r="E82" s="976"/>
      <c r="F82" s="976"/>
      <c r="G82" s="976"/>
      <c r="H82" s="976"/>
      <c r="I82" s="976"/>
      <c r="J82" s="976"/>
      <c r="K82" s="976"/>
      <c r="L82" s="976"/>
      <c r="M82" s="976"/>
    </row>
    <row r="83" spans="1:13" ht="12.75" hidden="1" customHeight="1">
      <c r="A83" s="976"/>
      <c r="B83" s="976"/>
      <c r="C83" s="976"/>
      <c r="D83" s="976"/>
      <c r="E83" s="976"/>
      <c r="F83" s="976"/>
      <c r="G83" s="976"/>
      <c r="H83" s="976"/>
      <c r="I83" s="976"/>
      <c r="J83" s="976"/>
      <c r="K83" s="976"/>
      <c r="L83" s="976"/>
      <c r="M83" s="976"/>
    </row>
    <row r="84" spans="1:13" ht="12.75" hidden="1" customHeight="1">
      <c r="A84" s="976"/>
      <c r="B84" s="976"/>
      <c r="C84" s="976"/>
      <c r="D84" s="976"/>
      <c r="E84" s="976"/>
      <c r="F84" s="976"/>
      <c r="G84" s="976"/>
      <c r="H84" s="976"/>
      <c r="I84" s="976"/>
      <c r="J84" s="976"/>
      <c r="K84" s="976"/>
      <c r="L84" s="976"/>
      <c r="M84" s="976"/>
    </row>
    <row r="85" spans="1:13" ht="12.75" hidden="1" customHeight="1">
      <c r="A85" s="976"/>
      <c r="B85" s="976"/>
      <c r="C85" s="976"/>
      <c r="D85" s="976"/>
      <c r="E85" s="976"/>
      <c r="F85" s="976"/>
      <c r="G85" s="976"/>
      <c r="H85" s="976"/>
      <c r="I85" s="976"/>
      <c r="J85" s="976"/>
      <c r="K85" s="976"/>
      <c r="L85" s="976"/>
      <c r="M85" s="976"/>
    </row>
    <row r="86" spans="1:13" ht="12.75" hidden="1" customHeight="1">
      <c r="A86" s="976"/>
      <c r="B86" s="976"/>
      <c r="C86" s="976"/>
      <c r="D86" s="976"/>
      <c r="E86" s="976"/>
      <c r="F86" s="976"/>
      <c r="G86" s="976"/>
      <c r="H86" s="976"/>
      <c r="I86" s="976"/>
      <c r="J86" s="976"/>
      <c r="K86" s="976"/>
      <c r="L86" s="976"/>
      <c r="M86" s="976"/>
    </row>
    <row r="87" spans="1:13" ht="12.75" hidden="1" customHeight="1">
      <c r="A87" s="976"/>
      <c r="B87" s="976"/>
      <c r="C87" s="976"/>
      <c r="D87" s="976"/>
      <c r="E87" s="976"/>
      <c r="F87" s="976"/>
      <c r="G87" s="976"/>
      <c r="H87" s="976"/>
      <c r="I87" s="976"/>
      <c r="J87" s="976"/>
      <c r="K87" s="976"/>
      <c r="L87" s="976"/>
      <c r="M87" s="976"/>
    </row>
    <row r="88" spans="1:13" ht="12.75" hidden="1" customHeight="1">
      <c r="A88" s="976"/>
      <c r="B88" s="976"/>
      <c r="C88" s="976"/>
      <c r="D88" s="976"/>
      <c r="E88" s="976"/>
      <c r="F88" s="976"/>
      <c r="G88" s="976"/>
      <c r="H88" s="976"/>
      <c r="I88" s="976"/>
      <c r="J88" s="976"/>
      <c r="K88" s="976"/>
      <c r="L88" s="976"/>
      <c r="M88" s="976"/>
    </row>
    <row r="89" spans="1:13" ht="12.75" hidden="1" customHeight="1">
      <c r="A89" s="976"/>
      <c r="B89" s="976"/>
      <c r="C89" s="976"/>
      <c r="D89" s="976"/>
      <c r="E89" s="976"/>
      <c r="F89" s="976"/>
      <c r="G89" s="976"/>
      <c r="H89" s="976"/>
      <c r="I89" s="976"/>
      <c r="J89" s="976"/>
      <c r="K89" s="976"/>
      <c r="L89" s="976"/>
      <c r="M89" s="976"/>
    </row>
    <row r="90" spans="1:13" ht="12.75" hidden="1" customHeight="1">
      <c r="A90" s="976"/>
      <c r="B90" s="976"/>
      <c r="C90" s="976"/>
      <c r="D90" s="976"/>
      <c r="E90" s="976"/>
      <c r="F90" s="976"/>
      <c r="G90" s="976"/>
      <c r="H90" s="976"/>
      <c r="I90" s="976"/>
      <c r="J90" s="976"/>
      <c r="K90" s="976"/>
      <c r="L90" s="976"/>
      <c r="M90" s="976"/>
    </row>
    <row r="91" spans="1:13" ht="12.75" hidden="1" customHeight="1">
      <c r="A91" s="976"/>
      <c r="B91" s="976"/>
      <c r="C91" s="976"/>
      <c r="D91" s="976"/>
      <c r="E91" s="976"/>
      <c r="F91" s="976"/>
      <c r="G91" s="976"/>
      <c r="H91" s="976"/>
      <c r="I91" s="976"/>
      <c r="J91" s="976"/>
      <c r="K91" s="976"/>
      <c r="L91" s="976"/>
      <c r="M91" s="976"/>
    </row>
    <row r="92" spans="1:13" ht="12.75" hidden="1" customHeight="1">
      <c r="A92" s="976"/>
      <c r="B92" s="976"/>
      <c r="C92" s="976"/>
      <c r="D92" s="976"/>
      <c r="E92" s="976"/>
      <c r="F92" s="976"/>
      <c r="G92" s="976"/>
      <c r="H92" s="976"/>
      <c r="I92" s="976"/>
      <c r="J92" s="976"/>
      <c r="K92" s="976"/>
      <c r="L92" s="976"/>
      <c r="M92" s="976"/>
    </row>
    <row r="93" spans="1:13" ht="12.75" hidden="1" customHeight="1">
      <c r="A93" s="976"/>
      <c r="B93" s="976"/>
      <c r="C93" s="976"/>
      <c r="D93" s="976"/>
      <c r="E93" s="976"/>
      <c r="F93" s="976"/>
      <c r="G93" s="976"/>
      <c r="H93" s="976"/>
      <c r="I93" s="976"/>
      <c r="J93" s="976"/>
      <c r="K93" s="976"/>
      <c r="L93" s="976"/>
      <c r="M93" s="976"/>
    </row>
    <row r="94" spans="1:13" ht="12.75" hidden="1" customHeight="1">
      <c r="A94" s="976"/>
      <c r="B94" s="976"/>
      <c r="C94" s="976"/>
      <c r="D94" s="976"/>
      <c r="E94" s="976"/>
      <c r="F94" s="976"/>
      <c r="G94" s="976"/>
      <c r="H94" s="976"/>
      <c r="I94" s="976"/>
      <c r="J94" s="976"/>
      <c r="K94" s="976"/>
      <c r="L94" s="976"/>
      <c r="M94" s="976"/>
    </row>
    <row r="95" spans="1:13" ht="12.75" hidden="1" customHeight="1">
      <c r="A95" s="976"/>
      <c r="B95" s="976"/>
      <c r="C95" s="976"/>
      <c r="D95" s="976"/>
      <c r="E95" s="976"/>
      <c r="F95" s="976"/>
      <c r="G95" s="976"/>
      <c r="H95" s="976"/>
      <c r="I95" s="976"/>
      <c r="J95" s="976"/>
      <c r="K95" s="976"/>
      <c r="L95" s="976"/>
      <c r="M95" s="976"/>
    </row>
    <row r="96" spans="1:13" ht="12.75" hidden="1" customHeight="1">
      <c r="A96" s="976"/>
      <c r="B96" s="976"/>
      <c r="C96" s="976"/>
      <c r="D96" s="976"/>
      <c r="E96" s="976"/>
      <c r="F96" s="976"/>
      <c r="G96" s="976"/>
      <c r="H96" s="976"/>
      <c r="I96" s="976"/>
      <c r="J96" s="976"/>
      <c r="K96" s="976"/>
      <c r="L96" s="976"/>
      <c r="M96" s="976"/>
    </row>
    <row r="97" spans="1:13" ht="12.75" hidden="1" customHeight="1">
      <c r="A97" s="976"/>
      <c r="B97" s="976"/>
      <c r="C97" s="976"/>
      <c r="D97" s="976"/>
      <c r="E97" s="976"/>
      <c r="F97" s="976"/>
      <c r="G97" s="976"/>
      <c r="H97" s="976"/>
      <c r="I97" s="976"/>
      <c r="J97" s="976"/>
      <c r="K97" s="976"/>
      <c r="L97" s="976"/>
      <c r="M97" s="976"/>
    </row>
    <row r="98" spans="1:13" ht="12.75" hidden="1" customHeight="1">
      <c r="A98" s="976"/>
      <c r="B98" s="976"/>
      <c r="C98" s="976"/>
      <c r="D98" s="976"/>
      <c r="E98" s="976"/>
      <c r="F98" s="976"/>
      <c r="G98" s="976"/>
      <c r="H98" s="976"/>
      <c r="I98" s="976"/>
      <c r="J98" s="976"/>
      <c r="K98" s="976"/>
      <c r="L98" s="976"/>
      <c r="M98" s="976"/>
    </row>
    <row r="99" spans="1:13" ht="12.75" hidden="1" customHeight="1">
      <c r="A99" s="976"/>
      <c r="B99" s="976"/>
      <c r="C99" s="976"/>
      <c r="D99" s="976"/>
      <c r="E99" s="976"/>
      <c r="F99" s="976"/>
      <c r="G99" s="976"/>
      <c r="H99" s="976"/>
      <c r="I99" s="976"/>
      <c r="J99" s="976"/>
      <c r="K99" s="976"/>
      <c r="L99" s="976"/>
      <c r="M99" s="976"/>
    </row>
    <row r="100" spans="1:13" ht="12.75" hidden="1" customHeight="1">
      <c r="A100" s="976"/>
      <c r="B100" s="976"/>
      <c r="C100" s="976"/>
      <c r="D100" s="976"/>
      <c r="E100" s="976"/>
      <c r="F100" s="976"/>
      <c r="G100" s="976"/>
      <c r="H100" s="976"/>
      <c r="I100" s="976"/>
      <c r="J100" s="976"/>
      <c r="K100" s="976"/>
      <c r="L100" s="976"/>
      <c r="M100" s="976"/>
    </row>
    <row r="101" spans="1:13" ht="12.75" hidden="1" customHeight="1">
      <c r="A101" s="976"/>
      <c r="B101" s="976"/>
      <c r="C101" s="976"/>
      <c r="D101" s="976"/>
      <c r="E101" s="976"/>
      <c r="F101" s="976"/>
      <c r="G101" s="976"/>
      <c r="H101" s="976"/>
      <c r="I101" s="976"/>
      <c r="J101" s="976"/>
      <c r="K101" s="976"/>
      <c r="L101" s="976"/>
      <c r="M101" s="976"/>
    </row>
    <row r="102" spans="1:13" ht="12.75" hidden="1" customHeight="1">
      <c r="A102" s="976"/>
      <c r="B102" s="976"/>
      <c r="C102" s="976"/>
      <c r="D102" s="976"/>
      <c r="E102" s="976"/>
      <c r="F102" s="976"/>
      <c r="G102" s="976"/>
      <c r="H102" s="976"/>
      <c r="I102" s="976"/>
      <c r="J102" s="976"/>
      <c r="K102" s="976"/>
      <c r="L102" s="976"/>
      <c r="M102" s="976"/>
    </row>
    <row r="103" spans="1:13" ht="12.75" hidden="1" customHeight="1">
      <c r="A103" s="976"/>
      <c r="B103" s="976"/>
      <c r="C103" s="976"/>
      <c r="D103" s="976"/>
      <c r="E103" s="976"/>
      <c r="F103" s="976"/>
      <c r="G103" s="976"/>
      <c r="H103" s="976"/>
      <c r="I103" s="976"/>
      <c r="J103" s="976"/>
      <c r="K103" s="976"/>
      <c r="L103" s="976"/>
      <c r="M103" s="976"/>
    </row>
    <row r="104" spans="1:13" ht="12.75" hidden="1" customHeight="1">
      <c r="A104" s="976"/>
      <c r="B104" s="976"/>
      <c r="C104" s="976"/>
      <c r="D104" s="976"/>
      <c r="E104" s="976"/>
      <c r="F104" s="976"/>
      <c r="G104" s="976"/>
      <c r="H104" s="976"/>
      <c r="I104" s="976"/>
      <c r="J104" s="976"/>
      <c r="K104" s="976"/>
      <c r="L104" s="976"/>
      <c r="M104" s="976"/>
    </row>
    <row r="105" spans="1:13" ht="12.75" hidden="1" customHeight="1">
      <c r="A105" s="976"/>
      <c r="B105" s="976"/>
      <c r="C105" s="976"/>
      <c r="D105" s="976"/>
      <c r="E105" s="976"/>
      <c r="F105" s="976"/>
      <c r="G105" s="976"/>
      <c r="H105" s="976"/>
      <c r="I105" s="976"/>
      <c r="J105" s="976"/>
      <c r="K105" s="976"/>
      <c r="L105" s="976"/>
      <c r="M105" s="976"/>
    </row>
    <row r="106" spans="1:13" ht="12.75" hidden="1" customHeight="1">
      <c r="A106" s="976"/>
      <c r="B106" s="976"/>
      <c r="C106" s="976"/>
      <c r="D106" s="976"/>
      <c r="E106" s="976"/>
      <c r="F106" s="976"/>
      <c r="G106" s="976"/>
      <c r="H106" s="976"/>
      <c r="I106" s="976"/>
      <c r="J106" s="976"/>
      <c r="K106" s="976"/>
      <c r="L106" s="976"/>
      <c r="M106" s="976"/>
    </row>
    <row r="107" spans="1:13" ht="12.75" hidden="1" customHeight="1">
      <c r="A107" s="976"/>
      <c r="B107" s="976"/>
      <c r="C107" s="976"/>
      <c r="D107" s="976"/>
      <c r="E107" s="976"/>
      <c r="F107" s="976"/>
      <c r="G107" s="976"/>
      <c r="H107" s="976"/>
      <c r="I107" s="976"/>
      <c r="J107" s="976"/>
      <c r="K107" s="976"/>
      <c r="L107" s="976"/>
      <c r="M107" s="976"/>
    </row>
    <row r="108" spans="1:13" ht="12.75" hidden="1" customHeight="1">
      <c r="A108" s="976"/>
      <c r="B108" s="976"/>
      <c r="C108" s="976"/>
      <c r="D108" s="976"/>
      <c r="E108" s="976"/>
      <c r="F108" s="976"/>
      <c r="G108" s="976"/>
      <c r="H108" s="976"/>
      <c r="I108" s="976"/>
      <c r="J108" s="976"/>
      <c r="K108" s="976"/>
      <c r="L108" s="976"/>
      <c r="M108" s="976"/>
    </row>
    <row r="109" spans="1:13" ht="12.75" hidden="1" customHeight="1">
      <c r="A109" s="976"/>
      <c r="B109" s="976"/>
      <c r="C109" s="976"/>
      <c r="D109" s="976"/>
      <c r="E109" s="976"/>
      <c r="F109" s="976"/>
      <c r="G109" s="976"/>
      <c r="H109" s="976"/>
      <c r="I109" s="976"/>
      <c r="J109" s="976"/>
      <c r="K109" s="976"/>
      <c r="L109" s="976"/>
      <c r="M109" s="976"/>
    </row>
    <row r="110" spans="1:13" ht="12.75" hidden="1" customHeight="1">
      <c r="A110" s="976"/>
      <c r="B110" s="976"/>
      <c r="C110" s="976"/>
      <c r="D110" s="976"/>
      <c r="E110" s="976"/>
      <c r="F110" s="976"/>
      <c r="G110" s="976"/>
      <c r="H110" s="976"/>
      <c r="I110" s="976"/>
      <c r="J110" s="976"/>
      <c r="K110" s="976"/>
      <c r="L110" s="976"/>
      <c r="M110" s="976"/>
    </row>
    <row r="111" spans="1:13" ht="12.75" hidden="1" customHeight="1">
      <c r="A111" s="976"/>
      <c r="B111" s="976"/>
      <c r="C111" s="976"/>
      <c r="D111" s="976"/>
      <c r="E111" s="976"/>
      <c r="F111" s="976"/>
      <c r="G111" s="976"/>
      <c r="H111" s="976"/>
      <c r="I111" s="976"/>
      <c r="J111" s="976"/>
      <c r="K111" s="976"/>
      <c r="L111" s="976"/>
      <c r="M111" s="976"/>
    </row>
    <row r="112" spans="1:13" ht="12.75" hidden="1" customHeight="1">
      <c r="A112" s="976"/>
      <c r="B112" s="976"/>
      <c r="C112" s="976"/>
      <c r="D112" s="976"/>
      <c r="E112" s="976"/>
      <c r="F112" s="976"/>
      <c r="G112" s="976"/>
      <c r="H112" s="976"/>
      <c r="I112" s="976"/>
      <c r="J112" s="976"/>
      <c r="K112" s="976"/>
      <c r="L112" s="976"/>
      <c r="M112" s="976"/>
    </row>
    <row r="113" spans="1:13" ht="12.75" hidden="1" customHeight="1">
      <c r="A113" s="976"/>
      <c r="B113" s="976"/>
      <c r="C113" s="976"/>
      <c r="D113" s="976"/>
      <c r="E113" s="976"/>
      <c r="F113" s="976"/>
      <c r="G113" s="976"/>
      <c r="H113" s="976"/>
      <c r="I113" s="976"/>
      <c r="J113" s="976"/>
      <c r="K113" s="976"/>
      <c r="L113" s="976"/>
      <c r="M113" s="976"/>
    </row>
    <row r="114" spans="1:13" ht="12.75" hidden="1" customHeight="1">
      <c r="A114" s="976"/>
      <c r="B114" s="976"/>
      <c r="C114" s="976"/>
      <c r="D114" s="976"/>
      <c r="E114" s="976"/>
      <c r="F114" s="976"/>
      <c r="G114" s="976"/>
      <c r="H114" s="976"/>
      <c r="I114" s="976"/>
      <c r="J114" s="976"/>
      <c r="K114" s="976"/>
      <c r="L114" s="976"/>
      <c r="M114" s="976"/>
    </row>
    <row r="115" spans="1:13" ht="12.75" hidden="1" customHeight="1">
      <c r="A115" s="976"/>
      <c r="B115" s="976"/>
      <c r="C115" s="976"/>
      <c r="D115" s="976"/>
      <c r="E115" s="976"/>
      <c r="F115" s="976"/>
      <c r="G115" s="976"/>
      <c r="H115" s="976"/>
      <c r="I115" s="976"/>
      <c r="J115" s="976"/>
      <c r="K115" s="976"/>
      <c r="L115" s="976"/>
      <c r="M115" s="976"/>
    </row>
    <row r="116" spans="1:13" ht="12.75" hidden="1" customHeight="1">
      <c r="A116" s="976"/>
      <c r="B116" s="976"/>
      <c r="C116" s="976"/>
      <c r="D116" s="976"/>
      <c r="E116" s="976"/>
      <c r="F116" s="976"/>
      <c r="G116" s="976"/>
      <c r="H116" s="976"/>
      <c r="I116" s="976"/>
      <c r="J116" s="976"/>
      <c r="K116" s="976"/>
      <c r="L116" s="976"/>
      <c r="M116" s="976"/>
    </row>
    <row r="117" spans="1:13" ht="12.75" hidden="1" customHeight="1">
      <c r="A117" s="976"/>
      <c r="B117" s="976"/>
      <c r="C117" s="976"/>
      <c r="D117" s="976"/>
      <c r="E117" s="976"/>
      <c r="F117" s="976"/>
      <c r="G117" s="976"/>
      <c r="H117" s="976"/>
      <c r="I117" s="976"/>
      <c r="J117" s="976"/>
      <c r="K117" s="976"/>
      <c r="L117" s="976"/>
      <c r="M117" s="976"/>
    </row>
    <row r="118" spans="1:13" ht="12.75" hidden="1" customHeight="1">
      <c r="A118" s="976"/>
      <c r="B118" s="976"/>
      <c r="C118" s="976"/>
      <c r="D118" s="976"/>
      <c r="E118" s="976"/>
      <c r="F118" s="976"/>
      <c r="G118" s="976"/>
      <c r="H118" s="976"/>
      <c r="I118" s="976"/>
      <c r="J118" s="976"/>
      <c r="K118" s="976"/>
      <c r="L118" s="976"/>
      <c r="M118" s="976"/>
    </row>
    <row r="119" spans="1:13" ht="12.75" hidden="1" customHeight="1">
      <c r="A119" s="976"/>
      <c r="B119" s="976"/>
      <c r="C119" s="976"/>
      <c r="D119" s="976"/>
      <c r="E119" s="976"/>
      <c r="F119" s="976"/>
      <c r="G119" s="976"/>
      <c r="H119" s="976"/>
      <c r="I119" s="976"/>
      <c r="J119" s="976"/>
      <c r="K119" s="976"/>
      <c r="L119" s="976"/>
      <c r="M119" s="976"/>
    </row>
    <row r="120" spans="1:13" ht="12.75" hidden="1" customHeight="1">
      <c r="A120" s="976"/>
      <c r="B120" s="976"/>
      <c r="C120" s="976"/>
      <c r="D120" s="976"/>
      <c r="E120" s="976"/>
      <c r="F120" s="976"/>
      <c r="G120" s="976"/>
      <c r="H120" s="976"/>
      <c r="I120" s="976"/>
      <c r="J120" s="976"/>
      <c r="K120" s="976"/>
      <c r="L120" s="976"/>
      <c r="M120" s="976"/>
    </row>
    <row r="121" spans="1:13" ht="12.75" hidden="1" customHeight="1">
      <c r="A121" s="976"/>
      <c r="B121" s="976"/>
      <c r="C121" s="976"/>
      <c r="D121" s="976"/>
      <c r="E121" s="976"/>
      <c r="F121" s="976"/>
      <c r="G121" s="976"/>
      <c r="H121" s="976"/>
      <c r="I121" s="976"/>
      <c r="J121" s="976"/>
      <c r="K121" s="976"/>
      <c r="L121" s="976"/>
      <c r="M121" s="976"/>
    </row>
    <row r="122" spans="1:13" ht="12.75" hidden="1" customHeight="1">
      <c r="A122" s="976"/>
      <c r="B122" s="976"/>
      <c r="C122" s="976"/>
      <c r="D122" s="976"/>
      <c r="E122" s="976"/>
      <c r="F122" s="976"/>
      <c r="G122" s="976"/>
      <c r="H122" s="976"/>
      <c r="I122" s="976"/>
      <c r="J122" s="976"/>
      <c r="K122" s="976"/>
      <c r="L122" s="976"/>
      <c r="M122" s="976"/>
    </row>
    <row r="123" spans="1:13" ht="12.75" hidden="1" customHeight="1">
      <c r="A123" s="976"/>
      <c r="B123" s="976"/>
      <c r="C123" s="976"/>
      <c r="D123" s="976"/>
      <c r="E123" s="976"/>
      <c r="F123" s="976"/>
      <c r="G123" s="976"/>
      <c r="H123" s="976"/>
      <c r="I123" s="976"/>
      <c r="J123" s="976"/>
      <c r="K123" s="976"/>
      <c r="L123" s="976"/>
      <c r="M123" s="976"/>
    </row>
    <row r="124" spans="1:13" ht="12.75" hidden="1" customHeight="1">
      <c r="A124" s="976"/>
      <c r="B124" s="976"/>
      <c r="C124" s="976"/>
      <c r="D124" s="976"/>
      <c r="E124" s="976"/>
      <c r="F124" s="976"/>
      <c r="G124" s="976"/>
      <c r="H124" s="976"/>
      <c r="I124" s="976"/>
      <c r="J124" s="976"/>
      <c r="K124" s="976"/>
      <c r="L124" s="976"/>
      <c r="M124" s="976"/>
    </row>
    <row r="125" spans="1:13" ht="12.75" hidden="1" customHeight="1">
      <c r="A125" s="976"/>
      <c r="B125" s="976"/>
      <c r="C125" s="976"/>
      <c r="D125" s="976"/>
      <c r="E125" s="976"/>
      <c r="F125" s="976"/>
      <c r="G125" s="976"/>
      <c r="H125" s="976"/>
      <c r="I125" s="976"/>
      <c r="J125" s="976"/>
      <c r="K125" s="976"/>
      <c r="L125" s="976"/>
      <c r="M125" s="976"/>
    </row>
    <row r="126" spans="1:13" ht="12.75" hidden="1" customHeight="1">
      <c r="A126" s="976"/>
      <c r="B126" s="976"/>
      <c r="C126" s="976"/>
      <c r="D126" s="976"/>
      <c r="E126" s="976"/>
      <c r="F126" s="976"/>
      <c r="G126" s="976"/>
      <c r="H126" s="976"/>
      <c r="I126" s="976"/>
      <c r="J126" s="976"/>
      <c r="K126" s="976"/>
      <c r="L126" s="976"/>
      <c r="M126" s="976"/>
    </row>
    <row r="127" spans="1:13" ht="12.75" hidden="1" customHeight="1">
      <c r="A127" s="976"/>
      <c r="B127" s="976"/>
      <c r="C127" s="976"/>
      <c r="D127" s="976"/>
      <c r="E127" s="976"/>
      <c r="F127" s="976"/>
      <c r="G127" s="976"/>
      <c r="H127" s="976"/>
      <c r="I127" s="976"/>
      <c r="J127" s="976"/>
      <c r="K127" s="976"/>
      <c r="L127" s="976"/>
      <c r="M127" s="976"/>
    </row>
    <row r="128" spans="1:13" ht="12.75" hidden="1" customHeight="1">
      <c r="A128" s="976"/>
      <c r="B128" s="976"/>
      <c r="C128" s="976"/>
      <c r="D128" s="976"/>
      <c r="E128" s="976"/>
      <c r="F128" s="976"/>
      <c r="G128" s="976"/>
      <c r="H128" s="976"/>
      <c r="I128" s="976"/>
      <c r="J128" s="976"/>
      <c r="K128" s="976"/>
      <c r="L128" s="976"/>
      <c r="M128" s="976"/>
    </row>
    <row r="129" spans="1:13" ht="12.75" hidden="1" customHeight="1">
      <c r="A129" s="976"/>
      <c r="B129" s="976"/>
      <c r="C129" s="976"/>
      <c r="D129" s="976"/>
      <c r="E129" s="976"/>
      <c r="F129" s="976"/>
      <c r="G129" s="976"/>
      <c r="H129" s="976"/>
      <c r="I129" s="976"/>
      <c r="J129" s="976"/>
      <c r="K129" s="976"/>
      <c r="L129" s="976"/>
      <c r="M129" s="976"/>
    </row>
    <row r="130" spans="1:13" ht="12.75" hidden="1" customHeight="1">
      <c r="A130" s="976"/>
      <c r="B130" s="976"/>
      <c r="C130" s="976"/>
      <c r="D130" s="976"/>
      <c r="E130" s="976"/>
      <c r="F130" s="976"/>
      <c r="G130" s="976"/>
      <c r="H130" s="976"/>
      <c r="I130" s="976"/>
      <c r="J130" s="976"/>
      <c r="K130" s="976"/>
      <c r="L130" s="976"/>
      <c r="M130" s="976"/>
    </row>
    <row r="131" spans="1:13" ht="12.75" hidden="1" customHeight="1">
      <c r="A131" s="976"/>
      <c r="B131" s="976"/>
      <c r="C131" s="976"/>
      <c r="D131" s="976"/>
      <c r="E131" s="976"/>
      <c r="F131" s="976"/>
      <c r="G131" s="976"/>
      <c r="H131" s="976"/>
      <c r="I131" s="976"/>
      <c r="J131" s="976"/>
      <c r="K131" s="976"/>
      <c r="L131" s="976"/>
      <c r="M131" s="976"/>
    </row>
    <row r="132" spans="1:13" ht="12.75" hidden="1" customHeight="1">
      <c r="A132" s="976"/>
      <c r="B132" s="976"/>
      <c r="C132" s="976"/>
      <c r="D132" s="976"/>
      <c r="E132" s="976"/>
      <c r="F132" s="976"/>
      <c r="G132" s="976"/>
      <c r="H132" s="976"/>
      <c r="I132" s="976"/>
      <c r="J132" s="976"/>
      <c r="K132" s="976"/>
      <c r="L132" s="976"/>
      <c r="M132" s="976"/>
    </row>
    <row r="133" spans="1:13" ht="12.75" hidden="1" customHeight="1">
      <c r="A133" s="976"/>
      <c r="B133" s="976"/>
      <c r="C133" s="976"/>
      <c r="D133" s="976"/>
      <c r="E133" s="976"/>
      <c r="F133" s="976"/>
      <c r="G133" s="976"/>
      <c r="H133" s="976"/>
      <c r="I133" s="976"/>
      <c r="J133" s="976"/>
      <c r="K133" s="976"/>
      <c r="L133" s="976"/>
      <c r="M133" s="976"/>
    </row>
    <row r="134" spans="1:13" ht="12.75" hidden="1" customHeight="1">
      <c r="A134" s="976"/>
      <c r="B134" s="976"/>
      <c r="C134" s="976"/>
      <c r="D134" s="976"/>
      <c r="E134" s="976"/>
      <c r="F134" s="976"/>
      <c r="G134" s="976"/>
      <c r="H134" s="976"/>
      <c r="I134" s="976"/>
      <c r="J134" s="976"/>
      <c r="K134" s="976"/>
      <c r="L134" s="976"/>
      <c r="M134" s="976"/>
    </row>
    <row r="135" spans="1:13" ht="12.75" hidden="1" customHeight="1">
      <c r="A135" s="976"/>
      <c r="B135" s="976"/>
      <c r="C135" s="976"/>
      <c r="D135" s="976"/>
      <c r="E135" s="976"/>
      <c r="F135" s="976"/>
      <c r="G135" s="976"/>
      <c r="H135" s="976"/>
      <c r="I135" s="976"/>
      <c r="J135" s="976"/>
      <c r="K135" s="976"/>
      <c r="L135" s="976"/>
      <c r="M135" s="976"/>
    </row>
    <row r="136" spans="1:13" ht="12.75" hidden="1" customHeight="1">
      <c r="A136" s="976"/>
      <c r="B136" s="976"/>
      <c r="C136" s="976"/>
      <c r="D136" s="976"/>
      <c r="E136" s="976"/>
      <c r="F136" s="976"/>
      <c r="G136" s="976"/>
      <c r="H136" s="976"/>
      <c r="I136" s="976"/>
      <c r="J136" s="976"/>
      <c r="K136" s="976"/>
      <c r="L136" s="976"/>
      <c r="M136" s="976"/>
    </row>
    <row r="137" spans="1:13" ht="12.75" hidden="1" customHeight="1">
      <c r="A137" s="976"/>
      <c r="B137" s="976"/>
      <c r="C137" s="976"/>
      <c r="D137" s="976"/>
      <c r="E137" s="976"/>
      <c r="F137" s="976"/>
      <c r="G137" s="976"/>
      <c r="H137" s="976"/>
      <c r="I137" s="976"/>
      <c r="J137" s="976"/>
      <c r="K137" s="976"/>
      <c r="L137" s="976"/>
      <c r="M137" s="976"/>
    </row>
    <row r="138" spans="1:13" ht="12.75" hidden="1" customHeight="1">
      <c r="A138" s="976"/>
      <c r="B138" s="976"/>
      <c r="C138" s="976"/>
      <c r="D138" s="976"/>
      <c r="E138" s="976"/>
      <c r="F138" s="976"/>
      <c r="G138" s="976"/>
      <c r="H138" s="976"/>
      <c r="I138" s="976"/>
      <c r="J138" s="976"/>
      <c r="K138" s="976"/>
      <c r="L138" s="976"/>
      <c r="M138" s="976"/>
    </row>
    <row r="139" spans="1:13" ht="12.75" hidden="1" customHeight="1">
      <c r="A139" s="976"/>
      <c r="B139" s="976"/>
      <c r="C139" s="976"/>
      <c r="D139" s="976"/>
      <c r="E139" s="976"/>
      <c r="F139" s="976"/>
      <c r="G139" s="976"/>
      <c r="H139" s="976"/>
      <c r="I139" s="976"/>
      <c r="J139" s="976"/>
      <c r="K139" s="976"/>
      <c r="L139" s="976"/>
      <c r="M139" s="976"/>
    </row>
    <row r="140" spans="1:13" ht="12.75" hidden="1" customHeight="1">
      <c r="A140" s="976"/>
      <c r="B140" s="976"/>
      <c r="C140" s="976"/>
      <c r="D140" s="976"/>
      <c r="E140" s="976"/>
      <c r="F140" s="976"/>
      <c r="G140" s="976"/>
      <c r="H140" s="976"/>
      <c r="I140" s="976"/>
      <c r="J140" s="976"/>
      <c r="K140" s="976"/>
      <c r="L140" s="976"/>
      <c r="M140" s="976"/>
    </row>
    <row r="141" spans="1:13" ht="12.75" hidden="1" customHeight="1">
      <c r="A141" s="976"/>
      <c r="B141" s="976"/>
      <c r="C141" s="976"/>
      <c r="D141" s="976"/>
      <c r="E141" s="976"/>
      <c r="F141" s="976"/>
      <c r="G141" s="976"/>
      <c r="H141" s="976"/>
      <c r="I141" s="976"/>
      <c r="J141" s="976"/>
      <c r="K141" s="976"/>
      <c r="L141" s="976"/>
      <c r="M141" s="976"/>
    </row>
    <row r="142" spans="1:13" ht="12.75" hidden="1" customHeight="1">
      <c r="A142" s="976"/>
      <c r="B142" s="976"/>
      <c r="C142" s="976"/>
      <c r="D142" s="976"/>
      <c r="E142" s="976"/>
      <c r="F142" s="976"/>
      <c r="G142" s="976"/>
      <c r="H142" s="976"/>
      <c r="I142" s="976"/>
      <c r="J142" s="976"/>
      <c r="K142" s="976"/>
      <c r="L142" s="976"/>
      <c r="M142" s="976"/>
    </row>
    <row r="143" spans="1:13" ht="12.75" hidden="1" customHeight="1">
      <c r="A143" s="976"/>
      <c r="B143" s="976"/>
      <c r="C143" s="976"/>
      <c r="D143" s="976"/>
      <c r="E143" s="976"/>
      <c r="F143" s="976"/>
      <c r="G143" s="976"/>
      <c r="H143" s="976"/>
      <c r="I143" s="976"/>
      <c r="J143" s="976"/>
      <c r="K143" s="976"/>
      <c r="L143" s="976"/>
      <c r="M143" s="976"/>
    </row>
    <row r="144" spans="1:13" ht="12.75" hidden="1" customHeight="1">
      <c r="A144" s="976"/>
      <c r="B144" s="976"/>
      <c r="C144" s="976"/>
      <c r="D144" s="976"/>
      <c r="E144" s="976"/>
      <c r="F144" s="976"/>
      <c r="G144" s="976"/>
      <c r="H144" s="976"/>
      <c r="I144" s="976"/>
      <c r="J144" s="976"/>
      <c r="K144" s="976"/>
      <c r="L144" s="976"/>
      <c r="M144" s="976"/>
    </row>
    <row r="145" spans="1:13" ht="12.75" hidden="1" customHeight="1">
      <c r="A145" s="976"/>
      <c r="B145" s="976"/>
      <c r="C145" s="976"/>
      <c r="D145" s="976"/>
      <c r="E145" s="976"/>
      <c r="F145" s="976"/>
      <c r="G145" s="976"/>
      <c r="H145" s="976"/>
      <c r="I145" s="976"/>
      <c r="J145" s="976"/>
      <c r="K145" s="976"/>
      <c r="L145" s="976"/>
      <c r="M145" s="976"/>
    </row>
    <row r="146" spans="1:13" ht="12.75" hidden="1" customHeight="1">
      <c r="A146" s="976"/>
      <c r="B146" s="976"/>
      <c r="C146" s="976"/>
      <c r="D146" s="976"/>
      <c r="E146" s="976"/>
      <c r="F146" s="976"/>
      <c r="G146" s="976"/>
      <c r="H146" s="976"/>
      <c r="I146" s="976"/>
      <c r="J146" s="976"/>
      <c r="K146" s="976"/>
      <c r="L146" s="976"/>
      <c r="M146" s="976"/>
    </row>
    <row r="147" spans="1:13" ht="12.75" hidden="1" customHeight="1">
      <c r="A147" s="976"/>
      <c r="B147" s="976"/>
      <c r="C147" s="976"/>
      <c r="D147" s="976"/>
      <c r="E147" s="976"/>
      <c r="F147" s="976"/>
      <c r="G147" s="976"/>
      <c r="H147" s="976"/>
      <c r="I147" s="976"/>
      <c r="J147" s="976"/>
      <c r="K147" s="976"/>
      <c r="L147" s="976"/>
      <c r="M147" s="976"/>
    </row>
    <row r="148" spans="1:13" ht="12.75" hidden="1" customHeight="1">
      <c r="A148" s="976"/>
      <c r="B148" s="976"/>
      <c r="C148" s="976"/>
      <c r="D148" s="976"/>
      <c r="E148" s="976"/>
      <c r="F148" s="976"/>
      <c r="G148" s="976"/>
      <c r="H148" s="976"/>
      <c r="I148" s="976"/>
      <c r="J148" s="976"/>
      <c r="K148" s="976"/>
      <c r="L148" s="976"/>
      <c r="M148" s="976"/>
    </row>
    <row r="149" spans="1:13" ht="12.75" hidden="1" customHeight="1">
      <c r="A149" s="976"/>
      <c r="B149" s="976"/>
      <c r="C149" s="976"/>
      <c r="D149" s="976"/>
      <c r="E149" s="976"/>
      <c r="F149" s="976"/>
      <c r="G149" s="976"/>
      <c r="H149" s="976"/>
      <c r="I149" s="976"/>
      <c r="J149" s="976"/>
      <c r="K149" s="976"/>
      <c r="L149" s="976"/>
      <c r="M149" s="976"/>
    </row>
    <row r="150" spans="1:13" ht="12.75" hidden="1" customHeight="1">
      <c r="A150" s="976"/>
      <c r="B150" s="976"/>
      <c r="C150" s="976"/>
      <c r="D150" s="976"/>
      <c r="E150" s="976"/>
      <c r="F150" s="976"/>
      <c r="G150" s="976"/>
      <c r="H150" s="976"/>
      <c r="I150" s="976"/>
      <c r="J150" s="976"/>
      <c r="K150" s="976"/>
      <c r="L150" s="976"/>
      <c r="M150" s="976"/>
    </row>
    <row r="151" spans="1:13" ht="12.75" hidden="1" customHeight="1">
      <c r="A151" s="976"/>
      <c r="B151" s="976"/>
      <c r="C151" s="976"/>
      <c r="D151" s="976"/>
      <c r="E151" s="976"/>
      <c r="F151" s="976"/>
      <c r="G151" s="976"/>
      <c r="H151" s="976"/>
      <c r="I151" s="976"/>
      <c r="J151" s="976"/>
      <c r="K151" s="976"/>
      <c r="L151" s="976"/>
      <c r="M151" s="976"/>
    </row>
    <row r="152" spans="1:13" ht="12.75" hidden="1" customHeight="1">
      <c r="A152" s="976"/>
      <c r="B152" s="976"/>
      <c r="C152" s="976"/>
      <c r="D152" s="976"/>
      <c r="E152" s="976"/>
      <c r="F152" s="976"/>
      <c r="G152" s="976"/>
      <c r="H152" s="976"/>
      <c r="I152" s="976"/>
      <c r="J152" s="976"/>
      <c r="K152" s="976"/>
      <c r="L152" s="976"/>
      <c r="M152" s="976"/>
    </row>
    <row r="153" spans="1:13" ht="12.75" hidden="1" customHeight="1">
      <c r="A153" s="976"/>
      <c r="B153" s="976"/>
      <c r="C153" s="976"/>
      <c r="D153" s="976"/>
      <c r="E153" s="976"/>
      <c r="F153" s="976"/>
      <c r="G153" s="976"/>
      <c r="H153" s="976"/>
      <c r="I153" s="976"/>
      <c r="J153" s="976"/>
      <c r="K153" s="976"/>
      <c r="L153" s="976"/>
      <c r="M153" s="976"/>
    </row>
    <row r="154" spans="1:13" ht="12.75" hidden="1" customHeight="1">
      <c r="A154" s="976"/>
      <c r="B154" s="976"/>
      <c r="C154" s="976"/>
      <c r="D154" s="976"/>
      <c r="E154" s="976"/>
      <c r="F154" s="976"/>
      <c r="G154" s="976"/>
      <c r="H154" s="976"/>
      <c r="I154" s="976"/>
      <c r="J154" s="976"/>
      <c r="K154" s="976"/>
      <c r="L154" s="976"/>
      <c r="M154" s="976"/>
    </row>
    <row r="155" spans="1:13" ht="12.75" hidden="1" customHeight="1">
      <c r="A155" s="976"/>
      <c r="B155" s="976"/>
      <c r="C155" s="976"/>
      <c r="D155" s="976"/>
      <c r="E155" s="976"/>
      <c r="F155" s="976"/>
      <c r="G155" s="976"/>
      <c r="H155" s="976"/>
      <c r="I155" s="976"/>
      <c r="J155" s="976"/>
      <c r="K155" s="976"/>
      <c r="L155" s="976"/>
      <c r="M155" s="976"/>
    </row>
    <row r="156" spans="1:13" ht="12.75" hidden="1" customHeight="1">
      <c r="A156" s="976"/>
      <c r="B156" s="976"/>
      <c r="C156" s="976"/>
      <c r="D156" s="976"/>
      <c r="E156" s="976"/>
      <c r="F156" s="976"/>
      <c r="G156" s="976"/>
      <c r="H156" s="976"/>
      <c r="I156" s="976"/>
      <c r="J156" s="976"/>
      <c r="K156" s="976"/>
      <c r="L156" s="976"/>
      <c r="M156" s="976"/>
    </row>
    <row r="157" spans="1:13" ht="12.75" hidden="1" customHeight="1">
      <c r="A157" s="976"/>
      <c r="B157" s="976"/>
      <c r="C157" s="976"/>
      <c r="D157" s="976"/>
      <c r="E157" s="976"/>
      <c r="F157" s="976"/>
      <c r="G157" s="976"/>
      <c r="H157" s="976"/>
      <c r="I157" s="976"/>
      <c r="J157" s="976"/>
      <c r="K157" s="976"/>
      <c r="L157" s="976"/>
      <c r="M157" s="976"/>
    </row>
    <row r="158" spans="1:13" ht="12.75" hidden="1" customHeight="1">
      <c r="A158" s="976"/>
      <c r="B158" s="976"/>
      <c r="C158" s="976"/>
      <c r="D158" s="976"/>
      <c r="E158" s="976"/>
      <c r="F158" s="976"/>
      <c r="G158" s="976"/>
      <c r="H158" s="976"/>
      <c r="I158" s="976"/>
      <c r="J158" s="976"/>
      <c r="K158" s="976"/>
      <c r="L158" s="976"/>
      <c r="M158" s="976"/>
    </row>
    <row r="159" spans="1:13" ht="12.75" hidden="1" customHeight="1">
      <c r="A159" s="976"/>
      <c r="B159" s="976"/>
      <c r="C159" s="976"/>
      <c r="D159" s="976"/>
      <c r="E159" s="976"/>
      <c r="F159" s="976"/>
      <c r="G159" s="976"/>
      <c r="H159" s="976"/>
      <c r="I159" s="976"/>
      <c r="J159" s="976"/>
      <c r="K159" s="976"/>
      <c r="L159" s="976"/>
      <c r="M159" s="976"/>
    </row>
    <row r="160" spans="1:13" ht="12.75" hidden="1" customHeight="1">
      <c r="A160" s="976"/>
      <c r="B160" s="976"/>
      <c r="C160" s="976"/>
      <c r="D160" s="976"/>
      <c r="E160" s="976"/>
      <c r="F160" s="976"/>
      <c r="G160" s="976"/>
      <c r="H160" s="976"/>
      <c r="I160" s="976"/>
      <c r="J160" s="976"/>
      <c r="K160" s="976"/>
      <c r="L160" s="976"/>
      <c r="M160" s="976"/>
    </row>
    <row r="161" spans="1:13" ht="12.75" hidden="1" customHeight="1">
      <c r="A161" s="976"/>
      <c r="B161" s="976"/>
      <c r="C161" s="976"/>
      <c r="D161" s="976"/>
      <c r="E161" s="976"/>
      <c r="F161" s="976"/>
      <c r="G161" s="976"/>
      <c r="H161" s="976"/>
      <c r="I161" s="976"/>
      <c r="J161" s="976"/>
      <c r="K161" s="976"/>
      <c r="L161" s="976"/>
      <c r="M161" s="976"/>
    </row>
    <row r="162" spans="1:13" ht="12.75" hidden="1" customHeight="1">
      <c r="A162" s="976"/>
      <c r="B162" s="976"/>
      <c r="C162" s="976"/>
      <c r="D162" s="976"/>
      <c r="E162" s="976"/>
      <c r="F162" s="976"/>
      <c r="G162" s="976"/>
      <c r="H162" s="976"/>
      <c r="I162" s="976"/>
      <c r="J162" s="976"/>
      <c r="K162" s="976"/>
      <c r="L162" s="976"/>
      <c r="M162" s="976"/>
    </row>
    <row r="163" spans="1:13" ht="12.75" hidden="1" customHeight="1">
      <c r="A163" s="976"/>
      <c r="B163" s="976"/>
      <c r="C163" s="976"/>
      <c r="D163" s="976"/>
      <c r="E163" s="976"/>
      <c r="F163" s="976"/>
      <c r="G163" s="976"/>
      <c r="H163" s="976"/>
      <c r="I163" s="976"/>
      <c r="J163" s="976"/>
      <c r="K163" s="976"/>
      <c r="L163" s="976"/>
      <c r="M163" s="976"/>
    </row>
    <row r="164" spans="1:13" ht="12.75" hidden="1" customHeight="1">
      <c r="A164" s="976"/>
      <c r="B164" s="976"/>
      <c r="C164" s="976"/>
      <c r="D164" s="976"/>
      <c r="E164" s="976"/>
      <c r="F164" s="976"/>
      <c r="G164" s="976"/>
      <c r="H164" s="976"/>
      <c r="I164" s="976"/>
      <c r="J164" s="976"/>
      <c r="K164" s="976"/>
      <c r="L164" s="976"/>
      <c r="M164" s="976"/>
    </row>
    <row r="165" spans="1:13" ht="12.75" hidden="1" customHeight="1">
      <c r="A165" s="976"/>
      <c r="B165" s="976"/>
      <c r="C165" s="976"/>
      <c r="D165" s="976"/>
      <c r="E165" s="976"/>
      <c r="F165" s="976"/>
      <c r="G165" s="976"/>
      <c r="H165" s="976"/>
      <c r="I165" s="976"/>
      <c r="J165" s="976"/>
      <c r="K165" s="976"/>
      <c r="L165" s="976"/>
      <c r="M165" s="976"/>
    </row>
    <row r="166" spans="1:13" ht="12.75" hidden="1" customHeight="1">
      <c r="A166" s="976"/>
      <c r="B166" s="976"/>
      <c r="C166" s="976"/>
      <c r="D166" s="976"/>
      <c r="E166" s="976"/>
      <c r="F166" s="976"/>
      <c r="G166" s="976"/>
      <c r="H166" s="976"/>
      <c r="I166" s="976"/>
      <c r="J166" s="976"/>
      <c r="K166" s="976"/>
      <c r="L166" s="976"/>
      <c r="M166" s="976"/>
    </row>
    <row r="167" spans="1:13" ht="12.75" hidden="1" customHeight="1">
      <c r="A167" s="976"/>
      <c r="B167" s="976"/>
      <c r="C167" s="976"/>
      <c r="D167" s="976"/>
      <c r="E167" s="976"/>
      <c r="F167" s="976"/>
      <c r="G167" s="976"/>
      <c r="H167" s="976"/>
      <c r="I167" s="976"/>
      <c r="J167" s="976"/>
      <c r="K167" s="976"/>
      <c r="L167" s="976"/>
      <c r="M167" s="976"/>
    </row>
    <row r="168" spans="1:13" ht="12.75" hidden="1" customHeight="1">
      <c r="A168" s="976"/>
      <c r="B168" s="976"/>
      <c r="C168" s="976"/>
      <c r="D168" s="976"/>
      <c r="E168" s="976"/>
      <c r="F168" s="976"/>
      <c r="G168" s="976"/>
      <c r="H168" s="976"/>
      <c r="I168" s="976"/>
      <c r="J168" s="976"/>
      <c r="K168" s="976"/>
      <c r="L168" s="976"/>
      <c r="M168" s="976"/>
    </row>
    <row r="169" spans="1:13" ht="12.75" hidden="1" customHeight="1">
      <c r="A169" s="976"/>
      <c r="B169" s="976"/>
      <c r="C169" s="976"/>
      <c r="D169" s="976"/>
      <c r="E169" s="976"/>
      <c r="F169" s="976"/>
      <c r="G169" s="976"/>
      <c r="H169" s="976"/>
      <c r="I169" s="976"/>
      <c r="J169" s="976"/>
      <c r="K169" s="976"/>
      <c r="L169" s="976"/>
      <c r="M169" s="976"/>
    </row>
    <row r="170" spans="1:13" ht="12.75" hidden="1" customHeight="1">
      <c r="A170" s="976"/>
      <c r="B170" s="976"/>
      <c r="C170" s="976"/>
      <c r="D170" s="976"/>
      <c r="E170" s="976"/>
      <c r="F170" s="976"/>
      <c r="G170" s="976"/>
      <c r="H170" s="976"/>
      <c r="I170" s="976"/>
      <c r="J170" s="976"/>
      <c r="K170" s="976"/>
      <c r="L170" s="976"/>
      <c r="M170" s="976"/>
    </row>
    <row r="171" spans="1:13" ht="12.75" hidden="1" customHeight="1">
      <c r="A171" s="976"/>
      <c r="B171" s="976"/>
      <c r="C171" s="976"/>
      <c r="D171" s="976"/>
      <c r="E171" s="976"/>
      <c r="F171" s="976"/>
      <c r="G171" s="976"/>
      <c r="H171" s="976"/>
      <c r="I171" s="976"/>
      <c r="J171" s="976"/>
      <c r="K171" s="976"/>
      <c r="L171" s="976"/>
      <c r="M171" s="976"/>
    </row>
    <row r="172" spans="1:13" ht="12.75" hidden="1" customHeight="1">
      <c r="A172" s="976"/>
      <c r="B172" s="976"/>
      <c r="C172" s="976"/>
      <c r="D172" s="976"/>
      <c r="E172" s="976"/>
      <c r="F172" s="976"/>
      <c r="G172" s="976"/>
      <c r="H172" s="976"/>
      <c r="I172" s="976"/>
      <c r="J172" s="976"/>
      <c r="K172" s="976"/>
      <c r="L172" s="976"/>
      <c r="M172" s="976"/>
    </row>
    <row r="173" spans="1:13" ht="12.75" hidden="1" customHeight="1">
      <c r="A173" s="976"/>
      <c r="B173" s="976"/>
      <c r="C173" s="976"/>
      <c r="D173" s="976"/>
      <c r="E173" s="976"/>
      <c r="F173" s="976"/>
      <c r="G173" s="976"/>
      <c r="H173" s="976"/>
      <c r="I173" s="976"/>
      <c r="J173" s="976"/>
      <c r="K173" s="976"/>
      <c r="L173" s="976"/>
      <c r="M173" s="976"/>
    </row>
    <row r="174" spans="1:13" ht="12.75" hidden="1" customHeight="1">
      <c r="A174" s="976"/>
      <c r="B174" s="976"/>
      <c r="C174" s="976"/>
      <c r="D174" s="976"/>
      <c r="E174" s="976"/>
      <c r="F174" s="976"/>
      <c r="G174" s="976"/>
      <c r="H174" s="976"/>
      <c r="I174" s="976"/>
      <c r="J174" s="976"/>
      <c r="K174" s="976"/>
      <c r="L174" s="976"/>
      <c r="M174" s="976"/>
    </row>
    <row r="175" spans="1:13" ht="12.75" hidden="1" customHeight="1">
      <c r="A175" s="976"/>
      <c r="B175" s="976"/>
      <c r="C175" s="976"/>
      <c r="D175" s="976"/>
      <c r="E175" s="976"/>
      <c r="F175" s="976"/>
      <c r="G175" s="976"/>
      <c r="H175" s="976"/>
      <c r="I175" s="976"/>
      <c r="J175" s="976"/>
      <c r="K175" s="976"/>
      <c r="L175" s="976"/>
      <c r="M175" s="976"/>
    </row>
    <row r="176" spans="1:13" ht="12.75" hidden="1" customHeight="1">
      <c r="A176" s="976"/>
      <c r="B176" s="976"/>
      <c r="C176" s="976"/>
      <c r="D176" s="976"/>
      <c r="E176" s="976"/>
      <c r="F176" s="976"/>
      <c r="G176" s="976"/>
      <c r="H176" s="976"/>
      <c r="I176" s="976"/>
      <c r="J176" s="976"/>
      <c r="K176" s="976"/>
      <c r="L176" s="976"/>
      <c r="M176" s="976"/>
    </row>
    <row r="177" spans="1:13" ht="12.75" hidden="1" customHeight="1">
      <c r="A177" s="976"/>
      <c r="B177" s="976"/>
      <c r="C177" s="976"/>
      <c r="D177" s="976"/>
      <c r="E177" s="976"/>
      <c r="F177" s="976"/>
      <c r="G177" s="976"/>
      <c r="H177" s="976"/>
      <c r="I177" s="976"/>
      <c r="J177" s="976"/>
      <c r="K177" s="976"/>
      <c r="L177" s="976"/>
      <c r="M177" s="976"/>
    </row>
    <row r="178" spans="1:13" ht="12.75" hidden="1" customHeight="1">
      <c r="A178" s="976"/>
      <c r="B178" s="976"/>
      <c r="C178" s="976"/>
      <c r="D178" s="976"/>
      <c r="E178" s="976"/>
      <c r="F178" s="976"/>
      <c r="G178" s="976"/>
      <c r="H178" s="976"/>
      <c r="I178" s="976"/>
      <c r="J178" s="976"/>
      <c r="K178" s="976"/>
      <c r="L178" s="976"/>
      <c r="M178" s="976"/>
    </row>
    <row r="179" spans="1:13" ht="12.75" hidden="1" customHeight="1">
      <c r="A179" s="976"/>
      <c r="B179" s="976"/>
      <c r="C179" s="976"/>
      <c r="D179" s="976"/>
      <c r="E179" s="976"/>
      <c r="F179" s="976"/>
      <c r="G179" s="976"/>
      <c r="H179" s="976"/>
      <c r="I179" s="976"/>
      <c r="J179" s="976"/>
      <c r="K179" s="976"/>
      <c r="L179" s="976"/>
      <c r="M179" s="976"/>
    </row>
    <row r="180" spans="1:13" ht="12.75" hidden="1" customHeight="1">
      <c r="A180" s="976"/>
      <c r="B180" s="976"/>
      <c r="C180" s="976"/>
      <c r="D180" s="976"/>
      <c r="E180" s="976"/>
      <c r="F180" s="976"/>
      <c r="G180" s="976"/>
      <c r="H180" s="976"/>
      <c r="I180" s="976"/>
      <c r="J180" s="976"/>
      <c r="K180" s="976"/>
      <c r="L180" s="976"/>
      <c r="M180" s="976"/>
    </row>
    <row r="181" spans="1:13" ht="12.75" hidden="1" customHeight="1">
      <c r="A181" s="976"/>
      <c r="B181" s="976"/>
      <c r="C181" s="976"/>
      <c r="D181" s="976"/>
      <c r="E181" s="976"/>
      <c r="F181" s="976"/>
      <c r="G181" s="976"/>
      <c r="H181" s="976"/>
      <c r="I181" s="976"/>
      <c r="J181" s="976"/>
      <c r="K181" s="976"/>
      <c r="L181" s="976"/>
      <c r="M181" s="976"/>
    </row>
    <row r="182" spans="1:13" ht="12.75" hidden="1" customHeight="1">
      <c r="A182" s="976"/>
      <c r="B182" s="976"/>
      <c r="C182" s="976"/>
      <c r="D182" s="976"/>
      <c r="E182" s="976"/>
      <c r="F182" s="976"/>
      <c r="G182" s="976"/>
      <c r="H182" s="976"/>
      <c r="I182" s="976"/>
      <c r="J182" s="976"/>
      <c r="K182" s="976"/>
      <c r="L182" s="976"/>
      <c r="M182" s="976"/>
    </row>
    <row r="183" spans="1:13" ht="12.75" hidden="1" customHeight="1">
      <c r="A183" s="976"/>
      <c r="B183" s="976"/>
      <c r="C183" s="976"/>
      <c r="D183" s="976"/>
      <c r="E183" s="976"/>
      <c r="F183" s="976"/>
      <c r="G183" s="976"/>
      <c r="H183" s="976"/>
      <c r="I183" s="976"/>
      <c r="J183" s="976"/>
      <c r="K183" s="976"/>
      <c r="L183" s="976"/>
      <c r="M183" s="976"/>
    </row>
    <row r="184" spans="1:13" ht="12.75" hidden="1" customHeight="1">
      <c r="A184" s="976"/>
      <c r="B184" s="976"/>
      <c r="C184" s="976"/>
      <c r="D184" s="976"/>
      <c r="E184" s="976"/>
      <c r="F184" s="976"/>
      <c r="G184" s="976"/>
      <c r="H184" s="976"/>
      <c r="I184" s="976"/>
      <c r="J184" s="976"/>
      <c r="K184" s="976"/>
      <c r="L184" s="976"/>
      <c r="M184" s="976"/>
    </row>
    <row r="185" spans="1:13" ht="12.75" hidden="1" customHeight="1">
      <c r="A185" s="976"/>
      <c r="B185" s="976"/>
      <c r="C185" s="976"/>
      <c r="D185" s="976"/>
      <c r="E185" s="976"/>
      <c r="F185" s="976"/>
      <c r="G185" s="976"/>
      <c r="H185" s="976"/>
      <c r="I185" s="976"/>
      <c r="J185" s="976"/>
      <c r="K185" s="976"/>
      <c r="L185" s="976"/>
      <c r="M185" s="976"/>
    </row>
    <row r="186" spans="1:13" ht="12.75" hidden="1" customHeight="1">
      <c r="A186" s="976"/>
      <c r="B186" s="976"/>
      <c r="C186" s="976"/>
      <c r="D186" s="976"/>
      <c r="E186" s="976"/>
      <c r="F186" s="976"/>
      <c r="G186" s="976"/>
      <c r="H186" s="976"/>
      <c r="I186" s="976"/>
      <c r="J186" s="976"/>
      <c r="K186" s="976"/>
      <c r="L186" s="976"/>
      <c r="M186" s="976"/>
    </row>
    <row r="187" spans="1:13" ht="12.75" hidden="1" customHeight="1">
      <c r="A187" s="976"/>
      <c r="B187" s="976"/>
      <c r="C187" s="976"/>
      <c r="D187" s="976"/>
      <c r="E187" s="976"/>
      <c r="F187" s="976"/>
      <c r="G187" s="976"/>
      <c r="H187" s="976"/>
      <c r="I187" s="976"/>
      <c r="J187" s="976"/>
      <c r="K187" s="976"/>
      <c r="L187" s="976"/>
      <c r="M187" s="976"/>
    </row>
    <row r="188" spans="1:13" ht="12.75" hidden="1" customHeight="1">
      <c r="A188" s="976"/>
      <c r="B188" s="976"/>
      <c r="C188" s="976"/>
      <c r="D188" s="976"/>
      <c r="E188" s="976"/>
      <c r="F188" s="976"/>
      <c r="G188" s="976"/>
      <c r="H188" s="976"/>
      <c r="I188" s="976"/>
      <c r="J188" s="976"/>
      <c r="K188" s="976"/>
      <c r="L188" s="976"/>
      <c r="M188" s="976"/>
    </row>
    <row r="189" spans="1:13" ht="12.75" hidden="1" customHeight="1">
      <c r="A189" s="976"/>
      <c r="B189" s="976"/>
      <c r="C189" s="976"/>
      <c r="D189" s="976"/>
      <c r="E189" s="976"/>
      <c r="F189" s="976"/>
      <c r="G189" s="976"/>
      <c r="H189" s="976"/>
      <c r="I189" s="976"/>
      <c r="J189" s="976"/>
      <c r="K189" s="976"/>
      <c r="L189" s="976"/>
      <c r="M189" s="976"/>
    </row>
    <row r="190" spans="1:13" ht="12.75" hidden="1" customHeight="1">
      <c r="A190" s="976"/>
      <c r="B190" s="976"/>
      <c r="C190" s="976"/>
      <c r="D190" s="976"/>
      <c r="E190" s="976"/>
      <c r="F190" s="976"/>
      <c r="G190" s="976"/>
      <c r="H190" s="976"/>
      <c r="I190" s="976"/>
      <c r="J190" s="976"/>
      <c r="K190" s="976"/>
      <c r="L190" s="976"/>
      <c r="M190" s="976"/>
    </row>
    <row r="191" spans="1:13" ht="12.75" hidden="1" customHeight="1">
      <c r="A191" s="976"/>
      <c r="B191" s="976"/>
      <c r="C191" s="976"/>
      <c r="D191" s="976"/>
      <c r="E191" s="976"/>
      <c r="F191" s="976"/>
      <c r="G191" s="976"/>
      <c r="H191" s="976"/>
      <c r="I191" s="976"/>
      <c r="J191" s="976"/>
      <c r="K191" s="976"/>
      <c r="L191" s="976"/>
      <c r="M191" s="976"/>
    </row>
    <row r="192" spans="1:13" ht="12.75" hidden="1" customHeight="1">
      <c r="A192" s="976"/>
      <c r="B192" s="976"/>
      <c r="C192" s="976"/>
      <c r="D192" s="976"/>
      <c r="E192" s="976"/>
      <c r="F192" s="976"/>
      <c r="G192" s="976"/>
      <c r="H192" s="976"/>
      <c r="I192" s="976"/>
      <c r="J192" s="976"/>
      <c r="K192" s="976"/>
      <c r="L192" s="976"/>
      <c r="M192" s="976"/>
    </row>
    <row r="193" spans="1:13" ht="12.75" hidden="1" customHeight="1">
      <c r="A193" s="976"/>
      <c r="B193" s="976"/>
      <c r="C193" s="976"/>
      <c r="D193" s="976"/>
      <c r="E193" s="976"/>
      <c r="F193" s="976"/>
      <c r="G193" s="976"/>
      <c r="H193" s="976"/>
      <c r="I193" s="976"/>
      <c r="J193" s="976"/>
      <c r="K193" s="976"/>
      <c r="L193" s="976"/>
      <c r="M193" s="976"/>
    </row>
    <row r="194" spans="1:13" ht="12.75" hidden="1" customHeight="1">
      <c r="A194" s="976"/>
      <c r="B194" s="976"/>
      <c r="C194" s="976"/>
      <c r="D194" s="976"/>
      <c r="E194" s="976"/>
      <c r="F194" s="976"/>
      <c r="G194" s="976"/>
      <c r="H194" s="976"/>
      <c r="I194" s="976"/>
      <c r="J194" s="976"/>
      <c r="K194" s="976"/>
      <c r="L194" s="976"/>
      <c r="M194" s="976"/>
    </row>
    <row r="195" spans="1:13" ht="12.75" hidden="1" customHeight="1">
      <c r="A195" s="976"/>
      <c r="B195" s="976"/>
      <c r="C195" s="976"/>
      <c r="D195" s="976"/>
      <c r="E195" s="976"/>
      <c r="F195" s="976"/>
      <c r="G195" s="976"/>
      <c r="H195" s="976"/>
      <c r="I195" s="976"/>
      <c r="J195" s="976"/>
      <c r="K195" s="976"/>
      <c r="L195" s="976"/>
      <c r="M195" s="976"/>
    </row>
    <row r="196" spans="1:13" ht="12.75" hidden="1" customHeight="1">
      <c r="A196" s="976"/>
      <c r="B196" s="976"/>
      <c r="C196" s="976"/>
      <c r="D196" s="976"/>
      <c r="E196" s="976"/>
      <c r="F196" s="976"/>
      <c r="G196" s="976"/>
      <c r="H196" s="976"/>
      <c r="I196" s="976"/>
      <c r="J196" s="976"/>
      <c r="K196" s="976"/>
      <c r="L196" s="976"/>
      <c r="M196" s="976"/>
    </row>
    <row r="197" spans="1:13" ht="12.75" hidden="1" customHeight="1">
      <c r="A197" s="976"/>
      <c r="B197" s="976"/>
      <c r="C197" s="976"/>
      <c r="D197" s="976"/>
      <c r="E197" s="976"/>
      <c r="F197" s="976"/>
      <c r="G197" s="976"/>
      <c r="H197" s="976"/>
      <c r="I197" s="976"/>
      <c r="J197" s="976"/>
      <c r="K197" s="976"/>
      <c r="L197" s="976"/>
      <c r="M197" s="976"/>
    </row>
    <row r="198" spans="1:13" ht="12.75" hidden="1" customHeight="1">
      <c r="A198" s="976"/>
      <c r="B198" s="976"/>
      <c r="C198" s="976"/>
      <c r="D198" s="976"/>
      <c r="E198" s="976"/>
      <c r="F198" s="976"/>
      <c r="G198" s="976"/>
      <c r="H198" s="976"/>
      <c r="I198" s="976"/>
      <c r="J198" s="976"/>
      <c r="K198" s="976"/>
      <c r="L198" s="976"/>
      <c r="M198" s="976"/>
    </row>
    <row r="199" spans="1:13" ht="12.75" hidden="1" customHeight="1">
      <c r="A199" s="976"/>
      <c r="B199" s="976"/>
      <c r="C199" s="976"/>
      <c r="D199" s="976"/>
      <c r="E199" s="976"/>
      <c r="F199" s="976"/>
      <c r="G199" s="976"/>
      <c r="H199" s="976"/>
      <c r="I199" s="976"/>
      <c r="J199" s="976"/>
      <c r="K199" s="976"/>
      <c r="L199" s="976"/>
      <c r="M199" s="976"/>
    </row>
    <row r="200" spans="1:13" ht="12.75" hidden="1" customHeight="1">
      <c r="A200" s="976"/>
      <c r="B200" s="976"/>
      <c r="C200" s="976"/>
      <c r="D200" s="976"/>
      <c r="E200" s="976"/>
      <c r="F200" s="976"/>
      <c r="G200" s="976"/>
      <c r="H200" s="976"/>
      <c r="I200" s="976"/>
      <c r="J200" s="976"/>
      <c r="K200" s="976"/>
      <c r="L200" s="976"/>
      <c r="M200" s="976"/>
    </row>
    <row r="201" spans="1:13" ht="12.75" hidden="1" customHeight="1">
      <c r="A201" s="976"/>
      <c r="B201" s="976"/>
      <c r="C201" s="976"/>
      <c r="D201" s="976"/>
      <c r="E201" s="976"/>
      <c r="F201" s="976"/>
      <c r="G201" s="976"/>
      <c r="H201" s="976"/>
      <c r="I201" s="976"/>
      <c r="J201" s="976"/>
      <c r="K201" s="976"/>
      <c r="L201" s="976"/>
      <c r="M201" s="976"/>
    </row>
    <row r="202" spans="1:13" ht="12.75" hidden="1" customHeight="1">
      <c r="A202" s="976"/>
      <c r="B202" s="976"/>
      <c r="C202" s="976"/>
      <c r="D202" s="976"/>
      <c r="E202" s="976"/>
      <c r="F202" s="976"/>
      <c r="G202" s="976"/>
      <c r="H202" s="976"/>
      <c r="I202" s="976"/>
      <c r="J202" s="976"/>
      <c r="K202" s="976"/>
      <c r="L202" s="976"/>
      <c r="M202" s="976"/>
    </row>
    <row r="203" spans="1:13" ht="12.75" hidden="1" customHeight="1">
      <c r="A203" s="976"/>
      <c r="B203" s="976"/>
      <c r="C203" s="976"/>
      <c r="D203" s="976"/>
      <c r="E203" s="976"/>
      <c r="F203" s="976"/>
      <c r="G203" s="976"/>
      <c r="H203" s="976"/>
      <c r="I203" s="976"/>
      <c r="J203" s="976"/>
      <c r="K203" s="976"/>
      <c r="L203" s="976"/>
      <c r="M203" s="976"/>
    </row>
    <row r="204" spans="1:13" ht="12.75" hidden="1" customHeight="1">
      <c r="A204" s="976"/>
      <c r="B204" s="976"/>
      <c r="C204" s="976"/>
      <c r="D204" s="976"/>
      <c r="E204" s="976"/>
      <c r="F204" s="976"/>
      <c r="G204" s="976"/>
      <c r="H204" s="976"/>
      <c r="I204" s="976"/>
      <c r="J204" s="976"/>
      <c r="K204" s="976"/>
      <c r="L204" s="976"/>
      <c r="M204" s="976"/>
    </row>
    <row r="205" spans="1:13" ht="12.75" hidden="1" customHeight="1">
      <c r="A205" s="976"/>
      <c r="B205" s="976"/>
      <c r="C205" s="976"/>
      <c r="D205" s="976"/>
      <c r="E205" s="976"/>
      <c r="F205" s="976"/>
      <c r="G205" s="976"/>
      <c r="H205" s="976"/>
      <c r="I205" s="976"/>
      <c r="J205" s="976"/>
      <c r="K205" s="976"/>
      <c r="L205" s="976"/>
      <c r="M205" s="976"/>
    </row>
    <row r="206" spans="1:13" ht="12.75" hidden="1" customHeight="1">
      <c r="A206" s="976"/>
      <c r="B206" s="976"/>
      <c r="C206" s="976"/>
      <c r="D206" s="976"/>
      <c r="E206" s="976"/>
      <c r="F206" s="976"/>
      <c r="G206" s="976"/>
      <c r="H206" s="976"/>
      <c r="I206" s="976"/>
      <c r="J206" s="976"/>
      <c r="K206" s="976"/>
      <c r="L206" s="976"/>
      <c r="M206" s="976"/>
    </row>
    <row r="207" spans="1:13" ht="12.75" hidden="1" customHeight="1">
      <c r="A207" s="976"/>
      <c r="B207" s="976"/>
      <c r="C207" s="976"/>
      <c r="D207" s="976"/>
      <c r="E207" s="976"/>
      <c r="F207" s="976"/>
      <c r="G207" s="976"/>
      <c r="H207" s="976"/>
      <c r="I207" s="976"/>
      <c r="J207" s="976"/>
      <c r="K207" s="976"/>
      <c r="L207" s="976"/>
      <c r="M207" s="976"/>
    </row>
    <row r="208" spans="1:13" ht="12.75" hidden="1" customHeight="1">
      <c r="A208" s="976"/>
      <c r="B208" s="976"/>
      <c r="C208" s="976"/>
      <c r="D208" s="976"/>
      <c r="E208" s="976"/>
      <c r="F208" s="976"/>
      <c r="G208" s="976"/>
      <c r="H208" s="976"/>
      <c r="I208" s="976"/>
      <c r="J208" s="976"/>
      <c r="K208" s="976"/>
      <c r="L208" s="976"/>
      <c r="M208" s="976"/>
    </row>
    <row r="209" spans="1:13" ht="12.75" hidden="1" customHeight="1">
      <c r="A209" s="976"/>
      <c r="B209" s="976"/>
      <c r="C209" s="976"/>
      <c r="D209" s="976"/>
      <c r="E209" s="976"/>
      <c r="F209" s="976"/>
      <c r="G209" s="976"/>
      <c r="H209" s="976"/>
      <c r="I209" s="976"/>
      <c r="J209" s="976"/>
      <c r="K209" s="976"/>
      <c r="L209" s="976"/>
      <c r="M209" s="976"/>
    </row>
    <row r="210" spans="1:13" ht="12.75" hidden="1" customHeight="1">
      <c r="A210" s="976"/>
      <c r="B210" s="976"/>
      <c r="C210" s="976"/>
      <c r="D210" s="976"/>
      <c r="E210" s="976"/>
      <c r="F210" s="976"/>
      <c r="G210" s="976"/>
      <c r="H210" s="976"/>
      <c r="I210" s="976"/>
      <c r="J210" s="976"/>
      <c r="K210" s="976"/>
      <c r="L210" s="976"/>
      <c r="M210" s="976"/>
    </row>
    <row r="211" spans="1:13" ht="12.75" hidden="1" customHeight="1">
      <c r="A211" s="976"/>
      <c r="B211" s="976"/>
      <c r="C211" s="976"/>
      <c r="D211" s="976"/>
      <c r="E211" s="976"/>
      <c r="F211" s="976"/>
      <c r="G211" s="976"/>
      <c r="H211" s="976"/>
      <c r="I211" s="976"/>
      <c r="J211" s="976"/>
      <c r="K211" s="976"/>
      <c r="L211" s="976"/>
      <c r="M211" s="976"/>
    </row>
    <row r="212" spans="1:13" ht="12.75" hidden="1" customHeight="1">
      <c r="A212" s="976"/>
      <c r="B212" s="976"/>
      <c r="C212" s="976"/>
      <c r="D212" s="976"/>
      <c r="E212" s="976"/>
      <c r="F212" s="976"/>
      <c r="G212" s="976"/>
      <c r="H212" s="976"/>
      <c r="I212" s="976"/>
      <c r="J212" s="976"/>
      <c r="K212" s="976"/>
      <c r="L212" s="976"/>
      <c r="M212" s="976"/>
    </row>
    <row r="213" spans="1:13" ht="12.75" hidden="1" customHeight="1">
      <c r="A213" s="976"/>
      <c r="B213" s="976"/>
      <c r="C213" s="976"/>
      <c r="D213" s="976"/>
      <c r="E213" s="976"/>
      <c r="F213" s="976"/>
      <c r="G213" s="976"/>
      <c r="H213" s="976"/>
      <c r="I213" s="976"/>
      <c r="J213" s="976"/>
      <c r="K213" s="976"/>
      <c r="L213" s="976"/>
      <c r="M213" s="976"/>
    </row>
    <row r="214" spans="1:13" ht="12.75" hidden="1" customHeight="1">
      <c r="A214" s="976"/>
      <c r="B214" s="976"/>
      <c r="C214" s="976"/>
      <c r="D214" s="976"/>
      <c r="E214" s="976"/>
      <c r="F214" s="976"/>
      <c r="G214" s="976"/>
      <c r="H214" s="976"/>
      <c r="I214" s="976"/>
      <c r="J214" s="976"/>
      <c r="K214" s="976"/>
      <c r="L214" s="976"/>
      <c r="M214" s="976"/>
    </row>
    <row r="215" spans="1:13" ht="12.75" hidden="1" customHeight="1">
      <c r="A215" s="976"/>
      <c r="B215" s="976"/>
      <c r="C215" s="976"/>
      <c r="D215" s="976"/>
      <c r="E215" s="976"/>
      <c r="F215" s="976"/>
      <c r="G215" s="976"/>
      <c r="H215" s="976"/>
      <c r="I215" s="976"/>
      <c r="J215" s="976"/>
      <c r="K215" s="976"/>
      <c r="L215" s="976"/>
      <c r="M215" s="976"/>
    </row>
    <row r="216" spans="1:13" ht="12.75" hidden="1" customHeight="1">
      <c r="A216" s="976"/>
      <c r="B216" s="976"/>
      <c r="C216" s="976"/>
      <c r="D216" s="976"/>
      <c r="E216" s="976"/>
      <c r="F216" s="976"/>
      <c r="G216" s="976"/>
      <c r="H216" s="976"/>
      <c r="I216" s="976"/>
      <c r="J216" s="976"/>
      <c r="K216" s="976"/>
      <c r="L216" s="976"/>
      <c r="M216" s="976"/>
    </row>
    <row r="217" spans="1:13" ht="12.75" hidden="1" customHeight="1">
      <c r="A217" s="976"/>
      <c r="B217" s="976"/>
      <c r="C217" s="976"/>
      <c r="D217" s="976"/>
      <c r="E217" s="976"/>
      <c r="F217" s="976"/>
      <c r="G217" s="976"/>
      <c r="H217" s="976"/>
      <c r="I217" s="976"/>
      <c r="J217" s="976"/>
      <c r="K217" s="976"/>
      <c r="L217" s="976"/>
      <c r="M217" s="976"/>
    </row>
  </sheetData>
  <sheetProtection password="C7B7" sheet="1" objects="1" scenarios="1"/>
  <protectedRanges>
    <protectedRange sqref="J35" name="Range4"/>
    <protectedRange sqref="G28" name="Range3"/>
    <protectedRange sqref="G19:G20" name="Range2"/>
    <protectedRange sqref="G11:G12" name="Range1"/>
  </protectedRanges>
  <phoneticPr fontId="13" type="noConversion"/>
  <hyperlinks>
    <hyperlink ref="B1" location="ElementaryAboriginal" display="Elementary"/>
    <hyperlink ref="C1" location="Secondary__excludes_pupils_21_and_over" display="Secondary (excludes pupils 21 and over)"/>
    <hyperlink ref="D1" location="Native_Language_Allocation" display="Native Language Allocation"/>
    <hyperlink ref="E1" location="Native_Studies_Amount" display="Native Studies Amount"/>
    <hyperlink ref="F1" location="Aboriginal_Amount" display="Aboriginal Amount"/>
    <hyperlink ref="G1" location="Total_First_Nation__Métis_and_Inuit_Supplemental_Allocation" display="Total First Nation, Métis and Inuit Supplemental Allocation"/>
  </hyperlinks>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M178"/>
  <sheetViews>
    <sheetView showGridLines="0" zoomScaleNormal="100" workbookViewId="0">
      <selection activeCell="J10" sqref="J10"/>
    </sheetView>
  </sheetViews>
  <sheetFormatPr defaultColWidth="0" defaultRowHeight="15" zeroHeight="1"/>
  <cols>
    <col min="1" max="1" width="9.140625" style="976" customWidth="1"/>
    <col min="2" max="2" width="4.28515625" style="976" customWidth="1"/>
    <col min="3" max="3" width="36.85546875" style="976" customWidth="1"/>
    <col min="4" max="4" width="8.7109375" style="976" customWidth="1"/>
    <col min="5" max="5" width="15.5703125" style="976" customWidth="1"/>
    <col min="6" max="6" width="15.140625" style="976" customWidth="1"/>
    <col min="7" max="7" width="15" style="976" customWidth="1"/>
    <col min="8" max="8" width="14" style="976" customWidth="1"/>
    <col min="9" max="9" width="7.140625" style="976" bestFit="1" customWidth="1"/>
    <col min="10" max="10" width="17.140625" style="976" customWidth="1"/>
    <col min="11" max="11" width="1.5703125" style="976" customWidth="1"/>
    <col min="12" max="12" width="0.28515625" style="976" customWidth="1"/>
    <col min="13" max="13" width="6.140625" style="976" customWidth="1"/>
    <col min="14" max="16384" width="0" style="976" hidden="1"/>
  </cols>
  <sheetData>
    <row r="1" spans="1:13" ht="6" customHeight="1" thickBot="1">
      <c r="A1" s="2159" t="s">
        <v>2832</v>
      </c>
      <c r="B1" s="78"/>
      <c r="C1" s="78"/>
      <c r="D1" s="78"/>
      <c r="E1" s="78"/>
      <c r="F1" s="78"/>
      <c r="G1" s="78"/>
      <c r="H1" s="78"/>
      <c r="I1" s="78"/>
      <c r="J1" s="78"/>
      <c r="K1" s="78"/>
      <c r="L1" s="78"/>
      <c r="M1" s="401"/>
    </row>
    <row r="2" spans="1:13" ht="18.75" thickBot="1">
      <c r="A2" s="26" t="s">
        <v>621</v>
      </c>
      <c r="B2" s="1469"/>
      <c r="C2" s="1469"/>
      <c r="D2" s="1469"/>
      <c r="E2" s="1469"/>
      <c r="F2" s="941" t="s">
        <v>163</v>
      </c>
      <c r="G2" s="78"/>
      <c r="H2" s="936" t="str">
        <f>'1 Summary'!G2</f>
        <v/>
      </c>
      <c r="I2" s="943"/>
      <c r="J2" s="1446"/>
      <c r="K2" s="78"/>
      <c r="L2" s="78"/>
      <c r="M2" s="401"/>
    </row>
    <row r="3" spans="1:13" ht="18" customHeight="1" thickBot="1">
      <c r="A3" s="2103" t="s">
        <v>1319</v>
      </c>
      <c r="B3" s="2103"/>
      <c r="C3" s="2103"/>
      <c r="D3" s="2103"/>
      <c r="E3" s="2103"/>
      <c r="F3" s="941" t="s">
        <v>162</v>
      </c>
      <c r="G3" s="78"/>
      <c r="H3" s="1143">
        <f>'1 Summary'!G3</f>
        <v>0</v>
      </c>
      <c r="I3" s="78"/>
      <c r="J3" s="941"/>
      <c r="K3" s="78"/>
      <c r="L3" s="78"/>
      <c r="M3" s="401"/>
    </row>
    <row r="4" spans="1:13" ht="18" customHeight="1">
      <c r="A4" s="2103"/>
      <c r="B4" s="2103"/>
      <c r="C4" s="2103"/>
      <c r="D4" s="2103"/>
      <c r="E4" s="2103"/>
      <c r="F4" s="27"/>
      <c r="G4" s="78"/>
      <c r="H4" s="1030"/>
      <c r="I4" s="1030"/>
      <c r="J4" s="1447"/>
      <c r="K4" s="78"/>
      <c r="L4" s="78"/>
      <c r="M4" s="401"/>
    </row>
    <row r="5" spans="1:13" ht="15.75">
      <c r="A5" s="78"/>
      <c r="B5" s="78"/>
      <c r="C5" s="78"/>
      <c r="D5" s="27"/>
      <c r="E5" s="78"/>
      <c r="F5" s="27"/>
      <c r="G5" s="78"/>
      <c r="H5" s="1030"/>
      <c r="I5" s="1030"/>
      <c r="J5" s="1447"/>
      <c r="K5" s="78"/>
      <c r="L5" s="78"/>
      <c r="M5" s="401"/>
    </row>
    <row r="6" spans="1:13" ht="15.75">
      <c r="A6" s="78"/>
      <c r="B6" s="78"/>
      <c r="C6" s="78"/>
      <c r="D6" s="27"/>
      <c r="E6" s="78"/>
      <c r="F6" s="27"/>
      <c r="G6" s="78"/>
      <c r="H6" s="1030"/>
      <c r="I6" s="1030"/>
      <c r="J6" s="1447"/>
      <c r="K6" s="78"/>
      <c r="L6" s="78"/>
      <c r="M6" s="401"/>
    </row>
    <row r="7" spans="1:13" ht="15.75">
      <c r="A7" s="1164"/>
      <c r="B7" s="1470" t="s">
        <v>1957</v>
      </c>
      <c r="C7" s="1144"/>
      <c r="D7" s="27"/>
      <c r="E7" s="27"/>
      <c r="F7" s="27"/>
      <c r="G7" s="27"/>
      <c r="H7" s="27"/>
      <c r="I7" s="27"/>
      <c r="J7" s="27"/>
      <c r="K7" s="27"/>
      <c r="L7" s="78"/>
      <c r="M7" s="1205"/>
    </row>
    <row r="8" spans="1:13" ht="15.75">
      <c r="A8" s="977"/>
      <c r="B8" s="27"/>
      <c r="C8" s="27"/>
      <c r="D8" s="27"/>
      <c r="E8" s="27"/>
      <c r="F8" s="27"/>
      <c r="G8" s="27"/>
      <c r="H8" s="27"/>
      <c r="I8" s="27"/>
      <c r="J8" s="27"/>
      <c r="K8" s="27"/>
      <c r="L8" s="78"/>
      <c r="M8" s="1145"/>
    </row>
    <row r="9" spans="1:13" ht="15.75">
      <c r="A9" s="27"/>
      <c r="B9" s="1471"/>
      <c r="C9" s="27"/>
      <c r="D9" s="200"/>
      <c r="E9" s="200"/>
      <c r="F9" s="78"/>
      <c r="G9" s="27"/>
      <c r="H9" s="27"/>
      <c r="I9" s="27"/>
      <c r="J9" s="27"/>
      <c r="K9" s="104"/>
      <c r="L9" s="78"/>
      <c r="M9" s="1205"/>
    </row>
    <row r="10" spans="1:13" ht="18.75" customHeight="1">
      <c r="A10" s="981">
        <v>19.100000000000001</v>
      </c>
      <c r="B10" s="981" t="s">
        <v>1080</v>
      </c>
      <c r="C10" s="981"/>
      <c r="D10" s="981"/>
      <c r="E10" s="981"/>
      <c r="F10" s="1146"/>
      <c r="G10" s="1472"/>
      <c r="H10" s="27"/>
      <c r="I10" s="981"/>
      <c r="J10" s="954">
        <f>IF($H$3=0,0,VLOOKUP($H$3,Tables!$A$5:$AD$8,28,FALSE))</f>
        <v>0</v>
      </c>
      <c r="K10" s="104"/>
      <c r="L10" s="27"/>
      <c r="M10" s="1205">
        <f>+A10</f>
        <v>19.100000000000001</v>
      </c>
    </row>
    <row r="11" spans="1:13" ht="12.75" customHeight="1">
      <c r="A11" s="981"/>
      <c r="B11" s="981" t="s">
        <v>3002</v>
      </c>
      <c r="C11" s="981"/>
      <c r="D11" s="981"/>
      <c r="E11" s="981"/>
      <c r="F11" s="981"/>
      <c r="G11" s="981"/>
      <c r="H11" s="27"/>
      <c r="I11" s="981"/>
      <c r="J11" s="981"/>
      <c r="K11" s="104"/>
      <c r="L11" s="27"/>
      <c r="M11" s="1021"/>
    </row>
    <row r="12" spans="1:13" ht="12.75" customHeight="1">
      <c r="A12" s="981"/>
      <c r="B12" s="981"/>
      <c r="C12" s="981"/>
      <c r="D12" s="981"/>
      <c r="E12" s="981"/>
      <c r="F12" s="981"/>
      <c r="G12" s="981"/>
      <c r="H12" s="981"/>
      <c r="I12" s="981"/>
      <c r="J12" s="981"/>
      <c r="K12" s="104"/>
      <c r="L12" s="27"/>
      <c r="M12" s="1021"/>
    </row>
    <row r="13" spans="1:13" ht="12.75" customHeight="1">
      <c r="A13" s="1466"/>
      <c r="B13" s="1452"/>
      <c r="C13" s="1452"/>
      <c r="D13" s="200"/>
      <c r="E13" s="200"/>
      <c r="F13" s="200"/>
      <c r="G13" s="1099"/>
      <c r="H13" s="1100"/>
      <c r="I13" s="1105"/>
      <c r="J13" s="1105"/>
      <c r="K13" s="1105"/>
      <c r="L13" s="1099"/>
      <c r="M13" s="1453"/>
    </row>
    <row r="14" spans="1:13" ht="22.5" customHeight="1">
      <c r="A14" s="1466" t="s">
        <v>1958</v>
      </c>
      <c r="B14" s="1144" t="s">
        <v>1959</v>
      </c>
      <c r="C14" s="1452"/>
      <c r="D14" s="200"/>
      <c r="E14" s="200"/>
      <c r="F14" s="200"/>
      <c r="G14" s="1099"/>
      <c r="H14" s="1100"/>
      <c r="I14" s="1105"/>
      <c r="J14" s="1473">
        <f>J10</f>
        <v>0</v>
      </c>
      <c r="K14" s="1105"/>
      <c r="L14" s="1099"/>
      <c r="M14" s="1205" t="str">
        <f>+A14</f>
        <v>19.2</v>
      </c>
    </row>
    <row r="15" spans="1:13" ht="12.75" customHeight="1">
      <c r="A15" s="223"/>
      <c r="B15" s="1452"/>
      <c r="C15" s="1452"/>
      <c r="D15" s="200"/>
      <c r="E15" s="200"/>
      <c r="F15" s="200"/>
      <c r="G15" s="1099"/>
      <c r="H15" s="1115"/>
      <c r="I15" s="339"/>
      <c r="J15" s="1105"/>
      <c r="K15" s="1105"/>
      <c r="L15" s="1099"/>
      <c r="M15" s="1020"/>
    </row>
    <row r="16" spans="1:13" ht="12.75" customHeight="1">
      <c r="A16" s="200"/>
      <c r="B16" s="1452"/>
      <c r="C16" s="1452"/>
      <c r="D16" s="200"/>
      <c r="E16" s="200"/>
      <c r="F16" s="200"/>
      <c r="G16" s="1099"/>
      <c r="H16" s="1105"/>
      <c r="I16" s="1105"/>
      <c r="J16" s="1105"/>
      <c r="K16" s="1105"/>
      <c r="L16" s="1099"/>
      <c r="M16" s="949"/>
    </row>
    <row r="17" spans="1:13" ht="12.75" customHeight="1">
      <c r="A17" s="223"/>
      <c r="B17" s="1452"/>
      <c r="C17" s="1452"/>
      <c r="D17" s="200"/>
      <c r="E17" s="200"/>
      <c r="F17" s="200"/>
      <c r="G17" s="1099"/>
      <c r="H17" s="1208"/>
      <c r="I17" s="1105"/>
      <c r="J17" s="1105"/>
      <c r="K17" s="1105"/>
      <c r="L17" s="1099"/>
      <c r="M17" s="1020"/>
    </row>
    <row r="18" spans="1:13" ht="15.75">
      <c r="A18" s="1467"/>
      <c r="B18" s="223"/>
      <c r="C18" s="200"/>
      <c r="D18" s="223"/>
      <c r="E18" s="200"/>
      <c r="F18" s="200"/>
      <c r="G18" s="1099"/>
      <c r="H18" s="1105"/>
      <c r="I18" s="1105"/>
      <c r="J18" s="1105"/>
      <c r="K18" s="1105"/>
      <c r="L18" s="200"/>
      <c r="M18" s="1468"/>
    </row>
    <row r="19" spans="1:13" ht="15.75">
      <c r="A19" s="1467"/>
      <c r="B19" s="223"/>
      <c r="C19" s="200"/>
      <c r="D19" s="223"/>
      <c r="E19" s="200"/>
      <c r="F19" s="200"/>
      <c r="G19" s="1099"/>
      <c r="H19" s="1105"/>
      <c r="I19" s="1105"/>
      <c r="J19" s="1105"/>
      <c r="K19" s="1105"/>
      <c r="L19" s="200"/>
      <c r="M19" s="1468"/>
    </row>
    <row r="20" spans="1:13" ht="15.75">
      <c r="A20" s="1467"/>
      <c r="B20" s="223"/>
      <c r="C20" s="200"/>
      <c r="D20" s="223"/>
      <c r="E20" s="200"/>
      <c r="F20" s="200"/>
      <c r="G20" s="1099"/>
      <c r="H20" s="1105"/>
      <c r="I20" s="1105"/>
      <c r="J20" s="1105"/>
      <c r="K20" s="1105"/>
      <c r="L20" s="200"/>
      <c r="M20" s="1468"/>
    </row>
    <row r="21" spans="1:13">
      <c r="A21" s="1455"/>
      <c r="B21" s="200"/>
      <c r="C21" s="200"/>
      <c r="D21" s="200"/>
      <c r="E21" s="200"/>
      <c r="F21" s="200"/>
      <c r="G21" s="1099"/>
      <c r="H21" s="1105"/>
      <c r="I21" s="1105"/>
      <c r="J21" s="1105"/>
      <c r="K21" s="1105"/>
      <c r="L21" s="1099"/>
      <c r="M21" s="952"/>
    </row>
    <row r="22" spans="1:13" hidden="1"/>
    <row r="23" spans="1:13" hidden="1"/>
    <row r="24" spans="1:13" hidden="1"/>
    <row r="25" spans="1:13" hidden="1"/>
    <row r="26" spans="1:13" hidden="1"/>
    <row r="27" spans="1:13" hidden="1"/>
    <row r="28" spans="1:13" hidden="1"/>
    <row r="29" spans="1:13" hidden="1"/>
    <row r="30" spans="1:13" hidden="1"/>
    <row r="31" spans="1:13" hidden="1"/>
    <row r="32" spans="1:13" hidden="1"/>
    <row r="33" hidden="1"/>
    <row r="34" hidden="1"/>
    <row r="35" hidden="1"/>
    <row r="36" hidden="1"/>
    <row r="37" hidden="1"/>
    <row r="38" hidden="1"/>
    <row r="39" hidden="1"/>
    <row r="40" hidden="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sheetData>
  <sheetProtection password="C7B7" sheet="1" objects="1" scenarios="1"/>
  <phoneticPr fontId="13"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62"/>
  <sheetViews>
    <sheetView zoomScaleNormal="100" workbookViewId="0">
      <selection activeCell="E28" sqref="E28"/>
    </sheetView>
  </sheetViews>
  <sheetFormatPr defaultColWidth="9.140625" defaultRowHeight="12.75"/>
  <cols>
    <col min="1" max="1" width="2.7109375" style="1729" customWidth="1"/>
    <col min="2" max="2" width="9" style="1729" customWidth="1"/>
    <col min="3" max="3" width="69" style="1729" bestFit="1" customWidth="1"/>
    <col min="4" max="4" width="3.42578125" style="1729" customWidth="1"/>
    <col min="5" max="6" width="14.7109375" style="1729" customWidth="1"/>
    <col min="7" max="7" width="2.7109375" style="1729" customWidth="1"/>
    <col min="8" max="8" width="8.85546875" style="1729" customWidth="1"/>
    <col min="9" max="16384" width="9.140625" style="1729"/>
  </cols>
  <sheetData>
    <row r="1" spans="1:8">
      <c r="A1" s="3"/>
      <c r="B1" s="11"/>
      <c r="C1" s="1703" t="s">
        <v>163</v>
      </c>
      <c r="D1" s="87" t="str">
        <f>'1 Summary'!G2</f>
        <v/>
      </c>
      <c r="E1" s="1727"/>
      <c r="F1" s="1728"/>
      <c r="G1" s="3"/>
      <c r="H1" s="3"/>
    </row>
    <row r="2" spans="1:8">
      <c r="A2" s="3"/>
      <c r="B2" s="11"/>
      <c r="C2" s="13" t="s">
        <v>653</v>
      </c>
      <c r="D2" s="2431">
        <f>'1 Summary'!G3</f>
        <v>0</v>
      </c>
      <c r="E2" s="2432"/>
      <c r="F2" s="1730"/>
      <c r="G2" s="3"/>
      <c r="H2" s="3"/>
    </row>
    <row r="3" spans="1:8">
      <c r="A3" s="3"/>
      <c r="B3" s="11"/>
      <c r="C3" s="3"/>
      <c r="D3" s="3"/>
      <c r="E3" s="1730"/>
      <c r="F3" s="1730"/>
      <c r="G3" s="3"/>
      <c r="H3" s="3"/>
    </row>
    <row r="4" spans="1:8">
      <c r="A4" s="22"/>
      <c r="B4" s="11"/>
      <c r="C4" s="22"/>
      <c r="D4" s="22"/>
      <c r="E4" s="22"/>
      <c r="F4" s="22"/>
      <c r="G4" s="22"/>
      <c r="H4" s="3"/>
    </row>
    <row r="5" spans="1:8">
      <c r="A5" s="2433" t="s">
        <v>2517</v>
      </c>
      <c r="B5" s="2433"/>
      <c r="C5" s="2433"/>
      <c r="D5" s="2433"/>
      <c r="E5" s="2433"/>
      <c r="F5" s="2433"/>
      <c r="G5" s="2433"/>
      <c r="H5" s="3"/>
    </row>
    <row r="6" spans="1:8">
      <c r="A6" s="2434" t="s">
        <v>2518</v>
      </c>
      <c r="B6" s="2434"/>
      <c r="C6" s="2434"/>
      <c r="D6" s="2434"/>
      <c r="E6" s="2434"/>
      <c r="F6" s="2434"/>
      <c r="G6" s="2434"/>
      <c r="H6" s="3"/>
    </row>
    <row r="7" spans="1:8">
      <c r="A7" s="2434" t="s">
        <v>329</v>
      </c>
      <c r="B7" s="2434"/>
      <c r="C7" s="2434"/>
      <c r="D7" s="2434"/>
      <c r="E7" s="2434"/>
      <c r="F7" s="2434"/>
      <c r="G7" s="2434"/>
      <c r="H7" s="3"/>
    </row>
    <row r="8" spans="1:8">
      <c r="A8" s="1732"/>
      <c r="B8" s="1733"/>
      <c r="C8" s="1732"/>
      <c r="D8" s="1732"/>
      <c r="E8" s="1734" t="s">
        <v>789</v>
      </c>
      <c r="F8" s="1734" t="s">
        <v>789</v>
      </c>
      <c r="G8" s="1732"/>
      <c r="H8" s="3"/>
    </row>
    <row r="9" spans="1:8">
      <c r="A9" s="1732"/>
      <c r="B9" s="1733"/>
      <c r="C9" s="1732"/>
      <c r="D9" s="1732"/>
      <c r="E9" s="1734" t="s">
        <v>2917</v>
      </c>
      <c r="F9" s="1734" t="s">
        <v>2697</v>
      </c>
      <c r="G9" s="1732"/>
      <c r="H9" s="3"/>
    </row>
    <row r="10" spans="1:8">
      <c r="A10" s="1732"/>
      <c r="B10" s="1733">
        <v>1</v>
      </c>
      <c r="C10" s="1732" t="s">
        <v>2519</v>
      </c>
      <c r="D10" s="1732"/>
      <c r="E10" s="1734" t="s">
        <v>789</v>
      </c>
      <c r="F10" s="1734"/>
      <c r="G10" s="1732"/>
      <c r="H10" s="3"/>
    </row>
    <row r="11" spans="1:8">
      <c r="A11" s="1732"/>
      <c r="B11" s="1733">
        <v>1.1000000000000001</v>
      </c>
      <c r="C11" s="1732" t="s">
        <v>2520</v>
      </c>
      <c r="D11" s="1732"/>
      <c r="E11" s="1735">
        <f>'Schedule 1.1 Cons Stmt of Ops.'!D28</f>
        <v>0</v>
      </c>
      <c r="F11" s="1736">
        <f>'Schedule 1.1 Cons Stmt of Ops.'!E28</f>
        <v>0</v>
      </c>
      <c r="G11" s="1732"/>
      <c r="H11" s="1737"/>
    </row>
    <row r="12" spans="1:8">
      <c r="A12" s="3"/>
      <c r="B12" s="11"/>
      <c r="C12" s="3"/>
      <c r="D12" s="3"/>
      <c r="E12" s="1730"/>
      <c r="F12" s="1730"/>
      <c r="G12" s="3"/>
      <c r="H12" s="3"/>
    </row>
    <row r="13" spans="1:8">
      <c r="A13" s="3"/>
      <c r="B13" s="1733">
        <v>2</v>
      </c>
      <c r="C13" s="3" t="s">
        <v>2521</v>
      </c>
      <c r="D13" s="3"/>
      <c r="E13" s="1730"/>
      <c r="F13" s="1730"/>
      <c r="G13" s="3"/>
      <c r="H13" s="3"/>
    </row>
    <row r="14" spans="1:8">
      <c r="A14" s="3"/>
      <c r="B14" s="1733">
        <v>2.1</v>
      </c>
      <c r="C14" s="1732" t="s">
        <v>2522</v>
      </c>
      <c r="D14" s="3"/>
      <c r="E14" s="2300">
        <f>'Sch. 10 Operating Fund - Exp'!L55-('Sch 3C Tang Cap Asset Con'!E123-'Sch 3C Tang Cap Asset Con'!E88-'Sch 3C Tang Cap Asset Con'!E89-'Sch 3C Tang Cap Asset Con'!E90-'Sch 3C Tang Cap Asset Con'!E91-'Sch 3C Tang Cap Asset Con'!E107-'Sch 3C Tang Cap Asset Con'!E118-'Sch 3C Tang Cap Asset Con'!E120)</f>
        <v>0</v>
      </c>
      <c r="F14" s="1738"/>
      <c r="G14" s="3"/>
      <c r="H14" s="1739"/>
    </row>
    <row r="15" spans="1:8">
      <c r="A15" s="3"/>
      <c r="B15" s="1733">
        <v>2.2000000000000002</v>
      </c>
      <c r="C15" s="1732" t="s">
        <v>2523</v>
      </c>
      <c r="D15" s="3"/>
      <c r="E15" s="1735">
        <f>-('Sch 7 Stmt of Fin. Pos.'!D14-'Sch 7 Stmt of Fin. Pos.'!E14)</f>
        <v>0</v>
      </c>
      <c r="F15" s="1738"/>
      <c r="G15" s="3"/>
      <c r="H15" s="3"/>
    </row>
    <row r="16" spans="1:8">
      <c r="A16" s="3"/>
      <c r="B16" s="1733">
        <v>2.2999999999999998</v>
      </c>
      <c r="C16" s="1732" t="s">
        <v>2524</v>
      </c>
      <c r="D16" s="3"/>
      <c r="E16" s="1735">
        <f>-(SUM('Sch 7 Stmt of Fin. Pos.'!D16:D20)-SUM('Sch 7 Stmt of Fin. Pos.'!E16:E20))</f>
        <v>0</v>
      </c>
      <c r="F16" s="1738"/>
      <c r="G16" s="3"/>
      <c r="H16" s="3"/>
    </row>
    <row r="17" spans="1:8">
      <c r="A17" s="3"/>
      <c r="B17" s="1733">
        <v>2.4</v>
      </c>
      <c r="C17" s="1732" t="s">
        <v>2525</v>
      </c>
      <c r="D17" s="3"/>
      <c r="E17" s="1735">
        <f>-('Sch 7 Stmt of Fin. Pos.'!D22-'Sch 7 Stmt of Fin. Pos.'!E22)</f>
        <v>0</v>
      </c>
      <c r="F17" s="1738"/>
      <c r="G17" s="3"/>
      <c r="H17" s="3"/>
    </row>
    <row r="18" spans="1:8">
      <c r="A18" s="3"/>
      <c r="B18" s="1733">
        <v>2.5</v>
      </c>
      <c r="C18" s="1732" t="s">
        <v>2526</v>
      </c>
      <c r="D18" s="3"/>
      <c r="E18" s="1735">
        <f>(SUM('Sch 7 Stmt of Fin. Pos.'!D28:D33)-SUM('Sch 7 Stmt of Fin. Pos.'!E28:E33))</f>
        <v>0</v>
      </c>
      <c r="F18" s="1738"/>
      <c r="G18" s="3"/>
      <c r="H18" s="3"/>
    </row>
    <row r="19" spans="1:8">
      <c r="A19" s="3"/>
      <c r="B19" s="1733">
        <v>2.6</v>
      </c>
      <c r="C19" s="1732" t="s">
        <v>2527</v>
      </c>
      <c r="D19" s="3"/>
      <c r="E19" s="1735">
        <f>+'Sch 7 Stmt of Fin. Pos.'!D34-'Sch 7 Stmt of Fin. Pos.'!E34</f>
        <v>0</v>
      </c>
      <c r="F19" s="1738" t="s">
        <v>789</v>
      </c>
      <c r="G19" s="3"/>
      <c r="H19" s="3"/>
    </row>
    <row r="20" spans="1:8">
      <c r="A20" s="3"/>
      <c r="B20" s="1733">
        <v>2.7</v>
      </c>
      <c r="C20" s="1732" t="s">
        <v>2528</v>
      </c>
      <c r="D20" s="3"/>
      <c r="E20" s="1735">
        <f>+('Sch 7 Stmt of Fin. Pos.'!D42-'Sch 7 Stmt of Fin. Pos.'!E42)</f>
        <v>0</v>
      </c>
      <c r="F20" s="1738"/>
      <c r="G20" s="3"/>
      <c r="H20" s="1739"/>
    </row>
    <row r="21" spans="1:8">
      <c r="A21" s="3"/>
      <c r="B21" s="1733">
        <v>2.8</v>
      </c>
      <c r="C21" s="1732" t="s">
        <v>2529</v>
      </c>
      <c r="D21" s="3"/>
      <c r="E21" s="1735">
        <f>+('Sch 7 Stmt of Fin. Pos.'!D43-'Sch 7 Stmt of Fin. Pos.'!E43)</f>
        <v>0</v>
      </c>
      <c r="F21" s="1738"/>
      <c r="G21" s="3"/>
      <c r="H21" s="3"/>
    </row>
    <row r="22" spans="1:8">
      <c r="A22" s="3"/>
      <c r="B22" s="1733">
        <v>2.9</v>
      </c>
      <c r="C22" s="1732" t="s">
        <v>2530</v>
      </c>
      <c r="D22" s="3"/>
      <c r="E22" s="1735">
        <f>-('Sch 7 Stmt of Fin. Pos.'!D49-'Sch 7 Stmt of Fin. Pos.'!E49)</f>
        <v>0</v>
      </c>
      <c r="F22" s="1738"/>
      <c r="G22" s="3"/>
      <c r="H22" s="3"/>
    </row>
    <row r="23" spans="1:8">
      <c r="A23" s="3"/>
      <c r="B23" s="1740">
        <v>2.1</v>
      </c>
      <c r="C23" s="1732" t="s">
        <v>2531</v>
      </c>
      <c r="D23" s="1732"/>
      <c r="E23" s="1735">
        <f>-('Sch 7 Stmt of Fin. Pos.'!D50-'Sch 7 Stmt of Fin. Pos.'!E50)</f>
        <v>0</v>
      </c>
      <c r="F23" s="1738"/>
      <c r="G23" s="3"/>
      <c r="H23" s="3"/>
    </row>
    <row r="24" spans="1:8">
      <c r="A24" s="1"/>
      <c r="B24" s="1741">
        <v>2.11</v>
      </c>
      <c r="C24" s="1742" t="s">
        <v>2532</v>
      </c>
      <c r="D24" s="1742"/>
      <c r="E24" s="1743">
        <f>SUM(E11:E23)</f>
        <v>0</v>
      </c>
      <c r="F24" s="1743">
        <f>SUM(F11:F23)</f>
        <v>0</v>
      </c>
      <c r="G24" s="1"/>
      <c r="H24" s="1"/>
    </row>
    <row r="25" spans="1:8">
      <c r="A25" s="3"/>
      <c r="B25" s="1733"/>
      <c r="C25" s="1732"/>
      <c r="D25" s="1732"/>
      <c r="E25" s="1744"/>
      <c r="F25" s="1744"/>
      <c r="G25" s="3"/>
      <c r="H25" s="3"/>
    </row>
    <row r="26" spans="1:8">
      <c r="A26" s="3"/>
      <c r="B26" s="1733">
        <v>3</v>
      </c>
      <c r="C26" s="1732" t="s">
        <v>2533</v>
      </c>
      <c r="D26" s="1732"/>
      <c r="E26" s="1744"/>
      <c r="F26" s="1744"/>
      <c r="G26" s="3"/>
      <c r="H26" s="3"/>
    </row>
    <row r="27" spans="1:8">
      <c r="A27" s="3"/>
      <c r="B27" s="1733">
        <v>3.1</v>
      </c>
      <c r="C27" s="1732" t="s">
        <v>2534</v>
      </c>
      <c r="D27" s="1732"/>
      <c r="E27" s="1735">
        <f>'Sch 3C Tang Cap Asset Con'!D123</f>
        <v>0</v>
      </c>
      <c r="F27" s="1738"/>
      <c r="G27" s="3"/>
      <c r="H27" s="1739"/>
    </row>
    <row r="28" spans="1:8">
      <c r="A28" s="3"/>
      <c r="B28" s="1733">
        <v>3.2</v>
      </c>
      <c r="C28" s="1732" t="s">
        <v>2535</v>
      </c>
      <c r="D28" s="1732"/>
      <c r="E28" s="1735">
        <f>-('Sch 3C Tang Cap Asset Con'!C42)</f>
        <v>0</v>
      </c>
      <c r="F28" s="1738"/>
      <c r="G28" s="3"/>
      <c r="H28" s="1739"/>
    </row>
    <row r="29" spans="1:8">
      <c r="A29" s="1"/>
      <c r="B29" s="1741">
        <v>3.3</v>
      </c>
      <c r="C29" s="1742" t="s">
        <v>2536</v>
      </c>
      <c r="D29" s="1742"/>
      <c r="E29" s="1743">
        <f>SUM(E27:E28)</f>
        <v>0</v>
      </c>
      <c r="F29" s="1743">
        <f>SUM(F27:F28)</f>
        <v>0</v>
      </c>
      <c r="G29" s="1"/>
      <c r="H29" s="1"/>
    </row>
    <row r="30" spans="1:8">
      <c r="A30" s="3"/>
      <c r="B30" s="1733"/>
      <c r="C30" s="1732"/>
      <c r="D30" s="1732"/>
      <c r="E30" s="1745"/>
      <c r="F30" s="1745"/>
      <c r="G30" s="3"/>
      <c r="H30" s="3"/>
    </row>
    <row r="31" spans="1:8">
      <c r="A31" s="3"/>
      <c r="B31" s="1733">
        <v>4</v>
      </c>
      <c r="C31" s="1732" t="s">
        <v>2537</v>
      </c>
      <c r="D31" s="1732"/>
      <c r="E31" s="1745"/>
      <c r="F31" s="1745"/>
      <c r="G31" s="3"/>
      <c r="H31" s="3"/>
    </row>
    <row r="32" spans="1:8">
      <c r="A32" s="3"/>
      <c r="B32" s="1733">
        <v>4.0999999999999996</v>
      </c>
      <c r="C32" s="1732" t="s">
        <v>2538</v>
      </c>
      <c r="D32" s="1732"/>
      <c r="E32" s="1735">
        <f>-('Sch 7 Stmt of Fin. Pos.'!D21-'Sch 7 Stmt of Fin. Pos.'!E21)</f>
        <v>0</v>
      </c>
      <c r="F32" s="1738"/>
      <c r="G32" s="3"/>
      <c r="H32" s="3"/>
    </row>
    <row r="33" spans="1:8">
      <c r="A33" s="1"/>
      <c r="B33" s="1741">
        <v>4.2</v>
      </c>
      <c r="C33" s="1742" t="s">
        <v>2539</v>
      </c>
      <c r="D33" s="1742"/>
      <c r="E33" s="1743">
        <f>SUM(E32)</f>
        <v>0</v>
      </c>
      <c r="F33" s="1743">
        <f>SUM(F32)</f>
        <v>0</v>
      </c>
      <c r="G33" s="1"/>
      <c r="H33" s="1"/>
    </row>
    <row r="34" spans="1:8">
      <c r="A34" s="3"/>
      <c r="B34" s="1733"/>
      <c r="C34" s="1732"/>
      <c r="D34" s="1732"/>
      <c r="E34" s="1745"/>
      <c r="F34" s="1745"/>
      <c r="G34" s="3"/>
      <c r="H34" s="3"/>
    </row>
    <row r="35" spans="1:8">
      <c r="A35" s="3"/>
      <c r="B35" s="1733">
        <v>5</v>
      </c>
      <c r="C35" s="1732" t="s">
        <v>2540</v>
      </c>
      <c r="D35" s="1732"/>
      <c r="E35" s="1745"/>
      <c r="F35" s="1745"/>
      <c r="G35" s="3"/>
      <c r="H35" s="3"/>
    </row>
    <row r="36" spans="1:8">
      <c r="A36" s="3"/>
      <c r="B36" s="1733">
        <v>5.0999999999999996</v>
      </c>
      <c r="C36" s="1732" t="s">
        <v>2541</v>
      </c>
      <c r="D36" s="1732"/>
      <c r="E36" s="1738"/>
      <c r="F36" s="1738"/>
      <c r="G36" s="3"/>
      <c r="H36" s="1739"/>
    </row>
    <row r="37" spans="1:8">
      <c r="A37" s="3"/>
      <c r="B37" s="1733">
        <v>5.2</v>
      </c>
      <c r="C37" s="1732" t="s">
        <v>2542</v>
      </c>
      <c r="D37" s="1732"/>
      <c r="E37" s="1736">
        <f>+('Sch 7 Stmt of Fin. Pos.'!D26-'Sch 7 Stmt of Fin. Pos.'!E26)</f>
        <v>0</v>
      </c>
      <c r="F37" s="1738"/>
      <c r="G37" s="3"/>
      <c r="H37" s="1739"/>
    </row>
    <row r="38" spans="1:8">
      <c r="A38" s="3"/>
      <c r="B38" s="1733">
        <v>5.3</v>
      </c>
      <c r="C38" s="1732" t="s">
        <v>2543</v>
      </c>
      <c r="D38" s="1732"/>
      <c r="E38" s="1738"/>
      <c r="F38" s="1738"/>
      <c r="G38" s="3"/>
      <c r="H38" s="1739"/>
    </row>
    <row r="39" spans="1:8">
      <c r="A39" s="1"/>
      <c r="B39" s="1741">
        <v>5.4</v>
      </c>
      <c r="C39" s="1742" t="s">
        <v>2544</v>
      </c>
      <c r="D39" s="1742"/>
      <c r="E39" s="1743">
        <f>SUM(E36:E38)</f>
        <v>0</v>
      </c>
      <c r="F39" s="1743">
        <f>SUM(F36:F38)</f>
        <v>0</v>
      </c>
      <c r="G39" s="1"/>
      <c r="H39" s="1"/>
    </row>
    <row r="40" spans="1:8">
      <c r="A40" s="3"/>
      <c r="B40" s="1733"/>
      <c r="C40" s="1732"/>
      <c r="D40" s="1732"/>
      <c r="E40" s="1745"/>
      <c r="F40" s="1745"/>
      <c r="G40" s="3"/>
      <c r="H40" s="3"/>
    </row>
    <row r="41" spans="1:8">
      <c r="A41" s="3"/>
      <c r="B41" s="1741">
        <v>6</v>
      </c>
      <c r="C41" s="1742" t="s">
        <v>2545</v>
      </c>
      <c r="D41" s="1732"/>
      <c r="E41" s="1746">
        <f>+E24+E29+E33+E39</f>
        <v>0</v>
      </c>
      <c r="F41" s="1746">
        <f>+F24+F29+F33+F39</f>
        <v>0</v>
      </c>
      <c r="G41" s="3"/>
      <c r="H41" s="1739"/>
    </row>
    <row r="42" spans="1:8">
      <c r="A42" s="3"/>
      <c r="B42" s="1733"/>
      <c r="C42" s="1732"/>
      <c r="D42" s="1732"/>
      <c r="E42" s="1745"/>
      <c r="F42" s="1745"/>
      <c r="G42" s="3"/>
      <c r="H42" s="3"/>
    </row>
    <row r="43" spans="1:8">
      <c r="A43" s="3"/>
      <c r="B43" s="1733">
        <v>7</v>
      </c>
      <c r="C43" s="1732" t="s">
        <v>2546</v>
      </c>
      <c r="D43" s="1732"/>
      <c r="E43" s="1746">
        <f>+F45</f>
        <v>0</v>
      </c>
      <c r="F43" s="1747"/>
      <c r="G43" s="3"/>
      <c r="H43" s="3"/>
    </row>
    <row r="44" spans="1:8">
      <c r="A44" s="3"/>
      <c r="B44" s="1733"/>
      <c r="C44" s="1732"/>
      <c r="D44" s="1732"/>
      <c r="E44" s="1748"/>
      <c r="F44" s="1748"/>
      <c r="G44" s="3"/>
      <c r="H44" s="3"/>
    </row>
    <row r="45" spans="1:8">
      <c r="A45" s="3"/>
      <c r="B45" s="1733">
        <v>8</v>
      </c>
      <c r="C45" s="1732" t="s">
        <v>2547</v>
      </c>
      <c r="D45" s="1732"/>
      <c r="E45" s="1746">
        <f>+E41+E43</f>
        <v>0</v>
      </c>
      <c r="F45" s="1746">
        <f>+F41+F43</f>
        <v>0</v>
      </c>
      <c r="G45" s="3"/>
      <c r="H45" s="3"/>
    </row>
    <row r="46" spans="1:8">
      <c r="A46" s="3"/>
      <c r="B46" s="11"/>
      <c r="C46" s="1749"/>
      <c r="D46" s="124"/>
      <c r="E46" s="1750"/>
      <c r="F46" s="1750"/>
      <c r="G46" s="3"/>
      <c r="H46" s="3"/>
    </row>
    <row r="47" spans="1:8">
      <c r="A47" s="3"/>
      <c r="B47" s="11"/>
      <c r="C47" s="1749"/>
      <c r="D47" s="124"/>
      <c r="E47" s="1750"/>
      <c r="F47" s="1750"/>
      <c r="G47" s="3"/>
      <c r="H47" s="3"/>
    </row>
    <row r="48" spans="1:8">
      <c r="A48" s="138"/>
      <c r="B48" s="1" t="s">
        <v>1198</v>
      </c>
      <c r="C48" s="1751"/>
      <c r="D48" s="1752"/>
      <c r="E48" s="1752"/>
      <c r="F48" s="1752"/>
      <c r="G48" s="138"/>
      <c r="H48" s="138"/>
    </row>
    <row r="49" spans="1:8">
      <c r="A49" s="138"/>
      <c r="B49" s="1753" t="s">
        <v>789</v>
      </c>
      <c r="C49" s="1751" t="s">
        <v>789</v>
      </c>
      <c r="D49" s="46"/>
      <c r="E49" s="46"/>
      <c r="F49" s="46"/>
      <c r="G49" s="138"/>
      <c r="H49" s="1754"/>
    </row>
    <row r="50" spans="1:8">
      <c r="A50" s="138"/>
      <c r="B50" s="1755"/>
      <c r="C50" s="2429"/>
      <c r="D50" s="2429"/>
      <c r="E50" s="2429"/>
      <c r="F50" s="46"/>
      <c r="G50" s="138"/>
      <c r="H50" s="1754"/>
    </row>
    <row r="51" spans="1:8">
      <c r="A51" s="138"/>
      <c r="B51" s="17"/>
      <c r="C51" s="1"/>
      <c r="D51" s="1"/>
      <c r="E51" s="1756"/>
      <c r="F51" s="1756"/>
      <c r="G51" s="138"/>
      <c r="H51" s="1754"/>
    </row>
    <row r="52" spans="1:8">
      <c r="A52" s="138"/>
      <c r="B52" s="1755"/>
      <c r="C52" s="2429"/>
      <c r="D52" s="2429"/>
      <c r="E52" s="2429"/>
      <c r="F52" s="46"/>
      <c r="G52" s="138"/>
      <c r="H52" s="1754"/>
    </row>
    <row r="53" spans="1:8">
      <c r="A53" s="138"/>
      <c r="B53" s="17"/>
      <c r="C53" s="1"/>
      <c r="D53" s="1"/>
      <c r="E53" s="1756"/>
      <c r="F53" s="1756"/>
      <c r="G53" s="138"/>
      <c r="H53" s="1754"/>
    </row>
    <row r="54" spans="1:8">
      <c r="A54" s="138"/>
      <c r="B54" s="1755"/>
      <c r="C54" s="1751"/>
      <c r="D54" s="46"/>
      <c r="E54" s="46"/>
      <c r="F54" s="46"/>
      <c r="G54" s="138"/>
      <c r="H54" s="1754"/>
    </row>
    <row r="55" spans="1:8">
      <c r="A55" s="138"/>
      <c r="B55" s="17"/>
      <c r="C55" s="1"/>
      <c r="D55" s="1"/>
      <c r="E55" s="1756"/>
      <c r="F55" s="1756"/>
      <c r="G55" s="138"/>
      <c r="H55" s="1754"/>
    </row>
    <row r="56" spans="1:8">
      <c r="A56" s="138"/>
      <c r="B56" s="1755"/>
      <c r="C56" s="2429"/>
      <c r="D56" s="2429"/>
      <c r="E56" s="2429"/>
      <c r="F56" s="46"/>
      <c r="G56" s="138"/>
      <c r="H56" s="1754"/>
    </row>
    <row r="57" spans="1:8">
      <c r="A57" s="1757"/>
      <c r="B57" s="1758"/>
      <c r="C57" s="1759"/>
      <c r="D57" s="1759"/>
      <c r="E57" s="1760"/>
      <c r="F57" s="1760"/>
      <c r="G57" s="1757"/>
      <c r="H57" s="1761"/>
    </row>
    <row r="58" spans="1:8">
      <c r="A58" s="1757"/>
      <c r="B58" s="1762"/>
      <c r="C58" s="2430"/>
      <c r="D58" s="2430"/>
      <c r="E58" s="2430"/>
      <c r="F58" s="2430"/>
      <c r="G58" s="2430"/>
      <c r="H58" s="2430"/>
    </row>
    <row r="59" spans="1:8">
      <c r="A59" s="1757"/>
      <c r="B59" s="1758"/>
      <c r="C59" s="1759"/>
      <c r="D59" s="1759"/>
      <c r="E59" s="1760"/>
      <c r="F59" s="1760"/>
      <c r="G59" s="1757"/>
      <c r="H59" s="1757"/>
    </row>
    <row r="60" spans="1:8">
      <c r="A60" s="1757"/>
      <c r="B60" s="1762"/>
      <c r="C60" s="2430"/>
      <c r="D60" s="2430"/>
      <c r="E60" s="2430"/>
      <c r="F60" s="2430"/>
      <c r="G60" s="2430"/>
      <c r="H60" s="2430"/>
    </row>
    <row r="61" spans="1:8">
      <c r="A61" s="1757"/>
      <c r="B61" s="1758"/>
      <c r="C61" s="1759"/>
      <c r="D61" s="1759"/>
      <c r="E61" s="1760"/>
      <c r="F61" s="1760"/>
      <c r="G61" s="1757"/>
      <c r="H61" s="1757"/>
    </row>
    <row r="62" spans="1:8">
      <c r="A62" s="1757"/>
      <c r="B62" s="1762"/>
      <c r="C62" s="2430"/>
      <c r="D62" s="2430"/>
      <c r="E62" s="2430"/>
      <c r="F62" s="2430"/>
      <c r="G62" s="2430"/>
      <c r="H62" s="2430"/>
    </row>
  </sheetData>
  <mergeCells count="10">
    <mergeCell ref="C56:E56"/>
    <mergeCell ref="C58:H58"/>
    <mergeCell ref="C60:H60"/>
    <mergeCell ref="C62:H62"/>
    <mergeCell ref="D2:E2"/>
    <mergeCell ref="A5:G5"/>
    <mergeCell ref="A6:G6"/>
    <mergeCell ref="A7:G7"/>
    <mergeCell ref="C50:E50"/>
    <mergeCell ref="C52:E52"/>
  </mergeCells>
  <pageMargins left="0.7" right="0.7" top="0.75" bottom="0.75" header="0.3" footer="0.3"/>
  <legacy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N91"/>
  <sheetViews>
    <sheetView zoomScaleNormal="100" workbookViewId="0">
      <selection activeCell="J13" sqref="J13"/>
    </sheetView>
  </sheetViews>
  <sheetFormatPr defaultColWidth="0" defaultRowHeight="15" zeroHeight="1"/>
  <cols>
    <col min="1" max="1" width="8" style="976" customWidth="1"/>
    <col min="2" max="2" width="15.7109375" style="976" customWidth="1"/>
    <col min="3" max="3" width="11.7109375" style="976" customWidth="1"/>
    <col min="4" max="4" width="5.7109375" style="976" customWidth="1"/>
    <col min="5" max="8" width="15.7109375" style="976" customWidth="1"/>
    <col min="9" max="9" width="10.7109375" style="976" customWidth="1"/>
    <col min="10" max="10" width="18.42578125" style="976" customWidth="1"/>
    <col min="11" max="11" width="7.140625" style="976" customWidth="1"/>
    <col min="12" max="12" width="15.7109375" style="976" customWidth="1"/>
    <col min="13" max="13" width="14" style="976" customWidth="1"/>
    <col min="14" max="14" width="9.140625" style="976" customWidth="1"/>
    <col min="15" max="16384" width="0" style="976" hidden="1"/>
  </cols>
  <sheetData>
    <row r="1" spans="1:14" s="2134" customFormat="1" ht="16.5" thickBot="1">
      <c r="A1" s="2135" t="s">
        <v>2834</v>
      </c>
      <c r="B1" s="2136" t="s">
        <v>526</v>
      </c>
      <c r="C1" s="2136" t="s">
        <v>1516</v>
      </c>
      <c r="D1" s="2136" t="s">
        <v>2153</v>
      </c>
      <c r="E1" s="2136" t="s">
        <v>829</v>
      </c>
      <c r="F1" s="2136" t="s">
        <v>2321</v>
      </c>
      <c r="G1" s="2136" t="s">
        <v>784</v>
      </c>
      <c r="H1" s="2136" t="s">
        <v>2034</v>
      </c>
      <c r="I1" s="2136" t="s">
        <v>2035</v>
      </c>
      <c r="J1" s="2136" t="s">
        <v>2833</v>
      </c>
      <c r="K1" s="2136" t="s">
        <v>1084</v>
      </c>
      <c r="L1" s="2136" t="s">
        <v>1026</v>
      </c>
      <c r="M1" s="2136" t="s">
        <v>1040</v>
      </c>
      <c r="N1" s="2133"/>
    </row>
    <row r="2" spans="1:14" ht="18.75" thickBot="1">
      <c r="A2" s="6" t="s">
        <v>621</v>
      </c>
      <c r="B2" s="1485"/>
      <c r="C2" s="989"/>
      <c r="D2" s="989"/>
      <c r="E2" s="78"/>
      <c r="F2" s="78"/>
      <c r="G2" s="78"/>
      <c r="H2" s="78"/>
      <c r="I2" s="78"/>
      <c r="J2" s="941" t="s">
        <v>163</v>
      </c>
      <c r="K2" s="78"/>
      <c r="L2" s="1475" t="str">
        <f>'1 Summary'!$G$2</f>
        <v/>
      </c>
      <c r="M2" s="944"/>
      <c r="N2" s="78"/>
    </row>
    <row r="3" spans="1:14" ht="18.75" thickBot="1">
      <c r="A3" s="1486" t="s">
        <v>1673</v>
      </c>
      <c r="B3" s="1485"/>
      <c r="C3" s="989"/>
      <c r="D3" s="989"/>
      <c r="E3" s="78"/>
      <c r="F3" s="78"/>
      <c r="G3" s="78"/>
      <c r="H3" s="78"/>
      <c r="I3" s="78"/>
      <c r="J3" s="941" t="s">
        <v>162</v>
      </c>
      <c r="K3" s="814"/>
      <c r="L3" s="1143">
        <f>'1 Summary'!$G$3</f>
        <v>0</v>
      </c>
      <c r="M3" s="78"/>
      <c r="N3" s="78"/>
    </row>
    <row r="4" spans="1:14" ht="12.75" customHeight="1">
      <c r="A4" s="1476"/>
      <c r="B4" s="2083" t="s">
        <v>789</v>
      </c>
      <c r="C4" s="2083" t="s">
        <v>789</v>
      </c>
      <c r="D4" s="2083" t="s">
        <v>789</v>
      </c>
      <c r="E4" s="2083" t="s">
        <v>789</v>
      </c>
      <c r="F4" s="2083" t="s">
        <v>789</v>
      </c>
      <c r="G4" s="2083" t="s">
        <v>789</v>
      </c>
      <c r="H4" s="2083" t="s">
        <v>789</v>
      </c>
      <c r="I4" s="2083" t="s">
        <v>789</v>
      </c>
      <c r="J4" s="989"/>
      <c r="K4" s="989"/>
      <c r="L4" s="989"/>
      <c r="M4" s="78"/>
      <c r="N4" s="1474"/>
    </row>
    <row r="5" spans="1:14" ht="15.75" customHeight="1">
      <c r="A5" s="78"/>
      <c r="B5" s="1247" t="s">
        <v>2762</v>
      </c>
      <c r="C5" s="1072"/>
      <c r="D5" s="1072"/>
      <c r="E5" s="1072"/>
      <c r="F5" s="1072"/>
      <c r="G5" s="1072"/>
      <c r="H5" s="1072"/>
      <c r="I5" s="1072"/>
      <c r="J5" s="2012" t="s">
        <v>1289</v>
      </c>
      <c r="K5" s="989"/>
      <c r="L5" s="2012" t="s">
        <v>1000</v>
      </c>
      <c r="M5" s="2137" t="s">
        <v>1974</v>
      </c>
      <c r="N5" s="1474"/>
    </row>
    <row r="6" spans="1:14" ht="12.75" customHeight="1">
      <c r="A6" s="632"/>
      <c r="B6" s="86"/>
      <c r="C6" s="86"/>
      <c r="D6" s="86"/>
      <c r="E6" s="86"/>
      <c r="F6" s="86"/>
      <c r="G6" s="86"/>
      <c r="H6" s="86"/>
      <c r="I6" s="86"/>
      <c r="J6" s="86"/>
      <c r="K6" s="86"/>
      <c r="L6" s="86"/>
      <c r="M6" s="2136" t="s">
        <v>1202</v>
      </c>
      <c r="N6" s="632"/>
    </row>
    <row r="7" spans="1:14" ht="15.75">
      <c r="A7" s="104" t="s">
        <v>1674</v>
      </c>
      <c r="B7" s="632" t="s">
        <v>526</v>
      </c>
      <c r="C7" s="632"/>
      <c r="D7" s="632"/>
      <c r="E7" s="632"/>
      <c r="F7" s="632"/>
      <c r="G7" s="632"/>
      <c r="H7" s="632"/>
      <c r="I7" s="632"/>
      <c r="J7" s="1477">
        <f>IF(L3=15148,0,'Sch 13 Enrolment'!V70)</f>
        <v>0</v>
      </c>
      <c r="K7" s="632"/>
      <c r="L7" s="1477">
        <f>IF(L3=15148,'Sch 13 Enrolment'!V68,0)</f>
        <v>0</v>
      </c>
      <c r="M7" s="2136" t="s">
        <v>229</v>
      </c>
      <c r="N7" s="1021" t="str">
        <f>A7</f>
        <v>1.0</v>
      </c>
    </row>
    <row r="8" spans="1:14" ht="12.75" customHeight="1">
      <c r="A8" s="104"/>
      <c r="B8" s="632"/>
      <c r="C8" s="632"/>
      <c r="D8" s="632"/>
      <c r="E8" s="632"/>
      <c r="F8" s="632"/>
      <c r="G8" s="632"/>
      <c r="H8" s="632"/>
      <c r="I8" s="632"/>
      <c r="J8" s="632"/>
      <c r="K8" s="632"/>
      <c r="L8" s="632"/>
      <c r="M8" s="2136" t="s">
        <v>19</v>
      </c>
      <c r="N8" s="1021"/>
    </row>
    <row r="9" spans="1:14" ht="15.75">
      <c r="A9" s="104">
        <v>1.1000000000000001</v>
      </c>
      <c r="B9" s="632" t="s">
        <v>1516</v>
      </c>
      <c r="C9" s="632"/>
      <c r="D9" s="632"/>
      <c r="E9" s="632"/>
      <c r="F9" s="632"/>
      <c r="G9" s="632"/>
      <c r="H9" s="632"/>
      <c r="I9" s="632"/>
      <c r="J9" s="1008">
        <f>ROUND(IF(L3=15148,0,'1.1 Pupil Foundation'!H21),0)</f>
        <v>0</v>
      </c>
      <c r="K9" s="632"/>
      <c r="L9" s="1008">
        <f>ROUND(IF(L3=15148,'1.1 Pupil Foundation'!H27,0),0)</f>
        <v>0</v>
      </c>
      <c r="M9" s="2136" t="s">
        <v>437</v>
      </c>
      <c r="N9" s="1021">
        <f>A9</f>
        <v>1.1000000000000001</v>
      </c>
    </row>
    <row r="10" spans="1:14" ht="15.75">
      <c r="A10" s="104"/>
      <c r="B10" s="1136" t="s">
        <v>164</v>
      </c>
      <c r="C10" s="632"/>
      <c r="D10" s="632"/>
      <c r="E10" s="632"/>
      <c r="F10" s="632"/>
      <c r="G10" s="632"/>
      <c r="H10" s="632"/>
      <c r="I10" s="632"/>
      <c r="J10" s="632"/>
      <c r="K10" s="632"/>
      <c r="L10" s="632"/>
      <c r="M10" s="2136" t="s">
        <v>1583</v>
      </c>
      <c r="N10" s="1021"/>
    </row>
    <row r="11" spans="1:14" ht="15.75">
      <c r="A11" s="104"/>
      <c r="B11" s="1136" t="s">
        <v>165</v>
      </c>
      <c r="C11" s="632"/>
      <c r="D11" s="632"/>
      <c r="E11" s="632"/>
      <c r="F11" s="632"/>
      <c r="G11" s="632"/>
      <c r="H11" s="632"/>
      <c r="I11" s="632"/>
      <c r="J11" s="632"/>
      <c r="K11" s="632"/>
      <c r="L11" s="632"/>
      <c r="M11" s="2136" t="s">
        <v>438</v>
      </c>
      <c r="N11" s="1021"/>
    </row>
    <row r="12" spans="1:14" ht="12.75" customHeight="1">
      <c r="A12" s="104"/>
      <c r="B12" s="632"/>
      <c r="C12" s="632"/>
      <c r="D12" s="632"/>
      <c r="E12" s="632"/>
      <c r="F12" s="632"/>
      <c r="G12" s="632"/>
      <c r="H12" s="632"/>
      <c r="I12" s="632"/>
      <c r="J12" s="632"/>
      <c r="K12" s="632"/>
      <c r="L12" s="632"/>
      <c r="M12" s="2136" t="s">
        <v>440</v>
      </c>
      <c r="N12" s="1021"/>
    </row>
    <row r="13" spans="1:14" ht="15.75">
      <c r="A13" s="104">
        <v>1.2</v>
      </c>
      <c r="B13" s="632" t="s">
        <v>2153</v>
      </c>
      <c r="C13" s="632"/>
      <c r="D13" s="632"/>
      <c r="E13" s="632"/>
      <c r="F13" s="632"/>
      <c r="G13" s="632"/>
      <c r="H13" s="632"/>
      <c r="I13" s="632"/>
      <c r="J13" s="1008">
        <f>ROUND(IF(L3=15148,0,'2 Special Ed'!T64-'2 Special Ed'!T62-'2 Special Ed'!T47-'2 Special Ed'!T38-'2 Special Ed'!P20),0)</f>
        <v>0</v>
      </c>
      <c r="K13" s="632"/>
      <c r="L13" s="1008">
        <f>ROUND(IF(L3=15148,'2 Special Ed'!T64-'2 Special Ed'!T47-'2 Special Ed'!T62-'2 Special Ed'!T38-'2 Special Ed'!R20,0),0)</f>
        <v>0</v>
      </c>
      <c r="M13" s="2136" t="s">
        <v>439</v>
      </c>
      <c r="N13" s="1021">
        <f>A13</f>
        <v>1.2</v>
      </c>
    </row>
    <row r="14" spans="1:14" ht="15.75">
      <c r="A14" s="104"/>
      <c r="B14" s="1136" t="s">
        <v>2391</v>
      </c>
      <c r="C14" s="632"/>
      <c r="D14" s="632"/>
      <c r="E14" s="632"/>
      <c r="F14" s="632"/>
      <c r="G14" s="632"/>
      <c r="H14" s="632"/>
      <c r="I14" s="632"/>
      <c r="J14" s="1009"/>
      <c r="K14" s="632"/>
      <c r="L14" s="1009"/>
      <c r="M14" s="632"/>
      <c r="N14" s="1021"/>
    </row>
    <row r="15" spans="1:14" ht="15.75">
      <c r="A15" s="104"/>
      <c r="B15" s="1136" t="s">
        <v>2392</v>
      </c>
      <c r="C15" s="632"/>
      <c r="D15" s="632"/>
      <c r="E15" s="632"/>
      <c r="F15" s="632"/>
      <c r="G15" s="632"/>
      <c r="H15" s="632"/>
      <c r="I15" s="632"/>
      <c r="J15" s="1009"/>
      <c r="K15" s="632"/>
      <c r="L15" s="1009"/>
      <c r="M15" s="632"/>
      <c r="N15" s="1021"/>
    </row>
    <row r="16" spans="1:14" ht="12.75" customHeight="1">
      <c r="A16" s="104"/>
      <c r="B16" s="632"/>
      <c r="C16" s="632"/>
      <c r="D16" s="632"/>
      <c r="E16" s="632"/>
      <c r="F16" s="632"/>
      <c r="G16" s="632"/>
      <c r="H16" s="632"/>
      <c r="I16" s="632"/>
      <c r="J16" s="632"/>
      <c r="K16" s="632"/>
      <c r="L16" s="632"/>
      <c r="M16" s="632"/>
      <c r="N16" s="1021"/>
    </row>
    <row r="17" spans="1:14" ht="15.75">
      <c r="A17" s="104">
        <v>1.3</v>
      </c>
      <c r="B17" s="632" t="s">
        <v>829</v>
      </c>
      <c r="C17" s="632"/>
      <c r="D17" s="632"/>
      <c r="E17" s="632"/>
      <c r="F17" s="632"/>
      <c r="G17" s="632"/>
      <c r="H17" s="632"/>
      <c r="I17" s="632"/>
      <c r="J17" s="1008">
        <f>ROUND(IF(L3=15148,0,'3 Language'!L90),0)</f>
        <v>0</v>
      </c>
      <c r="K17" s="632"/>
      <c r="L17" s="1008">
        <f>ROUND(IF(L3=15148,'3 Language'!L90,0),0)</f>
        <v>0</v>
      </c>
      <c r="M17" s="632"/>
      <c r="N17" s="1021">
        <f>A17</f>
        <v>1.3</v>
      </c>
    </row>
    <row r="18" spans="1:14" ht="15.75">
      <c r="A18" s="104"/>
      <c r="B18" s="1136" t="s">
        <v>2393</v>
      </c>
      <c r="C18" s="632"/>
      <c r="D18" s="632"/>
      <c r="E18" s="632"/>
      <c r="F18" s="632"/>
      <c r="G18" s="632"/>
      <c r="H18" s="632"/>
      <c r="I18" s="632"/>
      <c r="J18" s="1009"/>
      <c r="K18" s="632"/>
      <c r="L18" s="1009"/>
      <c r="M18" s="632"/>
      <c r="N18" s="1021"/>
    </row>
    <row r="19" spans="1:14" ht="15.75">
      <c r="A19" s="104"/>
      <c r="B19" s="1136" t="s">
        <v>2394</v>
      </c>
      <c r="C19" s="632"/>
      <c r="D19" s="632"/>
      <c r="E19" s="632"/>
      <c r="F19" s="632"/>
      <c r="G19" s="632"/>
      <c r="H19" s="632"/>
      <c r="I19" s="632"/>
      <c r="J19" s="1009"/>
      <c r="K19" s="632"/>
      <c r="L19" s="1009"/>
      <c r="M19" s="632"/>
      <c r="N19" s="1021"/>
    </row>
    <row r="20" spans="1:14" ht="12.75" customHeight="1">
      <c r="A20" s="104"/>
      <c r="B20" s="632"/>
      <c r="C20" s="632"/>
      <c r="D20" s="632"/>
      <c r="E20" s="632"/>
      <c r="F20" s="632"/>
      <c r="G20" s="632"/>
      <c r="H20" s="632"/>
      <c r="I20" s="632"/>
      <c r="J20" s="632"/>
      <c r="K20" s="632"/>
      <c r="L20" s="632"/>
      <c r="M20" s="632"/>
      <c r="N20" s="1021"/>
    </row>
    <row r="21" spans="1:14" ht="15.75">
      <c r="A21" s="104">
        <v>1.4</v>
      </c>
      <c r="B21" s="632" t="s">
        <v>2321</v>
      </c>
      <c r="C21" s="632"/>
      <c r="D21" s="632"/>
      <c r="E21" s="632"/>
      <c r="F21" s="632"/>
      <c r="G21" s="632"/>
      <c r="H21" s="632"/>
      <c r="I21" s="632"/>
      <c r="J21" s="1008">
        <f>ROUND(IF(L3=15148,0,'4 Outlying Schools'!H28),0)</f>
        <v>0</v>
      </c>
      <c r="K21" s="632"/>
      <c r="L21" s="1008">
        <f>ROUND(IF(L3=15148,'4 Outlying Schools'!H28,0),0)</f>
        <v>0</v>
      </c>
      <c r="M21" s="632"/>
      <c r="N21" s="1021">
        <f>A21</f>
        <v>1.4</v>
      </c>
    </row>
    <row r="22" spans="1:14" ht="15.75">
      <c r="A22" s="104"/>
      <c r="B22" s="1136" t="s">
        <v>2322</v>
      </c>
      <c r="C22" s="632"/>
      <c r="D22" s="632"/>
      <c r="E22" s="632"/>
      <c r="F22" s="632"/>
      <c r="G22" s="632"/>
      <c r="H22" s="632"/>
      <c r="I22" s="632"/>
      <c r="J22" s="1009"/>
      <c r="K22" s="632"/>
      <c r="L22" s="1009"/>
      <c r="M22" s="632"/>
      <c r="N22" s="1021"/>
    </row>
    <row r="23" spans="1:14" ht="15.75">
      <c r="A23" s="104"/>
      <c r="B23" s="1136" t="s">
        <v>2323</v>
      </c>
      <c r="C23" s="632"/>
      <c r="D23" s="632"/>
      <c r="E23" s="632"/>
      <c r="F23" s="632"/>
      <c r="G23" s="632"/>
      <c r="H23" s="632"/>
      <c r="I23" s="632"/>
      <c r="J23" s="1009"/>
      <c r="K23" s="632"/>
      <c r="L23" s="1009"/>
      <c r="M23" s="632"/>
      <c r="N23" s="1021"/>
    </row>
    <row r="24" spans="1:14" ht="12.75" customHeight="1">
      <c r="A24" s="104"/>
      <c r="B24" s="632"/>
      <c r="C24" s="632"/>
      <c r="D24" s="632"/>
      <c r="E24" s="632"/>
      <c r="F24" s="632"/>
      <c r="G24" s="632"/>
      <c r="H24" s="632"/>
      <c r="I24" s="632"/>
      <c r="J24" s="1009"/>
      <c r="K24" s="632"/>
      <c r="L24" s="1009"/>
      <c r="M24" s="632"/>
      <c r="N24" s="1021"/>
    </row>
    <row r="25" spans="1:14" ht="15.75">
      <c r="A25" s="104">
        <v>1.5</v>
      </c>
      <c r="B25" s="632" t="s">
        <v>784</v>
      </c>
      <c r="C25" s="632"/>
      <c r="D25" s="632"/>
      <c r="E25" s="632"/>
      <c r="F25" s="632"/>
      <c r="G25" s="632"/>
      <c r="H25" s="632"/>
      <c r="I25" s="632"/>
      <c r="J25" s="1008">
        <f>ROUND(IF(L3=15148,0,'5 Remote and Rural'!J30),0)</f>
        <v>0</v>
      </c>
      <c r="K25" s="632"/>
      <c r="L25" s="1008">
        <f>ROUND(IF(L3=15148,'5 Remote and Rural'!J30,0),0)</f>
        <v>0</v>
      </c>
      <c r="M25" s="632"/>
      <c r="N25" s="1021">
        <f>A25</f>
        <v>1.5</v>
      </c>
    </row>
    <row r="26" spans="1:14" ht="15.75">
      <c r="A26" s="104"/>
      <c r="B26" s="1136" t="s">
        <v>876</v>
      </c>
      <c r="C26" s="632"/>
      <c r="D26" s="632"/>
      <c r="E26" s="632"/>
      <c r="F26" s="632"/>
      <c r="G26" s="632"/>
      <c r="H26" s="632"/>
      <c r="I26" s="632"/>
      <c r="J26" s="1009"/>
      <c r="K26" s="632"/>
      <c r="L26" s="1009"/>
      <c r="M26" s="632"/>
      <c r="N26" s="1021"/>
    </row>
    <row r="27" spans="1:14" ht="15.75">
      <c r="A27" s="104"/>
      <c r="B27" s="1136" t="s">
        <v>482</v>
      </c>
      <c r="C27" s="632"/>
      <c r="D27" s="632"/>
      <c r="E27" s="632"/>
      <c r="F27" s="632"/>
      <c r="G27" s="632"/>
      <c r="H27" s="632"/>
      <c r="I27" s="632"/>
      <c r="J27" s="1009"/>
      <c r="K27" s="632"/>
      <c r="L27" s="1009"/>
      <c r="M27" s="632"/>
      <c r="N27" s="1021"/>
    </row>
    <row r="28" spans="1:14" ht="12.75" customHeight="1">
      <c r="A28" s="104"/>
      <c r="B28" s="632"/>
      <c r="C28" s="632"/>
      <c r="D28" s="632"/>
      <c r="E28" s="632"/>
      <c r="F28" s="632"/>
      <c r="G28" s="632"/>
      <c r="H28" s="632"/>
      <c r="I28" s="632"/>
      <c r="J28" s="632"/>
      <c r="K28" s="632"/>
      <c r="L28" s="632"/>
      <c r="M28" s="632"/>
      <c r="N28" s="1021"/>
    </row>
    <row r="29" spans="1:14" ht="15.75">
      <c r="A29" s="104">
        <v>1.6</v>
      </c>
      <c r="B29" s="632" t="s">
        <v>2034</v>
      </c>
      <c r="C29" s="632"/>
      <c r="D29" s="632"/>
      <c r="E29" s="632"/>
      <c r="F29" s="632"/>
      <c r="G29" s="632"/>
      <c r="H29" s="632"/>
      <c r="I29" s="632"/>
      <c r="J29" s="1008">
        <f>ROUND(IF(L3=15148,0,'13 Learning Opportunities'!H6),0)</f>
        <v>0</v>
      </c>
      <c r="K29" s="632"/>
      <c r="L29" s="1008">
        <f>ROUND(IF(L3=15148,'13 Learning Opportunities'!H6,0),0)</f>
        <v>0</v>
      </c>
      <c r="M29" s="632"/>
      <c r="N29" s="1021">
        <f>A29</f>
        <v>1.6</v>
      </c>
    </row>
    <row r="30" spans="1:14" ht="15.75">
      <c r="A30" s="104"/>
      <c r="B30" s="1136" t="s">
        <v>483</v>
      </c>
      <c r="C30" s="632"/>
      <c r="D30" s="632"/>
      <c r="E30" s="632"/>
      <c r="F30" s="632"/>
      <c r="G30" s="632"/>
      <c r="H30" s="632"/>
      <c r="I30" s="632"/>
      <c r="J30" s="1009"/>
      <c r="K30" s="632"/>
      <c r="L30" s="1009"/>
      <c r="M30" s="632"/>
      <c r="N30" s="1021"/>
    </row>
    <row r="31" spans="1:14" ht="15.75">
      <c r="A31" s="104"/>
      <c r="B31" s="1136" t="s">
        <v>1629</v>
      </c>
      <c r="C31" s="632"/>
      <c r="D31" s="632"/>
      <c r="E31" s="632"/>
      <c r="F31" s="632"/>
      <c r="G31" s="632"/>
      <c r="H31" s="632"/>
      <c r="I31" s="632"/>
      <c r="J31" s="1009"/>
      <c r="K31" s="632"/>
      <c r="L31" s="1009"/>
      <c r="M31" s="632"/>
      <c r="N31" s="1021"/>
    </row>
    <row r="32" spans="1:14" ht="12.75" customHeight="1">
      <c r="A32" s="104"/>
      <c r="B32" s="632"/>
      <c r="C32" s="632"/>
      <c r="D32" s="632"/>
      <c r="E32" s="632"/>
      <c r="F32" s="632"/>
      <c r="G32" s="632"/>
      <c r="H32" s="632"/>
      <c r="I32" s="632"/>
      <c r="J32" s="632"/>
      <c r="K32" s="632"/>
      <c r="L32" s="632"/>
      <c r="M32" s="632"/>
      <c r="N32" s="1021"/>
    </row>
    <row r="33" spans="1:14" ht="15.75">
      <c r="A33" s="104">
        <v>1.7</v>
      </c>
      <c r="B33" s="632" t="s">
        <v>2035</v>
      </c>
      <c r="C33" s="632"/>
      <c r="D33" s="632"/>
      <c r="E33" s="632"/>
      <c r="F33" s="632"/>
      <c r="G33" s="632"/>
      <c r="H33" s="632"/>
      <c r="I33" s="632"/>
      <c r="J33" s="1008">
        <f>ROUND(IF(L3=15148,0,'7 Teacher Compensation'!R184),0)</f>
        <v>0</v>
      </c>
      <c r="K33" s="632"/>
      <c r="L33" s="1008">
        <f>ROUND(IF(L3=15148,'7 Teacher Compensation'!R184,0),0)</f>
        <v>0</v>
      </c>
      <c r="M33" s="632"/>
      <c r="N33" s="1021">
        <f>A33</f>
        <v>1.7</v>
      </c>
    </row>
    <row r="34" spans="1:14" ht="15.75">
      <c r="A34" s="104"/>
      <c r="B34" s="1136" t="s">
        <v>2395</v>
      </c>
      <c r="C34" s="632"/>
      <c r="D34" s="632"/>
      <c r="E34" s="632"/>
      <c r="F34" s="632"/>
      <c r="G34" s="632"/>
      <c r="H34" s="632"/>
      <c r="I34" s="632"/>
      <c r="J34" s="1009"/>
      <c r="K34" s="632"/>
      <c r="L34" s="1009"/>
      <c r="M34" s="632"/>
      <c r="N34" s="1021" t="s">
        <v>789</v>
      </c>
    </row>
    <row r="35" spans="1:14" ht="15.75">
      <c r="A35" s="104"/>
      <c r="B35" s="1136" t="s">
        <v>2396</v>
      </c>
      <c r="C35" s="632"/>
      <c r="D35" s="632"/>
      <c r="E35" s="632"/>
      <c r="F35" s="632"/>
      <c r="G35" s="632"/>
      <c r="H35" s="632"/>
      <c r="I35" s="632"/>
      <c r="J35" s="632"/>
      <c r="K35" s="632"/>
      <c r="L35" s="632"/>
      <c r="M35" s="632"/>
      <c r="N35" s="1021" t="s">
        <v>789</v>
      </c>
    </row>
    <row r="36" spans="1:14" ht="12.75" customHeight="1">
      <c r="A36" s="104"/>
      <c r="B36" s="1478"/>
      <c r="C36" s="632"/>
      <c r="D36" s="632"/>
      <c r="E36" s="632"/>
      <c r="F36" s="632"/>
      <c r="G36" s="632"/>
      <c r="H36" s="632"/>
      <c r="I36" s="632"/>
      <c r="J36" s="632"/>
      <c r="K36" s="632"/>
      <c r="L36" s="632"/>
      <c r="M36" s="632"/>
      <c r="N36" s="1021" t="s">
        <v>789</v>
      </c>
    </row>
    <row r="37" spans="1:14" ht="15.75">
      <c r="A37" s="104" t="s">
        <v>436</v>
      </c>
      <c r="B37" s="632" t="s">
        <v>2833</v>
      </c>
      <c r="C37" s="632"/>
      <c r="D37" s="632"/>
      <c r="E37" s="632"/>
      <c r="F37" s="632"/>
      <c r="G37" s="632"/>
      <c r="H37" s="632"/>
      <c r="I37" s="632"/>
      <c r="J37" s="1008">
        <f>ROUND(IF(I3=15148,0,'7A ECE'!F31),0)</f>
        <v>0</v>
      </c>
      <c r="K37" s="632"/>
      <c r="L37" s="632"/>
      <c r="M37" s="632"/>
      <c r="N37" s="1021" t="str">
        <f>A37</f>
        <v>1.7.1</v>
      </c>
    </row>
    <row r="38" spans="1:14" ht="15.75">
      <c r="A38" s="104"/>
      <c r="B38" s="1136" t="s">
        <v>2299</v>
      </c>
      <c r="C38" s="632"/>
      <c r="D38" s="632"/>
      <c r="E38" s="632"/>
      <c r="F38" s="632"/>
      <c r="G38" s="632"/>
      <c r="H38" s="632"/>
      <c r="I38" s="632"/>
      <c r="J38" s="632"/>
      <c r="K38" s="632"/>
      <c r="L38" s="632"/>
      <c r="M38" s="632"/>
      <c r="N38" s="1021"/>
    </row>
    <row r="39" spans="1:14" ht="12.75" customHeight="1">
      <c r="A39" s="104"/>
      <c r="B39" s="1478"/>
      <c r="C39" s="632"/>
      <c r="D39" s="632"/>
      <c r="E39" s="632"/>
      <c r="F39" s="632"/>
      <c r="G39" s="632"/>
      <c r="H39" s="632"/>
      <c r="I39" s="632"/>
      <c r="J39" s="632"/>
      <c r="K39" s="632"/>
      <c r="L39" s="632"/>
      <c r="M39" s="632"/>
      <c r="N39" s="1021"/>
    </row>
    <row r="40" spans="1:14" ht="15.75">
      <c r="A40" s="104" t="s">
        <v>2298</v>
      </c>
      <c r="B40" s="1136" t="s">
        <v>1084</v>
      </c>
      <c r="C40" s="632"/>
      <c r="D40" s="632"/>
      <c r="E40" s="632"/>
      <c r="F40" s="632"/>
      <c r="G40" s="632"/>
      <c r="H40" s="632"/>
      <c r="I40" s="632"/>
      <c r="J40" s="1140">
        <f>ROUND('7B NTIP'!D11*'7B NTIP'!D13,0)</f>
        <v>0</v>
      </c>
      <c r="K40" s="632"/>
      <c r="L40" s="1140">
        <f>ROUND('7B NTIP'!F11*'7B NTIP'!F13,0)</f>
        <v>0</v>
      </c>
      <c r="M40" s="632"/>
      <c r="N40" s="1021" t="str">
        <f>A40</f>
        <v>1.7.2</v>
      </c>
    </row>
    <row r="41" spans="1:14" ht="15.75">
      <c r="A41" s="104"/>
      <c r="B41" s="1136" t="s">
        <v>2296</v>
      </c>
      <c r="C41" s="632"/>
      <c r="D41" s="632"/>
      <c r="E41" s="632"/>
      <c r="F41" s="632"/>
      <c r="G41" s="632"/>
      <c r="H41" s="632"/>
      <c r="I41" s="632"/>
      <c r="J41" s="632"/>
      <c r="K41" s="632"/>
      <c r="L41" s="632"/>
      <c r="M41" s="632"/>
      <c r="N41" s="1021"/>
    </row>
    <row r="42" spans="1:14" ht="15.75">
      <c r="A42" s="104"/>
      <c r="B42" s="1136" t="s">
        <v>2297</v>
      </c>
      <c r="C42" s="632"/>
      <c r="D42" s="632"/>
      <c r="E42" s="632"/>
      <c r="F42" s="632"/>
      <c r="G42" s="632"/>
      <c r="H42" s="632"/>
      <c r="I42" s="632"/>
      <c r="J42" s="632"/>
      <c r="K42" s="632"/>
      <c r="L42" s="632"/>
      <c r="M42" s="632"/>
      <c r="N42" s="1021"/>
    </row>
    <row r="43" spans="1:14" ht="12.75" customHeight="1">
      <c r="A43" s="104"/>
      <c r="B43" s="1478"/>
      <c r="C43" s="632"/>
      <c r="D43" s="632"/>
      <c r="E43" s="632"/>
      <c r="F43" s="632"/>
      <c r="G43" s="632"/>
      <c r="H43" s="632"/>
      <c r="I43" s="632"/>
      <c r="J43" s="632"/>
      <c r="K43" s="632"/>
      <c r="L43" s="632"/>
      <c r="M43" s="632"/>
      <c r="N43" s="1021"/>
    </row>
    <row r="44" spans="1:14" ht="15.75">
      <c r="A44" s="104">
        <v>1.8</v>
      </c>
      <c r="B44" s="632" t="s">
        <v>1026</v>
      </c>
      <c r="C44" s="632"/>
      <c r="D44" s="632"/>
      <c r="E44" s="632"/>
      <c r="F44" s="632"/>
      <c r="G44" s="632"/>
      <c r="H44" s="632"/>
      <c r="I44" s="632"/>
      <c r="J44" s="1008">
        <f>ROUND(IF(L3=15148,0,'10 Admin and Governance'!J51),0)</f>
        <v>0</v>
      </c>
      <c r="K44" s="632"/>
      <c r="L44" s="1008">
        <f>ROUND(IF(L3=15148,'10 Admin and Governance'!J51,0),0)</f>
        <v>0</v>
      </c>
      <c r="M44" s="632"/>
      <c r="N44" s="1021">
        <f>A44</f>
        <v>1.8</v>
      </c>
    </row>
    <row r="45" spans="1:14" ht="15.75">
      <c r="A45" s="104"/>
      <c r="B45" s="1136" t="s">
        <v>166</v>
      </c>
      <c r="C45" s="632"/>
      <c r="D45" s="632"/>
      <c r="E45" s="632"/>
      <c r="F45" s="632"/>
      <c r="G45" s="632"/>
      <c r="H45" s="632"/>
      <c r="I45" s="632"/>
      <c r="J45" s="1009"/>
      <c r="K45" s="632"/>
      <c r="L45" s="1009"/>
      <c r="M45" s="632"/>
      <c r="N45" s="1021"/>
    </row>
    <row r="46" spans="1:14" ht="15.75">
      <c r="A46" s="104"/>
      <c r="B46" s="1136" t="s">
        <v>167</v>
      </c>
      <c r="C46" s="632"/>
      <c r="D46" s="632"/>
      <c r="E46" s="632"/>
      <c r="F46" s="632"/>
      <c r="G46" s="632"/>
      <c r="H46" s="632"/>
      <c r="I46" s="632"/>
      <c r="J46" s="1009"/>
      <c r="K46" s="632"/>
      <c r="L46" s="1009"/>
      <c r="M46" s="632"/>
      <c r="N46" s="1021"/>
    </row>
    <row r="47" spans="1:14" ht="12.75" customHeight="1">
      <c r="A47" s="104"/>
      <c r="B47" s="632"/>
      <c r="C47" s="632"/>
      <c r="D47" s="632"/>
      <c r="E47" s="632"/>
      <c r="F47" s="632"/>
      <c r="G47" s="632"/>
      <c r="H47" s="632"/>
      <c r="I47" s="632"/>
      <c r="J47" s="632"/>
      <c r="K47" s="632"/>
      <c r="L47" s="632"/>
      <c r="M47" s="632"/>
      <c r="N47" s="1021"/>
    </row>
    <row r="48" spans="1:14" ht="15.75">
      <c r="A48" s="104">
        <v>1.9</v>
      </c>
      <c r="B48" s="632" t="s">
        <v>1040</v>
      </c>
      <c r="C48" s="632"/>
      <c r="D48" s="632"/>
      <c r="E48" s="632"/>
      <c r="F48" s="632"/>
      <c r="G48" s="632"/>
      <c r="H48" s="632"/>
      <c r="I48" s="632"/>
      <c r="J48" s="1008">
        <f>ROUND('11 Accommodations'!I12,0)</f>
        <v>0</v>
      </c>
      <c r="K48" s="632"/>
      <c r="L48" s="1008">
        <f>ROUND('11 Accommodations'!I18,0)</f>
        <v>0</v>
      </c>
      <c r="M48" s="632"/>
      <c r="N48" s="1021">
        <f>A48</f>
        <v>1.9</v>
      </c>
    </row>
    <row r="49" spans="1:14" ht="15.75">
      <c r="A49" s="104"/>
      <c r="B49" s="1136" t="s">
        <v>1630</v>
      </c>
      <c r="C49" s="632"/>
      <c r="D49" s="632"/>
      <c r="E49" s="632"/>
      <c r="F49" s="632"/>
      <c r="G49" s="632"/>
      <c r="H49" s="632"/>
      <c r="I49" s="632"/>
      <c r="J49" s="632"/>
      <c r="K49" s="632"/>
      <c r="L49" s="632"/>
      <c r="M49" s="632"/>
      <c r="N49" s="1021"/>
    </row>
    <row r="50" spans="1:14" ht="15.75">
      <c r="A50" s="104"/>
      <c r="B50" s="1136" t="s">
        <v>1631</v>
      </c>
      <c r="C50" s="632"/>
      <c r="D50" s="632"/>
      <c r="E50" s="632"/>
      <c r="F50" s="632"/>
      <c r="G50" s="632"/>
      <c r="H50" s="632"/>
      <c r="I50" s="632"/>
      <c r="J50" s="632"/>
      <c r="K50" s="632"/>
      <c r="L50" s="632"/>
      <c r="M50" s="632"/>
      <c r="N50" s="1021"/>
    </row>
    <row r="51" spans="1:14" ht="12.75" customHeight="1">
      <c r="A51" s="104"/>
      <c r="B51" s="632"/>
      <c r="C51" s="632"/>
      <c r="D51" s="632"/>
      <c r="E51" s="632"/>
      <c r="F51" s="632"/>
      <c r="G51" s="632"/>
      <c r="H51" s="632"/>
      <c r="I51" s="632"/>
      <c r="J51" s="632"/>
      <c r="K51" s="632"/>
      <c r="L51" s="632"/>
      <c r="M51" s="632"/>
      <c r="N51" s="1021"/>
    </row>
    <row r="52" spans="1:14" ht="15.75">
      <c r="A52" s="1164" t="s">
        <v>100</v>
      </c>
      <c r="B52" s="632" t="s">
        <v>1974</v>
      </c>
      <c r="C52" s="632"/>
      <c r="D52" s="632"/>
      <c r="E52" s="632"/>
      <c r="F52" s="632"/>
      <c r="G52" s="632"/>
      <c r="H52" s="632"/>
      <c r="I52" s="632"/>
      <c r="J52" s="1008">
        <f>ROUND(IF(L3=15148,0,'7 Teacher Compensation'!R189),0)</f>
        <v>0</v>
      </c>
      <c r="K52" s="632"/>
      <c r="L52" s="1008">
        <f>ROUND(IF(L3=15148,'7 Teacher Compensation'!R189,0),0)</f>
        <v>0</v>
      </c>
      <c r="M52" s="632"/>
      <c r="N52" s="1021" t="str">
        <f>A52</f>
        <v>1.10</v>
      </c>
    </row>
    <row r="53" spans="1:14" ht="15.75">
      <c r="A53" s="1164"/>
      <c r="B53" s="1136" t="s">
        <v>2397</v>
      </c>
      <c r="C53" s="632"/>
      <c r="D53" s="632"/>
      <c r="E53" s="632"/>
      <c r="F53" s="632"/>
      <c r="G53" s="632"/>
      <c r="H53" s="632"/>
      <c r="I53" s="632"/>
      <c r="J53" s="632"/>
      <c r="K53" s="632"/>
      <c r="L53" s="632"/>
      <c r="M53" s="632"/>
      <c r="N53" s="1021"/>
    </row>
    <row r="54" spans="1:14" ht="15.75">
      <c r="A54" s="104"/>
      <c r="B54" s="1136" t="s">
        <v>2398</v>
      </c>
      <c r="C54" s="632"/>
      <c r="D54" s="632"/>
      <c r="E54" s="632"/>
      <c r="F54" s="632"/>
      <c r="G54" s="632"/>
      <c r="H54" s="632"/>
      <c r="I54" s="632"/>
      <c r="J54" s="632"/>
      <c r="K54" s="632"/>
      <c r="L54" s="632"/>
      <c r="M54" s="632"/>
      <c r="N54" s="1021"/>
    </row>
    <row r="55" spans="1:14" ht="15.75">
      <c r="A55" s="104"/>
      <c r="B55" s="1136"/>
      <c r="C55" s="632"/>
      <c r="D55" s="632"/>
      <c r="E55" s="632"/>
      <c r="F55" s="632"/>
      <c r="G55" s="632"/>
      <c r="H55" s="632"/>
      <c r="I55" s="632"/>
      <c r="J55" s="632"/>
      <c r="K55" s="632"/>
      <c r="L55" s="632"/>
      <c r="M55" s="632"/>
      <c r="N55" s="1021"/>
    </row>
    <row r="56" spans="1:14" ht="15.75">
      <c r="A56" s="1164">
        <v>1.1100000000000001</v>
      </c>
      <c r="B56" s="632" t="s">
        <v>1202</v>
      </c>
      <c r="C56" s="632"/>
      <c r="D56" s="632"/>
      <c r="E56" s="632"/>
      <c r="F56" s="632"/>
      <c r="G56" s="632"/>
      <c r="H56" s="632"/>
      <c r="I56" s="632"/>
      <c r="J56" s="1008">
        <f>ROUND(IF(L3=15148,0,'16 Declining Enrolment'!J30),0)</f>
        <v>0</v>
      </c>
      <c r="K56" s="632"/>
      <c r="L56" s="1008">
        <f>ROUND(IF(L3=15148,'16 Declining Enrolment'!J30,0),0)</f>
        <v>0</v>
      </c>
      <c r="M56" s="632"/>
      <c r="N56" s="1021">
        <f>A56</f>
        <v>1.1100000000000001</v>
      </c>
    </row>
    <row r="57" spans="1:14" ht="15.75">
      <c r="A57" s="104"/>
      <c r="B57" s="1136" t="s">
        <v>1632</v>
      </c>
      <c r="C57" s="632"/>
      <c r="D57" s="632"/>
      <c r="E57" s="632"/>
      <c r="F57" s="632"/>
      <c r="G57" s="632"/>
      <c r="H57" s="632"/>
      <c r="I57" s="632"/>
      <c r="J57" s="632"/>
      <c r="K57" s="632"/>
      <c r="L57" s="632"/>
      <c r="M57" s="632"/>
      <c r="N57" s="1021"/>
    </row>
    <row r="58" spans="1:14" ht="15.75">
      <c r="A58" s="104"/>
      <c r="B58" s="1136" t="s">
        <v>1633</v>
      </c>
      <c r="C58" s="632"/>
      <c r="D58" s="632"/>
      <c r="E58" s="632"/>
      <c r="F58" s="632"/>
      <c r="G58" s="632"/>
      <c r="H58" s="632"/>
      <c r="I58" s="632"/>
      <c r="J58" s="632"/>
      <c r="K58" s="632"/>
      <c r="L58" s="632"/>
      <c r="M58" s="632"/>
      <c r="N58" s="1021"/>
    </row>
    <row r="59" spans="1:14" ht="12.75" customHeight="1">
      <c r="A59" s="104"/>
      <c r="B59" s="1136"/>
      <c r="C59" s="632"/>
      <c r="D59" s="632"/>
      <c r="E59" s="632"/>
      <c r="F59" s="632"/>
      <c r="G59" s="632"/>
      <c r="H59" s="632"/>
      <c r="I59" s="632"/>
      <c r="J59" s="632"/>
      <c r="K59" s="632"/>
      <c r="L59" s="632"/>
      <c r="M59" s="632"/>
      <c r="N59" s="1021"/>
    </row>
    <row r="60" spans="1:14" ht="15.75">
      <c r="A60" s="104">
        <v>1.1299999999999999</v>
      </c>
      <c r="B60" s="400" t="s">
        <v>229</v>
      </c>
      <c r="C60" s="632"/>
      <c r="D60" s="632"/>
      <c r="E60" s="632"/>
      <c r="F60" s="632"/>
      <c r="G60" s="632"/>
      <c r="H60" s="632"/>
      <c r="I60" s="632"/>
      <c r="J60" s="1008">
        <f>ROUND('1.3 School Foundation'!I23,0)</f>
        <v>0</v>
      </c>
      <c r="K60" s="632"/>
      <c r="L60" s="1008">
        <f>ROUND('1.3 School Foundation'!I40,0)</f>
        <v>0</v>
      </c>
      <c r="M60" s="632"/>
      <c r="N60" s="1021">
        <f>A60</f>
        <v>1.1299999999999999</v>
      </c>
    </row>
    <row r="61" spans="1:14" ht="15.75">
      <c r="A61" s="104"/>
      <c r="B61" s="1136" t="s">
        <v>230</v>
      </c>
      <c r="C61" s="632"/>
      <c r="D61" s="632"/>
      <c r="E61" s="632"/>
      <c r="F61" s="632"/>
      <c r="G61" s="632"/>
      <c r="H61" s="632"/>
      <c r="I61" s="632"/>
      <c r="J61" s="632"/>
      <c r="K61" s="632"/>
      <c r="L61" s="632"/>
      <c r="M61" s="632"/>
      <c r="N61" s="1021"/>
    </row>
    <row r="62" spans="1:14" ht="15.75">
      <c r="A62" s="104"/>
      <c r="B62" s="1136" t="s">
        <v>158</v>
      </c>
      <c r="C62" s="632"/>
      <c r="D62" s="632"/>
      <c r="E62" s="632"/>
      <c r="F62" s="632"/>
      <c r="G62" s="632"/>
      <c r="H62" s="632"/>
      <c r="I62" s="632"/>
      <c r="J62" s="632"/>
      <c r="K62" s="632"/>
      <c r="L62" s="632"/>
      <c r="M62" s="632"/>
      <c r="N62" s="1021"/>
    </row>
    <row r="63" spans="1:14" ht="12.75" customHeight="1">
      <c r="A63" s="104"/>
      <c r="B63" s="1136"/>
      <c r="C63" s="632"/>
      <c r="D63" s="632"/>
      <c r="E63" s="632"/>
      <c r="F63" s="632"/>
      <c r="G63" s="632"/>
      <c r="H63" s="632"/>
      <c r="I63" s="632"/>
      <c r="J63" s="632"/>
      <c r="K63" s="632"/>
      <c r="L63" s="632"/>
      <c r="M63" s="632"/>
      <c r="N63" s="1021"/>
    </row>
    <row r="64" spans="1:14" ht="15.75">
      <c r="A64" s="104">
        <v>1.1499999999999999</v>
      </c>
      <c r="B64" s="1136" t="s">
        <v>19</v>
      </c>
      <c r="C64" s="632"/>
      <c r="D64" s="632"/>
      <c r="E64" s="632"/>
      <c r="F64" s="632"/>
      <c r="G64" s="632"/>
      <c r="H64" s="632"/>
      <c r="I64" s="632"/>
      <c r="J64" s="1008">
        <f>ROUND(IF(L3=15148,0,'18 Indigenous Education'!J53),0)</f>
        <v>42042</v>
      </c>
      <c r="K64" s="632"/>
      <c r="L64" s="1008">
        <f>ROUND(IF(L3=15148,'18 Indigenous Education'!J53,0),0)</f>
        <v>0</v>
      </c>
      <c r="M64" s="632"/>
      <c r="N64" s="1021">
        <f>A64</f>
        <v>1.1499999999999999</v>
      </c>
    </row>
    <row r="65" spans="1:14" ht="15.75">
      <c r="A65" s="104"/>
      <c r="B65" s="1136" t="s">
        <v>168</v>
      </c>
      <c r="C65" s="632"/>
      <c r="D65" s="632"/>
      <c r="E65" s="632"/>
      <c r="F65" s="632"/>
      <c r="G65" s="632"/>
      <c r="H65" s="632"/>
      <c r="I65" s="632"/>
      <c r="J65" s="632"/>
      <c r="K65" s="632"/>
      <c r="L65" s="632"/>
      <c r="M65" s="632"/>
      <c r="N65" s="1021"/>
    </row>
    <row r="66" spans="1:14" ht="15.75">
      <c r="A66" s="104"/>
      <c r="B66" s="1136" t="s">
        <v>169</v>
      </c>
      <c r="C66" s="632"/>
      <c r="D66" s="632"/>
      <c r="E66" s="632"/>
      <c r="F66" s="632"/>
      <c r="G66" s="632"/>
      <c r="H66" s="632"/>
      <c r="I66" s="632"/>
      <c r="J66" s="632"/>
      <c r="K66" s="632"/>
      <c r="L66" s="632"/>
      <c r="M66" s="632"/>
      <c r="N66" s="1021"/>
    </row>
    <row r="67" spans="1:14" ht="12.75" customHeight="1">
      <c r="A67" s="104"/>
      <c r="B67" s="1136"/>
      <c r="C67" s="632"/>
      <c r="D67" s="632"/>
      <c r="E67" s="632"/>
      <c r="F67" s="632"/>
      <c r="G67" s="632"/>
      <c r="H67" s="632"/>
      <c r="I67" s="632"/>
      <c r="J67" s="632"/>
      <c r="K67" s="632"/>
      <c r="L67" s="632"/>
      <c r="M67" s="632"/>
      <c r="N67" s="1021"/>
    </row>
    <row r="68" spans="1:14" ht="15.75">
      <c r="A68" s="535">
        <v>1.1599999999999999</v>
      </c>
      <c r="B68" s="632" t="s">
        <v>1583</v>
      </c>
      <c r="C68" s="632"/>
      <c r="D68" s="632"/>
      <c r="E68" s="632"/>
      <c r="F68" s="632"/>
      <c r="G68" s="632"/>
      <c r="H68" s="632"/>
      <c r="I68" s="632"/>
      <c r="J68" s="1008">
        <f>ROUND(IF(L3=15148,0,'15 Special Approvals'!J38),0)</f>
        <v>0</v>
      </c>
      <c r="K68" s="632"/>
      <c r="L68" s="1008">
        <f>ROUND(IF(L3=15148,'15 Special Approvals'!J38,0),0)</f>
        <v>0</v>
      </c>
      <c r="M68" s="632"/>
      <c r="N68" s="1166">
        <f>A68</f>
        <v>1.1599999999999999</v>
      </c>
    </row>
    <row r="69" spans="1:14" ht="15.75">
      <c r="A69" s="104"/>
      <c r="B69" s="1136" t="s">
        <v>1634</v>
      </c>
      <c r="C69" s="632"/>
      <c r="D69" s="632"/>
      <c r="E69" s="632"/>
      <c r="F69" s="632"/>
      <c r="G69" s="632"/>
      <c r="H69" s="632"/>
      <c r="I69" s="632"/>
      <c r="J69" s="1009"/>
      <c r="K69" s="632"/>
      <c r="L69" s="1009"/>
      <c r="M69" s="632"/>
      <c r="N69" s="1021"/>
    </row>
    <row r="70" spans="1:14" ht="15.75">
      <c r="A70" s="104"/>
      <c r="B70" s="1136" t="s">
        <v>1635</v>
      </c>
      <c r="C70" s="632"/>
      <c r="D70" s="632"/>
      <c r="E70" s="632"/>
      <c r="F70" s="632"/>
      <c r="G70" s="632"/>
      <c r="H70" s="632"/>
      <c r="I70" s="632"/>
      <c r="J70" s="1009"/>
      <c r="K70" s="632"/>
      <c r="L70" s="1009"/>
      <c r="M70" s="632"/>
      <c r="N70" s="1021"/>
    </row>
    <row r="71" spans="1:14" ht="12.75" customHeight="1">
      <c r="A71" s="104"/>
      <c r="B71" s="1136"/>
      <c r="C71" s="632"/>
      <c r="D71" s="632"/>
      <c r="E71" s="632"/>
      <c r="F71" s="632"/>
      <c r="G71" s="632"/>
      <c r="H71" s="632"/>
      <c r="I71" s="632"/>
      <c r="J71" s="1009"/>
      <c r="K71" s="632"/>
      <c r="L71" s="1009"/>
      <c r="M71" s="632"/>
      <c r="N71" s="1021"/>
    </row>
    <row r="72" spans="1:14" ht="15.75">
      <c r="A72" s="104">
        <v>1.17</v>
      </c>
      <c r="B72" s="1136" t="s">
        <v>438</v>
      </c>
      <c r="C72" s="632"/>
      <c r="D72" s="632"/>
      <c r="E72" s="632"/>
      <c r="F72" s="632"/>
      <c r="G72" s="632"/>
      <c r="H72" s="632"/>
      <c r="I72" s="632"/>
      <c r="J72" s="1008">
        <f>ROUND(IF(L3=15148,0,'19 Safe Schools'!J14),0)</f>
        <v>0</v>
      </c>
      <c r="K72" s="632"/>
      <c r="L72" s="1008">
        <f>ROUND(IF(L3=15148,'19 Safe Schools'!J14,0),0)</f>
        <v>0</v>
      </c>
      <c r="M72" s="632"/>
      <c r="N72" s="1021">
        <f>A72</f>
        <v>1.17</v>
      </c>
    </row>
    <row r="73" spans="1:14" ht="15.75">
      <c r="A73" s="104"/>
      <c r="B73" s="1136" t="s">
        <v>874</v>
      </c>
      <c r="C73" s="632"/>
      <c r="D73" s="632"/>
      <c r="E73" s="632"/>
      <c r="F73" s="632"/>
      <c r="G73" s="632"/>
      <c r="H73" s="632"/>
      <c r="I73" s="632"/>
      <c r="J73" s="1009"/>
      <c r="K73" s="632"/>
      <c r="L73" s="1009"/>
      <c r="M73" s="632"/>
      <c r="N73" s="1021"/>
    </row>
    <row r="74" spans="1:14" ht="15.75">
      <c r="A74" s="104"/>
      <c r="B74" s="1136" t="s">
        <v>875</v>
      </c>
      <c r="C74" s="632"/>
      <c r="D74" s="632"/>
      <c r="E74" s="632"/>
      <c r="F74" s="632"/>
      <c r="G74" s="632"/>
      <c r="H74" s="632"/>
      <c r="I74" s="632"/>
      <c r="J74" s="1009"/>
      <c r="K74" s="632"/>
      <c r="L74" s="1009"/>
      <c r="M74" s="632"/>
      <c r="N74" s="1021"/>
    </row>
    <row r="75" spans="1:14" ht="12.75" customHeight="1">
      <c r="A75" s="104"/>
      <c r="B75" s="86"/>
      <c r="C75" s="86"/>
      <c r="D75" s="86"/>
      <c r="E75" s="86"/>
      <c r="F75" s="86"/>
      <c r="G75" s="86"/>
      <c r="H75" s="86"/>
      <c r="I75" s="86"/>
      <c r="J75" s="86"/>
      <c r="K75" s="86"/>
      <c r="L75" s="86"/>
      <c r="M75" s="632"/>
      <c r="N75" s="1021"/>
    </row>
    <row r="76" spans="1:14" ht="15.75">
      <c r="A76" s="104">
        <v>1.18</v>
      </c>
      <c r="B76" s="86" t="s">
        <v>440</v>
      </c>
      <c r="C76" s="632"/>
      <c r="D76" s="632"/>
      <c r="E76" s="632"/>
      <c r="F76" s="632"/>
      <c r="G76" s="632"/>
      <c r="H76" s="632"/>
      <c r="I76" s="632"/>
      <c r="J76" s="1396">
        <f>ROUND(SUM(J9:J74),0)</f>
        <v>42042</v>
      </c>
      <c r="K76" s="86"/>
      <c r="L76" s="1396">
        <f>ROUND(SUM(L9:L74),0)</f>
        <v>0</v>
      </c>
      <c r="M76" s="632"/>
      <c r="N76" s="1021">
        <f>A76</f>
        <v>1.18</v>
      </c>
    </row>
    <row r="77" spans="1:14" ht="12.75" customHeight="1" thickBot="1">
      <c r="A77" s="78"/>
      <c r="B77" s="989"/>
      <c r="C77" s="989"/>
      <c r="D77" s="989"/>
      <c r="E77" s="989"/>
      <c r="F77" s="989"/>
      <c r="G77" s="989"/>
      <c r="H77" s="989"/>
      <c r="I77" s="989"/>
      <c r="J77" s="989"/>
      <c r="K77" s="989"/>
      <c r="L77" s="989"/>
      <c r="M77" s="78"/>
      <c r="N77" s="1021"/>
    </row>
    <row r="78" spans="1:14" ht="16.5" thickBot="1">
      <c r="A78" s="104">
        <v>1.2</v>
      </c>
      <c r="B78" s="86" t="s">
        <v>3119</v>
      </c>
      <c r="C78" s="632"/>
      <c r="D78" s="632"/>
      <c r="E78" s="632"/>
      <c r="F78" s="632"/>
      <c r="G78" s="632"/>
      <c r="H78" s="632"/>
      <c r="I78" s="632"/>
      <c r="J78" s="1479">
        <f>ROUND(IF(J7=0,0,J76/J7),2)</f>
        <v>0</v>
      </c>
      <c r="K78" s="632"/>
      <c r="L78" s="1479">
        <f>ROUND(IF(L7=0,0,L76/L7),2)</f>
        <v>0</v>
      </c>
      <c r="M78" s="78"/>
      <c r="N78" s="1021">
        <f>A78</f>
        <v>1.2</v>
      </c>
    </row>
    <row r="79" spans="1:14" ht="12.75" customHeight="1">
      <c r="A79" s="104"/>
      <c r="B79" s="632"/>
      <c r="C79" s="632"/>
      <c r="D79" s="632"/>
      <c r="E79" s="632"/>
      <c r="F79" s="632"/>
      <c r="G79" s="632"/>
      <c r="H79" s="632"/>
      <c r="I79" s="632"/>
      <c r="J79" s="632"/>
      <c r="K79" s="632"/>
      <c r="L79" s="632"/>
      <c r="M79" s="78"/>
      <c r="N79" s="1021"/>
    </row>
    <row r="80" spans="1:14" ht="12.75" customHeight="1">
      <c r="A80" s="27"/>
      <c r="B80" s="1480"/>
      <c r="C80" s="1480"/>
      <c r="D80" s="1481"/>
      <c r="E80" s="1482"/>
      <c r="F80" s="1482"/>
      <c r="G80" s="1482"/>
      <c r="H80" s="1482"/>
      <c r="I80" s="1481"/>
      <c r="J80" s="1482"/>
      <c r="K80" s="1481"/>
      <c r="L80" s="1483"/>
      <c r="M80" s="1484"/>
      <c r="N80" s="78"/>
    </row>
    <row r="81" hidden="1"/>
    <row r="82" hidden="1"/>
    <row r="83" hidden="1"/>
    <row r="84" hidden="1"/>
    <row r="85" hidden="1"/>
    <row r="86" hidden="1"/>
    <row r="87" hidden="1"/>
    <row r="88" hidden="1"/>
    <row r="89" hidden="1"/>
    <row r="90" hidden="1"/>
    <row r="91" hidden="1"/>
  </sheetData>
  <sheetProtection password="C7B7" sheet="1" objects="1" scenarios="1"/>
  <phoneticPr fontId="13" type="noConversion"/>
  <hyperlinks>
    <hyperlink ref="B1" location="Day_School_ADE" display="Day School ADE"/>
    <hyperlink ref="C1" location="Pupil_Foundation_allocation" display="Pupil Foundation allocation "/>
    <hyperlink ref="D1" location="Special_education_allocation" display="Special education allocation "/>
    <hyperlink ref="E1" location="Language_allocation" display="Language allocation"/>
    <hyperlink ref="F1" location="Supported_Schools_allocation" display="Supported Schools allocation"/>
    <hyperlink ref="G1" location="Remote_and_Rural" display="Remote and Rural"/>
    <hyperlink ref="H1" location="Learning_Opportunities" display="Learning Opportunities "/>
    <hyperlink ref="I1" location="Teacher_Qualifications_and_Experience" display="Teacher Qualifications and Experience"/>
    <hyperlink ref="J1" location="Early_Childhood_Educator_Q_ualifications___Experience_Allocation" display="Early Childhood Educator Q qualifications &amp; Experience Allocation"/>
    <hyperlink ref="K1" location="New_Teacher_Induction_Program" display="New Teacher Induction Program"/>
    <hyperlink ref="L1" location="Administration_and_Governance" display="Administration and Governance"/>
    <hyperlink ref="M1" location="School_operations" display="School operations"/>
    <hyperlink ref="M5" location="Non_teaching_staff___Cost_Adjustment_Amount" display="Non-teaching staff - Cost Adjustment Amount"/>
    <hyperlink ref="M6" location="Declining_enrolment_adjustment" display="Declining enrolment adjustment"/>
    <hyperlink ref="M7" location="School_Foundation_allocation" display="School Foundation allocation"/>
    <hyperlink ref="M8" location="First_Nation__Métis_and_Inuit_Education_Supplemental_Allocation" display="First Nation, Métis and Inuit Education Supplemental Allocation"/>
    <hyperlink ref="M9" location="Rural_and_Small_Community_Allocation" display="Rural and Small Community Allocation "/>
    <hyperlink ref="M10" location="Special_approvals___Operating" display="Special approvals - Operating"/>
    <hyperlink ref="M11" location="Safe_Schools_Allocation" display="Safe Schools Allocation"/>
    <hyperlink ref="M12" location="Total__Sum_of_lines_1.1_to_1.18" display="Total (Sum of lines 1.1 to 1.18)"/>
    <hyperlink ref="M13" location="Tuition_fees_per_pupil__Line_1.19___Line_1.0" display="Tuition fees per pupil (Line 1.19 / Line 1.0)"/>
  </hyperlinks>
  <printOptions horizontalCentered="1"/>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XFD63"/>
  <sheetViews>
    <sheetView topLeftCell="A40" zoomScaleNormal="100" workbookViewId="0">
      <selection activeCell="G50" sqref="G50"/>
    </sheetView>
  </sheetViews>
  <sheetFormatPr defaultColWidth="0" defaultRowHeight="12.75" customHeight="1" zeroHeight="1"/>
  <cols>
    <col min="1" max="1" width="8" style="976" customWidth="1"/>
    <col min="2" max="2" width="15.7109375" style="976" customWidth="1"/>
    <col min="3" max="3" width="21.5703125" style="976" customWidth="1"/>
    <col min="4" max="4" width="6.42578125" style="976" bestFit="1" customWidth="1"/>
    <col min="5" max="5" width="15.7109375" style="976" customWidth="1"/>
    <col min="6" max="6" width="10.7109375" style="976" customWidth="1"/>
    <col min="7" max="7" width="15.7109375" style="976" customWidth="1"/>
    <col min="8" max="8" width="6.42578125" style="976" bestFit="1" customWidth="1"/>
    <col min="9" max="9" width="19.7109375" style="976" customWidth="1"/>
    <col min="10" max="10" width="10.85546875" style="976" customWidth="1"/>
    <col min="11" max="11" width="18" style="976" customWidth="1"/>
    <col min="12" max="12" width="6.42578125" style="976" bestFit="1" customWidth="1"/>
    <col min="13" max="13" width="14" style="976" customWidth="1"/>
    <col min="14" max="14" width="9.140625" style="976" customWidth="1"/>
    <col min="15" max="16384" width="0" style="976" hidden="1"/>
  </cols>
  <sheetData>
    <row r="1" spans="1:14" ht="12.75" customHeight="1" thickBot="1">
      <c r="A1" s="2159" t="s">
        <v>2835</v>
      </c>
      <c r="B1" s="2163" t="s">
        <v>1332</v>
      </c>
      <c r="C1" s="2163" t="s">
        <v>1333</v>
      </c>
      <c r="D1" s="2163" t="s">
        <v>1784</v>
      </c>
      <c r="E1" s="2163" t="s">
        <v>31</v>
      </c>
      <c r="F1" s="2163" t="s">
        <v>1374</v>
      </c>
      <c r="G1" s="989"/>
      <c r="H1" s="989"/>
      <c r="I1" s="989"/>
      <c r="J1" s="989"/>
      <c r="K1" s="989"/>
      <c r="L1" s="78"/>
      <c r="M1" s="78"/>
      <c r="N1" s="1474"/>
    </row>
    <row r="2" spans="1:14" ht="18.75" thickBot="1">
      <c r="A2" s="6" t="s">
        <v>621</v>
      </c>
      <c r="B2" s="989"/>
      <c r="C2" s="989"/>
      <c r="D2" s="989"/>
      <c r="E2" s="78"/>
      <c r="F2" s="78"/>
      <c r="G2" s="78"/>
      <c r="H2" s="78"/>
      <c r="I2" s="941" t="s">
        <v>163</v>
      </c>
      <c r="J2" s="78"/>
      <c r="K2" s="1475" t="str">
        <f>'1 Summary'!G2</f>
        <v/>
      </c>
      <c r="L2" s="943"/>
      <c r="M2" s="944"/>
      <c r="N2" s="200"/>
    </row>
    <row r="3" spans="1:14" ht="18.75" thickBot="1">
      <c r="A3" s="1486" t="s">
        <v>951</v>
      </c>
      <c r="B3" s="989"/>
      <c r="C3" s="989"/>
      <c r="D3" s="989"/>
      <c r="E3" s="78"/>
      <c r="F3" s="78"/>
      <c r="G3" s="78"/>
      <c r="H3" s="78"/>
      <c r="I3" s="941" t="s">
        <v>162</v>
      </c>
      <c r="J3" s="814"/>
      <c r="K3" s="1143">
        <f>'1 Summary'!G3</f>
        <v>0</v>
      </c>
      <c r="L3" s="78"/>
      <c r="M3" s="1474"/>
      <c r="N3" s="200"/>
    </row>
    <row r="4" spans="1:14" ht="12.75" customHeight="1">
      <c r="A4" s="1476"/>
      <c r="B4" s="2083"/>
      <c r="C4" s="2083"/>
      <c r="D4" s="2083"/>
      <c r="E4" s="2083"/>
      <c r="F4" s="2083"/>
      <c r="G4" s="1417"/>
      <c r="H4" s="1417"/>
      <c r="I4" s="1417"/>
      <c r="J4" s="989"/>
      <c r="K4" s="989"/>
      <c r="L4" s="200"/>
      <c r="M4" s="200"/>
      <c r="N4" s="1487"/>
    </row>
    <row r="5" spans="1:14" ht="12.75" customHeight="1">
      <c r="A5" s="1488"/>
      <c r="B5" s="1417"/>
      <c r="C5" s="1417"/>
      <c r="D5" s="1417"/>
      <c r="E5" s="1417"/>
      <c r="F5" s="1417"/>
      <c r="G5" s="1417"/>
      <c r="H5" s="1417"/>
      <c r="I5" s="1417"/>
      <c r="J5" s="1417"/>
      <c r="K5" s="1417"/>
      <c r="L5" s="200"/>
      <c r="M5" s="200"/>
      <c r="N5" s="200"/>
    </row>
    <row r="6" spans="1:14" ht="12.75" customHeight="1">
      <c r="A6" s="961"/>
      <c r="B6" s="1134"/>
      <c r="C6" s="1134"/>
      <c r="D6" s="1134"/>
      <c r="E6" s="1134"/>
      <c r="F6" s="1134"/>
      <c r="G6" s="991"/>
      <c r="H6" s="1134"/>
      <c r="I6" s="991"/>
      <c r="J6" s="1134"/>
      <c r="K6" s="1134"/>
      <c r="L6" s="1134"/>
      <c r="M6" s="1134"/>
      <c r="N6" s="1020"/>
    </row>
    <row r="7" spans="1:14" ht="12.75" customHeight="1">
      <c r="A7" s="961"/>
      <c r="B7" s="1134"/>
      <c r="C7" s="1134"/>
      <c r="D7" s="1134"/>
      <c r="E7" s="1134"/>
      <c r="F7" s="1134"/>
      <c r="G7" s="991"/>
      <c r="H7" s="1134"/>
      <c r="I7" s="991"/>
      <c r="J7" s="1134"/>
      <c r="K7" s="1134"/>
      <c r="L7" s="1134"/>
      <c r="M7" s="1134"/>
      <c r="N7" s="1020"/>
    </row>
    <row r="8" spans="1:14" ht="12.75" customHeight="1">
      <c r="A8" s="961"/>
      <c r="B8" s="1134"/>
      <c r="C8" s="1134"/>
      <c r="D8" s="1134"/>
      <c r="E8" s="1134"/>
      <c r="F8" s="1134"/>
      <c r="G8" s="991"/>
      <c r="H8" s="1134"/>
      <c r="I8" s="991"/>
      <c r="J8" s="1134"/>
      <c r="K8" s="1134"/>
      <c r="L8" s="1134"/>
      <c r="M8" s="1134"/>
      <c r="N8" s="1020"/>
    </row>
    <row r="9" spans="1:14" ht="15.75" customHeight="1">
      <c r="A9" s="530">
        <v>1.1000000000000001</v>
      </c>
      <c r="B9" s="1048" t="s">
        <v>1332</v>
      </c>
      <c r="C9" s="632"/>
      <c r="D9" s="632"/>
      <c r="E9" s="632"/>
      <c r="F9" s="632"/>
      <c r="G9" s="632"/>
      <c r="H9" s="632"/>
      <c r="I9" s="632"/>
      <c r="J9" s="632"/>
      <c r="K9" s="632"/>
      <c r="L9" s="632"/>
      <c r="M9" s="632"/>
      <c r="N9" s="1257"/>
    </row>
    <row r="10" spans="1:14" ht="15.75" customHeight="1">
      <c r="A10" s="530"/>
      <c r="B10" s="1489"/>
      <c r="C10" s="632"/>
      <c r="D10" s="632"/>
      <c r="E10" s="632"/>
      <c r="F10" s="632"/>
      <c r="G10" s="632"/>
      <c r="H10" s="632"/>
      <c r="I10" s="632"/>
      <c r="J10" s="632"/>
      <c r="K10" s="632"/>
      <c r="L10" s="632"/>
      <c r="M10" s="632"/>
      <c r="N10" s="1257"/>
    </row>
    <row r="11" spans="1:14" ht="15.75" customHeight="1">
      <c r="A11" s="901"/>
      <c r="B11" s="1490" t="s">
        <v>1368</v>
      </c>
      <c r="C11" s="1092"/>
      <c r="D11" s="901"/>
      <c r="E11" s="901" t="s">
        <v>1575</v>
      </c>
      <c r="F11" s="901"/>
      <c r="G11" s="901" t="s">
        <v>1576</v>
      </c>
      <c r="H11" s="1098"/>
      <c r="I11" s="1491" t="s">
        <v>842</v>
      </c>
      <c r="J11" s="1491"/>
      <c r="K11" s="1491" t="s">
        <v>843</v>
      </c>
      <c r="L11" s="901"/>
      <c r="M11" s="1491" t="s">
        <v>1537</v>
      </c>
      <c r="N11" s="1021"/>
    </row>
    <row r="12" spans="1:14" ht="15.75" customHeight="1">
      <c r="A12" s="901"/>
      <c r="B12" s="632"/>
      <c r="C12" s="632"/>
      <c r="D12" s="632"/>
      <c r="E12" s="1492" t="s">
        <v>558</v>
      </c>
      <c r="F12" s="1493"/>
      <c r="G12" s="1494"/>
      <c r="H12" s="989"/>
      <c r="I12" s="1125" t="s">
        <v>559</v>
      </c>
      <c r="J12" s="1125"/>
      <c r="K12" s="1125" t="s">
        <v>560</v>
      </c>
      <c r="L12" s="200"/>
      <c r="M12" s="1098" t="s">
        <v>786</v>
      </c>
      <c r="N12" s="1021"/>
    </row>
    <row r="13" spans="1:14" ht="15.75" customHeight="1">
      <c r="A13" s="901"/>
      <c r="B13" s="632"/>
      <c r="C13" s="632"/>
      <c r="D13" s="632"/>
      <c r="E13" s="1495" t="s">
        <v>1289</v>
      </c>
      <c r="F13" s="401"/>
      <c r="G13" s="1495" t="s">
        <v>1000</v>
      </c>
      <c r="H13" s="989"/>
      <c r="I13" s="1125" t="s">
        <v>561</v>
      </c>
      <c r="J13" s="1125"/>
      <c r="K13" s="1125" t="s">
        <v>561</v>
      </c>
      <c r="L13" s="949"/>
      <c r="M13" s="1098" t="s">
        <v>787</v>
      </c>
      <c r="N13" s="1021"/>
    </row>
    <row r="14" spans="1:14" ht="15.75" customHeight="1">
      <c r="A14" s="901"/>
      <c r="B14" s="632"/>
      <c r="C14" s="632"/>
      <c r="D14" s="632"/>
      <c r="E14" s="1496" t="s">
        <v>1002</v>
      </c>
      <c r="F14" s="401"/>
      <c r="G14" s="1496" t="s">
        <v>1002</v>
      </c>
      <c r="H14" s="989"/>
      <c r="I14" s="1125" t="s">
        <v>562</v>
      </c>
      <c r="J14" s="1125"/>
      <c r="K14" s="1125" t="s">
        <v>562</v>
      </c>
      <c r="L14" s="949"/>
      <c r="M14" s="1098" t="s">
        <v>562</v>
      </c>
      <c r="N14" s="1021"/>
    </row>
    <row r="15" spans="1:14" ht="15.75" customHeight="1">
      <c r="A15" s="901"/>
      <c r="B15" s="1497" t="s">
        <v>563</v>
      </c>
      <c r="C15" s="1498"/>
      <c r="D15" s="1134"/>
      <c r="E15" s="1499"/>
      <c r="F15" s="632"/>
      <c r="G15" s="1499"/>
      <c r="H15" s="989"/>
      <c r="I15" s="1500"/>
      <c r="J15" s="989"/>
      <c r="K15" s="1500"/>
      <c r="L15" s="1134"/>
      <c r="M15" s="1501">
        <f>ROUND(K15+I15,0)</f>
        <v>0</v>
      </c>
      <c r="N15" s="1021"/>
    </row>
    <row r="16" spans="1:14" ht="15.75" customHeight="1">
      <c r="A16" s="901"/>
      <c r="B16" s="2033"/>
      <c r="C16" s="2034"/>
      <c r="D16" s="1134"/>
      <c r="E16" s="1499"/>
      <c r="F16" s="632"/>
      <c r="G16" s="1499"/>
      <c r="H16" s="989"/>
      <c r="I16" s="1500"/>
      <c r="J16" s="989"/>
      <c r="K16" s="1500"/>
      <c r="L16" s="1134"/>
      <c r="M16" s="1501">
        <f>ROUND(K16+I16,0)</f>
        <v>0</v>
      </c>
      <c r="N16" s="1021"/>
    </row>
    <row r="17" spans="1:16384" ht="15.75" customHeight="1">
      <c r="A17" s="901"/>
      <c r="B17" s="2033"/>
      <c r="C17" s="2034"/>
      <c r="D17" s="1134"/>
      <c r="E17" s="1499"/>
      <c r="F17" s="632"/>
      <c r="G17" s="1499"/>
      <c r="H17" s="989"/>
      <c r="I17" s="1500"/>
      <c r="J17" s="989"/>
      <c r="K17" s="1500"/>
      <c r="L17" s="1134"/>
      <c r="M17" s="1501">
        <f>ROUND(K17+I17,0)</f>
        <v>0</v>
      </c>
      <c r="N17" s="1021"/>
    </row>
    <row r="18" spans="1:16384" ht="15.75" customHeight="1">
      <c r="A18" s="901"/>
      <c r="B18" s="1502" t="s">
        <v>421</v>
      </c>
      <c r="C18" s="1503"/>
      <c r="D18" s="632"/>
      <c r="E18" s="1499"/>
      <c r="F18" s="632"/>
      <c r="G18" s="1499"/>
      <c r="H18" s="989"/>
      <c r="I18" s="1500"/>
      <c r="J18" s="989"/>
      <c r="K18" s="1500"/>
      <c r="L18" s="1134"/>
      <c r="M18" s="1501">
        <f>ROUND(K18+I18,0)</f>
        <v>0</v>
      </c>
      <c r="N18" s="1021"/>
    </row>
    <row r="19" spans="1:16384" ht="15.75" customHeight="1">
      <c r="A19" s="901"/>
      <c r="B19" s="1497" t="s">
        <v>422</v>
      </c>
      <c r="C19" s="1498"/>
      <c r="D19" s="632"/>
      <c r="E19" s="1499"/>
      <c r="F19" s="632"/>
      <c r="G19" s="1499"/>
      <c r="H19" s="989"/>
      <c r="I19" s="1500"/>
      <c r="J19" s="989"/>
      <c r="K19" s="1500"/>
      <c r="L19" s="1134"/>
      <c r="M19" s="1501">
        <f>ROUND(K19+I19,0)</f>
        <v>0</v>
      </c>
      <c r="N19" s="1021"/>
    </row>
    <row r="20" spans="1:16384" ht="15.75" customHeight="1">
      <c r="A20" s="901"/>
      <c r="B20" s="1504" t="s">
        <v>1001</v>
      </c>
      <c r="C20" s="1505"/>
      <c r="D20" s="314">
        <v>1055</v>
      </c>
      <c r="E20" s="1506">
        <f>SUM(E15:E19)</f>
        <v>0</v>
      </c>
      <c r="F20" s="314">
        <v>1056</v>
      </c>
      <c r="G20" s="1506">
        <f>SUM(G15:G19)</f>
        <v>0</v>
      </c>
      <c r="H20" s="314">
        <v>1057</v>
      </c>
      <c r="I20" s="1501">
        <f>SUM(I15:I19)</f>
        <v>0</v>
      </c>
      <c r="J20" s="314">
        <v>1058</v>
      </c>
      <c r="K20" s="1501">
        <f>SUM(K15:K19)</f>
        <v>0</v>
      </c>
      <c r="L20" s="314">
        <v>1059</v>
      </c>
      <c r="M20" s="1501">
        <f>SUM(M15:M19)</f>
        <v>0</v>
      </c>
      <c r="N20" s="1021">
        <f>A9</f>
        <v>1.1000000000000001</v>
      </c>
    </row>
    <row r="21" spans="1:16384" ht="15.75" customHeight="1">
      <c r="A21" s="901"/>
      <c r="B21" s="632"/>
      <c r="C21" s="632"/>
      <c r="D21" s="632"/>
      <c r="E21" s="401"/>
      <c r="F21" s="401"/>
      <c r="G21" s="401"/>
      <c r="H21" s="401"/>
      <c r="I21" s="401"/>
      <c r="J21" s="401"/>
      <c r="K21" s="401"/>
      <c r="L21" s="632"/>
      <c r="M21" s="632"/>
      <c r="N21" s="632"/>
    </row>
    <row r="22" spans="1:16384" ht="15.75" customHeight="1">
      <c r="A22" s="1164" t="s">
        <v>1551</v>
      </c>
      <c r="B22" s="1048" t="s">
        <v>1333</v>
      </c>
      <c r="C22" s="1134"/>
      <c r="D22" s="1134"/>
      <c r="E22" s="1507"/>
      <c r="F22" s="632"/>
      <c r="G22" s="1508">
        <f>'Sch 13 Enrolment'!R100</f>
        <v>0</v>
      </c>
      <c r="H22" s="989"/>
      <c r="I22" s="1484"/>
      <c r="J22" s="989"/>
      <c r="K22" s="1509"/>
      <c r="L22" s="1134"/>
      <c r="M22" s="1501">
        <f>ROUND(K22,0)</f>
        <v>0</v>
      </c>
      <c r="N22" s="1021" t="str">
        <f>A22</f>
        <v>1.1.1</v>
      </c>
    </row>
    <row r="23" spans="1:16384" ht="15.75" customHeight="1">
      <c r="A23" s="1164"/>
      <c r="B23" s="1480"/>
      <c r="C23" s="1134"/>
      <c r="D23" s="1134"/>
      <c r="E23" s="1507"/>
      <c r="F23" s="632"/>
      <c r="G23" s="1507"/>
      <c r="H23" s="989"/>
      <c r="I23" s="1484"/>
      <c r="J23" s="989"/>
      <c r="K23" s="1484"/>
      <c r="L23" s="1134"/>
      <c r="M23" s="1484"/>
      <c r="N23" s="1021"/>
    </row>
    <row r="24" spans="1:16384" ht="57" customHeight="1">
      <c r="A24" s="104" t="s">
        <v>1552</v>
      </c>
      <c r="B24" s="27" t="s">
        <v>1784</v>
      </c>
      <c r="C24" s="78"/>
      <c r="D24" s="78"/>
      <c r="E24" s="78"/>
      <c r="F24" s="78"/>
      <c r="G24" s="78"/>
      <c r="H24" s="78"/>
      <c r="I24" s="2029" t="s">
        <v>1334</v>
      </c>
      <c r="J24" s="78"/>
      <c r="K24" s="2029" t="s">
        <v>1639</v>
      </c>
      <c r="L24" s="78"/>
      <c r="M24" s="2029" t="s">
        <v>2164</v>
      </c>
      <c r="N24" s="78"/>
    </row>
    <row r="25" spans="1:16384" ht="15.75" customHeight="1">
      <c r="A25" s="1231"/>
      <c r="B25" s="1497" t="s">
        <v>563</v>
      </c>
      <c r="C25" s="1498"/>
      <c r="D25" s="1134"/>
      <c r="E25" s="1507"/>
      <c r="F25" s="1134"/>
      <c r="G25" s="1507"/>
      <c r="H25" s="989"/>
      <c r="I25" s="1500"/>
      <c r="J25" s="989"/>
      <c r="K25" s="1500"/>
      <c r="L25" s="1134"/>
      <c r="M25" s="1501">
        <f>ROUND(K25+I25,0)</f>
        <v>0</v>
      </c>
      <c r="N25" s="78"/>
    </row>
    <row r="26" spans="1:16384" ht="15.75" customHeight="1">
      <c r="A26" s="78"/>
      <c r="B26" s="2033"/>
      <c r="C26" s="2034"/>
      <c r="D26" s="1134"/>
      <c r="E26" s="1507"/>
      <c r="F26" s="1134"/>
      <c r="G26" s="1507"/>
      <c r="H26" s="989"/>
      <c r="I26" s="1500"/>
      <c r="J26" s="989"/>
      <c r="K26" s="1500"/>
      <c r="L26" s="1134"/>
      <c r="M26" s="1501">
        <f>ROUND(K26+I26,0)</f>
        <v>0</v>
      </c>
      <c r="N26" s="78"/>
    </row>
    <row r="27" spans="1:16384" ht="15.75" customHeight="1">
      <c r="A27" s="78"/>
      <c r="B27" s="2033"/>
      <c r="C27" s="2034"/>
      <c r="D27" s="1134"/>
      <c r="E27" s="1507"/>
      <c r="F27" s="1134"/>
      <c r="G27" s="1507"/>
      <c r="H27" s="989"/>
      <c r="I27" s="1500"/>
      <c r="J27" s="989"/>
      <c r="K27" s="1500"/>
      <c r="L27" s="1134"/>
      <c r="M27" s="1501">
        <f>ROUND(K27+I27,0)</f>
        <v>0</v>
      </c>
      <c r="N27" s="78"/>
    </row>
    <row r="28" spans="1:16384" ht="15.75" customHeight="1">
      <c r="A28" s="78"/>
      <c r="B28" s="1502" t="s">
        <v>421</v>
      </c>
      <c r="C28" s="1503"/>
      <c r="D28" s="632"/>
      <c r="E28" s="1507"/>
      <c r="F28" s="1134"/>
      <c r="G28" s="1507"/>
      <c r="H28" s="989"/>
      <c r="I28" s="1500"/>
      <c r="J28" s="989"/>
      <c r="K28" s="1500"/>
      <c r="L28" s="1134"/>
      <c r="M28" s="1501">
        <f>ROUND(K28+I28,0)</f>
        <v>0</v>
      </c>
      <c r="N28" s="78"/>
    </row>
    <row r="29" spans="1:16384" ht="15.75" customHeight="1">
      <c r="A29" s="78"/>
      <c r="B29" s="1497" t="s">
        <v>422</v>
      </c>
      <c r="C29" s="1498"/>
      <c r="D29" s="632"/>
      <c r="E29" s="1507"/>
      <c r="F29" s="1134"/>
      <c r="G29" s="1507"/>
      <c r="H29" s="989"/>
      <c r="I29" s="1500"/>
      <c r="J29" s="989"/>
      <c r="K29" s="1500"/>
      <c r="L29" s="1134"/>
      <c r="M29" s="1501">
        <f>ROUND(K29+I29,0)</f>
        <v>0</v>
      </c>
      <c r="N29" s="78"/>
    </row>
    <row r="30" spans="1:16384" ht="15.75" customHeight="1">
      <c r="A30" s="78"/>
      <c r="B30" s="1497" t="s">
        <v>1001</v>
      </c>
      <c r="C30" s="1498"/>
      <c r="D30" s="339"/>
      <c r="E30" s="1510"/>
      <c r="F30" s="339"/>
      <c r="G30" s="1511"/>
      <c r="H30" s="338"/>
      <c r="I30" s="1501">
        <f>SUM(I25:I29)</f>
        <v>0</v>
      </c>
      <c r="J30" s="338"/>
      <c r="K30" s="1501">
        <f>SUM(K25:K29)</f>
        <v>0</v>
      </c>
      <c r="L30" s="338"/>
      <c r="M30" s="1501">
        <f>SUM(M25:M29)</f>
        <v>0</v>
      </c>
      <c r="N30" s="1021" t="str">
        <f>+A24</f>
        <v>1.1.2</v>
      </c>
    </row>
    <row r="31" spans="1:16384" ht="15.75" customHeight="1">
      <c r="A31" s="961"/>
      <c r="B31" s="1134"/>
      <c r="C31" s="1134"/>
      <c r="D31" s="1134"/>
      <c r="E31" s="1134"/>
      <c r="F31" s="1134"/>
      <c r="G31" s="991"/>
      <c r="H31" s="1134"/>
      <c r="I31" s="991"/>
      <c r="J31" s="1134"/>
      <c r="K31" s="1134"/>
      <c r="L31" s="1134"/>
      <c r="M31" s="1134"/>
      <c r="N31" s="1020"/>
    </row>
    <row r="32" spans="1:16384" ht="15.75" customHeight="1">
      <c r="A32" s="27" t="s">
        <v>2483</v>
      </c>
      <c r="B32" s="1551" t="s">
        <v>2763</v>
      </c>
      <c r="C32" s="1551"/>
      <c r="D32" s="1551"/>
      <c r="E32" s="1551"/>
      <c r="F32" s="1551"/>
      <c r="G32" s="1551"/>
      <c r="H32" s="1551"/>
      <c r="I32" s="1551"/>
      <c r="J32" s="1551"/>
      <c r="K32" s="1551"/>
      <c r="L32" s="1551"/>
      <c r="M32" s="1551"/>
      <c r="N32" s="1551"/>
      <c r="O32" s="1551"/>
      <c r="P32" s="1551"/>
      <c r="Q32" s="1551"/>
      <c r="R32" s="1551"/>
      <c r="S32" s="1551"/>
      <c r="T32" s="1551"/>
      <c r="U32" s="1551"/>
      <c r="V32" s="1551"/>
      <c r="W32" s="1551"/>
      <c r="X32" s="1551"/>
      <c r="Y32" s="1551"/>
      <c r="Z32" s="1551"/>
      <c r="AA32" s="1551"/>
      <c r="AB32" s="1551"/>
      <c r="AC32" s="1551"/>
      <c r="AD32" s="1551"/>
      <c r="AE32" s="1551"/>
      <c r="AF32" s="1551"/>
      <c r="AG32" s="1551"/>
      <c r="AH32" s="1551"/>
      <c r="AI32" s="1551"/>
      <c r="AJ32" s="1551"/>
      <c r="AK32" s="1551"/>
      <c r="AL32" s="1551"/>
      <c r="AM32" s="1551"/>
      <c r="AN32" s="1551"/>
      <c r="AO32" s="1551"/>
      <c r="AP32" s="1551"/>
      <c r="AQ32" s="1551"/>
      <c r="AR32" s="1551"/>
      <c r="AS32" s="1551"/>
      <c r="AT32" s="1551"/>
      <c r="AU32" s="1551"/>
      <c r="AV32" s="1551"/>
      <c r="AW32" s="1551"/>
      <c r="AX32" s="1551"/>
      <c r="AY32" s="1551"/>
      <c r="AZ32" s="1551"/>
      <c r="BA32" s="1551"/>
      <c r="BB32" s="1551"/>
      <c r="BC32" s="1551"/>
      <c r="BD32" s="1551"/>
      <c r="BE32" s="1551"/>
      <c r="BF32" s="1551"/>
      <c r="BG32" s="1551"/>
      <c r="BH32" s="1551"/>
      <c r="BI32" s="1551"/>
      <c r="BJ32" s="1551"/>
      <c r="BK32" s="1551"/>
      <c r="BL32" s="1551"/>
      <c r="BM32" s="1551"/>
      <c r="BN32" s="1551"/>
      <c r="BO32" s="1551"/>
      <c r="BP32" s="1551"/>
      <c r="BQ32" s="1551"/>
      <c r="BR32" s="1551"/>
      <c r="BS32" s="1551"/>
      <c r="BT32" s="1551"/>
      <c r="BU32" s="1551"/>
      <c r="BV32" s="1551"/>
      <c r="BW32" s="1551"/>
      <c r="BX32" s="1551"/>
      <c r="BY32" s="1551"/>
      <c r="BZ32" s="1551"/>
      <c r="CA32" s="1551"/>
      <c r="CB32" s="1551"/>
      <c r="CC32" s="1551"/>
      <c r="CD32" s="1551"/>
      <c r="CE32" s="1551"/>
      <c r="CF32" s="1551"/>
      <c r="CG32" s="1551"/>
      <c r="CH32" s="1551"/>
      <c r="CI32" s="1551"/>
      <c r="CJ32" s="1551"/>
      <c r="CK32" s="1551"/>
      <c r="CL32" s="1551"/>
      <c r="CM32" s="1551"/>
      <c r="CN32" s="1551"/>
      <c r="CO32" s="1551"/>
      <c r="CP32" s="1551"/>
      <c r="CQ32" s="1551"/>
      <c r="CR32" s="1551"/>
      <c r="CS32" s="1551"/>
      <c r="CT32" s="1551"/>
      <c r="CU32" s="1551"/>
      <c r="CV32" s="1551"/>
      <c r="CW32" s="1551"/>
      <c r="CX32" s="1551"/>
      <c r="CY32" s="1551"/>
      <c r="CZ32" s="1551"/>
      <c r="DA32" s="1551"/>
      <c r="DB32" s="1551"/>
      <c r="DC32" s="1551"/>
      <c r="DD32" s="1551"/>
      <c r="DE32" s="1551"/>
      <c r="DF32" s="1551"/>
      <c r="DG32" s="1551"/>
      <c r="DH32" s="1551"/>
      <c r="DI32" s="1551"/>
      <c r="DJ32" s="1551"/>
      <c r="DK32" s="1551"/>
      <c r="DL32" s="1551"/>
      <c r="DM32" s="1551"/>
      <c r="DN32" s="1551"/>
      <c r="DO32" s="1551"/>
      <c r="DP32" s="1551"/>
      <c r="DQ32" s="1551"/>
      <c r="DR32" s="1551"/>
      <c r="DS32" s="1551"/>
      <c r="DT32" s="1551"/>
      <c r="DU32" s="1551"/>
      <c r="DV32" s="1551"/>
      <c r="DW32" s="1551"/>
      <c r="DX32" s="1551"/>
      <c r="DY32" s="1551"/>
      <c r="DZ32" s="1551"/>
      <c r="EA32" s="1551"/>
      <c r="EB32" s="1551"/>
      <c r="EC32" s="1551"/>
      <c r="ED32" s="1551"/>
      <c r="EE32" s="1551"/>
      <c r="EF32" s="1551"/>
      <c r="EG32" s="1551"/>
      <c r="EH32" s="1551"/>
      <c r="EI32" s="1551"/>
      <c r="EJ32" s="1551"/>
      <c r="EK32" s="1551"/>
      <c r="EL32" s="1551"/>
      <c r="EM32" s="1551"/>
      <c r="EN32" s="1551"/>
      <c r="EO32" s="1551"/>
      <c r="EP32" s="1551"/>
      <c r="EQ32" s="1551"/>
      <c r="ER32" s="1551"/>
      <c r="ES32" s="1551"/>
      <c r="ET32" s="1551"/>
      <c r="EU32" s="1551"/>
      <c r="EV32" s="1551"/>
      <c r="EW32" s="1551"/>
      <c r="EX32" s="1551"/>
      <c r="EY32" s="1551"/>
      <c r="EZ32" s="1551"/>
      <c r="FA32" s="1551"/>
      <c r="FB32" s="1551"/>
      <c r="FC32" s="1551"/>
      <c r="FD32" s="1551"/>
      <c r="FE32" s="1551"/>
      <c r="FF32" s="1551"/>
      <c r="FG32" s="1551"/>
      <c r="FH32" s="1551"/>
      <c r="FI32" s="1551"/>
      <c r="FJ32" s="1551"/>
      <c r="FK32" s="1551"/>
      <c r="FL32" s="1551"/>
      <c r="FM32" s="1551"/>
      <c r="FN32" s="1551"/>
      <c r="FO32" s="1551"/>
      <c r="FP32" s="1551"/>
      <c r="FQ32" s="1551"/>
      <c r="FR32" s="1551"/>
      <c r="FS32" s="1551"/>
      <c r="FT32" s="1551"/>
      <c r="FU32" s="1551"/>
      <c r="FV32" s="1551"/>
      <c r="FW32" s="1551"/>
      <c r="FX32" s="1551"/>
      <c r="FY32" s="1551"/>
      <c r="FZ32" s="1551"/>
      <c r="GA32" s="1551"/>
      <c r="GB32" s="1551"/>
      <c r="GC32" s="1551"/>
      <c r="GD32" s="1551"/>
      <c r="GE32" s="1551"/>
      <c r="GF32" s="1551"/>
      <c r="GG32" s="1551"/>
      <c r="GH32" s="1551"/>
      <c r="GI32" s="1551"/>
      <c r="GJ32" s="1551"/>
      <c r="GK32" s="1551"/>
      <c r="GL32" s="1551"/>
      <c r="GM32" s="1551"/>
      <c r="GN32" s="1551"/>
      <c r="GO32" s="1551"/>
      <c r="GP32" s="1551"/>
      <c r="GQ32" s="1551"/>
      <c r="GR32" s="1551"/>
      <c r="GS32" s="1551"/>
      <c r="GT32" s="1551"/>
      <c r="GU32" s="1551"/>
      <c r="GV32" s="1551"/>
      <c r="GW32" s="1551"/>
      <c r="GX32" s="1551"/>
      <c r="GY32" s="1551"/>
      <c r="GZ32" s="1551"/>
      <c r="HA32" s="1551"/>
      <c r="HB32" s="1551"/>
      <c r="HC32" s="1551"/>
      <c r="HD32" s="1551"/>
      <c r="HE32" s="1551"/>
      <c r="HF32" s="1551"/>
      <c r="HG32" s="1551"/>
      <c r="HH32" s="1551"/>
      <c r="HI32" s="1551"/>
      <c r="HJ32" s="1551"/>
      <c r="HK32" s="1551"/>
      <c r="HL32" s="1551"/>
      <c r="HM32" s="1551"/>
      <c r="HN32" s="1551"/>
      <c r="HO32" s="1551"/>
      <c r="HP32" s="1551"/>
      <c r="HQ32" s="1551"/>
      <c r="HR32" s="1551"/>
      <c r="HS32" s="1551"/>
      <c r="HT32" s="1551"/>
      <c r="HU32" s="1551"/>
      <c r="HV32" s="1551"/>
      <c r="HW32" s="1551"/>
      <c r="HX32" s="1551"/>
      <c r="HY32" s="1551"/>
      <c r="HZ32" s="1551"/>
      <c r="IA32" s="1551"/>
      <c r="IB32" s="1551"/>
      <c r="IC32" s="1551"/>
      <c r="ID32" s="1551"/>
      <c r="IE32" s="1551"/>
      <c r="IF32" s="1551"/>
      <c r="IG32" s="1551"/>
      <c r="IH32" s="1551"/>
      <c r="II32" s="1551"/>
      <c r="IJ32" s="1551"/>
      <c r="IK32" s="1551"/>
      <c r="IL32" s="1551"/>
      <c r="IM32" s="1551"/>
      <c r="IN32" s="1551"/>
      <c r="IO32" s="1551"/>
      <c r="IP32" s="1551"/>
      <c r="IQ32" s="1551"/>
      <c r="IR32" s="1551"/>
      <c r="IS32" s="1551"/>
      <c r="IT32" s="1551"/>
      <c r="IU32" s="1551"/>
      <c r="IV32" s="1551"/>
      <c r="IW32" s="1551"/>
      <c r="IX32" s="1551"/>
      <c r="IY32" s="1551"/>
      <c r="IZ32" s="1551"/>
      <c r="JA32" s="1551"/>
      <c r="JB32" s="1551"/>
      <c r="JC32" s="1551"/>
      <c r="JD32" s="1551"/>
      <c r="JE32" s="1551"/>
      <c r="JF32" s="1551"/>
      <c r="JG32" s="1551"/>
      <c r="JH32" s="1551"/>
      <c r="JI32" s="1551"/>
      <c r="JJ32" s="1551"/>
      <c r="JK32" s="1551"/>
      <c r="JL32" s="1551"/>
      <c r="JM32" s="1551"/>
      <c r="JN32" s="1551"/>
      <c r="JO32" s="1551"/>
      <c r="JP32" s="1551"/>
      <c r="JQ32" s="1551"/>
      <c r="JR32" s="1551"/>
      <c r="JS32" s="1551"/>
      <c r="JT32" s="1551"/>
      <c r="JU32" s="1551"/>
      <c r="JV32" s="1551"/>
      <c r="JW32" s="1551"/>
      <c r="JX32" s="1551"/>
      <c r="JY32" s="1551"/>
      <c r="JZ32" s="1551"/>
      <c r="KA32" s="1551"/>
      <c r="KB32" s="1551"/>
      <c r="KC32" s="1551"/>
      <c r="KD32" s="1551"/>
      <c r="KE32" s="1551"/>
      <c r="KF32" s="1551"/>
      <c r="KG32" s="1551"/>
      <c r="KH32" s="1551"/>
      <c r="KI32" s="1551"/>
      <c r="KJ32" s="1551"/>
      <c r="KK32" s="1551"/>
      <c r="KL32" s="1551"/>
      <c r="KM32" s="1551"/>
      <c r="KN32" s="1551"/>
      <c r="KO32" s="1551"/>
      <c r="KP32" s="1551"/>
      <c r="KQ32" s="1551"/>
      <c r="KR32" s="1551"/>
      <c r="KS32" s="1551"/>
      <c r="KT32" s="1551"/>
      <c r="KU32" s="1551"/>
      <c r="KV32" s="1551"/>
      <c r="KW32" s="1551"/>
      <c r="KX32" s="1551"/>
      <c r="KY32" s="1551"/>
      <c r="KZ32" s="1551"/>
      <c r="LA32" s="1551"/>
      <c r="LB32" s="1551"/>
      <c r="LC32" s="1551"/>
      <c r="LD32" s="1551"/>
      <c r="LE32" s="1551"/>
      <c r="LF32" s="1551"/>
      <c r="LG32" s="1551"/>
      <c r="LH32" s="1551"/>
      <c r="LI32" s="1551"/>
      <c r="LJ32" s="1551"/>
      <c r="LK32" s="1551"/>
      <c r="LL32" s="1551"/>
      <c r="LM32" s="1551"/>
      <c r="LN32" s="1551"/>
      <c r="LO32" s="1551"/>
      <c r="LP32" s="1551"/>
      <c r="LQ32" s="1551"/>
      <c r="LR32" s="1551"/>
      <c r="LS32" s="1551"/>
      <c r="LT32" s="1551"/>
      <c r="LU32" s="1551"/>
      <c r="LV32" s="1551"/>
      <c r="LW32" s="1551"/>
      <c r="LX32" s="1551"/>
      <c r="LY32" s="1551"/>
      <c r="LZ32" s="1551"/>
      <c r="MA32" s="1551"/>
      <c r="MB32" s="1551"/>
      <c r="MC32" s="1551"/>
      <c r="MD32" s="1551"/>
      <c r="ME32" s="1551"/>
      <c r="MF32" s="1551"/>
      <c r="MG32" s="1551"/>
      <c r="MH32" s="1551"/>
      <c r="MI32" s="1551"/>
      <c r="MJ32" s="1551"/>
      <c r="MK32" s="1551"/>
      <c r="ML32" s="1551"/>
      <c r="MM32" s="1551"/>
      <c r="MN32" s="1551"/>
      <c r="MO32" s="1551"/>
      <c r="MP32" s="1551"/>
      <c r="MQ32" s="1551"/>
      <c r="MR32" s="1551"/>
      <c r="MS32" s="1551"/>
      <c r="MT32" s="1551"/>
      <c r="MU32" s="1551"/>
      <c r="MV32" s="1551"/>
      <c r="MW32" s="1551"/>
      <c r="MX32" s="1551"/>
      <c r="MY32" s="1551"/>
      <c r="MZ32" s="1551"/>
      <c r="NA32" s="1551"/>
      <c r="NB32" s="1551"/>
      <c r="NC32" s="1551"/>
      <c r="ND32" s="1551"/>
      <c r="NE32" s="1551"/>
      <c r="NF32" s="1551"/>
      <c r="NG32" s="1551"/>
      <c r="NH32" s="1551"/>
      <c r="NI32" s="1551"/>
      <c r="NJ32" s="1551"/>
      <c r="NK32" s="1551"/>
      <c r="NL32" s="1551"/>
      <c r="NM32" s="1551"/>
      <c r="NN32" s="1551"/>
      <c r="NO32" s="1551"/>
      <c r="NP32" s="1551"/>
      <c r="NQ32" s="1551"/>
      <c r="NR32" s="1551"/>
      <c r="NS32" s="1551"/>
      <c r="NT32" s="1551"/>
      <c r="NU32" s="1551"/>
      <c r="NV32" s="1551"/>
      <c r="NW32" s="1551"/>
      <c r="NX32" s="1551"/>
      <c r="NY32" s="1551"/>
      <c r="NZ32" s="1551"/>
      <c r="OA32" s="1551"/>
      <c r="OB32" s="1551"/>
      <c r="OC32" s="1551"/>
      <c r="OD32" s="1551"/>
      <c r="OE32" s="1551"/>
      <c r="OF32" s="1551"/>
      <c r="OG32" s="1551"/>
      <c r="OH32" s="1551"/>
      <c r="OI32" s="1551"/>
      <c r="OJ32" s="1551"/>
      <c r="OK32" s="1551"/>
      <c r="OL32" s="1551"/>
      <c r="OM32" s="1551"/>
      <c r="ON32" s="1551"/>
      <c r="OO32" s="1551"/>
      <c r="OP32" s="1551"/>
      <c r="OQ32" s="1551"/>
      <c r="OR32" s="1551"/>
      <c r="OS32" s="1551"/>
      <c r="OT32" s="1551"/>
      <c r="OU32" s="1551"/>
      <c r="OV32" s="1551"/>
      <c r="OW32" s="1551"/>
      <c r="OX32" s="1551"/>
      <c r="OY32" s="1551"/>
      <c r="OZ32" s="1551"/>
      <c r="PA32" s="1551"/>
      <c r="PB32" s="1551"/>
      <c r="PC32" s="1551"/>
      <c r="PD32" s="1551"/>
      <c r="PE32" s="1551"/>
      <c r="PF32" s="1551"/>
      <c r="PG32" s="1551"/>
      <c r="PH32" s="1551"/>
      <c r="PI32" s="1551"/>
      <c r="PJ32" s="1551"/>
      <c r="PK32" s="1551"/>
      <c r="PL32" s="1551"/>
      <c r="PM32" s="1551"/>
      <c r="PN32" s="1551"/>
      <c r="PO32" s="1551"/>
      <c r="PP32" s="1551"/>
      <c r="PQ32" s="1551"/>
      <c r="PR32" s="1551"/>
      <c r="PS32" s="1551"/>
      <c r="PT32" s="1551"/>
      <c r="PU32" s="1551"/>
      <c r="PV32" s="1551"/>
      <c r="PW32" s="1551"/>
      <c r="PX32" s="1551"/>
      <c r="PY32" s="1551"/>
      <c r="PZ32" s="1551"/>
      <c r="QA32" s="1551"/>
      <c r="QB32" s="1551"/>
      <c r="QC32" s="1551"/>
      <c r="QD32" s="1551"/>
      <c r="QE32" s="1551"/>
      <c r="QF32" s="1551"/>
      <c r="QG32" s="1551"/>
      <c r="QH32" s="1551"/>
      <c r="QI32" s="1551"/>
      <c r="QJ32" s="1551"/>
      <c r="QK32" s="1551"/>
      <c r="QL32" s="1551"/>
      <c r="QM32" s="1551"/>
      <c r="QN32" s="1551"/>
      <c r="QO32" s="1551"/>
      <c r="QP32" s="1551"/>
      <c r="QQ32" s="1551"/>
      <c r="QR32" s="1551"/>
      <c r="QS32" s="1551"/>
      <c r="QT32" s="1551"/>
      <c r="QU32" s="1551"/>
      <c r="QV32" s="1551"/>
      <c r="QW32" s="1551"/>
      <c r="QX32" s="1551"/>
      <c r="QY32" s="1551"/>
      <c r="QZ32" s="1551"/>
      <c r="RA32" s="1551"/>
      <c r="RB32" s="1551"/>
      <c r="RC32" s="1551"/>
      <c r="RD32" s="1551"/>
      <c r="RE32" s="1551"/>
      <c r="RF32" s="1551"/>
      <c r="RG32" s="1551"/>
      <c r="RH32" s="1551"/>
      <c r="RI32" s="1551"/>
      <c r="RJ32" s="1551"/>
      <c r="RK32" s="1551"/>
      <c r="RL32" s="1551"/>
      <c r="RM32" s="1551"/>
      <c r="RN32" s="1551"/>
      <c r="RO32" s="1551"/>
      <c r="RP32" s="1551"/>
      <c r="RQ32" s="1551"/>
      <c r="RR32" s="1551"/>
      <c r="RS32" s="1551"/>
      <c r="RT32" s="1551"/>
      <c r="RU32" s="1551"/>
      <c r="RV32" s="1551"/>
      <c r="RW32" s="1551"/>
      <c r="RX32" s="1551"/>
      <c r="RY32" s="1551"/>
      <c r="RZ32" s="1551"/>
      <c r="SA32" s="1551"/>
      <c r="SB32" s="1551"/>
      <c r="SC32" s="1551"/>
      <c r="SD32" s="1551"/>
      <c r="SE32" s="1551"/>
      <c r="SF32" s="1551"/>
      <c r="SG32" s="1551"/>
      <c r="SH32" s="1551"/>
      <c r="SI32" s="1551"/>
      <c r="SJ32" s="1551"/>
      <c r="SK32" s="1551"/>
      <c r="SL32" s="1551"/>
      <c r="SM32" s="1551"/>
      <c r="SN32" s="1551"/>
      <c r="SO32" s="1551"/>
      <c r="SP32" s="1551"/>
      <c r="SQ32" s="1551"/>
      <c r="SR32" s="1551"/>
      <c r="SS32" s="1551"/>
      <c r="ST32" s="1551"/>
      <c r="SU32" s="1551"/>
      <c r="SV32" s="1551"/>
      <c r="SW32" s="1551"/>
      <c r="SX32" s="1551"/>
      <c r="SY32" s="1551"/>
      <c r="SZ32" s="1551"/>
      <c r="TA32" s="1551"/>
      <c r="TB32" s="1551"/>
      <c r="TC32" s="1551"/>
      <c r="TD32" s="1551"/>
      <c r="TE32" s="1551"/>
      <c r="TF32" s="1551"/>
      <c r="TG32" s="1551"/>
      <c r="TH32" s="1551"/>
      <c r="TI32" s="1551"/>
      <c r="TJ32" s="1551"/>
      <c r="TK32" s="1551"/>
      <c r="TL32" s="1551"/>
      <c r="TM32" s="1551"/>
      <c r="TN32" s="1551"/>
      <c r="TO32" s="1551"/>
      <c r="TP32" s="1551"/>
      <c r="TQ32" s="1551"/>
      <c r="TR32" s="1551"/>
      <c r="TS32" s="1551"/>
      <c r="TT32" s="1551"/>
      <c r="TU32" s="1551"/>
      <c r="TV32" s="1551"/>
      <c r="TW32" s="1551"/>
      <c r="TX32" s="1551"/>
      <c r="TY32" s="1551"/>
      <c r="TZ32" s="1551"/>
      <c r="UA32" s="1551"/>
      <c r="UB32" s="1551"/>
      <c r="UC32" s="1551"/>
      <c r="UD32" s="1551"/>
      <c r="UE32" s="1551"/>
      <c r="UF32" s="1551"/>
      <c r="UG32" s="1551"/>
      <c r="UH32" s="1551"/>
      <c r="UI32" s="1551"/>
      <c r="UJ32" s="1551"/>
      <c r="UK32" s="1551"/>
      <c r="UL32" s="1551"/>
      <c r="UM32" s="1551"/>
      <c r="UN32" s="1551"/>
      <c r="UO32" s="1551"/>
      <c r="UP32" s="1551"/>
      <c r="UQ32" s="1551"/>
      <c r="UR32" s="1551"/>
      <c r="US32" s="1551"/>
      <c r="UT32" s="1551"/>
      <c r="UU32" s="1551"/>
      <c r="UV32" s="1551"/>
      <c r="UW32" s="1551"/>
      <c r="UX32" s="1551"/>
      <c r="UY32" s="1551"/>
      <c r="UZ32" s="1551"/>
      <c r="VA32" s="1551"/>
      <c r="VB32" s="1551"/>
      <c r="VC32" s="1551"/>
      <c r="VD32" s="1551"/>
      <c r="VE32" s="1551"/>
      <c r="VF32" s="1551"/>
      <c r="VG32" s="1551"/>
      <c r="VH32" s="1551"/>
      <c r="VI32" s="1551"/>
      <c r="VJ32" s="1551"/>
      <c r="VK32" s="1551"/>
      <c r="VL32" s="1551"/>
      <c r="VM32" s="1551"/>
      <c r="VN32" s="1551"/>
      <c r="VO32" s="1551"/>
      <c r="VP32" s="1551"/>
      <c r="VQ32" s="1551"/>
      <c r="VR32" s="1551"/>
      <c r="VS32" s="1551"/>
      <c r="VT32" s="1551"/>
      <c r="VU32" s="1551"/>
      <c r="VV32" s="1551"/>
      <c r="VW32" s="1551"/>
      <c r="VX32" s="1551"/>
      <c r="VY32" s="1551"/>
      <c r="VZ32" s="1551"/>
      <c r="WA32" s="1551"/>
      <c r="WB32" s="1551"/>
      <c r="WC32" s="1551"/>
      <c r="WD32" s="1551"/>
      <c r="WE32" s="1551"/>
      <c r="WF32" s="1551"/>
      <c r="WG32" s="1551"/>
      <c r="WH32" s="1551"/>
      <c r="WI32" s="1551"/>
      <c r="WJ32" s="1551"/>
      <c r="WK32" s="1551"/>
      <c r="WL32" s="1551"/>
      <c r="WM32" s="1551"/>
      <c r="WN32" s="1551"/>
      <c r="WO32" s="1551"/>
      <c r="WP32" s="1551"/>
      <c r="WQ32" s="1551"/>
      <c r="WR32" s="1551"/>
      <c r="WS32" s="1551"/>
      <c r="WT32" s="1551"/>
      <c r="WU32" s="1551"/>
      <c r="WV32" s="1551"/>
      <c r="WW32" s="1551"/>
      <c r="WX32" s="1551"/>
      <c r="WY32" s="1551"/>
      <c r="WZ32" s="1551"/>
      <c r="XA32" s="1551"/>
      <c r="XB32" s="1551"/>
      <c r="XC32" s="1551"/>
      <c r="XD32" s="1551"/>
      <c r="XE32" s="1551"/>
      <c r="XF32" s="1551"/>
      <c r="XG32" s="1551"/>
      <c r="XH32" s="1551"/>
      <c r="XI32" s="1551"/>
      <c r="XJ32" s="1551"/>
      <c r="XK32" s="1551"/>
      <c r="XL32" s="1551"/>
      <c r="XM32" s="1551"/>
      <c r="XN32" s="1551"/>
      <c r="XO32" s="1551"/>
      <c r="XP32" s="1551"/>
      <c r="XQ32" s="1551"/>
      <c r="XR32" s="1551"/>
      <c r="XS32" s="1551"/>
      <c r="XT32" s="1551"/>
      <c r="XU32" s="1551"/>
      <c r="XV32" s="1551"/>
      <c r="XW32" s="1551"/>
      <c r="XX32" s="1551"/>
      <c r="XY32" s="1551"/>
      <c r="XZ32" s="1551"/>
      <c r="YA32" s="1551"/>
      <c r="YB32" s="1551"/>
      <c r="YC32" s="1551"/>
      <c r="YD32" s="1551"/>
      <c r="YE32" s="1551"/>
      <c r="YF32" s="1551"/>
      <c r="YG32" s="1551"/>
      <c r="YH32" s="1551"/>
      <c r="YI32" s="1551"/>
      <c r="YJ32" s="1551"/>
      <c r="YK32" s="1551"/>
      <c r="YL32" s="1551"/>
      <c r="YM32" s="1551"/>
      <c r="YN32" s="1551"/>
      <c r="YO32" s="1551"/>
      <c r="YP32" s="1551"/>
      <c r="YQ32" s="1551"/>
      <c r="YR32" s="1551"/>
      <c r="YS32" s="1551"/>
      <c r="YT32" s="1551"/>
      <c r="YU32" s="1551"/>
      <c r="YV32" s="1551"/>
      <c r="YW32" s="1551"/>
      <c r="YX32" s="1551"/>
      <c r="YY32" s="1551"/>
      <c r="YZ32" s="1551"/>
      <c r="ZA32" s="1551"/>
      <c r="ZB32" s="1551"/>
      <c r="ZC32" s="1551"/>
      <c r="ZD32" s="1551"/>
      <c r="ZE32" s="1551"/>
      <c r="ZF32" s="1551"/>
      <c r="ZG32" s="1551"/>
      <c r="ZH32" s="1551"/>
      <c r="ZI32" s="1551"/>
      <c r="ZJ32" s="1551"/>
      <c r="ZK32" s="1551"/>
      <c r="ZL32" s="1551"/>
      <c r="ZM32" s="1551"/>
      <c r="ZN32" s="1551"/>
      <c r="ZO32" s="1551"/>
      <c r="ZP32" s="1551"/>
      <c r="ZQ32" s="1551"/>
      <c r="ZR32" s="1551"/>
      <c r="ZS32" s="1551"/>
      <c r="ZT32" s="1551"/>
      <c r="ZU32" s="1551"/>
      <c r="ZV32" s="1551"/>
      <c r="ZW32" s="1551"/>
      <c r="ZX32" s="1551"/>
      <c r="ZY32" s="1551"/>
      <c r="ZZ32" s="1551"/>
      <c r="AAA32" s="1551"/>
      <c r="AAB32" s="1551"/>
      <c r="AAC32" s="1551"/>
      <c r="AAD32" s="1551"/>
      <c r="AAE32" s="1551"/>
      <c r="AAF32" s="1551"/>
      <c r="AAG32" s="1551"/>
      <c r="AAH32" s="1551"/>
      <c r="AAI32" s="1551"/>
      <c r="AAJ32" s="1551"/>
      <c r="AAK32" s="1551"/>
      <c r="AAL32" s="1551"/>
      <c r="AAM32" s="1551"/>
      <c r="AAN32" s="1551"/>
      <c r="AAO32" s="1551"/>
      <c r="AAP32" s="1551"/>
      <c r="AAQ32" s="1551"/>
      <c r="AAR32" s="1551"/>
      <c r="AAS32" s="1551"/>
      <c r="AAT32" s="1551"/>
      <c r="AAU32" s="1551"/>
      <c r="AAV32" s="1551"/>
      <c r="AAW32" s="1551"/>
      <c r="AAX32" s="1551"/>
      <c r="AAY32" s="1551"/>
      <c r="AAZ32" s="1551"/>
      <c r="ABA32" s="1551"/>
      <c r="ABB32" s="1551"/>
      <c r="ABC32" s="1551"/>
      <c r="ABD32" s="1551"/>
      <c r="ABE32" s="1551"/>
      <c r="ABF32" s="1551"/>
      <c r="ABG32" s="1551"/>
      <c r="ABH32" s="1551"/>
      <c r="ABI32" s="1551"/>
      <c r="ABJ32" s="1551"/>
      <c r="ABK32" s="1551"/>
      <c r="ABL32" s="1551"/>
      <c r="ABM32" s="1551"/>
      <c r="ABN32" s="1551"/>
      <c r="ABO32" s="1551"/>
      <c r="ABP32" s="1551"/>
      <c r="ABQ32" s="1551"/>
      <c r="ABR32" s="1551"/>
      <c r="ABS32" s="1551"/>
      <c r="ABT32" s="1551"/>
      <c r="ABU32" s="1551"/>
      <c r="ABV32" s="1551"/>
      <c r="ABW32" s="1551"/>
      <c r="ABX32" s="1551"/>
      <c r="ABY32" s="1551"/>
      <c r="ABZ32" s="1551"/>
      <c r="ACA32" s="1551"/>
      <c r="ACB32" s="1551"/>
      <c r="ACC32" s="1551"/>
      <c r="ACD32" s="1551"/>
      <c r="ACE32" s="1551"/>
      <c r="ACF32" s="1551"/>
      <c r="ACG32" s="1551"/>
      <c r="ACH32" s="1551"/>
      <c r="ACI32" s="1551"/>
      <c r="ACJ32" s="1551"/>
      <c r="ACK32" s="1551"/>
      <c r="ACL32" s="1551"/>
      <c r="ACM32" s="1551"/>
      <c r="ACN32" s="1551"/>
      <c r="ACO32" s="1551"/>
      <c r="ACP32" s="1551"/>
      <c r="ACQ32" s="1551"/>
      <c r="ACR32" s="1551"/>
      <c r="ACS32" s="1551"/>
      <c r="ACT32" s="1551"/>
      <c r="ACU32" s="1551"/>
      <c r="ACV32" s="1551"/>
      <c r="ACW32" s="1551"/>
      <c r="ACX32" s="1551"/>
      <c r="ACY32" s="1551"/>
      <c r="ACZ32" s="1551"/>
      <c r="ADA32" s="1551"/>
      <c r="ADB32" s="1551"/>
      <c r="ADC32" s="1551"/>
      <c r="ADD32" s="1551"/>
      <c r="ADE32" s="1551"/>
      <c r="ADF32" s="1551"/>
      <c r="ADG32" s="1551"/>
      <c r="ADH32" s="1551"/>
      <c r="ADI32" s="1551"/>
      <c r="ADJ32" s="1551"/>
      <c r="ADK32" s="1551"/>
      <c r="ADL32" s="1551"/>
      <c r="ADM32" s="1551"/>
      <c r="ADN32" s="1551"/>
      <c r="ADO32" s="1551"/>
      <c r="ADP32" s="1551"/>
      <c r="ADQ32" s="1551"/>
      <c r="ADR32" s="1551"/>
      <c r="ADS32" s="1551"/>
      <c r="ADT32" s="1551"/>
      <c r="ADU32" s="1551"/>
      <c r="ADV32" s="1551"/>
      <c r="ADW32" s="1551"/>
      <c r="ADX32" s="1551"/>
      <c r="ADY32" s="1551"/>
      <c r="ADZ32" s="1551"/>
      <c r="AEA32" s="1551"/>
      <c r="AEB32" s="1551"/>
      <c r="AEC32" s="1551"/>
      <c r="AED32" s="1551"/>
      <c r="AEE32" s="1551"/>
      <c r="AEF32" s="1551"/>
      <c r="AEG32" s="1551"/>
      <c r="AEH32" s="1551"/>
      <c r="AEI32" s="1551"/>
      <c r="AEJ32" s="1551"/>
      <c r="AEK32" s="1551"/>
      <c r="AEL32" s="1551"/>
      <c r="AEM32" s="1551"/>
      <c r="AEN32" s="1551"/>
      <c r="AEO32" s="1551"/>
      <c r="AEP32" s="1551"/>
      <c r="AEQ32" s="1551"/>
      <c r="AER32" s="1551"/>
      <c r="AES32" s="1551"/>
      <c r="AET32" s="1551"/>
      <c r="AEU32" s="1551"/>
      <c r="AEV32" s="1551"/>
      <c r="AEW32" s="1551"/>
      <c r="AEX32" s="1551"/>
      <c r="AEY32" s="1551"/>
      <c r="AEZ32" s="1551"/>
      <c r="AFA32" s="1551"/>
      <c r="AFB32" s="1551"/>
      <c r="AFC32" s="1551"/>
      <c r="AFD32" s="1551"/>
      <c r="AFE32" s="1551"/>
      <c r="AFF32" s="1551"/>
      <c r="AFG32" s="1551"/>
      <c r="AFH32" s="1551"/>
      <c r="AFI32" s="1551"/>
      <c r="AFJ32" s="1551"/>
      <c r="AFK32" s="1551"/>
      <c r="AFL32" s="1551"/>
      <c r="AFM32" s="1551"/>
      <c r="AFN32" s="1551"/>
      <c r="AFO32" s="1551"/>
      <c r="AFP32" s="1551"/>
      <c r="AFQ32" s="1551"/>
      <c r="AFR32" s="1551"/>
      <c r="AFS32" s="1551"/>
      <c r="AFT32" s="1551"/>
      <c r="AFU32" s="1551"/>
      <c r="AFV32" s="1551"/>
      <c r="AFW32" s="1551"/>
      <c r="AFX32" s="1551"/>
      <c r="AFY32" s="1551"/>
      <c r="AFZ32" s="1551"/>
      <c r="AGA32" s="1551"/>
      <c r="AGB32" s="1551"/>
      <c r="AGC32" s="1551"/>
      <c r="AGD32" s="1551"/>
      <c r="AGE32" s="1551"/>
      <c r="AGF32" s="1551"/>
      <c r="AGG32" s="1551"/>
      <c r="AGH32" s="1551"/>
      <c r="AGI32" s="1551"/>
      <c r="AGJ32" s="1551"/>
      <c r="AGK32" s="1551"/>
      <c r="AGL32" s="1551"/>
      <c r="AGM32" s="1551"/>
      <c r="AGN32" s="1551"/>
      <c r="AGO32" s="1551"/>
      <c r="AGP32" s="1551"/>
      <c r="AGQ32" s="1551"/>
      <c r="AGR32" s="1551"/>
      <c r="AGS32" s="1551"/>
      <c r="AGT32" s="1551"/>
      <c r="AGU32" s="1551"/>
      <c r="AGV32" s="1551"/>
      <c r="AGW32" s="1551"/>
      <c r="AGX32" s="1551"/>
      <c r="AGY32" s="1551"/>
      <c r="AGZ32" s="1551"/>
      <c r="AHA32" s="1551"/>
      <c r="AHB32" s="1551"/>
      <c r="AHC32" s="1551"/>
      <c r="AHD32" s="1551"/>
      <c r="AHE32" s="1551"/>
      <c r="AHF32" s="1551"/>
      <c r="AHG32" s="1551"/>
      <c r="AHH32" s="1551"/>
      <c r="AHI32" s="1551"/>
      <c r="AHJ32" s="1551"/>
      <c r="AHK32" s="1551"/>
      <c r="AHL32" s="1551"/>
      <c r="AHM32" s="1551"/>
      <c r="AHN32" s="1551"/>
      <c r="AHO32" s="1551"/>
      <c r="AHP32" s="1551"/>
      <c r="AHQ32" s="1551"/>
      <c r="AHR32" s="1551"/>
      <c r="AHS32" s="1551"/>
      <c r="AHT32" s="1551"/>
      <c r="AHU32" s="1551"/>
      <c r="AHV32" s="1551"/>
      <c r="AHW32" s="1551"/>
      <c r="AHX32" s="1551"/>
      <c r="AHY32" s="1551"/>
      <c r="AHZ32" s="1551"/>
      <c r="AIA32" s="1551"/>
      <c r="AIB32" s="1551"/>
      <c r="AIC32" s="1551"/>
      <c r="AID32" s="1551"/>
      <c r="AIE32" s="1551"/>
      <c r="AIF32" s="1551"/>
      <c r="AIG32" s="1551"/>
      <c r="AIH32" s="1551"/>
      <c r="AII32" s="1551"/>
      <c r="AIJ32" s="1551"/>
      <c r="AIK32" s="1551"/>
      <c r="AIL32" s="1551"/>
      <c r="AIM32" s="1551"/>
      <c r="AIN32" s="1551"/>
      <c r="AIO32" s="1551"/>
      <c r="AIP32" s="1551"/>
      <c r="AIQ32" s="1551"/>
      <c r="AIR32" s="1551"/>
      <c r="AIS32" s="1551"/>
      <c r="AIT32" s="1551"/>
      <c r="AIU32" s="1551"/>
      <c r="AIV32" s="1551"/>
      <c r="AIW32" s="1551"/>
      <c r="AIX32" s="1551"/>
      <c r="AIY32" s="1551"/>
      <c r="AIZ32" s="1551"/>
      <c r="AJA32" s="1551"/>
      <c r="AJB32" s="1551"/>
      <c r="AJC32" s="1551"/>
      <c r="AJD32" s="1551"/>
      <c r="AJE32" s="1551"/>
      <c r="AJF32" s="1551"/>
      <c r="AJG32" s="1551"/>
      <c r="AJH32" s="1551"/>
      <c r="AJI32" s="1551"/>
      <c r="AJJ32" s="1551"/>
      <c r="AJK32" s="1551"/>
      <c r="AJL32" s="1551"/>
      <c r="AJM32" s="1551"/>
      <c r="AJN32" s="1551"/>
      <c r="AJO32" s="1551"/>
      <c r="AJP32" s="1551"/>
      <c r="AJQ32" s="1551"/>
      <c r="AJR32" s="1551"/>
      <c r="AJS32" s="1551"/>
      <c r="AJT32" s="1551"/>
      <c r="AJU32" s="1551"/>
      <c r="AJV32" s="1551"/>
      <c r="AJW32" s="1551"/>
      <c r="AJX32" s="1551"/>
      <c r="AJY32" s="1551"/>
      <c r="AJZ32" s="1551"/>
      <c r="AKA32" s="1551"/>
      <c r="AKB32" s="1551"/>
      <c r="AKC32" s="1551"/>
      <c r="AKD32" s="1551"/>
      <c r="AKE32" s="1551"/>
      <c r="AKF32" s="1551"/>
      <c r="AKG32" s="1551"/>
      <c r="AKH32" s="1551"/>
      <c r="AKI32" s="1551"/>
      <c r="AKJ32" s="1551"/>
      <c r="AKK32" s="1551"/>
      <c r="AKL32" s="1551"/>
      <c r="AKM32" s="1551"/>
      <c r="AKN32" s="1551"/>
      <c r="AKO32" s="1551"/>
      <c r="AKP32" s="1551"/>
      <c r="AKQ32" s="1551"/>
      <c r="AKR32" s="1551"/>
      <c r="AKS32" s="1551"/>
      <c r="AKT32" s="1551"/>
      <c r="AKU32" s="1551"/>
      <c r="AKV32" s="1551"/>
      <c r="AKW32" s="1551"/>
      <c r="AKX32" s="1551"/>
      <c r="AKY32" s="1551"/>
      <c r="AKZ32" s="1551"/>
      <c r="ALA32" s="1551"/>
      <c r="ALB32" s="1551"/>
      <c r="ALC32" s="1551"/>
      <c r="ALD32" s="1551"/>
      <c r="ALE32" s="1551"/>
      <c r="ALF32" s="1551"/>
      <c r="ALG32" s="1551"/>
      <c r="ALH32" s="1551"/>
      <c r="ALI32" s="1551"/>
      <c r="ALJ32" s="1551"/>
      <c r="ALK32" s="1551"/>
      <c r="ALL32" s="1551"/>
      <c r="ALM32" s="1551"/>
      <c r="ALN32" s="1551"/>
      <c r="ALO32" s="1551"/>
      <c r="ALP32" s="1551"/>
      <c r="ALQ32" s="1551"/>
      <c r="ALR32" s="1551"/>
      <c r="ALS32" s="1551"/>
      <c r="ALT32" s="1551"/>
      <c r="ALU32" s="1551"/>
      <c r="ALV32" s="1551"/>
      <c r="ALW32" s="1551"/>
      <c r="ALX32" s="1551"/>
      <c r="ALY32" s="1551"/>
      <c r="ALZ32" s="1551"/>
      <c r="AMA32" s="1551"/>
      <c r="AMB32" s="1551"/>
      <c r="AMC32" s="1551"/>
      <c r="AMD32" s="1551"/>
      <c r="AME32" s="1551"/>
      <c r="AMF32" s="1551"/>
      <c r="AMG32" s="1551"/>
      <c r="AMH32" s="1551"/>
      <c r="AMI32" s="1551"/>
      <c r="AMJ32" s="1551"/>
      <c r="AMK32" s="1551"/>
      <c r="AML32" s="1551"/>
      <c r="AMM32" s="1551"/>
      <c r="AMN32" s="1551"/>
      <c r="AMO32" s="1551"/>
      <c r="AMP32" s="1551"/>
      <c r="AMQ32" s="1551"/>
      <c r="AMR32" s="1551"/>
      <c r="AMS32" s="1551"/>
      <c r="AMT32" s="1551"/>
      <c r="AMU32" s="1551"/>
      <c r="AMV32" s="1551"/>
      <c r="AMW32" s="1551"/>
      <c r="AMX32" s="1551"/>
      <c r="AMY32" s="1551"/>
      <c r="AMZ32" s="1551"/>
      <c r="ANA32" s="1551"/>
      <c r="ANB32" s="1551"/>
      <c r="ANC32" s="1551"/>
      <c r="AND32" s="1551"/>
      <c r="ANE32" s="1551"/>
      <c r="ANF32" s="1551"/>
      <c r="ANG32" s="1551"/>
      <c r="ANH32" s="1551"/>
      <c r="ANI32" s="1551"/>
      <c r="ANJ32" s="1551"/>
      <c r="ANK32" s="1551"/>
      <c r="ANL32" s="1551"/>
      <c r="ANM32" s="1551"/>
      <c r="ANN32" s="1551"/>
      <c r="ANO32" s="1551"/>
      <c r="ANP32" s="1551"/>
      <c r="ANQ32" s="1551"/>
      <c r="ANR32" s="1551"/>
      <c r="ANS32" s="1551"/>
      <c r="ANT32" s="1551"/>
      <c r="ANU32" s="1551"/>
      <c r="ANV32" s="1551"/>
      <c r="ANW32" s="1551"/>
      <c r="ANX32" s="1551"/>
      <c r="ANY32" s="1551"/>
      <c r="ANZ32" s="1551"/>
      <c r="AOA32" s="1551"/>
      <c r="AOB32" s="1551"/>
      <c r="AOC32" s="1551"/>
      <c r="AOD32" s="1551"/>
      <c r="AOE32" s="1551"/>
      <c r="AOF32" s="1551"/>
      <c r="AOG32" s="1551"/>
      <c r="AOH32" s="1551"/>
      <c r="AOI32" s="1551"/>
      <c r="AOJ32" s="1551"/>
      <c r="AOK32" s="1551"/>
      <c r="AOL32" s="1551"/>
      <c r="AOM32" s="1551"/>
      <c r="AON32" s="1551"/>
      <c r="AOO32" s="1551"/>
      <c r="AOP32" s="1551"/>
      <c r="AOQ32" s="1551"/>
      <c r="AOR32" s="1551"/>
      <c r="AOS32" s="1551"/>
      <c r="AOT32" s="1551"/>
      <c r="AOU32" s="1551"/>
      <c r="AOV32" s="1551"/>
      <c r="AOW32" s="1551"/>
      <c r="AOX32" s="1551"/>
      <c r="AOY32" s="1551"/>
      <c r="AOZ32" s="1551"/>
      <c r="APA32" s="1551"/>
      <c r="APB32" s="1551"/>
      <c r="APC32" s="1551"/>
      <c r="APD32" s="1551"/>
      <c r="APE32" s="1551"/>
      <c r="APF32" s="1551"/>
      <c r="APG32" s="1551"/>
      <c r="APH32" s="1551"/>
      <c r="API32" s="1551"/>
      <c r="APJ32" s="1551"/>
      <c r="APK32" s="1551"/>
      <c r="APL32" s="1551"/>
      <c r="APM32" s="1551"/>
      <c r="APN32" s="1551"/>
      <c r="APO32" s="1551"/>
      <c r="APP32" s="1551"/>
      <c r="APQ32" s="1551"/>
      <c r="APR32" s="1551"/>
      <c r="APS32" s="1551"/>
      <c r="APT32" s="1551"/>
      <c r="APU32" s="1551"/>
      <c r="APV32" s="1551"/>
      <c r="APW32" s="1551"/>
      <c r="APX32" s="1551"/>
      <c r="APY32" s="1551"/>
      <c r="APZ32" s="1551"/>
      <c r="AQA32" s="1551"/>
      <c r="AQB32" s="1551"/>
      <c r="AQC32" s="1551"/>
      <c r="AQD32" s="1551"/>
      <c r="AQE32" s="1551"/>
      <c r="AQF32" s="1551"/>
      <c r="AQG32" s="1551"/>
      <c r="AQH32" s="1551"/>
      <c r="AQI32" s="1551"/>
      <c r="AQJ32" s="1551"/>
      <c r="AQK32" s="1551"/>
      <c r="AQL32" s="1551"/>
      <c r="AQM32" s="1551"/>
      <c r="AQN32" s="1551"/>
      <c r="AQO32" s="1551"/>
      <c r="AQP32" s="1551"/>
      <c r="AQQ32" s="1551"/>
      <c r="AQR32" s="1551"/>
      <c r="AQS32" s="1551"/>
      <c r="AQT32" s="1551"/>
      <c r="AQU32" s="1551"/>
      <c r="AQV32" s="1551"/>
      <c r="AQW32" s="1551"/>
      <c r="AQX32" s="1551"/>
      <c r="AQY32" s="1551"/>
      <c r="AQZ32" s="1551"/>
      <c r="ARA32" s="1551"/>
      <c r="ARB32" s="1551"/>
      <c r="ARC32" s="1551"/>
      <c r="ARD32" s="1551"/>
      <c r="ARE32" s="1551"/>
      <c r="ARF32" s="1551"/>
      <c r="ARG32" s="1551"/>
      <c r="ARH32" s="1551"/>
      <c r="ARI32" s="1551"/>
      <c r="ARJ32" s="1551"/>
      <c r="ARK32" s="1551"/>
      <c r="ARL32" s="1551"/>
      <c r="ARM32" s="1551"/>
      <c r="ARN32" s="1551"/>
      <c r="ARO32" s="1551"/>
      <c r="ARP32" s="1551"/>
      <c r="ARQ32" s="1551"/>
      <c r="ARR32" s="1551"/>
      <c r="ARS32" s="1551"/>
      <c r="ART32" s="1551"/>
      <c r="ARU32" s="1551"/>
      <c r="ARV32" s="1551"/>
      <c r="ARW32" s="1551"/>
      <c r="ARX32" s="1551"/>
      <c r="ARY32" s="1551"/>
      <c r="ARZ32" s="1551"/>
      <c r="ASA32" s="1551"/>
      <c r="ASB32" s="1551"/>
      <c r="ASC32" s="1551"/>
      <c r="ASD32" s="1551"/>
      <c r="ASE32" s="1551"/>
      <c r="ASF32" s="1551"/>
      <c r="ASG32" s="1551"/>
      <c r="ASH32" s="1551"/>
      <c r="ASI32" s="1551"/>
      <c r="ASJ32" s="1551"/>
      <c r="ASK32" s="1551"/>
      <c r="ASL32" s="1551"/>
      <c r="ASM32" s="1551"/>
      <c r="ASN32" s="1551"/>
      <c r="ASO32" s="1551"/>
      <c r="ASP32" s="1551"/>
      <c r="ASQ32" s="1551"/>
      <c r="ASR32" s="1551"/>
      <c r="ASS32" s="1551"/>
      <c r="AST32" s="1551"/>
      <c r="ASU32" s="1551"/>
      <c r="ASV32" s="1551"/>
      <c r="ASW32" s="1551"/>
      <c r="ASX32" s="1551"/>
      <c r="ASY32" s="1551"/>
      <c r="ASZ32" s="1551"/>
      <c r="ATA32" s="1551"/>
      <c r="ATB32" s="1551"/>
      <c r="ATC32" s="1551"/>
      <c r="ATD32" s="1551"/>
      <c r="ATE32" s="1551"/>
      <c r="ATF32" s="1551"/>
      <c r="ATG32" s="1551"/>
      <c r="ATH32" s="1551"/>
      <c r="ATI32" s="1551"/>
      <c r="ATJ32" s="1551"/>
      <c r="ATK32" s="1551"/>
      <c r="ATL32" s="1551"/>
      <c r="ATM32" s="1551"/>
      <c r="ATN32" s="1551"/>
      <c r="ATO32" s="1551"/>
      <c r="ATP32" s="1551"/>
      <c r="ATQ32" s="1551"/>
      <c r="ATR32" s="1551"/>
      <c r="ATS32" s="1551"/>
      <c r="ATT32" s="1551"/>
      <c r="ATU32" s="1551"/>
      <c r="ATV32" s="1551"/>
      <c r="ATW32" s="1551"/>
      <c r="ATX32" s="1551"/>
      <c r="ATY32" s="1551"/>
      <c r="ATZ32" s="1551"/>
      <c r="AUA32" s="1551"/>
      <c r="AUB32" s="1551"/>
      <c r="AUC32" s="1551"/>
      <c r="AUD32" s="1551"/>
      <c r="AUE32" s="1551"/>
      <c r="AUF32" s="1551"/>
      <c r="AUG32" s="1551"/>
      <c r="AUH32" s="1551"/>
      <c r="AUI32" s="1551"/>
      <c r="AUJ32" s="1551"/>
      <c r="AUK32" s="1551"/>
      <c r="AUL32" s="1551"/>
      <c r="AUM32" s="1551"/>
      <c r="AUN32" s="1551"/>
      <c r="AUO32" s="1551"/>
      <c r="AUP32" s="1551"/>
      <c r="AUQ32" s="1551"/>
      <c r="AUR32" s="1551"/>
      <c r="AUS32" s="1551"/>
      <c r="AUT32" s="1551"/>
      <c r="AUU32" s="1551"/>
      <c r="AUV32" s="1551"/>
      <c r="AUW32" s="1551"/>
      <c r="AUX32" s="1551"/>
      <c r="AUY32" s="1551"/>
      <c r="AUZ32" s="1551"/>
      <c r="AVA32" s="1551"/>
      <c r="AVB32" s="1551"/>
      <c r="AVC32" s="1551"/>
      <c r="AVD32" s="1551"/>
      <c r="AVE32" s="1551"/>
      <c r="AVF32" s="1551"/>
      <c r="AVG32" s="1551"/>
      <c r="AVH32" s="1551"/>
      <c r="AVI32" s="1551"/>
      <c r="AVJ32" s="1551"/>
      <c r="AVK32" s="1551"/>
      <c r="AVL32" s="1551"/>
      <c r="AVM32" s="1551"/>
      <c r="AVN32" s="1551"/>
      <c r="AVO32" s="1551"/>
      <c r="AVP32" s="1551"/>
      <c r="AVQ32" s="1551"/>
      <c r="AVR32" s="1551"/>
      <c r="AVS32" s="1551"/>
      <c r="AVT32" s="1551"/>
      <c r="AVU32" s="1551"/>
      <c r="AVV32" s="1551"/>
      <c r="AVW32" s="1551"/>
      <c r="AVX32" s="1551"/>
      <c r="AVY32" s="1551"/>
      <c r="AVZ32" s="1551"/>
      <c r="AWA32" s="1551"/>
      <c r="AWB32" s="1551"/>
      <c r="AWC32" s="1551"/>
      <c r="AWD32" s="1551"/>
      <c r="AWE32" s="1551"/>
      <c r="AWF32" s="1551"/>
      <c r="AWG32" s="1551"/>
      <c r="AWH32" s="1551"/>
      <c r="AWI32" s="1551"/>
      <c r="AWJ32" s="1551"/>
      <c r="AWK32" s="1551"/>
      <c r="AWL32" s="1551"/>
      <c r="AWM32" s="1551"/>
      <c r="AWN32" s="1551"/>
      <c r="AWO32" s="1551"/>
      <c r="AWP32" s="1551"/>
      <c r="AWQ32" s="1551"/>
      <c r="AWR32" s="1551"/>
      <c r="AWS32" s="1551"/>
      <c r="AWT32" s="1551"/>
      <c r="AWU32" s="1551"/>
      <c r="AWV32" s="1551"/>
      <c r="AWW32" s="1551"/>
      <c r="AWX32" s="1551"/>
      <c r="AWY32" s="1551"/>
      <c r="AWZ32" s="1551"/>
      <c r="AXA32" s="1551"/>
      <c r="AXB32" s="1551"/>
      <c r="AXC32" s="1551"/>
      <c r="AXD32" s="1551"/>
      <c r="AXE32" s="1551"/>
      <c r="AXF32" s="1551"/>
      <c r="AXG32" s="1551"/>
      <c r="AXH32" s="1551"/>
      <c r="AXI32" s="1551"/>
      <c r="AXJ32" s="1551"/>
      <c r="AXK32" s="1551"/>
      <c r="AXL32" s="1551"/>
      <c r="AXM32" s="1551"/>
      <c r="AXN32" s="1551"/>
      <c r="AXO32" s="1551"/>
      <c r="AXP32" s="1551"/>
      <c r="AXQ32" s="1551"/>
      <c r="AXR32" s="1551"/>
      <c r="AXS32" s="1551"/>
      <c r="AXT32" s="1551"/>
      <c r="AXU32" s="1551"/>
      <c r="AXV32" s="1551"/>
      <c r="AXW32" s="1551"/>
      <c r="AXX32" s="1551"/>
      <c r="AXY32" s="1551"/>
      <c r="AXZ32" s="1551"/>
      <c r="AYA32" s="1551"/>
      <c r="AYB32" s="1551"/>
      <c r="AYC32" s="1551"/>
      <c r="AYD32" s="1551"/>
      <c r="AYE32" s="1551"/>
      <c r="AYF32" s="1551"/>
      <c r="AYG32" s="1551"/>
      <c r="AYH32" s="1551"/>
      <c r="AYI32" s="1551"/>
      <c r="AYJ32" s="1551"/>
      <c r="AYK32" s="1551"/>
      <c r="AYL32" s="1551"/>
      <c r="AYM32" s="1551"/>
      <c r="AYN32" s="1551"/>
      <c r="AYO32" s="1551"/>
      <c r="AYP32" s="1551"/>
      <c r="AYQ32" s="1551"/>
      <c r="AYR32" s="1551"/>
      <c r="AYS32" s="1551"/>
      <c r="AYT32" s="1551"/>
      <c r="AYU32" s="1551"/>
      <c r="AYV32" s="1551"/>
      <c r="AYW32" s="1551"/>
      <c r="AYX32" s="1551"/>
      <c r="AYY32" s="1551"/>
      <c r="AYZ32" s="1551"/>
      <c r="AZA32" s="1551"/>
      <c r="AZB32" s="1551"/>
      <c r="AZC32" s="1551"/>
      <c r="AZD32" s="1551"/>
      <c r="AZE32" s="1551"/>
      <c r="AZF32" s="1551"/>
      <c r="AZG32" s="1551"/>
      <c r="AZH32" s="1551"/>
      <c r="AZI32" s="1551"/>
      <c r="AZJ32" s="1551"/>
      <c r="AZK32" s="1551"/>
      <c r="AZL32" s="1551"/>
      <c r="AZM32" s="1551"/>
      <c r="AZN32" s="1551"/>
      <c r="AZO32" s="1551"/>
      <c r="AZP32" s="1551"/>
      <c r="AZQ32" s="1551"/>
      <c r="AZR32" s="1551"/>
      <c r="AZS32" s="1551"/>
      <c r="AZT32" s="1551"/>
      <c r="AZU32" s="1551"/>
      <c r="AZV32" s="1551"/>
      <c r="AZW32" s="1551"/>
      <c r="AZX32" s="1551"/>
      <c r="AZY32" s="1551"/>
      <c r="AZZ32" s="1551"/>
      <c r="BAA32" s="1551"/>
      <c r="BAB32" s="1551"/>
      <c r="BAC32" s="1551"/>
      <c r="BAD32" s="1551"/>
      <c r="BAE32" s="1551"/>
      <c r="BAF32" s="1551"/>
      <c r="BAG32" s="1551"/>
      <c r="BAH32" s="1551"/>
      <c r="BAI32" s="1551"/>
      <c r="BAJ32" s="1551"/>
      <c r="BAK32" s="1551"/>
      <c r="BAL32" s="1551"/>
      <c r="BAM32" s="1551"/>
      <c r="BAN32" s="1551"/>
      <c r="BAO32" s="1551"/>
      <c r="BAP32" s="1551"/>
      <c r="BAQ32" s="1551"/>
      <c r="BAR32" s="1551"/>
      <c r="BAS32" s="1551"/>
      <c r="BAT32" s="1551"/>
      <c r="BAU32" s="1551"/>
      <c r="BAV32" s="1551"/>
      <c r="BAW32" s="1551"/>
      <c r="BAX32" s="1551"/>
      <c r="BAY32" s="1551"/>
      <c r="BAZ32" s="1551"/>
      <c r="BBA32" s="1551"/>
      <c r="BBB32" s="1551"/>
      <c r="BBC32" s="1551"/>
      <c r="BBD32" s="1551"/>
      <c r="BBE32" s="1551"/>
      <c r="BBF32" s="1551"/>
      <c r="BBG32" s="1551"/>
      <c r="BBH32" s="1551"/>
      <c r="BBI32" s="1551"/>
      <c r="BBJ32" s="1551"/>
      <c r="BBK32" s="1551"/>
      <c r="BBL32" s="1551"/>
      <c r="BBM32" s="1551"/>
      <c r="BBN32" s="1551"/>
      <c r="BBO32" s="1551"/>
      <c r="BBP32" s="1551"/>
      <c r="BBQ32" s="1551"/>
      <c r="BBR32" s="1551"/>
      <c r="BBS32" s="1551"/>
      <c r="BBT32" s="1551"/>
      <c r="BBU32" s="1551"/>
      <c r="BBV32" s="1551"/>
      <c r="BBW32" s="1551"/>
      <c r="BBX32" s="1551"/>
      <c r="BBY32" s="1551"/>
      <c r="BBZ32" s="1551"/>
      <c r="BCA32" s="1551"/>
      <c r="BCB32" s="1551"/>
      <c r="BCC32" s="1551"/>
      <c r="BCD32" s="1551"/>
      <c r="BCE32" s="1551"/>
      <c r="BCF32" s="1551"/>
      <c r="BCG32" s="1551"/>
      <c r="BCH32" s="1551"/>
      <c r="BCI32" s="1551"/>
      <c r="BCJ32" s="1551"/>
      <c r="BCK32" s="1551"/>
      <c r="BCL32" s="1551"/>
      <c r="BCM32" s="1551"/>
      <c r="BCN32" s="1551"/>
      <c r="BCO32" s="1551"/>
      <c r="BCP32" s="1551"/>
      <c r="BCQ32" s="1551"/>
      <c r="BCR32" s="1551"/>
      <c r="BCS32" s="1551"/>
      <c r="BCT32" s="1551"/>
      <c r="BCU32" s="1551"/>
      <c r="BCV32" s="1551"/>
      <c r="BCW32" s="1551"/>
      <c r="BCX32" s="1551"/>
      <c r="BCY32" s="1551"/>
      <c r="BCZ32" s="1551"/>
      <c r="BDA32" s="1551"/>
      <c r="BDB32" s="1551"/>
      <c r="BDC32" s="1551"/>
      <c r="BDD32" s="1551"/>
      <c r="BDE32" s="1551"/>
      <c r="BDF32" s="1551"/>
      <c r="BDG32" s="1551"/>
      <c r="BDH32" s="1551"/>
      <c r="BDI32" s="1551"/>
      <c r="BDJ32" s="1551"/>
      <c r="BDK32" s="1551"/>
      <c r="BDL32" s="1551"/>
      <c r="BDM32" s="1551"/>
      <c r="BDN32" s="1551"/>
      <c r="BDO32" s="1551"/>
      <c r="BDP32" s="1551"/>
      <c r="BDQ32" s="1551"/>
      <c r="BDR32" s="1551"/>
      <c r="BDS32" s="1551"/>
      <c r="BDT32" s="1551"/>
      <c r="BDU32" s="1551"/>
      <c r="BDV32" s="1551"/>
      <c r="BDW32" s="1551"/>
      <c r="BDX32" s="1551"/>
      <c r="BDY32" s="1551"/>
      <c r="BDZ32" s="1551"/>
      <c r="BEA32" s="1551"/>
      <c r="BEB32" s="1551"/>
      <c r="BEC32" s="1551"/>
      <c r="BED32" s="1551"/>
      <c r="BEE32" s="1551"/>
      <c r="BEF32" s="1551"/>
      <c r="BEG32" s="1551"/>
      <c r="BEH32" s="1551"/>
      <c r="BEI32" s="1551"/>
      <c r="BEJ32" s="1551"/>
      <c r="BEK32" s="1551"/>
      <c r="BEL32" s="1551"/>
      <c r="BEM32" s="1551"/>
      <c r="BEN32" s="1551"/>
      <c r="BEO32" s="1551"/>
      <c r="BEP32" s="1551"/>
      <c r="BEQ32" s="1551"/>
      <c r="BER32" s="1551"/>
      <c r="BES32" s="1551"/>
      <c r="BET32" s="1551"/>
      <c r="BEU32" s="1551"/>
      <c r="BEV32" s="1551"/>
      <c r="BEW32" s="1551"/>
      <c r="BEX32" s="1551"/>
      <c r="BEY32" s="1551"/>
      <c r="BEZ32" s="1551"/>
      <c r="BFA32" s="1551"/>
      <c r="BFB32" s="1551"/>
      <c r="BFC32" s="1551"/>
      <c r="BFD32" s="1551"/>
      <c r="BFE32" s="1551"/>
      <c r="BFF32" s="1551"/>
      <c r="BFG32" s="1551"/>
      <c r="BFH32" s="1551"/>
      <c r="BFI32" s="1551"/>
      <c r="BFJ32" s="1551"/>
      <c r="BFK32" s="1551"/>
      <c r="BFL32" s="1551"/>
      <c r="BFM32" s="1551"/>
      <c r="BFN32" s="1551"/>
      <c r="BFO32" s="1551"/>
      <c r="BFP32" s="1551"/>
      <c r="BFQ32" s="1551"/>
      <c r="BFR32" s="1551"/>
      <c r="BFS32" s="1551"/>
      <c r="BFT32" s="1551"/>
      <c r="BFU32" s="1551"/>
      <c r="BFV32" s="1551"/>
      <c r="BFW32" s="1551"/>
      <c r="BFX32" s="1551"/>
      <c r="BFY32" s="1551"/>
      <c r="BFZ32" s="1551"/>
      <c r="BGA32" s="1551"/>
      <c r="BGB32" s="1551"/>
      <c r="BGC32" s="1551"/>
      <c r="BGD32" s="1551"/>
      <c r="BGE32" s="1551"/>
      <c r="BGF32" s="1551"/>
      <c r="BGG32" s="1551"/>
      <c r="BGH32" s="1551"/>
      <c r="BGI32" s="1551"/>
      <c r="BGJ32" s="1551"/>
      <c r="BGK32" s="1551"/>
      <c r="BGL32" s="1551"/>
      <c r="BGM32" s="1551"/>
      <c r="BGN32" s="1551"/>
      <c r="BGO32" s="1551"/>
      <c r="BGP32" s="1551"/>
      <c r="BGQ32" s="1551"/>
      <c r="BGR32" s="1551"/>
      <c r="BGS32" s="1551"/>
      <c r="BGT32" s="1551"/>
      <c r="BGU32" s="1551"/>
      <c r="BGV32" s="1551"/>
      <c r="BGW32" s="1551"/>
      <c r="BGX32" s="1551"/>
      <c r="BGY32" s="1551"/>
      <c r="BGZ32" s="1551"/>
      <c r="BHA32" s="1551"/>
      <c r="BHB32" s="1551"/>
      <c r="BHC32" s="1551"/>
      <c r="BHD32" s="1551"/>
      <c r="BHE32" s="1551"/>
      <c r="BHF32" s="1551"/>
      <c r="BHG32" s="1551"/>
      <c r="BHH32" s="1551"/>
      <c r="BHI32" s="1551"/>
      <c r="BHJ32" s="1551"/>
      <c r="BHK32" s="1551"/>
      <c r="BHL32" s="1551"/>
      <c r="BHM32" s="1551"/>
      <c r="BHN32" s="1551"/>
      <c r="BHO32" s="1551"/>
      <c r="BHP32" s="1551"/>
      <c r="BHQ32" s="1551"/>
      <c r="BHR32" s="1551"/>
      <c r="BHS32" s="1551"/>
      <c r="BHT32" s="1551"/>
      <c r="BHU32" s="1551"/>
      <c r="BHV32" s="1551"/>
      <c r="BHW32" s="1551"/>
      <c r="BHX32" s="1551"/>
      <c r="BHY32" s="1551"/>
      <c r="BHZ32" s="1551"/>
      <c r="BIA32" s="1551"/>
      <c r="BIB32" s="1551"/>
      <c r="BIC32" s="1551"/>
      <c r="BID32" s="1551"/>
      <c r="BIE32" s="1551"/>
      <c r="BIF32" s="1551"/>
      <c r="BIG32" s="1551"/>
      <c r="BIH32" s="1551"/>
      <c r="BII32" s="1551"/>
      <c r="BIJ32" s="1551"/>
      <c r="BIK32" s="1551"/>
      <c r="BIL32" s="1551"/>
      <c r="BIM32" s="1551"/>
      <c r="BIN32" s="1551"/>
      <c r="BIO32" s="1551"/>
      <c r="BIP32" s="1551"/>
      <c r="BIQ32" s="1551"/>
      <c r="BIR32" s="1551"/>
      <c r="BIS32" s="1551"/>
      <c r="BIT32" s="1551"/>
      <c r="BIU32" s="1551"/>
      <c r="BIV32" s="1551"/>
      <c r="BIW32" s="1551"/>
      <c r="BIX32" s="1551"/>
      <c r="BIY32" s="1551"/>
      <c r="BIZ32" s="1551"/>
      <c r="BJA32" s="1551"/>
      <c r="BJB32" s="1551"/>
      <c r="BJC32" s="1551"/>
      <c r="BJD32" s="1551"/>
      <c r="BJE32" s="1551"/>
      <c r="BJF32" s="1551"/>
      <c r="BJG32" s="1551"/>
      <c r="BJH32" s="1551"/>
      <c r="BJI32" s="1551"/>
      <c r="BJJ32" s="1551"/>
      <c r="BJK32" s="1551"/>
      <c r="BJL32" s="1551"/>
      <c r="BJM32" s="1551"/>
      <c r="BJN32" s="1551"/>
      <c r="BJO32" s="1551"/>
      <c r="BJP32" s="1551"/>
      <c r="BJQ32" s="1551"/>
      <c r="BJR32" s="1551"/>
      <c r="BJS32" s="1551"/>
      <c r="BJT32" s="1551"/>
      <c r="BJU32" s="1551"/>
      <c r="BJV32" s="1551"/>
      <c r="BJW32" s="1551"/>
      <c r="BJX32" s="1551"/>
      <c r="BJY32" s="1551"/>
      <c r="BJZ32" s="1551"/>
      <c r="BKA32" s="1551"/>
      <c r="BKB32" s="1551"/>
      <c r="BKC32" s="1551"/>
      <c r="BKD32" s="1551"/>
      <c r="BKE32" s="1551"/>
      <c r="BKF32" s="1551"/>
      <c r="BKG32" s="1551"/>
      <c r="BKH32" s="1551"/>
      <c r="BKI32" s="1551"/>
      <c r="BKJ32" s="1551"/>
      <c r="BKK32" s="1551"/>
      <c r="BKL32" s="1551"/>
      <c r="BKM32" s="1551"/>
      <c r="BKN32" s="1551"/>
      <c r="BKO32" s="1551"/>
      <c r="BKP32" s="1551"/>
      <c r="BKQ32" s="1551"/>
      <c r="BKR32" s="1551"/>
      <c r="BKS32" s="1551"/>
      <c r="BKT32" s="1551"/>
      <c r="BKU32" s="1551"/>
      <c r="BKV32" s="1551"/>
      <c r="BKW32" s="1551"/>
      <c r="BKX32" s="1551"/>
      <c r="BKY32" s="1551"/>
      <c r="BKZ32" s="1551"/>
      <c r="BLA32" s="1551"/>
      <c r="BLB32" s="1551"/>
      <c r="BLC32" s="1551"/>
      <c r="BLD32" s="1551"/>
      <c r="BLE32" s="1551"/>
      <c r="BLF32" s="1551"/>
      <c r="BLG32" s="1551"/>
      <c r="BLH32" s="1551"/>
      <c r="BLI32" s="1551"/>
      <c r="BLJ32" s="1551"/>
      <c r="BLK32" s="1551"/>
      <c r="BLL32" s="1551"/>
      <c r="BLM32" s="1551"/>
      <c r="BLN32" s="1551"/>
      <c r="BLO32" s="1551"/>
      <c r="BLP32" s="1551"/>
      <c r="BLQ32" s="1551"/>
      <c r="BLR32" s="1551"/>
      <c r="BLS32" s="1551"/>
      <c r="BLT32" s="1551"/>
      <c r="BLU32" s="1551"/>
      <c r="BLV32" s="1551"/>
      <c r="BLW32" s="1551"/>
      <c r="BLX32" s="1551"/>
      <c r="BLY32" s="1551"/>
      <c r="BLZ32" s="1551"/>
      <c r="BMA32" s="1551"/>
      <c r="BMB32" s="1551"/>
      <c r="BMC32" s="1551"/>
      <c r="BMD32" s="1551"/>
      <c r="BME32" s="1551"/>
      <c r="BMF32" s="1551"/>
      <c r="BMG32" s="1551"/>
      <c r="BMH32" s="1551"/>
      <c r="BMI32" s="1551"/>
      <c r="BMJ32" s="1551"/>
      <c r="BMK32" s="1551"/>
      <c r="BML32" s="1551"/>
      <c r="BMM32" s="1551"/>
      <c r="BMN32" s="1551"/>
      <c r="BMO32" s="1551"/>
      <c r="BMP32" s="1551"/>
      <c r="BMQ32" s="1551"/>
      <c r="BMR32" s="1551"/>
      <c r="BMS32" s="1551"/>
      <c r="BMT32" s="1551"/>
      <c r="BMU32" s="1551"/>
      <c r="BMV32" s="1551"/>
      <c r="BMW32" s="1551"/>
      <c r="BMX32" s="1551"/>
      <c r="BMY32" s="1551"/>
      <c r="BMZ32" s="1551"/>
      <c r="BNA32" s="1551"/>
      <c r="BNB32" s="1551"/>
      <c r="BNC32" s="1551"/>
      <c r="BND32" s="1551"/>
      <c r="BNE32" s="1551"/>
      <c r="BNF32" s="1551"/>
      <c r="BNG32" s="1551"/>
      <c r="BNH32" s="1551"/>
      <c r="BNI32" s="1551"/>
      <c r="BNJ32" s="1551"/>
      <c r="BNK32" s="1551"/>
      <c r="BNL32" s="1551"/>
      <c r="BNM32" s="1551"/>
      <c r="BNN32" s="1551"/>
      <c r="BNO32" s="1551"/>
      <c r="BNP32" s="1551"/>
      <c r="BNQ32" s="1551"/>
      <c r="BNR32" s="1551"/>
      <c r="BNS32" s="1551"/>
      <c r="BNT32" s="1551"/>
      <c r="BNU32" s="1551"/>
      <c r="BNV32" s="1551"/>
      <c r="BNW32" s="1551"/>
      <c r="BNX32" s="1551"/>
      <c r="BNY32" s="1551"/>
      <c r="BNZ32" s="1551"/>
      <c r="BOA32" s="1551"/>
      <c r="BOB32" s="1551"/>
      <c r="BOC32" s="1551"/>
      <c r="BOD32" s="1551"/>
      <c r="BOE32" s="1551"/>
      <c r="BOF32" s="1551"/>
      <c r="BOG32" s="1551"/>
      <c r="BOH32" s="1551"/>
      <c r="BOI32" s="1551"/>
      <c r="BOJ32" s="1551"/>
      <c r="BOK32" s="1551"/>
      <c r="BOL32" s="1551"/>
      <c r="BOM32" s="1551"/>
      <c r="BON32" s="1551"/>
      <c r="BOO32" s="1551"/>
      <c r="BOP32" s="1551"/>
      <c r="BOQ32" s="1551"/>
      <c r="BOR32" s="1551"/>
      <c r="BOS32" s="1551"/>
      <c r="BOT32" s="1551"/>
      <c r="BOU32" s="1551"/>
      <c r="BOV32" s="1551"/>
      <c r="BOW32" s="1551"/>
      <c r="BOX32" s="1551"/>
      <c r="BOY32" s="1551"/>
      <c r="BOZ32" s="1551"/>
      <c r="BPA32" s="1551"/>
      <c r="BPB32" s="1551"/>
      <c r="BPC32" s="1551"/>
      <c r="BPD32" s="1551"/>
      <c r="BPE32" s="1551"/>
      <c r="BPF32" s="1551"/>
      <c r="BPG32" s="1551"/>
      <c r="BPH32" s="1551"/>
      <c r="BPI32" s="1551"/>
      <c r="BPJ32" s="1551"/>
      <c r="BPK32" s="1551"/>
      <c r="BPL32" s="1551"/>
      <c r="BPM32" s="1551"/>
      <c r="BPN32" s="1551"/>
      <c r="BPO32" s="1551"/>
      <c r="BPP32" s="1551"/>
      <c r="BPQ32" s="1551"/>
      <c r="BPR32" s="1551"/>
      <c r="BPS32" s="1551"/>
      <c r="BPT32" s="1551"/>
      <c r="BPU32" s="1551"/>
      <c r="BPV32" s="1551"/>
      <c r="BPW32" s="1551"/>
      <c r="BPX32" s="1551"/>
      <c r="BPY32" s="1551"/>
      <c r="BPZ32" s="1551"/>
      <c r="BQA32" s="1551"/>
      <c r="BQB32" s="1551"/>
      <c r="BQC32" s="1551"/>
      <c r="BQD32" s="1551"/>
      <c r="BQE32" s="1551"/>
      <c r="BQF32" s="1551"/>
      <c r="BQG32" s="1551"/>
      <c r="BQH32" s="1551"/>
      <c r="BQI32" s="1551"/>
      <c r="BQJ32" s="1551"/>
      <c r="BQK32" s="1551"/>
      <c r="BQL32" s="1551"/>
      <c r="BQM32" s="1551"/>
      <c r="BQN32" s="1551"/>
      <c r="BQO32" s="1551"/>
      <c r="BQP32" s="1551"/>
      <c r="BQQ32" s="1551"/>
      <c r="BQR32" s="1551"/>
      <c r="BQS32" s="1551"/>
      <c r="BQT32" s="1551"/>
      <c r="BQU32" s="1551"/>
      <c r="BQV32" s="1551"/>
      <c r="BQW32" s="1551"/>
      <c r="BQX32" s="1551"/>
      <c r="BQY32" s="1551"/>
      <c r="BQZ32" s="1551"/>
      <c r="BRA32" s="1551"/>
      <c r="BRB32" s="1551"/>
      <c r="BRC32" s="1551"/>
      <c r="BRD32" s="1551"/>
      <c r="BRE32" s="1551"/>
      <c r="BRF32" s="1551"/>
      <c r="BRG32" s="1551"/>
      <c r="BRH32" s="1551"/>
      <c r="BRI32" s="1551"/>
      <c r="BRJ32" s="1551"/>
      <c r="BRK32" s="1551"/>
      <c r="BRL32" s="1551"/>
      <c r="BRM32" s="1551"/>
      <c r="BRN32" s="1551"/>
      <c r="BRO32" s="1551"/>
      <c r="BRP32" s="1551"/>
      <c r="BRQ32" s="1551"/>
      <c r="BRR32" s="1551"/>
      <c r="BRS32" s="1551"/>
      <c r="BRT32" s="1551"/>
      <c r="BRU32" s="1551"/>
      <c r="BRV32" s="1551"/>
      <c r="BRW32" s="1551"/>
      <c r="BRX32" s="1551"/>
      <c r="BRY32" s="1551"/>
      <c r="BRZ32" s="1551"/>
      <c r="BSA32" s="1551"/>
      <c r="BSB32" s="1551"/>
      <c r="BSC32" s="1551"/>
      <c r="BSD32" s="1551"/>
      <c r="BSE32" s="1551"/>
      <c r="BSF32" s="1551"/>
      <c r="BSG32" s="1551"/>
      <c r="BSH32" s="1551"/>
      <c r="BSI32" s="1551"/>
      <c r="BSJ32" s="1551"/>
      <c r="BSK32" s="1551"/>
      <c r="BSL32" s="1551"/>
      <c r="BSM32" s="1551"/>
      <c r="BSN32" s="1551"/>
      <c r="BSO32" s="1551"/>
      <c r="BSP32" s="1551"/>
      <c r="BSQ32" s="1551"/>
      <c r="BSR32" s="1551"/>
      <c r="BSS32" s="1551"/>
      <c r="BST32" s="1551"/>
      <c r="BSU32" s="1551"/>
      <c r="BSV32" s="1551"/>
      <c r="BSW32" s="1551"/>
      <c r="BSX32" s="1551"/>
      <c r="BSY32" s="1551"/>
      <c r="BSZ32" s="1551"/>
      <c r="BTA32" s="1551"/>
      <c r="BTB32" s="1551"/>
      <c r="BTC32" s="1551"/>
      <c r="BTD32" s="1551"/>
      <c r="BTE32" s="1551"/>
      <c r="BTF32" s="1551"/>
      <c r="BTG32" s="1551"/>
      <c r="BTH32" s="1551"/>
      <c r="BTI32" s="1551"/>
      <c r="BTJ32" s="1551"/>
      <c r="BTK32" s="1551"/>
      <c r="BTL32" s="1551"/>
      <c r="BTM32" s="1551"/>
      <c r="BTN32" s="1551"/>
      <c r="BTO32" s="1551"/>
      <c r="BTP32" s="1551"/>
      <c r="BTQ32" s="1551"/>
      <c r="BTR32" s="1551"/>
      <c r="BTS32" s="1551"/>
      <c r="BTT32" s="1551"/>
      <c r="BTU32" s="1551"/>
      <c r="BTV32" s="1551"/>
      <c r="BTW32" s="1551"/>
      <c r="BTX32" s="1551"/>
      <c r="BTY32" s="1551"/>
      <c r="BTZ32" s="1551"/>
      <c r="BUA32" s="1551"/>
      <c r="BUB32" s="1551"/>
      <c r="BUC32" s="1551"/>
      <c r="BUD32" s="1551"/>
      <c r="BUE32" s="1551"/>
      <c r="BUF32" s="1551"/>
      <c r="BUG32" s="1551"/>
      <c r="BUH32" s="1551"/>
      <c r="BUI32" s="1551"/>
      <c r="BUJ32" s="1551"/>
      <c r="BUK32" s="1551"/>
      <c r="BUL32" s="1551"/>
      <c r="BUM32" s="1551"/>
      <c r="BUN32" s="1551"/>
      <c r="BUO32" s="1551"/>
      <c r="BUP32" s="1551"/>
      <c r="BUQ32" s="1551"/>
      <c r="BUR32" s="1551"/>
      <c r="BUS32" s="1551"/>
      <c r="BUT32" s="1551"/>
      <c r="BUU32" s="1551"/>
      <c r="BUV32" s="1551"/>
      <c r="BUW32" s="1551"/>
      <c r="BUX32" s="1551"/>
      <c r="BUY32" s="1551"/>
      <c r="BUZ32" s="1551"/>
      <c r="BVA32" s="1551"/>
      <c r="BVB32" s="1551"/>
      <c r="BVC32" s="1551"/>
      <c r="BVD32" s="1551"/>
      <c r="BVE32" s="1551"/>
      <c r="BVF32" s="1551"/>
      <c r="BVG32" s="1551"/>
      <c r="BVH32" s="1551"/>
      <c r="BVI32" s="1551"/>
      <c r="BVJ32" s="1551"/>
      <c r="BVK32" s="1551"/>
      <c r="BVL32" s="1551"/>
      <c r="BVM32" s="1551"/>
      <c r="BVN32" s="1551"/>
      <c r="BVO32" s="1551"/>
      <c r="BVP32" s="1551"/>
      <c r="BVQ32" s="1551"/>
      <c r="BVR32" s="1551"/>
      <c r="BVS32" s="1551"/>
      <c r="BVT32" s="1551"/>
      <c r="BVU32" s="1551"/>
      <c r="BVV32" s="1551"/>
      <c r="BVW32" s="1551"/>
      <c r="BVX32" s="1551"/>
      <c r="BVY32" s="1551"/>
      <c r="BVZ32" s="1551"/>
      <c r="BWA32" s="1551"/>
      <c r="BWB32" s="1551"/>
      <c r="BWC32" s="1551"/>
      <c r="BWD32" s="1551"/>
      <c r="BWE32" s="1551"/>
      <c r="BWF32" s="1551"/>
      <c r="BWG32" s="1551"/>
      <c r="BWH32" s="1551"/>
      <c r="BWI32" s="1551"/>
      <c r="BWJ32" s="1551"/>
      <c r="BWK32" s="1551"/>
      <c r="BWL32" s="1551"/>
      <c r="BWM32" s="1551"/>
      <c r="BWN32" s="1551"/>
      <c r="BWO32" s="1551"/>
      <c r="BWP32" s="1551"/>
      <c r="BWQ32" s="1551"/>
      <c r="BWR32" s="1551"/>
      <c r="BWS32" s="1551"/>
      <c r="BWT32" s="1551"/>
      <c r="BWU32" s="1551"/>
      <c r="BWV32" s="1551"/>
      <c r="BWW32" s="1551"/>
      <c r="BWX32" s="1551"/>
      <c r="BWY32" s="1551"/>
      <c r="BWZ32" s="1551"/>
      <c r="BXA32" s="1551"/>
      <c r="BXB32" s="1551"/>
      <c r="BXC32" s="1551"/>
      <c r="BXD32" s="1551"/>
      <c r="BXE32" s="1551"/>
      <c r="BXF32" s="1551"/>
      <c r="BXG32" s="1551"/>
      <c r="BXH32" s="1551"/>
      <c r="BXI32" s="1551"/>
      <c r="BXJ32" s="1551"/>
      <c r="BXK32" s="1551"/>
      <c r="BXL32" s="1551"/>
      <c r="BXM32" s="1551"/>
      <c r="BXN32" s="1551"/>
      <c r="BXO32" s="1551"/>
      <c r="BXP32" s="1551"/>
      <c r="BXQ32" s="1551"/>
      <c r="BXR32" s="1551"/>
      <c r="BXS32" s="1551"/>
      <c r="BXT32" s="1551"/>
      <c r="BXU32" s="1551"/>
      <c r="BXV32" s="1551"/>
      <c r="BXW32" s="1551"/>
      <c r="BXX32" s="1551"/>
      <c r="BXY32" s="1551"/>
      <c r="BXZ32" s="1551"/>
      <c r="BYA32" s="1551"/>
      <c r="BYB32" s="1551"/>
      <c r="BYC32" s="1551"/>
      <c r="BYD32" s="1551"/>
      <c r="BYE32" s="1551"/>
      <c r="BYF32" s="1551"/>
      <c r="BYG32" s="1551"/>
      <c r="BYH32" s="1551"/>
      <c r="BYI32" s="1551"/>
      <c r="BYJ32" s="1551"/>
      <c r="BYK32" s="1551"/>
      <c r="BYL32" s="1551"/>
      <c r="BYM32" s="1551"/>
      <c r="BYN32" s="1551"/>
      <c r="BYO32" s="1551"/>
      <c r="BYP32" s="1551"/>
      <c r="BYQ32" s="1551"/>
      <c r="BYR32" s="1551"/>
      <c r="BYS32" s="1551"/>
      <c r="BYT32" s="1551"/>
      <c r="BYU32" s="1551"/>
      <c r="BYV32" s="1551"/>
      <c r="BYW32" s="1551"/>
      <c r="BYX32" s="1551"/>
      <c r="BYY32" s="1551"/>
      <c r="BYZ32" s="1551"/>
      <c r="BZA32" s="1551"/>
      <c r="BZB32" s="1551"/>
      <c r="BZC32" s="1551"/>
      <c r="BZD32" s="1551"/>
      <c r="BZE32" s="1551"/>
      <c r="BZF32" s="1551"/>
      <c r="BZG32" s="1551"/>
      <c r="BZH32" s="1551"/>
      <c r="BZI32" s="1551"/>
      <c r="BZJ32" s="1551"/>
      <c r="BZK32" s="1551"/>
      <c r="BZL32" s="1551"/>
      <c r="BZM32" s="1551"/>
      <c r="BZN32" s="1551"/>
      <c r="BZO32" s="1551"/>
      <c r="BZP32" s="1551"/>
      <c r="BZQ32" s="1551"/>
      <c r="BZR32" s="1551"/>
      <c r="BZS32" s="1551"/>
      <c r="BZT32" s="1551"/>
      <c r="BZU32" s="1551"/>
      <c r="BZV32" s="1551"/>
      <c r="BZW32" s="1551"/>
      <c r="BZX32" s="1551"/>
      <c r="BZY32" s="1551"/>
      <c r="BZZ32" s="1551"/>
      <c r="CAA32" s="1551"/>
      <c r="CAB32" s="1551"/>
      <c r="CAC32" s="1551"/>
      <c r="CAD32" s="1551"/>
      <c r="CAE32" s="1551"/>
      <c r="CAF32" s="1551"/>
      <c r="CAG32" s="1551"/>
      <c r="CAH32" s="1551"/>
      <c r="CAI32" s="1551"/>
      <c r="CAJ32" s="1551"/>
      <c r="CAK32" s="1551"/>
      <c r="CAL32" s="1551"/>
      <c r="CAM32" s="1551"/>
      <c r="CAN32" s="1551"/>
      <c r="CAO32" s="1551"/>
      <c r="CAP32" s="1551"/>
      <c r="CAQ32" s="1551"/>
      <c r="CAR32" s="1551"/>
      <c r="CAS32" s="1551"/>
      <c r="CAT32" s="1551"/>
      <c r="CAU32" s="1551"/>
      <c r="CAV32" s="1551"/>
      <c r="CAW32" s="1551"/>
      <c r="CAX32" s="1551"/>
      <c r="CAY32" s="1551"/>
      <c r="CAZ32" s="1551"/>
      <c r="CBA32" s="1551"/>
      <c r="CBB32" s="1551"/>
      <c r="CBC32" s="1551"/>
      <c r="CBD32" s="1551"/>
      <c r="CBE32" s="1551"/>
      <c r="CBF32" s="1551"/>
      <c r="CBG32" s="1551"/>
      <c r="CBH32" s="1551"/>
      <c r="CBI32" s="1551"/>
      <c r="CBJ32" s="1551"/>
      <c r="CBK32" s="1551"/>
      <c r="CBL32" s="1551"/>
      <c r="CBM32" s="1551"/>
      <c r="CBN32" s="1551"/>
      <c r="CBO32" s="1551"/>
      <c r="CBP32" s="1551"/>
      <c r="CBQ32" s="1551"/>
      <c r="CBR32" s="1551"/>
      <c r="CBS32" s="1551"/>
      <c r="CBT32" s="1551"/>
      <c r="CBU32" s="1551"/>
      <c r="CBV32" s="1551"/>
      <c r="CBW32" s="1551"/>
      <c r="CBX32" s="1551"/>
      <c r="CBY32" s="1551"/>
      <c r="CBZ32" s="1551"/>
      <c r="CCA32" s="1551"/>
      <c r="CCB32" s="1551"/>
      <c r="CCC32" s="1551"/>
      <c r="CCD32" s="1551"/>
      <c r="CCE32" s="1551"/>
      <c r="CCF32" s="1551"/>
      <c r="CCG32" s="1551"/>
      <c r="CCH32" s="1551"/>
      <c r="CCI32" s="1551"/>
      <c r="CCJ32" s="1551"/>
      <c r="CCK32" s="1551"/>
      <c r="CCL32" s="1551"/>
      <c r="CCM32" s="1551"/>
      <c r="CCN32" s="1551"/>
      <c r="CCO32" s="1551"/>
      <c r="CCP32" s="1551"/>
      <c r="CCQ32" s="1551"/>
      <c r="CCR32" s="1551"/>
      <c r="CCS32" s="1551"/>
      <c r="CCT32" s="1551"/>
      <c r="CCU32" s="1551"/>
      <c r="CCV32" s="1551"/>
      <c r="CCW32" s="1551"/>
      <c r="CCX32" s="1551"/>
      <c r="CCY32" s="1551"/>
      <c r="CCZ32" s="1551"/>
      <c r="CDA32" s="1551"/>
      <c r="CDB32" s="1551"/>
      <c r="CDC32" s="1551"/>
      <c r="CDD32" s="1551"/>
      <c r="CDE32" s="1551"/>
      <c r="CDF32" s="1551"/>
      <c r="CDG32" s="1551"/>
      <c r="CDH32" s="1551"/>
      <c r="CDI32" s="1551"/>
      <c r="CDJ32" s="1551"/>
      <c r="CDK32" s="1551"/>
      <c r="CDL32" s="1551"/>
      <c r="CDM32" s="1551"/>
      <c r="CDN32" s="1551"/>
      <c r="CDO32" s="1551"/>
      <c r="CDP32" s="1551"/>
      <c r="CDQ32" s="1551"/>
      <c r="CDR32" s="1551"/>
      <c r="CDS32" s="1551"/>
      <c r="CDT32" s="1551"/>
      <c r="CDU32" s="1551"/>
      <c r="CDV32" s="1551"/>
      <c r="CDW32" s="1551"/>
      <c r="CDX32" s="1551"/>
      <c r="CDY32" s="1551"/>
      <c r="CDZ32" s="1551"/>
      <c r="CEA32" s="1551"/>
      <c r="CEB32" s="1551"/>
      <c r="CEC32" s="1551"/>
      <c r="CED32" s="1551"/>
      <c r="CEE32" s="1551"/>
      <c r="CEF32" s="1551"/>
      <c r="CEG32" s="1551"/>
      <c r="CEH32" s="1551"/>
      <c r="CEI32" s="1551"/>
      <c r="CEJ32" s="1551"/>
      <c r="CEK32" s="1551"/>
      <c r="CEL32" s="1551"/>
      <c r="CEM32" s="1551"/>
      <c r="CEN32" s="1551"/>
      <c r="CEO32" s="1551"/>
      <c r="CEP32" s="1551"/>
      <c r="CEQ32" s="1551"/>
      <c r="CER32" s="1551"/>
      <c r="CES32" s="1551"/>
      <c r="CET32" s="1551"/>
      <c r="CEU32" s="1551"/>
      <c r="CEV32" s="1551"/>
      <c r="CEW32" s="1551"/>
      <c r="CEX32" s="1551"/>
      <c r="CEY32" s="1551"/>
      <c r="CEZ32" s="1551"/>
      <c r="CFA32" s="1551"/>
      <c r="CFB32" s="1551"/>
      <c r="CFC32" s="1551"/>
      <c r="CFD32" s="1551"/>
      <c r="CFE32" s="1551"/>
      <c r="CFF32" s="1551"/>
      <c r="CFG32" s="1551"/>
      <c r="CFH32" s="1551"/>
      <c r="CFI32" s="1551"/>
      <c r="CFJ32" s="1551"/>
      <c r="CFK32" s="1551"/>
      <c r="CFL32" s="1551"/>
      <c r="CFM32" s="1551"/>
      <c r="CFN32" s="1551"/>
      <c r="CFO32" s="1551"/>
      <c r="CFP32" s="1551"/>
      <c r="CFQ32" s="1551"/>
      <c r="CFR32" s="1551"/>
      <c r="CFS32" s="1551"/>
      <c r="CFT32" s="1551"/>
      <c r="CFU32" s="1551"/>
      <c r="CFV32" s="1551"/>
      <c r="CFW32" s="1551"/>
      <c r="CFX32" s="1551"/>
      <c r="CFY32" s="1551"/>
      <c r="CFZ32" s="1551"/>
      <c r="CGA32" s="1551"/>
      <c r="CGB32" s="1551"/>
      <c r="CGC32" s="1551"/>
      <c r="CGD32" s="1551"/>
      <c r="CGE32" s="1551"/>
      <c r="CGF32" s="1551"/>
      <c r="CGG32" s="1551"/>
      <c r="CGH32" s="1551"/>
      <c r="CGI32" s="1551"/>
      <c r="CGJ32" s="1551"/>
      <c r="CGK32" s="1551"/>
      <c r="CGL32" s="1551"/>
      <c r="CGM32" s="1551"/>
      <c r="CGN32" s="1551"/>
      <c r="CGO32" s="1551"/>
      <c r="CGP32" s="1551"/>
      <c r="CGQ32" s="1551"/>
      <c r="CGR32" s="1551"/>
      <c r="CGS32" s="1551"/>
      <c r="CGT32" s="1551"/>
      <c r="CGU32" s="1551"/>
      <c r="CGV32" s="1551"/>
      <c r="CGW32" s="1551"/>
      <c r="CGX32" s="1551"/>
      <c r="CGY32" s="1551"/>
      <c r="CGZ32" s="1551"/>
      <c r="CHA32" s="1551"/>
      <c r="CHB32" s="1551"/>
      <c r="CHC32" s="1551"/>
      <c r="CHD32" s="1551"/>
      <c r="CHE32" s="1551"/>
      <c r="CHF32" s="1551"/>
      <c r="CHG32" s="1551"/>
      <c r="CHH32" s="1551"/>
      <c r="CHI32" s="1551"/>
      <c r="CHJ32" s="1551"/>
      <c r="CHK32" s="1551"/>
      <c r="CHL32" s="1551"/>
      <c r="CHM32" s="1551"/>
      <c r="CHN32" s="1551"/>
      <c r="CHO32" s="1551"/>
      <c r="CHP32" s="1551"/>
      <c r="CHQ32" s="1551"/>
      <c r="CHR32" s="1551"/>
      <c r="CHS32" s="1551"/>
      <c r="CHT32" s="1551"/>
      <c r="CHU32" s="1551"/>
      <c r="CHV32" s="1551"/>
      <c r="CHW32" s="1551"/>
      <c r="CHX32" s="1551"/>
      <c r="CHY32" s="1551"/>
      <c r="CHZ32" s="1551"/>
      <c r="CIA32" s="1551"/>
      <c r="CIB32" s="1551"/>
      <c r="CIC32" s="1551"/>
      <c r="CID32" s="1551"/>
      <c r="CIE32" s="1551"/>
      <c r="CIF32" s="1551"/>
      <c r="CIG32" s="1551"/>
      <c r="CIH32" s="1551"/>
      <c r="CII32" s="1551"/>
      <c r="CIJ32" s="1551"/>
      <c r="CIK32" s="1551"/>
      <c r="CIL32" s="1551"/>
      <c r="CIM32" s="1551"/>
      <c r="CIN32" s="1551"/>
      <c r="CIO32" s="1551"/>
      <c r="CIP32" s="1551"/>
      <c r="CIQ32" s="1551"/>
      <c r="CIR32" s="1551"/>
      <c r="CIS32" s="1551"/>
      <c r="CIT32" s="1551"/>
      <c r="CIU32" s="1551"/>
      <c r="CIV32" s="1551"/>
      <c r="CIW32" s="1551"/>
      <c r="CIX32" s="1551"/>
      <c r="CIY32" s="1551"/>
      <c r="CIZ32" s="1551"/>
      <c r="CJA32" s="1551"/>
      <c r="CJB32" s="1551"/>
      <c r="CJC32" s="1551"/>
      <c r="CJD32" s="1551"/>
      <c r="CJE32" s="1551"/>
      <c r="CJF32" s="1551"/>
      <c r="CJG32" s="1551"/>
      <c r="CJH32" s="1551"/>
      <c r="CJI32" s="1551"/>
      <c r="CJJ32" s="1551"/>
      <c r="CJK32" s="1551"/>
      <c r="CJL32" s="1551"/>
      <c r="CJM32" s="1551"/>
      <c r="CJN32" s="1551"/>
      <c r="CJO32" s="1551"/>
      <c r="CJP32" s="1551"/>
      <c r="CJQ32" s="1551"/>
      <c r="CJR32" s="1551"/>
      <c r="CJS32" s="1551"/>
      <c r="CJT32" s="1551"/>
      <c r="CJU32" s="1551"/>
      <c r="CJV32" s="1551"/>
      <c r="CJW32" s="1551"/>
      <c r="CJX32" s="1551"/>
      <c r="CJY32" s="1551"/>
      <c r="CJZ32" s="1551"/>
      <c r="CKA32" s="1551"/>
      <c r="CKB32" s="1551"/>
      <c r="CKC32" s="1551"/>
      <c r="CKD32" s="1551"/>
      <c r="CKE32" s="1551"/>
      <c r="CKF32" s="1551"/>
      <c r="CKG32" s="1551"/>
      <c r="CKH32" s="1551"/>
      <c r="CKI32" s="1551"/>
      <c r="CKJ32" s="1551"/>
      <c r="CKK32" s="1551"/>
      <c r="CKL32" s="1551"/>
      <c r="CKM32" s="1551"/>
      <c r="CKN32" s="1551"/>
      <c r="CKO32" s="1551"/>
      <c r="CKP32" s="1551"/>
      <c r="CKQ32" s="1551"/>
      <c r="CKR32" s="1551"/>
      <c r="CKS32" s="1551"/>
      <c r="CKT32" s="1551"/>
      <c r="CKU32" s="1551"/>
      <c r="CKV32" s="1551"/>
      <c r="CKW32" s="1551"/>
      <c r="CKX32" s="1551"/>
      <c r="CKY32" s="1551"/>
      <c r="CKZ32" s="1551"/>
      <c r="CLA32" s="1551"/>
      <c r="CLB32" s="1551"/>
      <c r="CLC32" s="1551"/>
      <c r="CLD32" s="1551"/>
      <c r="CLE32" s="1551"/>
      <c r="CLF32" s="1551"/>
      <c r="CLG32" s="1551"/>
      <c r="CLH32" s="1551"/>
      <c r="CLI32" s="1551"/>
      <c r="CLJ32" s="1551"/>
      <c r="CLK32" s="1551"/>
      <c r="CLL32" s="1551"/>
      <c r="CLM32" s="1551"/>
      <c r="CLN32" s="1551"/>
      <c r="CLO32" s="1551"/>
      <c r="CLP32" s="1551"/>
      <c r="CLQ32" s="1551"/>
      <c r="CLR32" s="1551"/>
      <c r="CLS32" s="1551"/>
      <c r="CLT32" s="1551"/>
      <c r="CLU32" s="1551"/>
      <c r="CLV32" s="1551"/>
      <c r="CLW32" s="1551"/>
      <c r="CLX32" s="1551"/>
      <c r="CLY32" s="1551"/>
      <c r="CLZ32" s="1551"/>
      <c r="CMA32" s="1551"/>
      <c r="CMB32" s="1551"/>
      <c r="CMC32" s="1551"/>
      <c r="CMD32" s="1551"/>
      <c r="CME32" s="1551"/>
      <c r="CMF32" s="1551"/>
      <c r="CMG32" s="1551"/>
      <c r="CMH32" s="1551"/>
      <c r="CMI32" s="1551"/>
      <c r="CMJ32" s="1551"/>
      <c r="CMK32" s="1551"/>
      <c r="CML32" s="1551"/>
      <c r="CMM32" s="1551"/>
      <c r="CMN32" s="1551"/>
      <c r="CMO32" s="1551"/>
      <c r="CMP32" s="1551"/>
      <c r="CMQ32" s="1551"/>
      <c r="CMR32" s="1551"/>
      <c r="CMS32" s="1551"/>
      <c r="CMT32" s="1551"/>
      <c r="CMU32" s="1551"/>
      <c r="CMV32" s="1551"/>
      <c r="CMW32" s="1551"/>
      <c r="CMX32" s="1551"/>
      <c r="CMY32" s="1551"/>
      <c r="CMZ32" s="1551"/>
      <c r="CNA32" s="1551"/>
      <c r="CNB32" s="1551"/>
      <c r="CNC32" s="1551"/>
      <c r="CND32" s="1551"/>
      <c r="CNE32" s="1551"/>
      <c r="CNF32" s="1551"/>
      <c r="CNG32" s="1551"/>
      <c r="CNH32" s="1551"/>
      <c r="CNI32" s="1551"/>
      <c r="CNJ32" s="1551"/>
      <c r="CNK32" s="1551"/>
      <c r="CNL32" s="1551"/>
      <c r="CNM32" s="1551"/>
      <c r="CNN32" s="1551"/>
      <c r="CNO32" s="1551"/>
      <c r="CNP32" s="1551"/>
      <c r="CNQ32" s="1551"/>
      <c r="CNR32" s="1551"/>
      <c r="CNS32" s="1551"/>
      <c r="CNT32" s="1551"/>
      <c r="CNU32" s="1551"/>
      <c r="CNV32" s="1551"/>
      <c r="CNW32" s="1551"/>
      <c r="CNX32" s="1551"/>
      <c r="CNY32" s="1551"/>
      <c r="CNZ32" s="1551"/>
      <c r="COA32" s="1551"/>
      <c r="COB32" s="1551"/>
      <c r="COC32" s="1551"/>
      <c r="COD32" s="1551"/>
      <c r="COE32" s="1551"/>
      <c r="COF32" s="1551"/>
      <c r="COG32" s="1551"/>
      <c r="COH32" s="1551"/>
      <c r="COI32" s="1551"/>
      <c r="COJ32" s="1551"/>
      <c r="COK32" s="1551"/>
      <c r="COL32" s="1551"/>
      <c r="COM32" s="1551"/>
      <c r="CON32" s="1551"/>
      <c r="COO32" s="1551"/>
      <c r="COP32" s="1551"/>
      <c r="COQ32" s="1551"/>
      <c r="COR32" s="1551"/>
      <c r="COS32" s="1551"/>
      <c r="COT32" s="1551"/>
      <c r="COU32" s="1551"/>
      <c r="COV32" s="1551"/>
      <c r="COW32" s="1551"/>
      <c r="COX32" s="1551"/>
      <c r="COY32" s="1551"/>
      <c r="COZ32" s="1551"/>
      <c r="CPA32" s="1551"/>
      <c r="CPB32" s="1551"/>
      <c r="CPC32" s="1551"/>
      <c r="CPD32" s="1551"/>
      <c r="CPE32" s="1551"/>
      <c r="CPF32" s="1551"/>
      <c r="CPG32" s="1551"/>
      <c r="CPH32" s="1551"/>
      <c r="CPI32" s="1551"/>
      <c r="CPJ32" s="1551"/>
      <c r="CPK32" s="1551"/>
      <c r="CPL32" s="1551"/>
      <c r="CPM32" s="1551"/>
      <c r="CPN32" s="1551"/>
      <c r="CPO32" s="1551"/>
      <c r="CPP32" s="1551"/>
      <c r="CPQ32" s="1551"/>
      <c r="CPR32" s="1551"/>
      <c r="CPS32" s="1551"/>
      <c r="CPT32" s="1551"/>
      <c r="CPU32" s="1551"/>
      <c r="CPV32" s="1551"/>
      <c r="CPW32" s="1551"/>
      <c r="CPX32" s="1551"/>
      <c r="CPY32" s="1551"/>
      <c r="CPZ32" s="1551"/>
      <c r="CQA32" s="1551"/>
      <c r="CQB32" s="1551"/>
      <c r="CQC32" s="1551"/>
      <c r="CQD32" s="1551"/>
      <c r="CQE32" s="1551"/>
      <c r="CQF32" s="1551"/>
      <c r="CQG32" s="1551"/>
      <c r="CQH32" s="1551"/>
      <c r="CQI32" s="1551"/>
      <c r="CQJ32" s="1551"/>
      <c r="CQK32" s="1551"/>
      <c r="CQL32" s="1551"/>
      <c r="CQM32" s="1551"/>
      <c r="CQN32" s="1551"/>
      <c r="CQO32" s="1551"/>
      <c r="CQP32" s="1551"/>
      <c r="CQQ32" s="1551"/>
      <c r="CQR32" s="1551"/>
      <c r="CQS32" s="1551"/>
      <c r="CQT32" s="1551"/>
      <c r="CQU32" s="1551"/>
      <c r="CQV32" s="1551"/>
      <c r="CQW32" s="1551"/>
      <c r="CQX32" s="1551"/>
      <c r="CQY32" s="1551"/>
      <c r="CQZ32" s="1551"/>
      <c r="CRA32" s="1551"/>
      <c r="CRB32" s="1551"/>
      <c r="CRC32" s="1551"/>
      <c r="CRD32" s="1551"/>
      <c r="CRE32" s="1551"/>
      <c r="CRF32" s="1551"/>
      <c r="CRG32" s="1551"/>
      <c r="CRH32" s="1551"/>
      <c r="CRI32" s="1551"/>
      <c r="CRJ32" s="1551"/>
      <c r="CRK32" s="1551"/>
      <c r="CRL32" s="1551"/>
      <c r="CRM32" s="1551"/>
      <c r="CRN32" s="1551"/>
      <c r="CRO32" s="1551"/>
      <c r="CRP32" s="1551"/>
      <c r="CRQ32" s="1551"/>
      <c r="CRR32" s="1551"/>
      <c r="CRS32" s="1551"/>
      <c r="CRT32" s="1551"/>
      <c r="CRU32" s="1551"/>
      <c r="CRV32" s="1551"/>
      <c r="CRW32" s="1551"/>
      <c r="CRX32" s="1551"/>
      <c r="CRY32" s="1551"/>
      <c r="CRZ32" s="1551"/>
      <c r="CSA32" s="1551"/>
      <c r="CSB32" s="1551"/>
      <c r="CSC32" s="1551"/>
      <c r="CSD32" s="1551"/>
      <c r="CSE32" s="1551"/>
      <c r="CSF32" s="1551"/>
      <c r="CSG32" s="1551"/>
      <c r="CSH32" s="1551"/>
      <c r="CSI32" s="1551"/>
      <c r="CSJ32" s="1551"/>
      <c r="CSK32" s="1551"/>
      <c r="CSL32" s="1551"/>
      <c r="CSM32" s="1551"/>
      <c r="CSN32" s="1551"/>
      <c r="CSO32" s="1551"/>
      <c r="CSP32" s="1551"/>
      <c r="CSQ32" s="1551"/>
      <c r="CSR32" s="1551"/>
      <c r="CSS32" s="1551"/>
      <c r="CST32" s="1551"/>
      <c r="CSU32" s="1551"/>
      <c r="CSV32" s="1551"/>
      <c r="CSW32" s="1551"/>
      <c r="CSX32" s="1551"/>
      <c r="CSY32" s="1551"/>
      <c r="CSZ32" s="1551"/>
      <c r="CTA32" s="1551"/>
      <c r="CTB32" s="1551"/>
      <c r="CTC32" s="1551"/>
      <c r="CTD32" s="1551"/>
      <c r="CTE32" s="1551"/>
      <c r="CTF32" s="1551"/>
      <c r="CTG32" s="1551"/>
      <c r="CTH32" s="1551"/>
      <c r="CTI32" s="1551"/>
      <c r="CTJ32" s="1551"/>
      <c r="CTK32" s="1551"/>
      <c r="CTL32" s="1551"/>
      <c r="CTM32" s="1551"/>
      <c r="CTN32" s="1551"/>
      <c r="CTO32" s="1551"/>
      <c r="CTP32" s="1551"/>
      <c r="CTQ32" s="1551"/>
      <c r="CTR32" s="1551"/>
      <c r="CTS32" s="1551"/>
      <c r="CTT32" s="1551"/>
      <c r="CTU32" s="1551"/>
      <c r="CTV32" s="1551"/>
      <c r="CTW32" s="1551"/>
      <c r="CTX32" s="1551"/>
      <c r="CTY32" s="1551"/>
      <c r="CTZ32" s="1551"/>
      <c r="CUA32" s="1551"/>
      <c r="CUB32" s="1551"/>
      <c r="CUC32" s="1551"/>
      <c r="CUD32" s="1551"/>
      <c r="CUE32" s="1551"/>
      <c r="CUF32" s="1551"/>
      <c r="CUG32" s="1551"/>
      <c r="CUH32" s="1551"/>
      <c r="CUI32" s="1551"/>
      <c r="CUJ32" s="1551"/>
      <c r="CUK32" s="1551"/>
      <c r="CUL32" s="1551"/>
      <c r="CUM32" s="1551"/>
      <c r="CUN32" s="1551"/>
      <c r="CUO32" s="1551"/>
      <c r="CUP32" s="1551"/>
      <c r="CUQ32" s="1551"/>
      <c r="CUR32" s="1551"/>
      <c r="CUS32" s="1551"/>
      <c r="CUT32" s="1551"/>
      <c r="CUU32" s="1551"/>
      <c r="CUV32" s="1551"/>
      <c r="CUW32" s="1551"/>
      <c r="CUX32" s="1551"/>
      <c r="CUY32" s="1551"/>
      <c r="CUZ32" s="1551"/>
      <c r="CVA32" s="1551"/>
      <c r="CVB32" s="1551"/>
      <c r="CVC32" s="1551"/>
      <c r="CVD32" s="1551"/>
      <c r="CVE32" s="1551"/>
      <c r="CVF32" s="1551"/>
      <c r="CVG32" s="1551"/>
      <c r="CVH32" s="1551"/>
      <c r="CVI32" s="1551"/>
      <c r="CVJ32" s="1551"/>
      <c r="CVK32" s="1551"/>
      <c r="CVL32" s="1551"/>
      <c r="CVM32" s="1551"/>
      <c r="CVN32" s="1551"/>
      <c r="CVO32" s="1551"/>
      <c r="CVP32" s="1551"/>
      <c r="CVQ32" s="1551"/>
      <c r="CVR32" s="1551"/>
      <c r="CVS32" s="1551"/>
      <c r="CVT32" s="1551"/>
      <c r="CVU32" s="1551"/>
      <c r="CVV32" s="1551"/>
      <c r="CVW32" s="1551"/>
      <c r="CVX32" s="1551"/>
      <c r="CVY32" s="1551"/>
      <c r="CVZ32" s="1551"/>
      <c r="CWA32" s="1551"/>
      <c r="CWB32" s="1551"/>
      <c r="CWC32" s="1551"/>
      <c r="CWD32" s="1551"/>
      <c r="CWE32" s="1551"/>
      <c r="CWF32" s="1551"/>
      <c r="CWG32" s="1551"/>
      <c r="CWH32" s="1551"/>
      <c r="CWI32" s="1551"/>
      <c r="CWJ32" s="1551"/>
      <c r="CWK32" s="1551"/>
      <c r="CWL32" s="1551"/>
      <c r="CWM32" s="1551"/>
      <c r="CWN32" s="1551"/>
      <c r="CWO32" s="1551"/>
      <c r="CWP32" s="1551"/>
      <c r="CWQ32" s="1551"/>
      <c r="CWR32" s="1551"/>
      <c r="CWS32" s="1551"/>
      <c r="CWT32" s="1551"/>
      <c r="CWU32" s="1551"/>
      <c r="CWV32" s="1551"/>
      <c r="CWW32" s="1551"/>
      <c r="CWX32" s="1551"/>
      <c r="CWY32" s="1551"/>
      <c r="CWZ32" s="1551"/>
      <c r="CXA32" s="1551"/>
      <c r="CXB32" s="1551"/>
      <c r="CXC32" s="1551"/>
      <c r="CXD32" s="1551"/>
      <c r="CXE32" s="1551"/>
      <c r="CXF32" s="1551"/>
      <c r="CXG32" s="1551"/>
      <c r="CXH32" s="1551"/>
      <c r="CXI32" s="1551"/>
      <c r="CXJ32" s="1551"/>
      <c r="CXK32" s="1551"/>
      <c r="CXL32" s="1551"/>
      <c r="CXM32" s="1551"/>
      <c r="CXN32" s="1551"/>
      <c r="CXO32" s="1551"/>
      <c r="CXP32" s="1551"/>
      <c r="CXQ32" s="1551"/>
      <c r="CXR32" s="1551"/>
      <c r="CXS32" s="1551"/>
      <c r="CXT32" s="1551"/>
      <c r="CXU32" s="1551"/>
      <c r="CXV32" s="1551"/>
      <c r="CXW32" s="1551"/>
      <c r="CXX32" s="1551"/>
      <c r="CXY32" s="1551"/>
      <c r="CXZ32" s="1551"/>
      <c r="CYA32" s="1551"/>
      <c r="CYB32" s="1551"/>
      <c r="CYC32" s="1551"/>
      <c r="CYD32" s="1551"/>
      <c r="CYE32" s="1551"/>
      <c r="CYF32" s="1551"/>
      <c r="CYG32" s="1551"/>
      <c r="CYH32" s="1551"/>
      <c r="CYI32" s="1551"/>
      <c r="CYJ32" s="1551"/>
      <c r="CYK32" s="1551"/>
      <c r="CYL32" s="1551"/>
      <c r="CYM32" s="1551"/>
      <c r="CYN32" s="1551"/>
      <c r="CYO32" s="1551"/>
      <c r="CYP32" s="1551"/>
      <c r="CYQ32" s="1551"/>
      <c r="CYR32" s="1551"/>
      <c r="CYS32" s="1551"/>
      <c r="CYT32" s="1551"/>
      <c r="CYU32" s="1551"/>
      <c r="CYV32" s="1551"/>
      <c r="CYW32" s="1551"/>
      <c r="CYX32" s="1551"/>
      <c r="CYY32" s="1551"/>
      <c r="CYZ32" s="1551"/>
      <c r="CZA32" s="1551"/>
      <c r="CZB32" s="1551"/>
      <c r="CZC32" s="1551"/>
      <c r="CZD32" s="1551"/>
      <c r="CZE32" s="1551"/>
      <c r="CZF32" s="1551"/>
      <c r="CZG32" s="1551"/>
      <c r="CZH32" s="1551"/>
      <c r="CZI32" s="1551"/>
      <c r="CZJ32" s="1551"/>
      <c r="CZK32" s="1551"/>
      <c r="CZL32" s="1551"/>
      <c r="CZM32" s="1551"/>
      <c r="CZN32" s="1551"/>
      <c r="CZO32" s="1551"/>
      <c r="CZP32" s="1551"/>
      <c r="CZQ32" s="1551"/>
      <c r="CZR32" s="1551"/>
      <c r="CZS32" s="1551"/>
      <c r="CZT32" s="1551"/>
      <c r="CZU32" s="1551"/>
      <c r="CZV32" s="1551"/>
      <c r="CZW32" s="1551"/>
      <c r="CZX32" s="1551"/>
      <c r="CZY32" s="1551"/>
      <c r="CZZ32" s="1551"/>
      <c r="DAA32" s="1551"/>
      <c r="DAB32" s="1551"/>
      <c r="DAC32" s="1551"/>
      <c r="DAD32" s="1551"/>
      <c r="DAE32" s="1551"/>
      <c r="DAF32" s="1551"/>
      <c r="DAG32" s="1551"/>
      <c r="DAH32" s="1551"/>
      <c r="DAI32" s="1551"/>
      <c r="DAJ32" s="1551"/>
      <c r="DAK32" s="1551"/>
      <c r="DAL32" s="1551"/>
      <c r="DAM32" s="1551"/>
      <c r="DAN32" s="1551"/>
      <c r="DAO32" s="1551"/>
      <c r="DAP32" s="1551"/>
      <c r="DAQ32" s="1551"/>
      <c r="DAR32" s="1551"/>
      <c r="DAS32" s="1551"/>
      <c r="DAT32" s="1551"/>
      <c r="DAU32" s="1551"/>
      <c r="DAV32" s="1551"/>
      <c r="DAW32" s="1551"/>
      <c r="DAX32" s="1551"/>
      <c r="DAY32" s="1551"/>
      <c r="DAZ32" s="1551"/>
      <c r="DBA32" s="1551"/>
      <c r="DBB32" s="1551"/>
      <c r="DBC32" s="1551"/>
      <c r="DBD32" s="1551"/>
      <c r="DBE32" s="1551"/>
      <c r="DBF32" s="1551"/>
      <c r="DBG32" s="1551"/>
      <c r="DBH32" s="1551"/>
      <c r="DBI32" s="1551"/>
      <c r="DBJ32" s="1551"/>
      <c r="DBK32" s="1551"/>
      <c r="DBL32" s="1551"/>
      <c r="DBM32" s="1551"/>
      <c r="DBN32" s="1551"/>
      <c r="DBO32" s="1551"/>
      <c r="DBP32" s="1551"/>
      <c r="DBQ32" s="1551"/>
      <c r="DBR32" s="1551"/>
      <c r="DBS32" s="1551"/>
      <c r="DBT32" s="1551"/>
      <c r="DBU32" s="1551"/>
      <c r="DBV32" s="1551"/>
      <c r="DBW32" s="1551"/>
      <c r="DBX32" s="1551"/>
      <c r="DBY32" s="1551"/>
      <c r="DBZ32" s="1551"/>
      <c r="DCA32" s="1551"/>
      <c r="DCB32" s="1551"/>
      <c r="DCC32" s="1551"/>
      <c r="DCD32" s="1551"/>
      <c r="DCE32" s="1551"/>
      <c r="DCF32" s="1551"/>
      <c r="DCG32" s="1551"/>
      <c r="DCH32" s="1551"/>
      <c r="DCI32" s="1551"/>
      <c r="DCJ32" s="1551"/>
      <c r="DCK32" s="1551"/>
      <c r="DCL32" s="1551"/>
      <c r="DCM32" s="1551"/>
      <c r="DCN32" s="1551"/>
      <c r="DCO32" s="1551"/>
      <c r="DCP32" s="1551"/>
      <c r="DCQ32" s="1551"/>
      <c r="DCR32" s="1551"/>
      <c r="DCS32" s="1551"/>
      <c r="DCT32" s="1551"/>
      <c r="DCU32" s="1551"/>
      <c r="DCV32" s="1551"/>
      <c r="DCW32" s="1551"/>
      <c r="DCX32" s="1551"/>
      <c r="DCY32" s="1551"/>
      <c r="DCZ32" s="1551"/>
      <c r="DDA32" s="1551"/>
      <c r="DDB32" s="1551"/>
      <c r="DDC32" s="1551"/>
      <c r="DDD32" s="1551"/>
      <c r="DDE32" s="1551"/>
      <c r="DDF32" s="1551"/>
      <c r="DDG32" s="1551"/>
      <c r="DDH32" s="1551"/>
      <c r="DDI32" s="1551"/>
      <c r="DDJ32" s="1551"/>
      <c r="DDK32" s="1551"/>
      <c r="DDL32" s="1551"/>
      <c r="DDM32" s="1551"/>
      <c r="DDN32" s="1551"/>
      <c r="DDO32" s="1551"/>
      <c r="DDP32" s="1551"/>
      <c r="DDQ32" s="1551"/>
      <c r="DDR32" s="1551"/>
      <c r="DDS32" s="1551"/>
      <c r="DDT32" s="1551"/>
      <c r="DDU32" s="1551"/>
      <c r="DDV32" s="1551"/>
      <c r="DDW32" s="1551"/>
      <c r="DDX32" s="1551"/>
      <c r="DDY32" s="1551"/>
      <c r="DDZ32" s="1551"/>
      <c r="DEA32" s="1551"/>
      <c r="DEB32" s="1551"/>
      <c r="DEC32" s="1551"/>
      <c r="DED32" s="1551"/>
      <c r="DEE32" s="1551"/>
      <c r="DEF32" s="1551"/>
      <c r="DEG32" s="1551"/>
      <c r="DEH32" s="1551"/>
      <c r="DEI32" s="1551"/>
      <c r="DEJ32" s="1551"/>
      <c r="DEK32" s="1551"/>
      <c r="DEL32" s="1551"/>
      <c r="DEM32" s="1551"/>
      <c r="DEN32" s="1551"/>
      <c r="DEO32" s="1551"/>
      <c r="DEP32" s="1551"/>
      <c r="DEQ32" s="1551"/>
      <c r="DER32" s="1551"/>
      <c r="DES32" s="1551"/>
      <c r="DET32" s="1551"/>
      <c r="DEU32" s="1551"/>
      <c r="DEV32" s="1551"/>
      <c r="DEW32" s="1551"/>
      <c r="DEX32" s="1551"/>
      <c r="DEY32" s="1551"/>
      <c r="DEZ32" s="1551"/>
      <c r="DFA32" s="1551"/>
      <c r="DFB32" s="1551"/>
      <c r="DFC32" s="1551"/>
      <c r="DFD32" s="1551"/>
      <c r="DFE32" s="1551"/>
      <c r="DFF32" s="1551"/>
      <c r="DFG32" s="1551"/>
      <c r="DFH32" s="1551"/>
      <c r="DFI32" s="1551"/>
      <c r="DFJ32" s="1551"/>
      <c r="DFK32" s="1551"/>
      <c r="DFL32" s="1551"/>
      <c r="DFM32" s="1551"/>
      <c r="DFN32" s="1551"/>
      <c r="DFO32" s="1551"/>
      <c r="DFP32" s="1551"/>
      <c r="DFQ32" s="1551"/>
      <c r="DFR32" s="1551"/>
      <c r="DFS32" s="1551"/>
      <c r="DFT32" s="1551"/>
      <c r="DFU32" s="1551"/>
      <c r="DFV32" s="1551"/>
      <c r="DFW32" s="1551"/>
      <c r="DFX32" s="1551"/>
      <c r="DFY32" s="1551"/>
      <c r="DFZ32" s="1551"/>
      <c r="DGA32" s="1551"/>
      <c r="DGB32" s="1551"/>
      <c r="DGC32" s="1551"/>
      <c r="DGD32" s="1551"/>
      <c r="DGE32" s="1551"/>
      <c r="DGF32" s="1551"/>
      <c r="DGG32" s="1551"/>
      <c r="DGH32" s="1551"/>
      <c r="DGI32" s="1551"/>
      <c r="DGJ32" s="1551"/>
      <c r="DGK32" s="1551"/>
      <c r="DGL32" s="1551"/>
      <c r="DGM32" s="1551"/>
      <c r="DGN32" s="1551"/>
      <c r="DGO32" s="1551"/>
      <c r="DGP32" s="1551"/>
      <c r="DGQ32" s="1551"/>
      <c r="DGR32" s="1551"/>
      <c r="DGS32" s="1551"/>
      <c r="DGT32" s="1551"/>
      <c r="DGU32" s="1551"/>
      <c r="DGV32" s="1551"/>
      <c r="DGW32" s="1551"/>
      <c r="DGX32" s="1551"/>
      <c r="DGY32" s="1551"/>
      <c r="DGZ32" s="1551"/>
      <c r="DHA32" s="1551"/>
      <c r="DHB32" s="1551"/>
      <c r="DHC32" s="1551"/>
      <c r="DHD32" s="1551"/>
      <c r="DHE32" s="1551"/>
      <c r="DHF32" s="1551"/>
      <c r="DHG32" s="1551"/>
      <c r="DHH32" s="1551"/>
      <c r="DHI32" s="1551"/>
      <c r="DHJ32" s="1551"/>
      <c r="DHK32" s="1551"/>
      <c r="DHL32" s="1551"/>
      <c r="DHM32" s="1551"/>
      <c r="DHN32" s="1551"/>
      <c r="DHO32" s="1551"/>
      <c r="DHP32" s="1551"/>
      <c r="DHQ32" s="1551"/>
      <c r="DHR32" s="1551"/>
      <c r="DHS32" s="1551"/>
      <c r="DHT32" s="1551"/>
      <c r="DHU32" s="1551"/>
      <c r="DHV32" s="1551"/>
      <c r="DHW32" s="1551"/>
      <c r="DHX32" s="1551"/>
      <c r="DHY32" s="1551"/>
      <c r="DHZ32" s="1551"/>
      <c r="DIA32" s="1551"/>
      <c r="DIB32" s="1551"/>
      <c r="DIC32" s="1551"/>
      <c r="DID32" s="1551"/>
      <c r="DIE32" s="1551"/>
      <c r="DIF32" s="1551"/>
      <c r="DIG32" s="1551"/>
      <c r="DIH32" s="1551"/>
      <c r="DII32" s="1551"/>
      <c r="DIJ32" s="1551"/>
      <c r="DIK32" s="1551"/>
      <c r="DIL32" s="1551"/>
      <c r="DIM32" s="1551"/>
      <c r="DIN32" s="1551"/>
      <c r="DIO32" s="1551"/>
      <c r="DIP32" s="1551"/>
      <c r="DIQ32" s="1551"/>
      <c r="DIR32" s="1551"/>
      <c r="DIS32" s="1551"/>
      <c r="DIT32" s="1551"/>
      <c r="DIU32" s="1551"/>
      <c r="DIV32" s="1551"/>
      <c r="DIW32" s="1551"/>
      <c r="DIX32" s="1551"/>
      <c r="DIY32" s="1551"/>
      <c r="DIZ32" s="1551"/>
      <c r="DJA32" s="1551"/>
      <c r="DJB32" s="1551"/>
      <c r="DJC32" s="1551"/>
      <c r="DJD32" s="1551"/>
      <c r="DJE32" s="1551"/>
      <c r="DJF32" s="1551"/>
      <c r="DJG32" s="1551"/>
      <c r="DJH32" s="1551"/>
      <c r="DJI32" s="1551"/>
      <c r="DJJ32" s="1551"/>
      <c r="DJK32" s="1551"/>
      <c r="DJL32" s="1551"/>
      <c r="DJM32" s="1551"/>
      <c r="DJN32" s="1551"/>
      <c r="DJO32" s="1551"/>
      <c r="DJP32" s="1551"/>
      <c r="DJQ32" s="1551"/>
      <c r="DJR32" s="1551"/>
      <c r="DJS32" s="1551"/>
      <c r="DJT32" s="1551"/>
      <c r="DJU32" s="1551"/>
      <c r="DJV32" s="1551"/>
      <c r="DJW32" s="1551"/>
      <c r="DJX32" s="1551"/>
      <c r="DJY32" s="1551"/>
      <c r="DJZ32" s="1551"/>
      <c r="DKA32" s="1551"/>
      <c r="DKB32" s="1551"/>
      <c r="DKC32" s="1551"/>
      <c r="DKD32" s="1551"/>
      <c r="DKE32" s="1551"/>
      <c r="DKF32" s="1551"/>
      <c r="DKG32" s="1551"/>
      <c r="DKH32" s="1551"/>
      <c r="DKI32" s="1551"/>
      <c r="DKJ32" s="1551"/>
      <c r="DKK32" s="1551"/>
      <c r="DKL32" s="1551"/>
      <c r="DKM32" s="1551"/>
      <c r="DKN32" s="1551"/>
      <c r="DKO32" s="1551"/>
      <c r="DKP32" s="1551"/>
      <c r="DKQ32" s="1551"/>
      <c r="DKR32" s="1551"/>
      <c r="DKS32" s="1551"/>
      <c r="DKT32" s="1551"/>
      <c r="DKU32" s="1551"/>
      <c r="DKV32" s="1551"/>
      <c r="DKW32" s="1551"/>
      <c r="DKX32" s="1551"/>
      <c r="DKY32" s="1551"/>
      <c r="DKZ32" s="1551"/>
      <c r="DLA32" s="1551"/>
      <c r="DLB32" s="1551"/>
      <c r="DLC32" s="1551"/>
      <c r="DLD32" s="1551"/>
      <c r="DLE32" s="1551"/>
      <c r="DLF32" s="1551"/>
      <c r="DLG32" s="1551"/>
      <c r="DLH32" s="1551"/>
      <c r="DLI32" s="1551"/>
      <c r="DLJ32" s="1551"/>
      <c r="DLK32" s="1551"/>
      <c r="DLL32" s="1551"/>
      <c r="DLM32" s="1551"/>
      <c r="DLN32" s="1551"/>
      <c r="DLO32" s="1551"/>
      <c r="DLP32" s="1551"/>
      <c r="DLQ32" s="1551"/>
      <c r="DLR32" s="1551"/>
      <c r="DLS32" s="1551"/>
      <c r="DLT32" s="1551"/>
      <c r="DLU32" s="1551"/>
      <c r="DLV32" s="1551"/>
      <c r="DLW32" s="1551"/>
      <c r="DLX32" s="1551"/>
      <c r="DLY32" s="1551"/>
      <c r="DLZ32" s="1551"/>
      <c r="DMA32" s="1551"/>
      <c r="DMB32" s="1551"/>
      <c r="DMC32" s="1551"/>
      <c r="DMD32" s="1551"/>
      <c r="DME32" s="1551"/>
      <c r="DMF32" s="1551"/>
      <c r="DMG32" s="1551"/>
      <c r="DMH32" s="1551"/>
      <c r="DMI32" s="1551"/>
      <c r="DMJ32" s="1551"/>
      <c r="DMK32" s="1551"/>
      <c r="DML32" s="1551"/>
      <c r="DMM32" s="1551"/>
      <c r="DMN32" s="1551"/>
      <c r="DMO32" s="1551"/>
      <c r="DMP32" s="1551"/>
      <c r="DMQ32" s="1551"/>
      <c r="DMR32" s="1551"/>
      <c r="DMS32" s="1551"/>
      <c r="DMT32" s="1551"/>
      <c r="DMU32" s="1551"/>
      <c r="DMV32" s="1551"/>
      <c r="DMW32" s="1551"/>
      <c r="DMX32" s="1551"/>
      <c r="DMY32" s="1551"/>
      <c r="DMZ32" s="1551"/>
      <c r="DNA32" s="1551"/>
      <c r="DNB32" s="1551"/>
      <c r="DNC32" s="1551"/>
      <c r="DND32" s="1551"/>
      <c r="DNE32" s="1551"/>
      <c r="DNF32" s="1551"/>
      <c r="DNG32" s="1551"/>
      <c r="DNH32" s="1551"/>
      <c r="DNI32" s="1551"/>
      <c r="DNJ32" s="1551"/>
      <c r="DNK32" s="1551"/>
      <c r="DNL32" s="1551"/>
      <c r="DNM32" s="1551"/>
      <c r="DNN32" s="1551"/>
      <c r="DNO32" s="1551"/>
      <c r="DNP32" s="1551"/>
      <c r="DNQ32" s="1551"/>
      <c r="DNR32" s="1551"/>
      <c r="DNS32" s="1551"/>
      <c r="DNT32" s="1551"/>
      <c r="DNU32" s="1551"/>
      <c r="DNV32" s="1551"/>
      <c r="DNW32" s="1551"/>
      <c r="DNX32" s="1551"/>
      <c r="DNY32" s="1551"/>
      <c r="DNZ32" s="1551"/>
      <c r="DOA32" s="1551"/>
      <c r="DOB32" s="1551"/>
      <c r="DOC32" s="1551"/>
      <c r="DOD32" s="1551"/>
      <c r="DOE32" s="1551"/>
      <c r="DOF32" s="1551"/>
      <c r="DOG32" s="1551"/>
      <c r="DOH32" s="1551"/>
      <c r="DOI32" s="1551"/>
      <c r="DOJ32" s="1551"/>
      <c r="DOK32" s="1551"/>
      <c r="DOL32" s="1551"/>
      <c r="DOM32" s="1551"/>
      <c r="DON32" s="1551"/>
      <c r="DOO32" s="1551"/>
      <c r="DOP32" s="1551"/>
      <c r="DOQ32" s="1551"/>
      <c r="DOR32" s="1551"/>
      <c r="DOS32" s="1551"/>
      <c r="DOT32" s="1551"/>
      <c r="DOU32" s="1551"/>
      <c r="DOV32" s="1551"/>
      <c r="DOW32" s="1551"/>
      <c r="DOX32" s="1551"/>
      <c r="DOY32" s="1551"/>
      <c r="DOZ32" s="1551"/>
      <c r="DPA32" s="1551"/>
      <c r="DPB32" s="1551"/>
      <c r="DPC32" s="1551"/>
      <c r="DPD32" s="1551"/>
      <c r="DPE32" s="1551"/>
      <c r="DPF32" s="1551"/>
      <c r="DPG32" s="1551"/>
      <c r="DPH32" s="1551"/>
      <c r="DPI32" s="1551"/>
      <c r="DPJ32" s="1551"/>
      <c r="DPK32" s="1551"/>
      <c r="DPL32" s="1551"/>
      <c r="DPM32" s="1551"/>
      <c r="DPN32" s="1551"/>
      <c r="DPO32" s="1551"/>
      <c r="DPP32" s="1551"/>
      <c r="DPQ32" s="1551"/>
      <c r="DPR32" s="1551"/>
      <c r="DPS32" s="1551"/>
      <c r="DPT32" s="1551"/>
      <c r="DPU32" s="1551"/>
      <c r="DPV32" s="1551"/>
      <c r="DPW32" s="1551"/>
      <c r="DPX32" s="1551"/>
      <c r="DPY32" s="1551"/>
      <c r="DPZ32" s="1551"/>
      <c r="DQA32" s="1551"/>
      <c r="DQB32" s="1551"/>
      <c r="DQC32" s="1551"/>
      <c r="DQD32" s="1551"/>
      <c r="DQE32" s="1551"/>
      <c r="DQF32" s="1551"/>
      <c r="DQG32" s="1551"/>
      <c r="DQH32" s="1551"/>
      <c r="DQI32" s="1551"/>
      <c r="DQJ32" s="1551"/>
      <c r="DQK32" s="1551"/>
      <c r="DQL32" s="1551"/>
      <c r="DQM32" s="1551"/>
      <c r="DQN32" s="1551"/>
      <c r="DQO32" s="1551"/>
      <c r="DQP32" s="1551"/>
      <c r="DQQ32" s="1551"/>
      <c r="DQR32" s="1551"/>
      <c r="DQS32" s="1551"/>
      <c r="DQT32" s="1551"/>
      <c r="DQU32" s="1551"/>
      <c r="DQV32" s="1551"/>
      <c r="DQW32" s="1551"/>
      <c r="DQX32" s="1551"/>
      <c r="DQY32" s="1551"/>
      <c r="DQZ32" s="1551"/>
      <c r="DRA32" s="1551"/>
      <c r="DRB32" s="1551"/>
      <c r="DRC32" s="1551"/>
      <c r="DRD32" s="1551"/>
      <c r="DRE32" s="1551"/>
      <c r="DRF32" s="1551"/>
      <c r="DRG32" s="1551"/>
      <c r="DRH32" s="1551"/>
      <c r="DRI32" s="1551"/>
      <c r="DRJ32" s="1551"/>
      <c r="DRK32" s="1551"/>
      <c r="DRL32" s="1551"/>
      <c r="DRM32" s="1551"/>
      <c r="DRN32" s="1551"/>
      <c r="DRO32" s="1551"/>
      <c r="DRP32" s="1551"/>
      <c r="DRQ32" s="1551"/>
      <c r="DRR32" s="1551"/>
      <c r="DRS32" s="1551"/>
      <c r="DRT32" s="1551"/>
      <c r="DRU32" s="1551"/>
      <c r="DRV32" s="1551"/>
      <c r="DRW32" s="1551"/>
      <c r="DRX32" s="1551"/>
      <c r="DRY32" s="1551"/>
      <c r="DRZ32" s="1551"/>
      <c r="DSA32" s="1551"/>
      <c r="DSB32" s="1551"/>
      <c r="DSC32" s="1551"/>
      <c r="DSD32" s="1551"/>
      <c r="DSE32" s="1551"/>
      <c r="DSF32" s="1551"/>
      <c r="DSG32" s="1551"/>
      <c r="DSH32" s="1551"/>
      <c r="DSI32" s="1551"/>
      <c r="DSJ32" s="1551"/>
      <c r="DSK32" s="1551"/>
      <c r="DSL32" s="1551"/>
      <c r="DSM32" s="1551"/>
      <c r="DSN32" s="1551"/>
      <c r="DSO32" s="1551"/>
      <c r="DSP32" s="1551"/>
      <c r="DSQ32" s="1551"/>
      <c r="DSR32" s="1551"/>
      <c r="DSS32" s="1551"/>
      <c r="DST32" s="1551"/>
      <c r="DSU32" s="1551"/>
      <c r="DSV32" s="1551"/>
      <c r="DSW32" s="1551"/>
      <c r="DSX32" s="1551"/>
      <c r="DSY32" s="1551"/>
      <c r="DSZ32" s="1551"/>
      <c r="DTA32" s="1551"/>
      <c r="DTB32" s="1551"/>
      <c r="DTC32" s="1551"/>
      <c r="DTD32" s="1551"/>
      <c r="DTE32" s="1551"/>
      <c r="DTF32" s="1551"/>
      <c r="DTG32" s="1551"/>
      <c r="DTH32" s="1551"/>
      <c r="DTI32" s="1551"/>
      <c r="DTJ32" s="1551"/>
      <c r="DTK32" s="1551"/>
      <c r="DTL32" s="1551"/>
      <c r="DTM32" s="1551"/>
      <c r="DTN32" s="1551"/>
      <c r="DTO32" s="1551"/>
      <c r="DTP32" s="1551"/>
      <c r="DTQ32" s="1551"/>
      <c r="DTR32" s="1551"/>
      <c r="DTS32" s="1551"/>
      <c r="DTT32" s="1551"/>
      <c r="DTU32" s="1551"/>
      <c r="DTV32" s="1551"/>
      <c r="DTW32" s="1551"/>
      <c r="DTX32" s="1551"/>
      <c r="DTY32" s="1551"/>
      <c r="DTZ32" s="1551"/>
      <c r="DUA32" s="1551"/>
      <c r="DUB32" s="1551"/>
      <c r="DUC32" s="1551"/>
      <c r="DUD32" s="1551"/>
      <c r="DUE32" s="1551"/>
      <c r="DUF32" s="1551"/>
      <c r="DUG32" s="1551"/>
      <c r="DUH32" s="1551"/>
      <c r="DUI32" s="1551"/>
      <c r="DUJ32" s="1551"/>
      <c r="DUK32" s="1551"/>
      <c r="DUL32" s="1551"/>
      <c r="DUM32" s="1551"/>
      <c r="DUN32" s="1551"/>
      <c r="DUO32" s="1551"/>
      <c r="DUP32" s="1551"/>
      <c r="DUQ32" s="1551"/>
      <c r="DUR32" s="1551"/>
      <c r="DUS32" s="1551"/>
      <c r="DUT32" s="1551"/>
      <c r="DUU32" s="1551"/>
      <c r="DUV32" s="1551"/>
      <c r="DUW32" s="1551"/>
      <c r="DUX32" s="1551"/>
      <c r="DUY32" s="1551"/>
      <c r="DUZ32" s="1551"/>
      <c r="DVA32" s="1551"/>
      <c r="DVB32" s="1551"/>
      <c r="DVC32" s="1551"/>
      <c r="DVD32" s="1551"/>
      <c r="DVE32" s="1551"/>
      <c r="DVF32" s="1551"/>
      <c r="DVG32" s="1551"/>
      <c r="DVH32" s="1551"/>
      <c r="DVI32" s="1551"/>
      <c r="DVJ32" s="1551"/>
      <c r="DVK32" s="1551"/>
      <c r="DVL32" s="1551"/>
      <c r="DVM32" s="1551"/>
      <c r="DVN32" s="1551"/>
      <c r="DVO32" s="1551"/>
      <c r="DVP32" s="1551"/>
      <c r="DVQ32" s="1551"/>
      <c r="DVR32" s="1551"/>
      <c r="DVS32" s="1551"/>
      <c r="DVT32" s="1551"/>
      <c r="DVU32" s="1551"/>
      <c r="DVV32" s="1551"/>
      <c r="DVW32" s="1551"/>
      <c r="DVX32" s="1551"/>
      <c r="DVY32" s="1551"/>
      <c r="DVZ32" s="1551"/>
      <c r="DWA32" s="1551"/>
      <c r="DWB32" s="1551"/>
      <c r="DWC32" s="1551"/>
      <c r="DWD32" s="1551"/>
      <c r="DWE32" s="1551"/>
      <c r="DWF32" s="1551"/>
      <c r="DWG32" s="1551"/>
      <c r="DWH32" s="1551"/>
      <c r="DWI32" s="1551"/>
      <c r="DWJ32" s="1551"/>
      <c r="DWK32" s="1551"/>
      <c r="DWL32" s="1551"/>
      <c r="DWM32" s="1551"/>
      <c r="DWN32" s="1551"/>
      <c r="DWO32" s="1551"/>
      <c r="DWP32" s="1551"/>
      <c r="DWQ32" s="1551"/>
      <c r="DWR32" s="1551"/>
      <c r="DWS32" s="1551"/>
      <c r="DWT32" s="1551"/>
      <c r="DWU32" s="1551"/>
      <c r="DWV32" s="1551"/>
      <c r="DWW32" s="1551"/>
      <c r="DWX32" s="1551"/>
      <c r="DWY32" s="1551"/>
      <c r="DWZ32" s="1551"/>
      <c r="DXA32" s="1551"/>
      <c r="DXB32" s="1551"/>
      <c r="DXC32" s="1551"/>
      <c r="DXD32" s="1551"/>
      <c r="DXE32" s="1551"/>
      <c r="DXF32" s="1551"/>
      <c r="DXG32" s="1551"/>
      <c r="DXH32" s="1551"/>
      <c r="DXI32" s="1551"/>
      <c r="DXJ32" s="1551"/>
      <c r="DXK32" s="1551"/>
      <c r="DXL32" s="1551"/>
      <c r="DXM32" s="1551"/>
      <c r="DXN32" s="1551"/>
      <c r="DXO32" s="1551"/>
      <c r="DXP32" s="1551"/>
      <c r="DXQ32" s="1551"/>
      <c r="DXR32" s="1551"/>
      <c r="DXS32" s="1551"/>
      <c r="DXT32" s="1551"/>
      <c r="DXU32" s="1551"/>
      <c r="DXV32" s="1551"/>
      <c r="DXW32" s="1551"/>
      <c r="DXX32" s="1551"/>
      <c r="DXY32" s="1551"/>
      <c r="DXZ32" s="1551"/>
      <c r="DYA32" s="1551"/>
      <c r="DYB32" s="1551"/>
      <c r="DYC32" s="1551"/>
      <c r="DYD32" s="1551"/>
      <c r="DYE32" s="1551"/>
      <c r="DYF32" s="1551"/>
      <c r="DYG32" s="1551"/>
      <c r="DYH32" s="1551"/>
      <c r="DYI32" s="1551"/>
      <c r="DYJ32" s="1551"/>
      <c r="DYK32" s="1551"/>
      <c r="DYL32" s="1551"/>
      <c r="DYM32" s="1551"/>
      <c r="DYN32" s="1551"/>
      <c r="DYO32" s="1551"/>
      <c r="DYP32" s="1551"/>
      <c r="DYQ32" s="1551"/>
      <c r="DYR32" s="1551"/>
      <c r="DYS32" s="1551"/>
      <c r="DYT32" s="1551"/>
      <c r="DYU32" s="1551"/>
      <c r="DYV32" s="1551"/>
      <c r="DYW32" s="1551"/>
      <c r="DYX32" s="1551"/>
      <c r="DYY32" s="1551"/>
      <c r="DYZ32" s="1551"/>
      <c r="DZA32" s="1551"/>
      <c r="DZB32" s="1551"/>
      <c r="DZC32" s="1551"/>
      <c r="DZD32" s="1551"/>
      <c r="DZE32" s="1551"/>
      <c r="DZF32" s="1551"/>
      <c r="DZG32" s="1551"/>
      <c r="DZH32" s="1551"/>
      <c r="DZI32" s="1551"/>
      <c r="DZJ32" s="1551"/>
      <c r="DZK32" s="1551"/>
      <c r="DZL32" s="1551"/>
      <c r="DZM32" s="1551"/>
      <c r="DZN32" s="1551"/>
      <c r="DZO32" s="1551"/>
      <c r="DZP32" s="1551"/>
      <c r="DZQ32" s="1551"/>
      <c r="DZR32" s="1551"/>
      <c r="DZS32" s="1551"/>
      <c r="DZT32" s="1551"/>
      <c r="DZU32" s="1551"/>
      <c r="DZV32" s="1551"/>
      <c r="DZW32" s="1551"/>
      <c r="DZX32" s="1551"/>
      <c r="DZY32" s="1551"/>
      <c r="DZZ32" s="1551"/>
      <c r="EAA32" s="1551"/>
      <c r="EAB32" s="1551"/>
      <c r="EAC32" s="1551"/>
      <c r="EAD32" s="1551"/>
      <c r="EAE32" s="1551"/>
      <c r="EAF32" s="1551"/>
      <c r="EAG32" s="1551"/>
      <c r="EAH32" s="1551"/>
      <c r="EAI32" s="1551"/>
      <c r="EAJ32" s="1551"/>
      <c r="EAK32" s="1551"/>
      <c r="EAL32" s="1551"/>
      <c r="EAM32" s="1551"/>
      <c r="EAN32" s="1551"/>
      <c r="EAO32" s="1551"/>
      <c r="EAP32" s="1551"/>
      <c r="EAQ32" s="1551"/>
      <c r="EAR32" s="1551"/>
      <c r="EAS32" s="1551"/>
      <c r="EAT32" s="1551"/>
      <c r="EAU32" s="1551"/>
      <c r="EAV32" s="1551"/>
      <c r="EAW32" s="1551"/>
      <c r="EAX32" s="1551"/>
      <c r="EAY32" s="1551"/>
      <c r="EAZ32" s="1551"/>
      <c r="EBA32" s="1551"/>
      <c r="EBB32" s="1551"/>
      <c r="EBC32" s="1551"/>
      <c r="EBD32" s="1551"/>
      <c r="EBE32" s="1551"/>
      <c r="EBF32" s="1551"/>
      <c r="EBG32" s="1551"/>
      <c r="EBH32" s="1551"/>
      <c r="EBI32" s="1551"/>
      <c r="EBJ32" s="1551"/>
      <c r="EBK32" s="1551"/>
      <c r="EBL32" s="1551"/>
      <c r="EBM32" s="1551"/>
      <c r="EBN32" s="1551"/>
      <c r="EBO32" s="1551"/>
      <c r="EBP32" s="1551"/>
      <c r="EBQ32" s="1551"/>
      <c r="EBR32" s="1551"/>
      <c r="EBS32" s="1551"/>
      <c r="EBT32" s="1551"/>
      <c r="EBU32" s="1551"/>
      <c r="EBV32" s="1551"/>
      <c r="EBW32" s="1551"/>
      <c r="EBX32" s="1551"/>
      <c r="EBY32" s="1551"/>
      <c r="EBZ32" s="1551"/>
      <c r="ECA32" s="1551"/>
      <c r="ECB32" s="1551"/>
      <c r="ECC32" s="1551"/>
      <c r="ECD32" s="1551"/>
      <c r="ECE32" s="1551"/>
      <c r="ECF32" s="1551"/>
      <c r="ECG32" s="1551"/>
      <c r="ECH32" s="1551"/>
      <c r="ECI32" s="1551"/>
      <c r="ECJ32" s="1551"/>
      <c r="ECK32" s="1551"/>
      <c r="ECL32" s="1551"/>
      <c r="ECM32" s="1551"/>
      <c r="ECN32" s="1551"/>
      <c r="ECO32" s="1551"/>
      <c r="ECP32" s="1551"/>
      <c r="ECQ32" s="1551"/>
      <c r="ECR32" s="1551"/>
      <c r="ECS32" s="1551"/>
      <c r="ECT32" s="1551"/>
      <c r="ECU32" s="1551"/>
      <c r="ECV32" s="1551"/>
      <c r="ECW32" s="1551"/>
      <c r="ECX32" s="1551"/>
      <c r="ECY32" s="1551"/>
      <c r="ECZ32" s="1551"/>
      <c r="EDA32" s="1551"/>
      <c r="EDB32" s="1551"/>
      <c r="EDC32" s="1551"/>
      <c r="EDD32" s="1551"/>
      <c r="EDE32" s="1551"/>
      <c r="EDF32" s="1551"/>
      <c r="EDG32" s="1551"/>
      <c r="EDH32" s="1551"/>
      <c r="EDI32" s="1551"/>
      <c r="EDJ32" s="1551"/>
      <c r="EDK32" s="1551"/>
      <c r="EDL32" s="1551"/>
      <c r="EDM32" s="1551"/>
      <c r="EDN32" s="1551"/>
      <c r="EDO32" s="1551"/>
      <c r="EDP32" s="1551"/>
      <c r="EDQ32" s="1551"/>
      <c r="EDR32" s="1551"/>
      <c r="EDS32" s="1551"/>
      <c r="EDT32" s="1551"/>
      <c r="EDU32" s="1551"/>
      <c r="EDV32" s="1551"/>
      <c r="EDW32" s="1551"/>
      <c r="EDX32" s="1551"/>
      <c r="EDY32" s="1551"/>
      <c r="EDZ32" s="1551"/>
      <c r="EEA32" s="1551"/>
      <c r="EEB32" s="1551"/>
      <c r="EEC32" s="1551"/>
      <c r="EED32" s="1551"/>
      <c r="EEE32" s="1551"/>
      <c r="EEF32" s="1551"/>
      <c r="EEG32" s="1551"/>
      <c r="EEH32" s="1551"/>
      <c r="EEI32" s="1551"/>
      <c r="EEJ32" s="1551"/>
      <c r="EEK32" s="1551"/>
      <c r="EEL32" s="1551"/>
      <c r="EEM32" s="1551"/>
      <c r="EEN32" s="1551"/>
      <c r="EEO32" s="1551"/>
      <c r="EEP32" s="1551"/>
      <c r="EEQ32" s="1551"/>
      <c r="EER32" s="1551"/>
      <c r="EES32" s="1551"/>
      <c r="EET32" s="1551"/>
      <c r="EEU32" s="1551"/>
      <c r="EEV32" s="1551"/>
      <c r="EEW32" s="1551"/>
      <c r="EEX32" s="1551"/>
      <c r="EEY32" s="1551"/>
      <c r="EEZ32" s="1551"/>
      <c r="EFA32" s="1551"/>
      <c r="EFB32" s="1551"/>
      <c r="EFC32" s="1551"/>
      <c r="EFD32" s="1551"/>
      <c r="EFE32" s="1551"/>
      <c r="EFF32" s="1551"/>
      <c r="EFG32" s="1551"/>
      <c r="EFH32" s="1551"/>
      <c r="EFI32" s="1551"/>
      <c r="EFJ32" s="1551"/>
      <c r="EFK32" s="1551"/>
      <c r="EFL32" s="1551"/>
      <c r="EFM32" s="1551"/>
      <c r="EFN32" s="1551"/>
      <c r="EFO32" s="1551"/>
      <c r="EFP32" s="1551"/>
      <c r="EFQ32" s="1551"/>
      <c r="EFR32" s="1551"/>
      <c r="EFS32" s="1551"/>
      <c r="EFT32" s="1551"/>
      <c r="EFU32" s="1551"/>
      <c r="EFV32" s="1551"/>
      <c r="EFW32" s="1551"/>
      <c r="EFX32" s="1551"/>
      <c r="EFY32" s="1551"/>
      <c r="EFZ32" s="1551"/>
      <c r="EGA32" s="1551"/>
      <c r="EGB32" s="1551"/>
      <c r="EGC32" s="1551"/>
      <c r="EGD32" s="1551"/>
      <c r="EGE32" s="1551"/>
      <c r="EGF32" s="1551"/>
      <c r="EGG32" s="1551"/>
      <c r="EGH32" s="1551"/>
      <c r="EGI32" s="1551"/>
      <c r="EGJ32" s="1551"/>
      <c r="EGK32" s="1551"/>
      <c r="EGL32" s="1551"/>
      <c r="EGM32" s="1551"/>
      <c r="EGN32" s="1551"/>
      <c r="EGO32" s="1551"/>
      <c r="EGP32" s="1551"/>
      <c r="EGQ32" s="1551"/>
      <c r="EGR32" s="1551"/>
      <c r="EGS32" s="1551"/>
      <c r="EGT32" s="1551"/>
      <c r="EGU32" s="1551"/>
      <c r="EGV32" s="1551"/>
      <c r="EGW32" s="1551"/>
      <c r="EGX32" s="1551"/>
      <c r="EGY32" s="1551"/>
      <c r="EGZ32" s="1551"/>
      <c r="EHA32" s="1551"/>
      <c r="EHB32" s="1551"/>
      <c r="EHC32" s="1551"/>
      <c r="EHD32" s="1551"/>
      <c r="EHE32" s="1551"/>
      <c r="EHF32" s="1551"/>
      <c r="EHG32" s="1551"/>
      <c r="EHH32" s="1551"/>
      <c r="EHI32" s="1551"/>
      <c r="EHJ32" s="1551"/>
      <c r="EHK32" s="1551"/>
      <c r="EHL32" s="1551"/>
      <c r="EHM32" s="1551"/>
      <c r="EHN32" s="1551"/>
      <c r="EHO32" s="1551"/>
      <c r="EHP32" s="1551"/>
      <c r="EHQ32" s="1551"/>
      <c r="EHR32" s="1551"/>
      <c r="EHS32" s="1551"/>
      <c r="EHT32" s="1551"/>
      <c r="EHU32" s="1551"/>
      <c r="EHV32" s="1551"/>
      <c r="EHW32" s="1551"/>
      <c r="EHX32" s="1551"/>
      <c r="EHY32" s="1551"/>
      <c r="EHZ32" s="1551"/>
      <c r="EIA32" s="1551"/>
      <c r="EIB32" s="1551"/>
      <c r="EIC32" s="1551"/>
      <c r="EID32" s="1551"/>
      <c r="EIE32" s="1551"/>
      <c r="EIF32" s="1551"/>
      <c r="EIG32" s="1551"/>
      <c r="EIH32" s="1551"/>
      <c r="EII32" s="1551"/>
      <c r="EIJ32" s="1551"/>
      <c r="EIK32" s="1551"/>
      <c r="EIL32" s="1551"/>
      <c r="EIM32" s="1551"/>
      <c r="EIN32" s="1551"/>
      <c r="EIO32" s="1551"/>
      <c r="EIP32" s="1551"/>
      <c r="EIQ32" s="1551"/>
      <c r="EIR32" s="1551"/>
      <c r="EIS32" s="1551"/>
      <c r="EIT32" s="1551"/>
      <c r="EIU32" s="1551"/>
      <c r="EIV32" s="1551"/>
      <c r="EIW32" s="1551"/>
      <c r="EIX32" s="1551"/>
      <c r="EIY32" s="1551"/>
      <c r="EIZ32" s="1551"/>
      <c r="EJA32" s="1551"/>
      <c r="EJB32" s="1551"/>
      <c r="EJC32" s="1551"/>
      <c r="EJD32" s="1551"/>
      <c r="EJE32" s="1551"/>
      <c r="EJF32" s="1551"/>
      <c r="EJG32" s="1551"/>
      <c r="EJH32" s="1551"/>
      <c r="EJI32" s="1551"/>
      <c r="EJJ32" s="1551"/>
      <c r="EJK32" s="1551"/>
      <c r="EJL32" s="1551"/>
      <c r="EJM32" s="1551"/>
      <c r="EJN32" s="1551"/>
      <c r="EJO32" s="1551"/>
      <c r="EJP32" s="1551"/>
      <c r="EJQ32" s="1551"/>
      <c r="EJR32" s="1551"/>
      <c r="EJS32" s="1551"/>
      <c r="EJT32" s="1551"/>
      <c r="EJU32" s="1551"/>
      <c r="EJV32" s="1551"/>
      <c r="EJW32" s="1551"/>
      <c r="EJX32" s="1551"/>
      <c r="EJY32" s="1551"/>
      <c r="EJZ32" s="1551"/>
      <c r="EKA32" s="1551"/>
      <c r="EKB32" s="1551"/>
      <c r="EKC32" s="1551"/>
      <c r="EKD32" s="1551"/>
      <c r="EKE32" s="1551"/>
      <c r="EKF32" s="1551"/>
      <c r="EKG32" s="1551"/>
      <c r="EKH32" s="1551"/>
      <c r="EKI32" s="1551"/>
      <c r="EKJ32" s="1551"/>
      <c r="EKK32" s="1551"/>
      <c r="EKL32" s="1551"/>
      <c r="EKM32" s="1551"/>
      <c r="EKN32" s="1551"/>
      <c r="EKO32" s="1551"/>
      <c r="EKP32" s="1551"/>
      <c r="EKQ32" s="1551"/>
      <c r="EKR32" s="1551"/>
      <c r="EKS32" s="1551"/>
      <c r="EKT32" s="1551"/>
      <c r="EKU32" s="1551"/>
      <c r="EKV32" s="1551"/>
      <c r="EKW32" s="1551"/>
      <c r="EKX32" s="1551"/>
      <c r="EKY32" s="1551"/>
      <c r="EKZ32" s="1551"/>
      <c r="ELA32" s="1551"/>
      <c r="ELB32" s="1551"/>
      <c r="ELC32" s="1551"/>
      <c r="ELD32" s="1551"/>
      <c r="ELE32" s="1551"/>
      <c r="ELF32" s="1551"/>
      <c r="ELG32" s="1551"/>
      <c r="ELH32" s="1551"/>
      <c r="ELI32" s="1551"/>
      <c r="ELJ32" s="1551"/>
      <c r="ELK32" s="1551"/>
      <c r="ELL32" s="1551"/>
      <c r="ELM32" s="1551"/>
      <c r="ELN32" s="1551"/>
      <c r="ELO32" s="1551"/>
      <c r="ELP32" s="1551"/>
      <c r="ELQ32" s="1551"/>
      <c r="ELR32" s="1551"/>
      <c r="ELS32" s="1551"/>
      <c r="ELT32" s="1551"/>
      <c r="ELU32" s="1551"/>
      <c r="ELV32" s="1551"/>
      <c r="ELW32" s="1551"/>
      <c r="ELX32" s="1551"/>
      <c r="ELY32" s="1551"/>
      <c r="ELZ32" s="1551"/>
      <c r="EMA32" s="1551"/>
      <c r="EMB32" s="1551"/>
      <c r="EMC32" s="1551"/>
      <c r="EMD32" s="1551"/>
      <c r="EME32" s="1551"/>
      <c r="EMF32" s="1551"/>
      <c r="EMG32" s="1551"/>
      <c r="EMH32" s="1551"/>
      <c r="EMI32" s="1551"/>
      <c r="EMJ32" s="1551"/>
      <c r="EMK32" s="1551"/>
      <c r="EML32" s="1551"/>
      <c r="EMM32" s="1551"/>
      <c r="EMN32" s="1551"/>
      <c r="EMO32" s="1551"/>
      <c r="EMP32" s="1551"/>
      <c r="EMQ32" s="1551"/>
      <c r="EMR32" s="1551"/>
      <c r="EMS32" s="1551"/>
      <c r="EMT32" s="1551"/>
      <c r="EMU32" s="1551"/>
      <c r="EMV32" s="1551"/>
      <c r="EMW32" s="1551"/>
      <c r="EMX32" s="1551"/>
      <c r="EMY32" s="1551"/>
      <c r="EMZ32" s="1551"/>
      <c r="ENA32" s="1551"/>
      <c r="ENB32" s="1551"/>
      <c r="ENC32" s="1551"/>
      <c r="END32" s="1551"/>
      <c r="ENE32" s="1551"/>
      <c r="ENF32" s="1551"/>
      <c r="ENG32" s="1551"/>
      <c r="ENH32" s="1551"/>
      <c r="ENI32" s="1551"/>
      <c r="ENJ32" s="1551"/>
      <c r="ENK32" s="1551"/>
      <c r="ENL32" s="1551"/>
      <c r="ENM32" s="1551"/>
      <c r="ENN32" s="1551"/>
      <c r="ENO32" s="1551"/>
      <c r="ENP32" s="1551"/>
      <c r="ENQ32" s="1551"/>
      <c r="ENR32" s="1551"/>
      <c r="ENS32" s="1551"/>
      <c r="ENT32" s="1551"/>
      <c r="ENU32" s="1551"/>
      <c r="ENV32" s="1551"/>
      <c r="ENW32" s="1551"/>
      <c r="ENX32" s="1551"/>
      <c r="ENY32" s="1551"/>
      <c r="ENZ32" s="1551"/>
      <c r="EOA32" s="1551"/>
      <c r="EOB32" s="1551"/>
      <c r="EOC32" s="1551"/>
      <c r="EOD32" s="1551"/>
      <c r="EOE32" s="1551"/>
      <c r="EOF32" s="1551"/>
      <c r="EOG32" s="1551"/>
      <c r="EOH32" s="1551"/>
      <c r="EOI32" s="1551"/>
      <c r="EOJ32" s="1551"/>
      <c r="EOK32" s="1551"/>
      <c r="EOL32" s="1551"/>
      <c r="EOM32" s="1551"/>
      <c r="EON32" s="1551"/>
      <c r="EOO32" s="1551"/>
      <c r="EOP32" s="1551"/>
      <c r="EOQ32" s="1551"/>
      <c r="EOR32" s="1551"/>
      <c r="EOS32" s="1551"/>
      <c r="EOT32" s="1551"/>
      <c r="EOU32" s="1551"/>
      <c r="EOV32" s="1551"/>
      <c r="EOW32" s="1551"/>
      <c r="EOX32" s="1551"/>
      <c r="EOY32" s="1551"/>
      <c r="EOZ32" s="1551"/>
      <c r="EPA32" s="1551"/>
      <c r="EPB32" s="1551"/>
      <c r="EPC32" s="1551"/>
      <c r="EPD32" s="1551"/>
      <c r="EPE32" s="1551"/>
      <c r="EPF32" s="1551"/>
      <c r="EPG32" s="1551"/>
      <c r="EPH32" s="1551"/>
      <c r="EPI32" s="1551"/>
      <c r="EPJ32" s="1551"/>
      <c r="EPK32" s="1551"/>
      <c r="EPL32" s="1551"/>
      <c r="EPM32" s="1551"/>
      <c r="EPN32" s="1551"/>
      <c r="EPO32" s="1551"/>
      <c r="EPP32" s="1551"/>
      <c r="EPQ32" s="1551"/>
      <c r="EPR32" s="1551"/>
      <c r="EPS32" s="1551"/>
      <c r="EPT32" s="1551"/>
      <c r="EPU32" s="1551"/>
      <c r="EPV32" s="1551"/>
      <c r="EPW32" s="1551"/>
      <c r="EPX32" s="1551"/>
      <c r="EPY32" s="1551"/>
      <c r="EPZ32" s="1551"/>
      <c r="EQA32" s="1551"/>
      <c r="EQB32" s="1551"/>
      <c r="EQC32" s="1551"/>
      <c r="EQD32" s="1551"/>
      <c r="EQE32" s="1551"/>
      <c r="EQF32" s="1551"/>
      <c r="EQG32" s="1551"/>
      <c r="EQH32" s="1551"/>
      <c r="EQI32" s="1551"/>
      <c r="EQJ32" s="1551"/>
      <c r="EQK32" s="1551"/>
      <c r="EQL32" s="1551"/>
      <c r="EQM32" s="1551"/>
      <c r="EQN32" s="1551"/>
      <c r="EQO32" s="1551"/>
      <c r="EQP32" s="1551"/>
      <c r="EQQ32" s="1551"/>
      <c r="EQR32" s="1551"/>
      <c r="EQS32" s="1551"/>
      <c r="EQT32" s="1551"/>
      <c r="EQU32" s="1551"/>
      <c r="EQV32" s="1551"/>
      <c r="EQW32" s="1551"/>
      <c r="EQX32" s="1551"/>
      <c r="EQY32" s="1551"/>
      <c r="EQZ32" s="1551"/>
      <c r="ERA32" s="1551"/>
      <c r="ERB32" s="1551"/>
      <c r="ERC32" s="1551"/>
      <c r="ERD32" s="1551"/>
      <c r="ERE32" s="1551"/>
      <c r="ERF32" s="1551"/>
      <c r="ERG32" s="1551"/>
      <c r="ERH32" s="1551"/>
      <c r="ERI32" s="1551"/>
      <c r="ERJ32" s="1551"/>
      <c r="ERK32" s="1551"/>
      <c r="ERL32" s="1551"/>
      <c r="ERM32" s="1551"/>
      <c r="ERN32" s="1551"/>
      <c r="ERO32" s="1551"/>
      <c r="ERP32" s="1551"/>
      <c r="ERQ32" s="1551"/>
      <c r="ERR32" s="1551"/>
      <c r="ERS32" s="1551"/>
      <c r="ERT32" s="1551"/>
      <c r="ERU32" s="1551"/>
      <c r="ERV32" s="1551"/>
      <c r="ERW32" s="1551"/>
      <c r="ERX32" s="1551"/>
      <c r="ERY32" s="1551"/>
      <c r="ERZ32" s="1551"/>
      <c r="ESA32" s="1551"/>
      <c r="ESB32" s="1551"/>
      <c r="ESC32" s="1551"/>
      <c r="ESD32" s="1551"/>
      <c r="ESE32" s="1551"/>
      <c r="ESF32" s="1551"/>
      <c r="ESG32" s="1551"/>
      <c r="ESH32" s="1551"/>
      <c r="ESI32" s="1551"/>
      <c r="ESJ32" s="1551"/>
      <c r="ESK32" s="1551"/>
      <c r="ESL32" s="1551"/>
      <c r="ESM32" s="1551"/>
      <c r="ESN32" s="1551"/>
      <c r="ESO32" s="1551"/>
      <c r="ESP32" s="1551"/>
      <c r="ESQ32" s="1551"/>
      <c r="ESR32" s="1551"/>
      <c r="ESS32" s="1551"/>
      <c r="EST32" s="1551"/>
      <c r="ESU32" s="1551"/>
      <c r="ESV32" s="1551"/>
      <c r="ESW32" s="1551"/>
      <c r="ESX32" s="1551"/>
      <c r="ESY32" s="1551"/>
      <c r="ESZ32" s="1551"/>
      <c r="ETA32" s="1551"/>
      <c r="ETB32" s="1551"/>
      <c r="ETC32" s="1551"/>
      <c r="ETD32" s="1551"/>
      <c r="ETE32" s="1551"/>
      <c r="ETF32" s="1551"/>
      <c r="ETG32" s="1551"/>
      <c r="ETH32" s="1551"/>
      <c r="ETI32" s="1551"/>
      <c r="ETJ32" s="1551"/>
      <c r="ETK32" s="1551"/>
      <c r="ETL32" s="1551"/>
      <c r="ETM32" s="1551"/>
      <c r="ETN32" s="1551"/>
      <c r="ETO32" s="1551"/>
      <c r="ETP32" s="1551"/>
      <c r="ETQ32" s="1551"/>
      <c r="ETR32" s="1551"/>
      <c r="ETS32" s="1551"/>
      <c r="ETT32" s="1551"/>
      <c r="ETU32" s="1551"/>
      <c r="ETV32" s="1551"/>
      <c r="ETW32" s="1551"/>
      <c r="ETX32" s="1551"/>
      <c r="ETY32" s="1551"/>
      <c r="ETZ32" s="1551"/>
      <c r="EUA32" s="1551"/>
      <c r="EUB32" s="1551"/>
      <c r="EUC32" s="1551"/>
      <c r="EUD32" s="1551"/>
      <c r="EUE32" s="1551"/>
      <c r="EUF32" s="1551"/>
      <c r="EUG32" s="1551"/>
      <c r="EUH32" s="1551"/>
      <c r="EUI32" s="1551"/>
      <c r="EUJ32" s="1551"/>
      <c r="EUK32" s="1551"/>
      <c r="EUL32" s="1551"/>
      <c r="EUM32" s="1551"/>
      <c r="EUN32" s="1551"/>
      <c r="EUO32" s="1551"/>
      <c r="EUP32" s="1551"/>
      <c r="EUQ32" s="1551"/>
      <c r="EUR32" s="1551"/>
      <c r="EUS32" s="1551"/>
      <c r="EUT32" s="1551"/>
      <c r="EUU32" s="1551"/>
      <c r="EUV32" s="1551"/>
      <c r="EUW32" s="1551"/>
      <c r="EUX32" s="1551"/>
      <c r="EUY32" s="1551"/>
      <c r="EUZ32" s="1551"/>
      <c r="EVA32" s="1551"/>
      <c r="EVB32" s="1551"/>
      <c r="EVC32" s="1551"/>
      <c r="EVD32" s="1551"/>
      <c r="EVE32" s="1551"/>
      <c r="EVF32" s="1551"/>
      <c r="EVG32" s="1551"/>
      <c r="EVH32" s="1551"/>
      <c r="EVI32" s="1551"/>
      <c r="EVJ32" s="1551"/>
      <c r="EVK32" s="1551"/>
      <c r="EVL32" s="1551"/>
      <c r="EVM32" s="1551"/>
      <c r="EVN32" s="1551"/>
      <c r="EVO32" s="1551"/>
      <c r="EVP32" s="1551"/>
      <c r="EVQ32" s="1551"/>
      <c r="EVR32" s="1551"/>
      <c r="EVS32" s="1551"/>
      <c r="EVT32" s="1551"/>
      <c r="EVU32" s="1551"/>
      <c r="EVV32" s="1551"/>
      <c r="EVW32" s="1551"/>
      <c r="EVX32" s="1551"/>
      <c r="EVY32" s="1551"/>
      <c r="EVZ32" s="1551"/>
      <c r="EWA32" s="1551"/>
      <c r="EWB32" s="1551"/>
      <c r="EWC32" s="1551"/>
      <c r="EWD32" s="1551"/>
      <c r="EWE32" s="1551"/>
      <c r="EWF32" s="1551"/>
      <c r="EWG32" s="1551"/>
      <c r="EWH32" s="1551"/>
      <c r="EWI32" s="1551"/>
      <c r="EWJ32" s="1551"/>
      <c r="EWK32" s="1551"/>
      <c r="EWL32" s="1551"/>
      <c r="EWM32" s="1551"/>
      <c r="EWN32" s="1551"/>
      <c r="EWO32" s="1551"/>
      <c r="EWP32" s="1551"/>
      <c r="EWQ32" s="1551"/>
      <c r="EWR32" s="1551"/>
      <c r="EWS32" s="1551"/>
      <c r="EWT32" s="1551"/>
      <c r="EWU32" s="1551"/>
      <c r="EWV32" s="1551"/>
      <c r="EWW32" s="1551"/>
      <c r="EWX32" s="1551"/>
      <c r="EWY32" s="1551"/>
      <c r="EWZ32" s="1551"/>
      <c r="EXA32" s="1551"/>
      <c r="EXB32" s="1551"/>
      <c r="EXC32" s="1551"/>
      <c r="EXD32" s="1551"/>
      <c r="EXE32" s="1551"/>
      <c r="EXF32" s="1551"/>
      <c r="EXG32" s="1551"/>
      <c r="EXH32" s="1551"/>
      <c r="EXI32" s="1551"/>
      <c r="EXJ32" s="1551"/>
      <c r="EXK32" s="1551"/>
      <c r="EXL32" s="1551"/>
      <c r="EXM32" s="1551"/>
      <c r="EXN32" s="1551"/>
      <c r="EXO32" s="1551"/>
      <c r="EXP32" s="1551"/>
      <c r="EXQ32" s="1551"/>
      <c r="EXR32" s="1551"/>
      <c r="EXS32" s="1551"/>
      <c r="EXT32" s="1551"/>
      <c r="EXU32" s="1551"/>
      <c r="EXV32" s="1551"/>
      <c r="EXW32" s="1551"/>
      <c r="EXX32" s="1551"/>
      <c r="EXY32" s="1551"/>
      <c r="EXZ32" s="1551"/>
      <c r="EYA32" s="1551"/>
      <c r="EYB32" s="1551"/>
      <c r="EYC32" s="1551"/>
      <c r="EYD32" s="1551"/>
      <c r="EYE32" s="1551"/>
      <c r="EYF32" s="1551"/>
      <c r="EYG32" s="1551"/>
      <c r="EYH32" s="1551"/>
      <c r="EYI32" s="1551"/>
      <c r="EYJ32" s="1551"/>
      <c r="EYK32" s="1551"/>
      <c r="EYL32" s="1551"/>
      <c r="EYM32" s="1551"/>
      <c r="EYN32" s="1551"/>
      <c r="EYO32" s="1551"/>
      <c r="EYP32" s="1551"/>
      <c r="EYQ32" s="1551"/>
      <c r="EYR32" s="1551"/>
      <c r="EYS32" s="1551"/>
      <c r="EYT32" s="1551"/>
      <c r="EYU32" s="1551"/>
      <c r="EYV32" s="1551"/>
      <c r="EYW32" s="1551"/>
      <c r="EYX32" s="1551"/>
      <c r="EYY32" s="1551"/>
      <c r="EYZ32" s="1551"/>
      <c r="EZA32" s="1551"/>
      <c r="EZB32" s="1551"/>
      <c r="EZC32" s="1551"/>
      <c r="EZD32" s="1551"/>
      <c r="EZE32" s="1551"/>
      <c r="EZF32" s="1551"/>
      <c r="EZG32" s="1551"/>
      <c r="EZH32" s="1551"/>
      <c r="EZI32" s="1551"/>
      <c r="EZJ32" s="1551"/>
      <c r="EZK32" s="1551"/>
      <c r="EZL32" s="1551"/>
      <c r="EZM32" s="1551"/>
      <c r="EZN32" s="1551"/>
      <c r="EZO32" s="1551"/>
      <c r="EZP32" s="1551"/>
      <c r="EZQ32" s="1551"/>
      <c r="EZR32" s="1551"/>
      <c r="EZS32" s="1551"/>
      <c r="EZT32" s="1551"/>
      <c r="EZU32" s="1551"/>
      <c r="EZV32" s="1551"/>
      <c r="EZW32" s="1551"/>
      <c r="EZX32" s="1551"/>
      <c r="EZY32" s="1551"/>
      <c r="EZZ32" s="1551"/>
      <c r="FAA32" s="1551"/>
      <c r="FAB32" s="1551"/>
      <c r="FAC32" s="1551"/>
      <c r="FAD32" s="1551"/>
      <c r="FAE32" s="1551"/>
      <c r="FAF32" s="1551"/>
      <c r="FAG32" s="1551"/>
      <c r="FAH32" s="1551"/>
      <c r="FAI32" s="1551"/>
      <c r="FAJ32" s="1551"/>
      <c r="FAK32" s="1551"/>
      <c r="FAL32" s="1551"/>
      <c r="FAM32" s="1551"/>
      <c r="FAN32" s="1551"/>
      <c r="FAO32" s="1551"/>
      <c r="FAP32" s="1551"/>
      <c r="FAQ32" s="1551"/>
      <c r="FAR32" s="1551"/>
      <c r="FAS32" s="1551"/>
      <c r="FAT32" s="1551"/>
      <c r="FAU32" s="1551"/>
      <c r="FAV32" s="1551"/>
      <c r="FAW32" s="1551"/>
      <c r="FAX32" s="1551"/>
      <c r="FAY32" s="1551"/>
      <c r="FAZ32" s="1551"/>
      <c r="FBA32" s="1551"/>
      <c r="FBB32" s="1551"/>
      <c r="FBC32" s="1551"/>
      <c r="FBD32" s="1551"/>
      <c r="FBE32" s="1551"/>
      <c r="FBF32" s="1551"/>
      <c r="FBG32" s="1551"/>
      <c r="FBH32" s="1551"/>
      <c r="FBI32" s="1551"/>
      <c r="FBJ32" s="1551"/>
      <c r="FBK32" s="1551"/>
      <c r="FBL32" s="1551"/>
      <c r="FBM32" s="1551"/>
      <c r="FBN32" s="1551"/>
      <c r="FBO32" s="1551"/>
      <c r="FBP32" s="1551"/>
      <c r="FBQ32" s="1551"/>
      <c r="FBR32" s="1551"/>
      <c r="FBS32" s="1551"/>
      <c r="FBT32" s="1551"/>
      <c r="FBU32" s="1551"/>
      <c r="FBV32" s="1551"/>
      <c r="FBW32" s="1551"/>
      <c r="FBX32" s="1551"/>
      <c r="FBY32" s="1551"/>
      <c r="FBZ32" s="1551"/>
      <c r="FCA32" s="1551"/>
      <c r="FCB32" s="1551"/>
      <c r="FCC32" s="1551"/>
      <c r="FCD32" s="1551"/>
      <c r="FCE32" s="1551"/>
      <c r="FCF32" s="1551"/>
      <c r="FCG32" s="1551"/>
      <c r="FCH32" s="1551"/>
      <c r="FCI32" s="1551"/>
      <c r="FCJ32" s="1551"/>
      <c r="FCK32" s="1551"/>
      <c r="FCL32" s="1551"/>
      <c r="FCM32" s="1551"/>
      <c r="FCN32" s="1551"/>
      <c r="FCO32" s="1551"/>
      <c r="FCP32" s="1551"/>
      <c r="FCQ32" s="1551"/>
      <c r="FCR32" s="1551"/>
      <c r="FCS32" s="1551"/>
      <c r="FCT32" s="1551"/>
      <c r="FCU32" s="1551"/>
      <c r="FCV32" s="1551"/>
      <c r="FCW32" s="1551"/>
      <c r="FCX32" s="1551"/>
      <c r="FCY32" s="1551"/>
      <c r="FCZ32" s="1551"/>
      <c r="FDA32" s="1551"/>
      <c r="FDB32" s="1551"/>
      <c r="FDC32" s="1551"/>
      <c r="FDD32" s="1551"/>
      <c r="FDE32" s="1551"/>
      <c r="FDF32" s="1551"/>
      <c r="FDG32" s="1551"/>
      <c r="FDH32" s="1551"/>
      <c r="FDI32" s="1551"/>
      <c r="FDJ32" s="1551"/>
      <c r="FDK32" s="1551"/>
      <c r="FDL32" s="1551"/>
      <c r="FDM32" s="1551"/>
      <c r="FDN32" s="1551"/>
      <c r="FDO32" s="1551"/>
      <c r="FDP32" s="1551"/>
      <c r="FDQ32" s="1551"/>
      <c r="FDR32" s="1551"/>
      <c r="FDS32" s="1551"/>
      <c r="FDT32" s="1551"/>
      <c r="FDU32" s="1551"/>
      <c r="FDV32" s="1551"/>
      <c r="FDW32" s="1551"/>
      <c r="FDX32" s="1551"/>
      <c r="FDY32" s="1551"/>
      <c r="FDZ32" s="1551"/>
      <c r="FEA32" s="1551"/>
      <c r="FEB32" s="1551"/>
      <c r="FEC32" s="1551"/>
      <c r="FED32" s="1551"/>
      <c r="FEE32" s="1551"/>
      <c r="FEF32" s="1551"/>
      <c r="FEG32" s="1551"/>
      <c r="FEH32" s="1551"/>
      <c r="FEI32" s="1551"/>
      <c r="FEJ32" s="1551"/>
      <c r="FEK32" s="1551"/>
      <c r="FEL32" s="1551"/>
      <c r="FEM32" s="1551"/>
      <c r="FEN32" s="1551"/>
      <c r="FEO32" s="1551"/>
      <c r="FEP32" s="1551"/>
      <c r="FEQ32" s="1551"/>
      <c r="FER32" s="1551"/>
      <c r="FES32" s="1551"/>
      <c r="FET32" s="1551"/>
      <c r="FEU32" s="1551"/>
      <c r="FEV32" s="1551"/>
      <c r="FEW32" s="1551"/>
      <c r="FEX32" s="1551"/>
      <c r="FEY32" s="1551"/>
      <c r="FEZ32" s="1551"/>
      <c r="FFA32" s="1551"/>
      <c r="FFB32" s="1551"/>
      <c r="FFC32" s="1551"/>
      <c r="FFD32" s="1551"/>
      <c r="FFE32" s="1551"/>
      <c r="FFF32" s="1551"/>
      <c r="FFG32" s="1551"/>
      <c r="FFH32" s="1551"/>
      <c r="FFI32" s="1551"/>
      <c r="FFJ32" s="1551"/>
      <c r="FFK32" s="1551"/>
      <c r="FFL32" s="1551"/>
      <c r="FFM32" s="1551"/>
      <c r="FFN32" s="1551"/>
      <c r="FFO32" s="1551"/>
      <c r="FFP32" s="1551"/>
      <c r="FFQ32" s="1551"/>
      <c r="FFR32" s="1551"/>
      <c r="FFS32" s="1551"/>
      <c r="FFT32" s="1551"/>
      <c r="FFU32" s="1551"/>
      <c r="FFV32" s="1551"/>
      <c r="FFW32" s="1551"/>
      <c r="FFX32" s="1551"/>
      <c r="FFY32" s="1551"/>
      <c r="FFZ32" s="1551"/>
      <c r="FGA32" s="1551"/>
      <c r="FGB32" s="1551"/>
      <c r="FGC32" s="1551"/>
      <c r="FGD32" s="1551"/>
      <c r="FGE32" s="1551"/>
      <c r="FGF32" s="1551"/>
      <c r="FGG32" s="1551"/>
      <c r="FGH32" s="1551"/>
      <c r="FGI32" s="1551"/>
      <c r="FGJ32" s="1551"/>
      <c r="FGK32" s="1551"/>
      <c r="FGL32" s="1551"/>
      <c r="FGM32" s="1551"/>
      <c r="FGN32" s="1551"/>
      <c r="FGO32" s="1551"/>
      <c r="FGP32" s="1551"/>
      <c r="FGQ32" s="1551"/>
      <c r="FGR32" s="1551"/>
      <c r="FGS32" s="1551"/>
      <c r="FGT32" s="1551"/>
      <c r="FGU32" s="1551"/>
      <c r="FGV32" s="1551"/>
      <c r="FGW32" s="1551"/>
      <c r="FGX32" s="1551"/>
      <c r="FGY32" s="1551"/>
      <c r="FGZ32" s="1551"/>
      <c r="FHA32" s="1551"/>
      <c r="FHB32" s="1551"/>
      <c r="FHC32" s="1551"/>
      <c r="FHD32" s="1551"/>
      <c r="FHE32" s="1551"/>
      <c r="FHF32" s="1551"/>
      <c r="FHG32" s="1551"/>
      <c r="FHH32" s="1551"/>
      <c r="FHI32" s="1551"/>
      <c r="FHJ32" s="1551"/>
      <c r="FHK32" s="1551"/>
      <c r="FHL32" s="1551"/>
      <c r="FHM32" s="1551"/>
      <c r="FHN32" s="1551"/>
      <c r="FHO32" s="1551"/>
      <c r="FHP32" s="1551"/>
      <c r="FHQ32" s="1551"/>
      <c r="FHR32" s="1551"/>
      <c r="FHS32" s="1551"/>
      <c r="FHT32" s="1551"/>
      <c r="FHU32" s="1551"/>
      <c r="FHV32" s="1551"/>
      <c r="FHW32" s="1551"/>
      <c r="FHX32" s="1551"/>
      <c r="FHY32" s="1551"/>
      <c r="FHZ32" s="1551"/>
      <c r="FIA32" s="1551"/>
      <c r="FIB32" s="1551"/>
      <c r="FIC32" s="1551"/>
      <c r="FID32" s="1551"/>
      <c r="FIE32" s="1551"/>
      <c r="FIF32" s="1551"/>
      <c r="FIG32" s="1551"/>
      <c r="FIH32" s="1551"/>
      <c r="FII32" s="1551"/>
      <c r="FIJ32" s="1551"/>
      <c r="FIK32" s="1551"/>
      <c r="FIL32" s="1551"/>
      <c r="FIM32" s="1551"/>
      <c r="FIN32" s="1551"/>
      <c r="FIO32" s="1551"/>
      <c r="FIP32" s="1551"/>
      <c r="FIQ32" s="1551"/>
      <c r="FIR32" s="1551"/>
      <c r="FIS32" s="1551"/>
      <c r="FIT32" s="1551"/>
      <c r="FIU32" s="1551"/>
      <c r="FIV32" s="1551"/>
      <c r="FIW32" s="1551"/>
      <c r="FIX32" s="1551"/>
      <c r="FIY32" s="1551"/>
      <c r="FIZ32" s="1551"/>
      <c r="FJA32" s="1551"/>
      <c r="FJB32" s="1551"/>
      <c r="FJC32" s="1551"/>
      <c r="FJD32" s="1551"/>
      <c r="FJE32" s="1551"/>
      <c r="FJF32" s="1551"/>
      <c r="FJG32" s="1551"/>
      <c r="FJH32" s="1551"/>
      <c r="FJI32" s="1551"/>
      <c r="FJJ32" s="1551"/>
      <c r="FJK32" s="1551"/>
      <c r="FJL32" s="1551"/>
      <c r="FJM32" s="1551"/>
      <c r="FJN32" s="1551"/>
      <c r="FJO32" s="1551"/>
      <c r="FJP32" s="1551"/>
      <c r="FJQ32" s="1551"/>
      <c r="FJR32" s="1551"/>
      <c r="FJS32" s="1551"/>
      <c r="FJT32" s="1551"/>
      <c r="FJU32" s="1551"/>
      <c r="FJV32" s="1551"/>
      <c r="FJW32" s="1551"/>
      <c r="FJX32" s="1551"/>
      <c r="FJY32" s="1551"/>
      <c r="FJZ32" s="1551"/>
      <c r="FKA32" s="1551"/>
      <c r="FKB32" s="1551"/>
      <c r="FKC32" s="1551"/>
      <c r="FKD32" s="1551"/>
      <c r="FKE32" s="1551"/>
      <c r="FKF32" s="1551"/>
      <c r="FKG32" s="1551"/>
      <c r="FKH32" s="1551"/>
      <c r="FKI32" s="1551"/>
      <c r="FKJ32" s="1551"/>
      <c r="FKK32" s="1551"/>
      <c r="FKL32" s="1551"/>
      <c r="FKM32" s="1551"/>
      <c r="FKN32" s="1551"/>
      <c r="FKO32" s="1551"/>
      <c r="FKP32" s="1551"/>
      <c r="FKQ32" s="1551"/>
      <c r="FKR32" s="1551"/>
      <c r="FKS32" s="1551"/>
      <c r="FKT32" s="1551"/>
      <c r="FKU32" s="1551"/>
      <c r="FKV32" s="1551"/>
      <c r="FKW32" s="1551"/>
      <c r="FKX32" s="1551"/>
      <c r="FKY32" s="1551"/>
      <c r="FKZ32" s="1551"/>
      <c r="FLA32" s="1551"/>
      <c r="FLB32" s="1551"/>
      <c r="FLC32" s="1551"/>
      <c r="FLD32" s="1551"/>
      <c r="FLE32" s="1551"/>
      <c r="FLF32" s="1551"/>
      <c r="FLG32" s="1551"/>
      <c r="FLH32" s="1551"/>
      <c r="FLI32" s="1551"/>
      <c r="FLJ32" s="1551"/>
      <c r="FLK32" s="1551"/>
      <c r="FLL32" s="1551"/>
      <c r="FLM32" s="1551"/>
      <c r="FLN32" s="1551"/>
      <c r="FLO32" s="1551"/>
      <c r="FLP32" s="1551"/>
      <c r="FLQ32" s="1551"/>
      <c r="FLR32" s="1551"/>
      <c r="FLS32" s="1551"/>
      <c r="FLT32" s="1551"/>
      <c r="FLU32" s="1551"/>
      <c r="FLV32" s="1551"/>
      <c r="FLW32" s="1551"/>
      <c r="FLX32" s="1551"/>
      <c r="FLY32" s="1551"/>
      <c r="FLZ32" s="1551"/>
      <c r="FMA32" s="1551"/>
      <c r="FMB32" s="1551"/>
      <c r="FMC32" s="1551"/>
      <c r="FMD32" s="1551"/>
      <c r="FME32" s="1551"/>
      <c r="FMF32" s="1551"/>
      <c r="FMG32" s="1551"/>
      <c r="FMH32" s="1551"/>
      <c r="FMI32" s="1551"/>
      <c r="FMJ32" s="1551"/>
      <c r="FMK32" s="1551"/>
      <c r="FML32" s="1551"/>
      <c r="FMM32" s="1551"/>
      <c r="FMN32" s="1551"/>
      <c r="FMO32" s="1551"/>
      <c r="FMP32" s="1551"/>
      <c r="FMQ32" s="1551"/>
      <c r="FMR32" s="1551"/>
      <c r="FMS32" s="1551"/>
      <c r="FMT32" s="1551"/>
      <c r="FMU32" s="1551"/>
      <c r="FMV32" s="1551"/>
      <c r="FMW32" s="1551"/>
      <c r="FMX32" s="1551"/>
      <c r="FMY32" s="1551"/>
      <c r="FMZ32" s="1551"/>
      <c r="FNA32" s="1551"/>
      <c r="FNB32" s="1551"/>
      <c r="FNC32" s="1551"/>
      <c r="FND32" s="1551"/>
      <c r="FNE32" s="1551"/>
      <c r="FNF32" s="1551"/>
      <c r="FNG32" s="1551"/>
      <c r="FNH32" s="1551"/>
      <c r="FNI32" s="1551"/>
      <c r="FNJ32" s="1551"/>
      <c r="FNK32" s="1551"/>
      <c r="FNL32" s="1551"/>
      <c r="FNM32" s="1551"/>
      <c r="FNN32" s="1551"/>
      <c r="FNO32" s="1551"/>
      <c r="FNP32" s="1551"/>
      <c r="FNQ32" s="1551"/>
      <c r="FNR32" s="1551"/>
      <c r="FNS32" s="1551"/>
      <c r="FNT32" s="1551"/>
      <c r="FNU32" s="1551"/>
      <c r="FNV32" s="1551"/>
      <c r="FNW32" s="1551"/>
      <c r="FNX32" s="1551"/>
      <c r="FNY32" s="1551"/>
      <c r="FNZ32" s="1551"/>
      <c r="FOA32" s="1551"/>
      <c r="FOB32" s="1551"/>
      <c r="FOC32" s="1551"/>
      <c r="FOD32" s="1551"/>
      <c r="FOE32" s="1551"/>
      <c r="FOF32" s="1551"/>
      <c r="FOG32" s="1551"/>
      <c r="FOH32" s="1551"/>
      <c r="FOI32" s="1551"/>
      <c r="FOJ32" s="1551"/>
      <c r="FOK32" s="1551"/>
      <c r="FOL32" s="1551"/>
      <c r="FOM32" s="1551"/>
      <c r="FON32" s="1551"/>
      <c r="FOO32" s="1551"/>
      <c r="FOP32" s="1551"/>
      <c r="FOQ32" s="1551"/>
      <c r="FOR32" s="1551"/>
      <c r="FOS32" s="1551"/>
      <c r="FOT32" s="1551"/>
      <c r="FOU32" s="1551"/>
      <c r="FOV32" s="1551"/>
      <c r="FOW32" s="1551"/>
      <c r="FOX32" s="1551"/>
      <c r="FOY32" s="1551"/>
      <c r="FOZ32" s="1551"/>
      <c r="FPA32" s="1551"/>
      <c r="FPB32" s="1551"/>
      <c r="FPC32" s="1551"/>
      <c r="FPD32" s="1551"/>
      <c r="FPE32" s="1551"/>
      <c r="FPF32" s="1551"/>
      <c r="FPG32" s="1551"/>
      <c r="FPH32" s="1551"/>
      <c r="FPI32" s="1551"/>
      <c r="FPJ32" s="1551"/>
      <c r="FPK32" s="1551"/>
      <c r="FPL32" s="1551"/>
      <c r="FPM32" s="1551"/>
      <c r="FPN32" s="1551"/>
      <c r="FPO32" s="1551"/>
      <c r="FPP32" s="1551"/>
      <c r="FPQ32" s="1551"/>
      <c r="FPR32" s="1551"/>
      <c r="FPS32" s="1551"/>
      <c r="FPT32" s="1551"/>
      <c r="FPU32" s="1551"/>
      <c r="FPV32" s="1551"/>
      <c r="FPW32" s="1551"/>
      <c r="FPX32" s="1551"/>
      <c r="FPY32" s="1551"/>
      <c r="FPZ32" s="1551"/>
      <c r="FQA32" s="1551"/>
      <c r="FQB32" s="1551"/>
      <c r="FQC32" s="1551"/>
      <c r="FQD32" s="1551"/>
      <c r="FQE32" s="1551"/>
      <c r="FQF32" s="1551"/>
      <c r="FQG32" s="1551"/>
      <c r="FQH32" s="1551"/>
      <c r="FQI32" s="1551"/>
      <c r="FQJ32" s="1551"/>
      <c r="FQK32" s="1551"/>
      <c r="FQL32" s="1551"/>
      <c r="FQM32" s="1551"/>
      <c r="FQN32" s="1551"/>
      <c r="FQO32" s="1551"/>
      <c r="FQP32" s="1551"/>
      <c r="FQQ32" s="1551"/>
      <c r="FQR32" s="1551"/>
      <c r="FQS32" s="1551"/>
      <c r="FQT32" s="1551"/>
      <c r="FQU32" s="1551"/>
      <c r="FQV32" s="1551"/>
      <c r="FQW32" s="1551"/>
      <c r="FQX32" s="1551"/>
      <c r="FQY32" s="1551"/>
      <c r="FQZ32" s="1551"/>
      <c r="FRA32" s="1551"/>
      <c r="FRB32" s="1551"/>
      <c r="FRC32" s="1551"/>
      <c r="FRD32" s="1551"/>
      <c r="FRE32" s="1551"/>
      <c r="FRF32" s="1551"/>
      <c r="FRG32" s="1551"/>
      <c r="FRH32" s="1551"/>
      <c r="FRI32" s="1551"/>
      <c r="FRJ32" s="1551"/>
      <c r="FRK32" s="1551"/>
      <c r="FRL32" s="1551"/>
      <c r="FRM32" s="1551"/>
      <c r="FRN32" s="1551"/>
      <c r="FRO32" s="1551"/>
      <c r="FRP32" s="1551"/>
      <c r="FRQ32" s="1551"/>
      <c r="FRR32" s="1551"/>
      <c r="FRS32" s="1551"/>
      <c r="FRT32" s="1551"/>
      <c r="FRU32" s="1551"/>
      <c r="FRV32" s="1551"/>
      <c r="FRW32" s="1551"/>
      <c r="FRX32" s="1551"/>
      <c r="FRY32" s="1551"/>
      <c r="FRZ32" s="1551"/>
      <c r="FSA32" s="1551"/>
      <c r="FSB32" s="1551"/>
      <c r="FSC32" s="1551"/>
      <c r="FSD32" s="1551"/>
      <c r="FSE32" s="1551"/>
      <c r="FSF32" s="1551"/>
      <c r="FSG32" s="1551"/>
      <c r="FSH32" s="1551"/>
      <c r="FSI32" s="1551"/>
      <c r="FSJ32" s="1551"/>
      <c r="FSK32" s="1551"/>
      <c r="FSL32" s="1551"/>
      <c r="FSM32" s="1551"/>
      <c r="FSN32" s="1551"/>
      <c r="FSO32" s="1551"/>
      <c r="FSP32" s="1551"/>
      <c r="FSQ32" s="1551"/>
      <c r="FSR32" s="1551"/>
      <c r="FSS32" s="1551"/>
      <c r="FST32" s="1551"/>
      <c r="FSU32" s="1551"/>
      <c r="FSV32" s="1551"/>
      <c r="FSW32" s="1551"/>
      <c r="FSX32" s="1551"/>
      <c r="FSY32" s="1551"/>
      <c r="FSZ32" s="1551"/>
      <c r="FTA32" s="1551"/>
      <c r="FTB32" s="1551"/>
      <c r="FTC32" s="1551"/>
      <c r="FTD32" s="1551"/>
      <c r="FTE32" s="1551"/>
      <c r="FTF32" s="1551"/>
      <c r="FTG32" s="1551"/>
      <c r="FTH32" s="1551"/>
      <c r="FTI32" s="1551"/>
      <c r="FTJ32" s="1551"/>
      <c r="FTK32" s="1551"/>
      <c r="FTL32" s="1551"/>
      <c r="FTM32" s="1551"/>
      <c r="FTN32" s="1551"/>
      <c r="FTO32" s="1551"/>
      <c r="FTP32" s="1551"/>
      <c r="FTQ32" s="1551"/>
      <c r="FTR32" s="1551"/>
      <c r="FTS32" s="1551"/>
      <c r="FTT32" s="1551"/>
      <c r="FTU32" s="1551"/>
      <c r="FTV32" s="1551"/>
      <c r="FTW32" s="1551"/>
      <c r="FTX32" s="1551"/>
      <c r="FTY32" s="1551"/>
      <c r="FTZ32" s="1551"/>
      <c r="FUA32" s="1551"/>
      <c r="FUB32" s="1551"/>
      <c r="FUC32" s="1551"/>
      <c r="FUD32" s="1551"/>
      <c r="FUE32" s="1551"/>
      <c r="FUF32" s="1551"/>
      <c r="FUG32" s="1551"/>
      <c r="FUH32" s="1551"/>
      <c r="FUI32" s="1551"/>
      <c r="FUJ32" s="1551"/>
      <c r="FUK32" s="1551"/>
      <c r="FUL32" s="1551"/>
      <c r="FUM32" s="1551"/>
      <c r="FUN32" s="1551"/>
      <c r="FUO32" s="1551"/>
      <c r="FUP32" s="1551"/>
      <c r="FUQ32" s="1551"/>
      <c r="FUR32" s="1551"/>
      <c r="FUS32" s="1551"/>
      <c r="FUT32" s="1551"/>
      <c r="FUU32" s="1551"/>
      <c r="FUV32" s="1551"/>
      <c r="FUW32" s="1551"/>
      <c r="FUX32" s="1551"/>
      <c r="FUY32" s="1551"/>
      <c r="FUZ32" s="1551"/>
      <c r="FVA32" s="1551"/>
      <c r="FVB32" s="1551"/>
      <c r="FVC32" s="1551"/>
      <c r="FVD32" s="1551"/>
      <c r="FVE32" s="1551"/>
      <c r="FVF32" s="1551"/>
      <c r="FVG32" s="1551"/>
      <c r="FVH32" s="1551"/>
      <c r="FVI32" s="1551"/>
      <c r="FVJ32" s="1551"/>
      <c r="FVK32" s="1551"/>
      <c r="FVL32" s="1551"/>
      <c r="FVM32" s="1551"/>
      <c r="FVN32" s="1551"/>
      <c r="FVO32" s="1551"/>
      <c r="FVP32" s="1551"/>
      <c r="FVQ32" s="1551"/>
      <c r="FVR32" s="1551"/>
      <c r="FVS32" s="1551"/>
      <c r="FVT32" s="1551"/>
      <c r="FVU32" s="1551"/>
      <c r="FVV32" s="1551"/>
      <c r="FVW32" s="1551"/>
      <c r="FVX32" s="1551"/>
      <c r="FVY32" s="1551"/>
      <c r="FVZ32" s="1551"/>
      <c r="FWA32" s="1551"/>
      <c r="FWB32" s="1551"/>
      <c r="FWC32" s="1551"/>
      <c r="FWD32" s="1551"/>
      <c r="FWE32" s="1551"/>
      <c r="FWF32" s="1551"/>
      <c r="FWG32" s="1551"/>
      <c r="FWH32" s="1551"/>
      <c r="FWI32" s="1551"/>
      <c r="FWJ32" s="1551"/>
      <c r="FWK32" s="1551"/>
      <c r="FWL32" s="1551"/>
      <c r="FWM32" s="1551"/>
      <c r="FWN32" s="1551"/>
      <c r="FWO32" s="1551"/>
      <c r="FWP32" s="1551"/>
      <c r="FWQ32" s="1551"/>
      <c r="FWR32" s="1551"/>
      <c r="FWS32" s="1551"/>
      <c r="FWT32" s="1551"/>
      <c r="FWU32" s="1551"/>
      <c r="FWV32" s="1551"/>
      <c r="FWW32" s="1551"/>
      <c r="FWX32" s="1551"/>
      <c r="FWY32" s="1551"/>
      <c r="FWZ32" s="1551"/>
      <c r="FXA32" s="1551"/>
      <c r="FXB32" s="1551"/>
      <c r="FXC32" s="1551"/>
      <c r="FXD32" s="1551"/>
      <c r="FXE32" s="1551"/>
      <c r="FXF32" s="1551"/>
      <c r="FXG32" s="1551"/>
      <c r="FXH32" s="1551"/>
      <c r="FXI32" s="1551"/>
      <c r="FXJ32" s="1551"/>
      <c r="FXK32" s="1551"/>
      <c r="FXL32" s="1551"/>
      <c r="FXM32" s="1551"/>
      <c r="FXN32" s="1551"/>
      <c r="FXO32" s="1551"/>
      <c r="FXP32" s="1551"/>
      <c r="FXQ32" s="1551"/>
      <c r="FXR32" s="1551"/>
      <c r="FXS32" s="1551"/>
      <c r="FXT32" s="1551"/>
      <c r="FXU32" s="1551"/>
      <c r="FXV32" s="1551"/>
      <c r="FXW32" s="1551"/>
      <c r="FXX32" s="1551"/>
      <c r="FXY32" s="1551"/>
      <c r="FXZ32" s="1551"/>
      <c r="FYA32" s="1551"/>
      <c r="FYB32" s="1551"/>
      <c r="FYC32" s="1551"/>
      <c r="FYD32" s="1551"/>
      <c r="FYE32" s="1551"/>
      <c r="FYF32" s="1551"/>
      <c r="FYG32" s="1551"/>
      <c r="FYH32" s="1551"/>
      <c r="FYI32" s="1551"/>
      <c r="FYJ32" s="1551"/>
      <c r="FYK32" s="1551"/>
      <c r="FYL32" s="1551"/>
      <c r="FYM32" s="1551"/>
      <c r="FYN32" s="1551"/>
      <c r="FYO32" s="1551"/>
      <c r="FYP32" s="1551"/>
      <c r="FYQ32" s="1551"/>
      <c r="FYR32" s="1551"/>
      <c r="FYS32" s="1551"/>
      <c r="FYT32" s="1551"/>
      <c r="FYU32" s="1551"/>
      <c r="FYV32" s="1551"/>
      <c r="FYW32" s="1551"/>
      <c r="FYX32" s="1551"/>
      <c r="FYY32" s="1551"/>
      <c r="FYZ32" s="1551"/>
      <c r="FZA32" s="1551"/>
      <c r="FZB32" s="1551"/>
      <c r="FZC32" s="1551"/>
      <c r="FZD32" s="1551"/>
      <c r="FZE32" s="1551"/>
      <c r="FZF32" s="1551"/>
      <c r="FZG32" s="1551"/>
      <c r="FZH32" s="1551"/>
      <c r="FZI32" s="1551"/>
      <c r="FZJ32" s="1551"/>
      <c r="FZK32" s="1551"/>
      <c r="FZL32" s="1551"/>
      <c r="FZM32" s="1551"/>
      <c r="FZN32" s="1551"/>
      <c r="FZO32" s="1551"/>
      <c r="FZP32" s="1551"/>
      <c r="FZQ32" s="1551"/>
      <c r="FZR32" s="1551"/>
      <c r="FZS32" s="1551"/>
      <c r="FZT32" s="1551"/>
      <c r="FZU32" s="1551"/>
      <c r="FZV32" s="1551"/>
      <c r="FZW32" s="1551"/>
      <c r="FZX32" s="1551"/>
      <c r="FZY32" s="1551"/>
      <c r="FZZ32" s="1551"/>
      <c r="GAA32" s="1551"/>
      <c r="GAB32" s="1551"/>
      <c r="GAC32" s="1551"/>
      <c r="GAD32" s="1551"/>
      <c r="GAE32" s="1551"/>
      <c r="GAF32" s="1551"/>
      <c r="GAG32" s="1551"/>
      <c r="GAH32" s="1551"/>
      <c r="GAI32" s="1551"/>
      <c r="GAJ32" s="1551"/>
      <c r="GAK32" s="1551"/>
      <c r="GAL32" s="1551"/>
      <c r="GAM32" s="1551"/>
      <c r="GAN32" s="1551"/>
      <c r="GAO32" s="1551"/>
      <c r="GAP32" s="1551"/>
      <c r="GAQ32" s="1551"/>
      <c r="GAR32" s="1551"/>
      <c r="GAS32" s="1551"/>
      <c r="GAT32" s="1551"/>
      <c r="GAU32" s="1551"/>
      <c r="GAV32" s="1551"/>
      <c r="GAW32" s="1551"/>
      <c r="GAX32" s="1551"/>
      <c r="GAY32" s="1551"/>
      <c r="GAZ32" s="1551"/>
      <c r="GBA32" s="1551"/>
      <c r="GBB32" s="1551"/>
      <c r="GBC32" s="1551"/>
      <c r="GBD32" s="1551"/>
      <c r="GBE32" s="1551"/>
      <c r="GBF32" s="1551"/>
      <c r="GBG32" s="1551"/>
      <c r="GBH32" s="1551"/>
      <c r="GBI32" s="1551"/>
      <c r="GBJ32" s="1551"/>
      <c r="GBK32" s="1551"/>
      <c r="GBL32" s="1551"/>
      <c r="GBM32" s="1551"/>
      <c r="GBN32" s="1551"/>
      <c r="GBO32" s="1551"/>
      <c r="GBP32" s="1551"/>
      <c r="GBQ32" s="1551"/>
      <c r="GBR32" s="1551"/>
      <c r="GBS32" s="1551"/>
      <c r="GBT32" s="1551"/>
      <c r="GBU32" s="1551"/>
      <c r="GBV32" s="1551"/>
      <c r="GBW32" s="1551"/>
      <c r="GBX32" s="1551"/>
      <c r="GBY32" s="1551"/>
      <c r="GBZ32" s="1551"/>
      <c r="GCA32" s="1551"/>
      <c r="GCB32" s="1551"/>
      <c r="GCC32" s="1551"/>
      <c r="GCD32" s="1551"/>
      <c r="GCE32" s="1551"/>
      <c r="GCF32" s="1551"/>
      <c r="GCG32" s="1551"/>
      <c r="GCH32" s="1551"/>
      <c r="GCI32" s="1551"/>
      <c r="GCJ32" s="1551"/>
      <c r="GCK32" s="1551"/>
      <c r="GCL32" s="1551"/>
      <c r="GCM32" s="1551"/>
      <c r="GCN32" s="1551"/>
      <c r="GCO32" s="1551"/>
      <c r="GCP32" s="1551"/>
      <c r="GCQ32" s="1551"/>
      <c r="GCR32" s="1551"/>
      <c r="GCS32" s="1551"/>
      <c r="GCT32" s="1551"/>
      <c r="GCU32" s="1551"/>
      <c r="GCV32" s="1551"/>
      <c r="GCW32" s="1551"/>
      <c r="GCX32" s="1551"/>
      <c r="GCY32" s="1551"/>
      <c r="GCZ32" s="1551"/>
      <c r="GDA32" s="1551"/>
      <c r="GDB32" s="1551"/>
      <c r="GDC32" s="1551"/>
      <c r="GDD32" s="1551"/>
      <c r="GDE32" s="1551"/>
      <c r="GDF32" s="1551"/>
      <c r="GDG32" s="1551"/>
      <c r="GDH32" s="1551"/>
      <c r="GDI32" s="1551"/>
      <c r="GDJ32" s="1551"/>
      <c r="GDK32" s="1551"/>
      <c r="GDL32" s="1551"/>
      <c r="GDM32" s="1551"/>
      <c r="GDN32" s="1551"/>
      <c r="GDO32" s="1551"/>
      <c r="GDP32" s="1551"/>
      <c r="GDQ32" s="1551"/>
      <c r="GDR32" s="1551"/>
      <c r="GDS32" s="1551"/>
      <c r="GDT32" s="1551"/>
      <c r="GDU32" s="1551"/>
      <c r="GDV32" s="1551"/>
      <c r="GDW32" s="1551"/>
      <c r="GDX32" s="1551"/>
      <c r="GDY32" s="1551"/>
      <c r="GDZ32" s="1551"/>
      <c r="GEA32" s="1551"/>
      <c r="GEB32" s="1551"/>
      <c r="GEC32" s="1551"/>
      <c r="GED32" s="1551"/>
      <c r="GEE32" s="1551"/>
      <c r="GEF32" s="1551"/>
      <c r="GEG32" s="1551"/>
      <c r="GEH32" s="1551"/>
      <c r="GEI32" s="1551"/>
      <c r="GEJ32" s="1551"/>
      <c r="GEK32" s="1551"/>
      <c r="GEL32" s="1551"/>
      <c r="GEM32" s="1551"/>
      <c r="GEN32" s="1551"/>
      <c r="GEO32" s="1551"/>
      <c r="GEP32" s="1551"/>
      <c r="GEQ32" s="1551"/>
      <c r="GER32" s="1551"/>
      <c r="GES32" s="1551"/>
      <c r="GET32" s="1551"/>
      <c r="GEU32" s="1551"/>
      <c r="GEV32" s="1551"/>
      <c r="GEW32" s="1551"/>
      <c r="GEX32" s="1551"/>
      <c r="GEY32" s="1551"/>
      <c r="GEZ32" s="1551"/>
      <c r="GFA32" s="1551"/>
      <c r="GFB32" s="1551"/>
      <c r="GFC32" s="1551"/>
      <c r="GFD32" s="1551"/>
      <c r="GFE32" s="1551"/>
      <c r="GFF32" s="1551"/>
      <c r="GFG32" s="1551"/>
      <c r="GFH32" s="1551"/>
      <c r="GFI32" s="1551"/>
      <c r="GFJ32" s="1551"/>
      <c r="GFK32" s="1551"/>
      <c r="GFL32" s="1551"/>
      <c r="GFM32" s="1551"/>
      <c r="GFN32" s="1551"/>
      <c r="GFO32" s="1551"/>
      <c r="GFP32" s="1551"/>
      <c r="GFQ32" s="1551"/>
      <c r="GFR32" s="1551"/>
      <c r="GFS32" s="1551"/>
      <c r="GFT32" s="1551"/>
      <c r="GFU32" s="1551"/>
      <c r="GFV32" s="1551"/>
      <c r="GFW32" s="1551"/>
      <c r="GFX32" s="1551"/>
      <c r="GFY32" s="1551"/>
      <c r="GFZ32" s="1551"/>
      <c r="GGA32" s="1551"/>
      <c r="GGB32" s="1551"/>
      <c r="GGC32" s="1551"/>
      <c r="GGD32" s="1551"/>
      <c r="GGE32" s="1551"/>
      <c r="GGF32" s="1551"/>
      <c r="GGG32" s="1551"/>
      <c r="GGH32" s="1551"/>
      <c r="GGI32" s="1551"/>
      <c r="GGJ32" s="1551"/>
      <c r="GGK32" s="1551"/>
      <c r="GGL32" s="1551"/>
      <c r="GGM32" s="1551"/>
      <c r="GGN32" s="1551"/>
      <c r="GGO32" s="1551"/>
      <c r="GGP32" s="1551"/>
      <c r="GGQ32" s="1551"/>
      <c r="GGR32" s="1551"/>
      <c r="GGS32" s="1551"/>
      <c r="GGT32" s="1551"/>
      <c r="GGU32" s="1551"/>
      <c r="GGV32" s="1551"/>
      <c r="GGW32" s="1551"/>
      <c r="GGX32" s="1551"/>
      <c r="GGY32" s="1551"/>
      <c r="GGZ32" s="1551"/>
      <c r="GHA32" s="1551"/>
      <c r="GHB32" s="1551"/>
      <c r="GHC32" s="1551"/>
      <c r="GHD32" s="1551"/>
      <c r="GHE32" s="1551"/>
      <c r="GHF32" s="1551"/>
      <c r="GHG32" s="1551"/>
      <c r="GHH32" s="1551"/>
      <c r="GHI32" s="1551"/>
      <c r="GHJ32" s="1551"/>
      <c r="GHK32" s="1551"/>
      <c r="GHL32" s="1551"/>
      <c r="GHM32" s="1551"/>
      <c r="GHN32" s="1551"/>
      <c r="GHO32" s="1551"/>
      <c r="GHP32" s="1551"/>
      <c r="GHQ32" s="1551"/>
      <c r="GHR32" s="1551"/>
      <c r="GHS32" s="1551"/>
      <c r="GHT32" s="1551"/>
      <c r="GHU32" s="1551"/>
      <c r="GHV32" s="1551"/>
      <c r="GHW32" s="1551"/>
      <c r="GHX32" s="1551"/>
      <c r="GHY32" s="1551"/>
      <c r="GHZ32" s="1551"/>
      <c r="GIA32" s="1551"/>
      <c r="GIB32" s="1551"/>
      <c r="GIC32" s="1551"/>
      <c r="GID32" s="1551"/>
      <c r="GIE32" s="1551"/>
      <c r="GIF32" s="1551"/>
      <c r="GIG32" s="1551"/>
      <c r="GIH32" s="1551"/>
      <c r="GII32" s="1551"/>
      <c r="GIJ32" s="1551"/>
      <c r="GIK32" s="1551"/>
      <c r="GIL32" s="1551"/>
      <c r="GIM32" s="1551"/>
      <c r="GIN32" s="1551"/>
      <c r="GIO32" s="1551"/>
      <c r="GIP32" s="1551"/>
      <c r="GIQ32" s="1551"/>
      <c r="GIR32" s="1551"/>
      <c r="GIS32" s="1551"/>
      <c r="GIT32" s="1551"/>
      <c r="GIU32" s="1551"/>
      <c r="GIV32" s="1551"/>
      <c r="GIW32" s="1551"/>
      <c r="GIX32" s="1551"/>
      <c r="GIY32" s="1551"/>
      <c r="GIZ32" s="1551"/>
      <c r="GJA32" s="1551"/>
      <c r="GJB32" s="1551"/>
      <c r="GJC32" s="1551"/>
      <c r="GJD32" s="1551"/>
      <c r="GJE32" s="1551"/>
      <c r="GJF32" s="1551"/>
      <c r="GJG32" s="1551"/>
      <c r="GJH32" s="1551"/>
      <c r="GJI32" s="1551"/>
      <c r="GJJ32" s="1551"/>
      <c r="GJK32" s="1551"/>
      <c r="GJL32" s="1551"/>
      <c r="GJM32" s="1551"/>
      <c r="GJN32" s="1551"/>
      <c r="GJO32" s="1551"/>
      <c r="GJP32" s="1551"/>
      <c r="GJQ32" s="1551"/>
      <c r="GJR32" s="1551"/>
      <c r="GJS32" s="1551"/>
      <c r="GJT32" s="1551"/>
      <c r="GJU32" s="1551"/>
      <c r="GJV32" s="1551"/>
      <c r="GJW32" s="1551"/>
      <c r="GJX32" s="1551"/>
      <c r="GJY32" s="1551"/>
      <c r="GJZ32" s="1551"/>
      <c r="GKA32" s="1551"/>
      <c r="GKB32" s="1551"/>
      <c r="GKC32" s="1551"/>
      <c r="GKD32" s="1551"/>
      <c r="GKE32" s="1551"/>
      <c r="GKF32" s="1551"/>
      <c r="GKG32" s="1551"/>
      <c r="GKH32" s="1551"/>
      <c r="GKI32" s="1551"/>
      <c r="GKJ32" s="1551"/>
      <c r="GKK32" s="1551"/>
      <c r="GKL32" s="1551"/>
      <c r="GKM32" s="1551"/>
      <c r="GKN32" s="1551"/>
      <c r="GKO32" s="1551"/>
      <c r="GKP32" s="1551"/>
      <c r="GKQ32" s="1551"/>
      <c r="GKR32" s="1551"/>
      <c r="GKS32" s="1551"/>
      <c r="GKT32" s="1551"/>
      <c r="GKU32" s="1551"/>
      <c r="GKV32" s="1551"/>
      <c r="GKW32" s="1551"/>
      <c r="GKX32" s="1551"/>
      <c r="GKY32" s="1551"/>
      <c r="GKZ32" s="1551"/>
      <c r="GLA32" s="1551"/>
      <c r="GLB32" s="1551"/>
      <c r="GLC32" s="1551"/>
      <c r="GLD32" s="1551"/>
      <c r="GLE32" s="1551"/>
      <c r="GLF32" s="1551"/>
      <c r="GLG32" s="1551"/>
      <c r="GLH32" s="1551"/>
      <c r="GLI32" s="1551"/>
      <c r="GLJ32" s="1551"/>
      <c r="GLK32" s="1551"/>
      <c r="GLL32" s="1551"/>
      <c r="GLM32" s="1551"/>
      <c r="GLN32" s="1551"/>
      <c r="GLO32" s="1551"/>
      <c r="GLP32" s="1551"/>
      <c r="GLQ32" s="1551"/>
      <c r="GLR32" s="1551"/>
      <c r="GLS32" s="1551"/>
      <c r="GLT32" s="1551"/>
      <c r="GLU32" s="1551"/>
      <c r="GLV32" s="1551"/>
      <c r="GLW32" s="1551"/>
      <c r="GLX32" s="1551"/>
      <c r="GLY32" s="1551"/>
      <c r="GLZ32" s="1551"/>
      <c r="GMA32" s="1551"/>
      <c r="GMB32" s="1551"/>
      <c r="GMC32" s="1551"/>
      <c r="GMD32" s="1551"/>
      <c r="GME32" s="1551"/>
      <c r="GMF32" s="1551"/>
      <c r="GMG32" s="1551"/>
      <c r="GMH32" s="1551"/>
      <c r="GMI32" s="1551"/>
      <c r="GMJ32" s="1551"/>
      <c r="GMK32" s="1551"/>
      <c r="GML32" s="1551"/>
      <c r="GMM32" s="1551"/>
      <c r="GMN32" s="1551"/>
      <c r="GMO32" s="1551"/>
      <c r="GMP32" s="1551"/>
      <c r="GMQ32" s="1551"/>
      <c r="GMR32" s="1551"/>
      <c r="GMS32" s="1551"/>
      <c r="GMT32" s="1551"/>
      <c r="GMU32" s="1551"/>
      <c r="GMV32" s="1551"/>
      <c r="GMW32" s="1551"/>
      <c r="GMX32" s="1551"/>
      <c r="GMY32" s="1551"/>
      <c r="GMZ32" s="1551"/>
      <c r="GNA32" s="1551"/>
      <c r="GNB32" s="1551"/>
      <c r="GNC32" s="1551"/>
      <c r="GND32" s="1551"/>
      <c r="GNE32" s="1551"/>
      <c r="GNF32" s="1551"/>
      <c r="GNG32" s="1551"/>
      <c r="GNH32" s="1551"/>
      <c r="GNI32" s="1551"/>
      <c r="GNJ32" s="1551"/>
      <c r="GNK32" s="1551"/>
      <c r="GNL32" s="1551"/>
      <c r="GNM32" s="1551"/>
      <c r="GNN32" s="1551"/>
      <c r="GNO32" s="1551"/>
      <c r="GNP32" s="1551"/>
      <c r="GNQ32" s="1551"/>
      <c r="GNR32" s="1551"/>
      <c r="GNS32" s="1551"/>
      <c r="GNT32" s="1551"/>
      <c r="GNU32" s="1551"/>
      <c r="GNV32" s="1551"/>
      <c r="GNW32" s="1551"/>
      <c r="GNX32" s="1551"/>
      <c r="GNY32" s="1551"/>
      <c r="GNZ32" s="1551"/>
      <c r="GOA32" s="1551"/>
      <c r="GOB32" s="1551"/>
      <c r="GOC32" s="1551"/>
      <c r="GOD32" s="1551"/>
      <c r="GOE32" s="1551"/>
      <c r="GOF32" s="1551"/>
      <c r="GOG32" s="1551"/>
      <c r="GOH32" s="1551"/>
      <c r="GOI32" s="1551"/>
      <c r="GOJ32" s="1551"/>
      <c r="GOK32" s="1551"/>
      <c r="GOL32" s="1551"/>
      <c r="GOM32" s="1551"/>
      <c r="GON32" s="1551"/>
      <c r="GOO32" s="1551"/>
      <c r="GOP32" s="1551"/>
      <c r="GOQ32" s="1551"/>
      <c r="GOR32" s="1551"/>
      <c r="GOS32" s="1551"/>
      <c r="GOT32" s="1551"/>
      <c r="GOU32" s="1551"/>
      <c r="GOV32" s="1551"/>
      <c r="GOW32" s="1551"/>
      <c r="GOX32" s="1551"/>
      <c r="GOY32" s="1551"/>
      <c r="GOZ32" s="1551"/>
      <c r="GPA32" s="1551"/>
      <c r="GPB32" s="1551"/>
      <c r="GPC32" s="1551"/>
      <c r="GPD32" s="1551"/>
      <c r="GPE32" s="1551"/>
      <c r="GPF32" s="1551"/>
      <c r="GPG32" s="1551"/>
      <c r="GPH32" s="1551"/>
      <c r="GPI32" s="1551"/>
      <c r="GPJ32" s="1551"/>
      <c r="GPK32" s="1551"/>
      <c r="GPL32" s="1551"/>
      <c r="GPM32" s="1551"/>
      <c r="GPN32" s="1551"/>
      <c r="GPO32" s="1551"/>
      <c r="GPP32" s="1551"/>
      <c r="GPQ32" s="1551"/>
      <c r="GPR32" s="1551"/>
      <c r="GPS32" s="1551"/>
      <c r="GPT32" s="1551"/>
      <c r="GPU32" s="1551"/>
      <c r="GPV32" s="1551"/>
      <c r="GPW32" s="1551"/>
      <c r="GPX32" s="1551"/>
      <c r="GPY32" s="1551"/>
      <c r="GPZ32" s="1551"/>
      <c r="GQA32" s="1551"/>
      <c r="GQB32" s="1551"/>
      <c r="GQC32" s="1551"/>
      <c r="GQD32" s="1551"/>
      <c r="GQE32" s="1551"/>
      <c r="GQF32" s="1551"/>
      <c r="GQG32" s="1551"/>
      <c r="GQH32" s="1551"/>
      <c r="GQI32" s="1551"/>
      <c r="GQJ32" s="1551"/>
      <c r="GQK32" s="1551"/>
      <c r="GQL32" s="1551"/>
      <c r="GQM32" s="1551"/>
      <c r="GQN32" s="1551"/>
      <c r="GQO32" s="1551"/>
      <c r="GQP32" s="1551"/>
      <c r="GQQ32" s="1551"/>
      <c r="GQR32" s="1551"/>
      <c r="GQS32" s="1551"/>
      <c r="GQT32" s="1551"/>
      <c r="GQU32" s="1551"/>
      <c r="GQV32" s="1551"/>
      <c r="GQW32" s="1551"/>
      <c r="GQX32" s="1551"/>
      <c r="GQY32" s="1551"/>
      <c r="GQZ32" s="1551"/>
      <c r="GRA32" s="1551"/>
      <c r="GRB32" s="1551"/>
      <c r="GRC32" s="1551"/>
      <c r="GRD32" s="1551"/>
      <c r="GRE32" s="1551"/>
      <c r="GRF32" s="1551"/>
      <c r="GRG32" s="1551"/>
      <c r="GRH32" s="1551"/>
      <c r="GRI32" s="1551"/>
      <c r="GRJ32" s="1551"/>
      <c r="GRK32" s="1551"/>
      <c r="GRL32" s="1551"/>
      <c r="GRM32" s="1551"/>
      <c r="GRN32" s="1551"/>
      <c r="GRO32" s="1551"/>
      <c r="GRP32" s="1551"/>
      <c r="GRQ32" s="1551"/>
      <c r="GRR32" s="1551"/>
      <c r="GRS32" s="1551"/>
      <c r="GRT32" s="1551"/>
      <c r="GRU32" s="1551"/>
      <c r="GRV32" s="1551"/>
      <c r="GRW32" s="1551"/>
      <c r="GRX32" s="1551"/>
      <c r="GRY32" s="1551"/>
      <c r="GRZ32" s="1551"/>
      <c r="GSA32" s="1551"/>
      <c r="GSB32" s="1551"/>
      <c r="GSC32" s="1551"/>
      <c r="GSD32" s="1551"/>
      <c r="GSE32" s="1551"/>
      <c r="GSF32" s="1551"/>
      <c r="GSG32" s="1551"/>
      <c r="GSH32" s="1551"/>
      <c r="GSI32" s="1551"/>
      <c r="GSJ32" s="1551"/>
      <c r="GSK32" s="1551"/>
      <c r="GSL32" s="1551"/>
      <c r="GSM32" s="1551"/>
      <c r="GSN32" s="1551"/>
      <c r="GSO32" s="1551"/>
      <c r="GSP32" s="1551"/>
      <c r="GSQ32" s="1551"/>
      <c r="GSR32" s="1551"/>
      <c r="GSS32" s="1551"/>
      <c r="GST32" s="1551"/>
      <c r="GSU32" s="1551"/>
      <c r="GSV32" s="1551"/>
      <c r="GSW32" s="1551"/>
      <c r="GSX32" s="1551"/>
      <c r="GSY32" s="1551"/>
      <c r="GSZ32" s="1551"/>
      <c r="GTA32" s="1551"/>
      <c r="GTB32" s="1551"/>
      <c r="GTC32" s="1551"/>
      <c r="GTD32" s="1551"/>
      <c r="GTE32" s="1551"/>
      <c r="GTF32" s="1551"/>
      <c r="GTG32" s="1551"/>
      <c r="GTH32" s="1551"/>
      <c r="GTI32" s="1551"/>
      <c r="GTJ32" s="1551"/>
      <c r="GTK32" s="1551"/>
      <c r="GTL32" s="1551"/>
      <c r="GTM32" s="1551"/>
      <c r="GTN32" s="1551"/>
      <c r="GTO32" s="1551"/>
      <c r="GTP32" s="1551"/>
      <c r="GTQ32" s="1551"/>
      <c r="GTR32" s="1551"/>
      <c r="GTS32" s="1551"/>
      <c r="GTT32" s="1551"/>
      <c r="GTU32" s="1551"/>
      <c r="GTV32" s="1551"/>
      <c r="GTW32" s="1551"/>
      <c r="GTX32" s="1551"/>
      <c r="GTY32" s="1551"/>
      <c r="GTZ32" s="1551"/>
      <c r="GUA32" s="1551"/>
      <c r="GUB32" s="1551"/>
      <c r="GUC32" s="1551"/>
      <c r="GUD32" s="1551"/>
      <c r="GUE32" s="1551"/>
      <c r="GUF32" s="1551"/>
      <c r="GUG32" s="1551"/>
      <c r="GUH32" s="1551"/>
      <c r="GUI32" s="1551"/>
      <c r="GUJ32" s="1551"/>
      <c r="GUK32" s="1551"/>
      <c r="GUL32" s="1551"/>
      <c r="GUM32" s="1551"/>
      <c r="GUN32" s="1551"/>
      <c r="GUO32" s="1551"/>
      <c r="GUP32" s="1551"/>
      <c r="GUQ32" s="1551"/>
      <c r="GUR32" s="1551"/>
      <c r="GUS32" s="1551"/>
      <c r="GUT32" s="1551"/>
      <c r="GUU32" s="1551"/>
      <c r="GUV32" s="1551"/>
      <c r="GUW32" s="1551"/>
      <c r="GUX32" s="1551"/>
      <c r="GUY32" s="1551"/>
      <c r="GUZ32" s="1551"/>
      <c r="GVA32" s="1551"/>
      <c r="GVB32" s="1551"/>
      <c r="GVC32" s="1551"/>
      <c r="GVD32" s="1551"/>
      <c r="GVE32" s="1551"/>
      <c r="GVF32" s="1551"/>
      <c r="GVG32" s="1551"/>
      <c r="GVH32" s="1551"/>
      <c r="GVI32" s="1551"/>
      <c r="GVJ32" s="1551"/>
      <c r="GVK32" s="1551"/>
      <c r="GVL32" s="1551"/>
      <c r="GVM32" s="1551"/>
      <c r="GVN32" s="1551"/>
      <c r="GVO32" s="1551"/>
      <c r="GVP32" s="1551"/>
      <c r="GVQ32" s="1551"/>
      <c r="GVR32" s="1551"/>
      <c r="GVS32" s="1551"/>
      <c r="GVT32" s="1551"/>
      <c r="GVU32" s="1551"/>
      <c r="GVV32" s="1551"/>
      <c r="GVW32" s="1551"/>
      <c r="GVX32" s="1551"/>
      <c r="GVY32" s="1551"/>
      <c r="GVZ32" s="1551"/>
      <c r="GWA32" s="1551"/>
      <c r="GWB32" s="1551"/>
      <c r="GWC32" s="1551"/>
      <c r="GWD32" s="1551"/>
      <c r="GWE32" s="1551"/>
      <c r="GWF32" s="1551"/>
      <c r="GWG32" s="1551"/>
      <c r="GWH32" s="1551"/>
      <c r="GWI32" s="1551"/>
      <c r="GWJ32" s="1551"/>
      <c r="GWK32" s="1551"/>
      <c r="GWL32" s="1551"/>
      <c r="GWM32" s="1551"/>
      <c r="GWN32" s="1551"/>
      <c r="GWO32" s="1551"/>
      <c r="GWP32" s="1551"/>
      <c r="GWQ32" s="1551"/>
      <c r="GWR32" s="1551"/>
      <c r="GWS32" s="1551"/>
      <c r="GWT32" s="1551"/>
      <c r="GWU32" s="1551"/>
      <c r="GWV32" s="1551"/>
      <c r="GWW32" s="1551"/>
      <c r="GWX32" s="1551"/>
      <c r="GWY32" s="1551"/>
      <c r="GWZ32" s="1551"/>
      <c r="GXA32" s="1551"/>
      <c r="GXB32" s="1551"/>
      <c r="GXC32" s="1551"/>
      <c r="GXD32" s="1551"/>
      <c r="GXE32" s="1551"/>
      <c r="GXF32" s="1551"/>
      <c r="GXG32" s="1551"/>
      <c r="GXH32" s="1551"/>
      <c r="GXI32" s="1551"/>
      <c r="GXJ32" s="1551"/>
      <c r="GXK32" s="1551"/>
      <c r="GXL32" s="1551"/>
      <c r="GXM32" s="1551"/>
      <c r="GXN32" s="1551"/>
      <c r="GXO32" s="1551"/>
      <c r="GXP32" s="1551"/>
      <c r="GXQ32" s="1551"/>
      <c r="GXR32" s="1551"/>
      <c r="GXS32" s="1551"/>
      <c r="GXT32" s="1551"/>
      <c r="GXU32" s="1551"/>
      <c r="GXV32" s="1551"/>
      <c r="GXW32" s="1551"/>
      <c r="GXX32" s="1551"/>
      <c r="GXY32" s="1551"/>
      <c r="GXZ32" s="1551"/>
      <c r="GYA32" s="1551"/>
      <c r="GYB32" s="1551"/>
      <c r="GYC32" s="1551"/>
      <c r="GYD32" s="1551"/>
      <c r="GYE32" s="1551"/>
      <c r="GYF32" s="1551"/>
      <c r="GYG32" s="1551"/>
      <c r="GYH32" s="1551"/>
      <c r="GYI32" s="1551"/>
      <c r="GYJ32" s="1551"/>
      <c r="GYK32" s="1551"/>
      <c r="GYL32" s="1551"/>
      <c r="GYM32" s="1551"/>
      <c r="GYN32" s="1551"/>
      <c r="GYO32" s="1551"/>
      <c r="GYP32" s="1551"/>
      <c r="GYQ32" s="1551"/>
      <c r="GYR32" s="1551"/>
      <c r="GYS32" s="1551"/>
      <c r="GYT32" s="1551"/>
      <c r="GYU32" s="1551"/>
      <c r="GYV32" s="1551"/>
      <c r="GYW32" s="1551"/>
      <c r="GYX32" s="1551"/>
      <c r="GYY32" s="1551"/>
      <c r="GYZ32" s="1551"/>
      <c r="GZA32" s="1551"/>
      <c r="GZB32" s="1551"/>
      <c r="GZC32" s="1551"/>
      <c r="GZD32" s="1551"/>
      <c r="GZE32" s="1551"/>
      <c r="GZF32" s="1551"/>
      <c r="GZG32" s="1551"/>
      <c r="GZH32" s="1551"/>
      <c r="GZI32" s="1551"/>
      <c r="GZJ32" s="1551"/>
      <c r="GZK32" s="1551"/>
      <c r="GZL32" s="1551"/>
      <c r="GZM32" s="1551"/>
      <c r="GZN32" s="1551"/>
      <c r="GZO32" s="1551"/>
      <c r="GZP32" s="1551"/>
      <c r="GZQ32" s="1551"/>
      <c r="GZR32" s="1551"/>
      <c r="GZS32" s="1551"/>
      <c r="GZT32" s="1551"/>
      <c r="GZU32" s="1551"/>
      <c r="GZV32" s="1551"/>
      <c r="GZW32" s="1551"/>
      <c r="GZX32" s="1551"/>
      <c r="GZY32" s="1551"/>
      <c r="GZZ32" s="1551"/>
      <c r="HAA32" s="1551"/>
      <c r="HAB32" s="1551"/>
      <c r="HAC32" s="1551"/>
      <c r="HAD32" s="1551"/>
      <c r="HAE32" s="1551"/>
      <c r="HAF32" s="1551"/>
      <c r="HAG32" s="1551"/>
      <c r="HAH32" s="1551"/>
      <c r="HAI32" s="1551"/>
      <c r="HAJ32" s="1551"/>
      <c r="HAK32" s="1551"/>
      <c r="HAL32" s="1551"/>
      <c r="HAM32" s="1551"/>
      <c r="HAN32" s="1551"/>
      <c r="HAO32" s="1551"/>
      <c r="HAP32" s="1551"/>
      <c r="HAQ32" s="1551"/>
      <c r="HAR32" s="1551"/>
      <c r="HAS32" s="1551"/>
      <c r="HAT32" s="1551"/>
      <c r="HAU32" s="1551"/>
      <c r="HAV32" s="1551"/>
      <c r="HAW32" s="1551"/>
      <c r="HAX32" s="1551"/>
      <c r="HAY32" s="1551"/>
      <c r="HAZ32" s="1551"/>
      <c r="HBA32" s="1551"/>
      <c r="HBB32" s="1551"/>
      <c r="HBC32" s="1551"/>
      <c r="HBD32" s="1551"/>
      <c r="HBE32" s="1551"/>
      <c r="HBF32" s="1551"/>
      <c r="HBG32" s="1551"/>
      <c r="HBH32" s="1551"/>
      <c r="HBI32" s="1551"/>
      <c r="HBJ32" s="1551"/>
      <c r="HBK32" s="1551"/>
      <c r="HBL32" s="1551"/>
      <c r="HBM32" s="1551"/>
      <c r="HBN32" s="1551"/>
      <c r="HBO32" s="1551"/>
      <c r="HBP32" s="1551"/>
      <c r="HBQ32" s="1551"/>
      <c r="HBR32" s="1551"/>
      <c r="HBS32" s="1551"/>
      <c r="HBT32" s="1551"/>
      <c r="HBU32" s="1551"/>
      <c r="HBV32" s="1551"/>
      <c r="HBW32" s="1551"/>
      <c r="HBX32" s="1551"/>
      <c r="HBY32" s="1551"/>
      <c r="HBZ32" s="1551"/>
      <c r="HCA32" s="1551"/>
      <c r="HCB32" s="1551"/>
      <c r="HCC32" s="1551"/>
      <c r="HCD32" s="1551"/>
      <c r="HCE32" s="1551"/>
      <c r="HCF32" s="1551"/>
      <c r="HCG32" s="1551"/>
      <c r="HCH32" s="1551"/>
      <c r="HCI32" s="1551"/>
      <c r="HCJ32" s="1551"/>
      <c r="HCK32" s="1551"/>
      <c r="HCL32" s="1551"/>
      <c r="HCM32" s="1551"/>
      <c r="HCN32" s="1551"/>
      <c r="HCO32" s="1551"/>
      <c r="HCP32" s="1551"/>
      <c r="HCQ32" s="1551"/>
      <c r="HCR32" s="1551"/>
      <c r="HCS32" s="1551"/>
      <c r="HCT32" s="1551"/>
      <c r="HCU32" s="1551"/>
      <c r="HCV32" s="1551"/>
      <c r="HCW32" s="1551"/>
      <c r="HCX32" s="1551"/>
      <c r="HCY32" s="1551"/>
      <c r="HCZ32" s="1551"/>
      <c r="HDA32" s="1551"/>
      <c r="HDB32" s="1551"/>
      <c r="HDC32" s="1551"/>
      <c r="HDD32" s="1551"/>
      <c r="HDE32" s="1551"/>
      <c r="HDF32" s="1551"/>
      <c r="HDG32" s="1551"/>
      <c r="HDH32" s="1551"/>
      <c r="HDI32" s="1551"/>
      <c r="HDJ32" s="1551"/>
      <c r="HDK32" s="1551"/>
      <c r="HDL32" s="1551"/>
      <c r="HDM32" s="1551"/>
      <c r="HDN32" s="1551"/>
      <c r="HDO32" s="1551"/>
      <c r="HDP32" s="1551"/>
      <c r="HDQ32" s="1551"/>
      <c r="HDR32" s="1551"/>
      <c r="HDS32" s="1551"/>
      <c r="HDT32" s="1551"/>
      <c r="HDU32" s="1551"/>
      <c r="HDV32" s="1551"/>
      <c r="HDW32" s="1551"/>
      <c r="HDX32" s="1551"/>
      <c r="HDY32" s="1551"/>
      <c r="HDZ32" s="1551"/>
      <c r="HEA32" s="1551"/>
      <c r="HEB32" s="1551"/>
      <c r="HEC32" s="1551"/>
      <c r="HED32" s="1551"/>
      <c r="HEE32" s="1551"/>
      <c r="HEF32" s="1551"/>
      <c r="HEG32" s="1551"/>
      <c r="HEH32" s="1551"/>
      <c r="HEI32" s="1551"/>
      <c r="HEJ32" s="1551"/>
      <c r="HEK32" s="1551"/>
      <c r="HEL32" s="1551"/>
      <c r="HEM32" s="1551"/>
      <c r="HEN32" s="1551"/>
      <c r="HEO32" s="1551"/>
      <c r="HEP32" s="1551"/>
      <c r="HEQ32" s="1551"/>
      <c r="HER32" s="1551"/>
      <c r="HES32" s="1551"/>
      <c r="HET32" s="1551"/>
      <c r="HEU32" s="1551"/>
      <c r="HEV32" s="1551"/>
      <c r="HEW32" s="1551"/>
      <c r="HEX32" s="1551"/>
      <c r="HEY32" s="1551"/>
      <c r="HEZ32" s="1551"/>
      <c r="HFA32" s="1551"/>
      <c r="HFB32" s="1551"/>
      <c r="HFC32" s="1551"/>
      <c r="HFD32" s="1551"/>
      <c r="HFE32" s="1551"/>
      <c r="HFF32" s="1551"/>
      <c r="HFG32" s="1551"/>
      <c r="HFH32" s="1551"/>
      <c r="HFI32" s="1551"/>
      <c r="HFJ32" s="1551"/>
      <c r="HFK32" s="1551"/>
      <c r="HFL32" s="1551"/>
      <c r="HFM32" s="1551"/>
      <c r="HFN32" s="1551"/>
      <c r="HFO32" s="1551"/>
      <c r="HFP32" s="1551"/>
      <c r="HFQ32" s="1551"/>
      <c r="HFR32" s="1551"/>
      <c r="HFS32" s="1551"/>
      <c r="HFT32" s="1551"/>
      <c r="HFU32" s="1551"/>
      <c r="HFV32" s="1551"/>
      <c r="HFW32" s="1551"/>
      <c r="HFX32" s="1551"/>
      <c r="HFY32" s="1551"/>
      <c r="HFZ32" s="1551"/>
      <c r="HGA32" s="1551"/>
      <c r="HGB32" s="1551"/>
      <c r="HGC32" s="1551"/>
      <c r="HGD32" s="1551"/>
      <c r="HGE32" s="1551"/>
      <c r="HGF32" s="1551"/>
      <c r="HGG32" s="1551"/>
      <c r="HGH32" s="1551"/>
      <c r="HGI32" s="1551"/>
      <c r="HGJ32" s="1551"/>
      <c r="HGK32" s="1551"/>
      <c r="HGL32" s="1551"/>
      <c r="HGM32" s="1551"/>
      <c r="HGN32" s="1551"/>
      <c r="HGO32" s="1551"/>
      <c r="HGP32" s="1551"/>
      <c r="HGQ32" s="1551"/>
      <c r="HGR32" s="1551"/>
      <c r="HGS32" s="1551"/>
      <c r="HGT32" s="1551"/>
      <c r="HGU32" s="1551"/>
      <c r="HGV32" s="1551"/>
      <c r="HGW32" s="1551"/>
      <c r="HGX32" s="1551"/>
      <c r="HGY32" s="1551"/>
      <c r="HGZ32" s="1551"/>
      <c r="HHA32" s="1551"/>
      <c r="HHB32" s="1551"/>
      <c r="HHC32" s="1551"/>
      <c r="HHD32" s="1551"/>
      <c r="HHE32" s="1551"/>
      <c r="HHF32" s="1551"/>
      <c r="HHG32" s="1551"/>
      <c r="HHH32" s="1551"/>
      <c r="HHI32" s="1551"/>
      <c r="HHJ32" s="1551"/>
      <c r="HHK32" s="1551"/>
      <c r="HHL32" s="1551"/>
      <c r="HHM32" s="1551"/>
      <c r="HHN32" s="1551"/>
      <c r="HHO32" s="1551"/>
      <c r="HHP32" s="1551"/>
      <c r="HHQ32" s="1551"/>
      <c r="HHR32" s="1551"/>
      <c r="HHS32" s="1551"/>
      <c r="HHT32" s="1551"/>
      <c r="HHU32" s="1551"/>
      <c r="HHV32" s="1551"/>
      <c r="HHW32" s="1551"/>
      <c r="HHX32" s="1551"/>
      <c r="HHY32" s="1551"/>
      <c r="HHZ32" s="1551"/>
      <c r="HIA32" s="1551"/>
      <c r="HIB32" s="1551"/>
      <c r="HIC32" s="1551"/>
      <c r="HID32" s="1551"/>
      <c r="HIE32" s="1551"/>
      <c r="HIF32" s="1551"/>
      <c r="HIG32" s="1551"/>
      <c r="HIH32" s="1551"/>
      <c r="HII32" s="1551"/>
      <c r="HIJ32" s="1551"/>
      <c r="HIK32" s="1551"/>
      <c r="HIL32" s="1551"/>
      <c r="HIM32" s="1551"/>
      <c r="HIN32" s="1551"/>
      <c r="HIO32" s="1551"/>
      <c r="HIP32" s="1551"/>
      <c r="HIQ32" s="1551"/>
      <c r="HIR32" s="1551"/>
      <c r="HIS32" s="1551"/>
      <c r="HIT32" s="1551"/>
      <c r="HIU32" s="1551"/>
      <c r="HIV32" s="1551"/>
      <c r="HIW32" s="1551"/>
      <c r="HIX32" s="1551"/>
      <c r="HIY32" s="1551"/>
      <c r="HIZ32" s="1551"/>
      <c r="HJA32" s="1551"/>
      <c r="HJB32" s="1551"/>
      <c r="HJC32" s="1551"/>
      <c r="HJD32" s="1551"/>
      <c r="HJE32" s="1551"/>
      <c r="HJF32" s="1551"/>
      <c r="HJG32" s="1551"/>
      <c r="HJH32" s="1551"/>
      <c r="HJI32" s="1551"/>
      <c r="HJJ32" s="1551"/>
      <c r="HJK32" s="1551"/>
      <c r="HJL32" s="1551"/>
      <c r="HJM32" s="1551"/>
      <c r="HJN32" s="1551"/>
      <c r="HJO32" s="1551"/>
      <c r="HJP32" s="1551"/>
      <c r="HJQ32" s="1551"/>
      <c r="HJR32" s="1551"/>
      <c r="HJS32" s="1551"/>
      <c r="HJT32" s="1551"/>
      <c r="HJU32" s="1551"/>
      <c r="HJV32" s="1551"/>
      <c r="HJW32" s="1551"/>
      <c r="HJX32" s="1551"/>
      <c r="HJY32" s="1551"/>
      <c r="HJZ32" s="1551"/>
      <c r="HKA32" s="1551"/>
      <c r="HKB32" s="1551"/>
      <c r="HKC32" s="1551"/>
      <c r="HKD32" s="1551"/>
      <c r="HKE32" s="1551"/>
      <c r="HKF32" s="1551"/>
      <c r="HKG32" s="1551"/>
      <c r="HKH32" s="1551"/>
      <c r="HKI32" s="1551"/>
      <c r="HKJ32" s="1551"/>
      <c r="HKK32" s="1551"/>
      <c r="HKL32" s="1551"/>
      <c r="HKM32" s="1551"/>
      <c r="HKN32" s="1551"/>
      <c r="HKO32" s="1551"/>
      <c r="HKP32" s="1551"/>
      <c r="HKQ32" s="1551"/>
      <c r="HKR32" s="1551"/>
      <c r="HKS32" s="1551"/>
      <c r="HKT32" s="1551"/>
      <c r="HKU32" s="1551"/>
      <c r="HKV32" s="1551"/>
      <c r="HKW32" s="1551"/>
      <c r="HKX32" s="1551"/>
      <c r="HKY32" s="1551"/>
      <c r="HKZ32" s="1551"/>
      <c r="HLA32" s="1551"/>
      <c r="HLB32" s="1551"/>
      <c r="HLC32" s="1551"/>
      <c r="HLD32" s="1551"/>
      <c r="HLE32" s="1551"/>
      <c r="HLF32" s="1551"/>
      <c r="HLG32" s="1551"/>
      <c r="HLH32" s="1551"/>
      <c r="HLI32" s="1551"/>
      <c r="HLJ32" s="1551"/>
      <c r="HLK32" s="1551"/>
      <c r="HLL32" s="1551"/>
      <c r="HLM32" s="1551"/>
      <c r="HLN32" s="1551"/>
      <c r="HLO32" s="1551"/>
      <c r="HLP32" s="1551"/>
      <c r="HLQ32" s="1551"/>
      <c r="HLR32" s="1551"/>
      <c r="HLS32" s="1551"/>
      <c r="HLT32" s="1551"/>
      <c r="HLU32" s="1551"/>
      <c r="HLV32" s="1551"/>
      <c r="HLW32" s="1551"/>
      <c r="HLX32" s="1551"/>
      <c r="HLY32" s="1551"/>
      <c r="HLZ32" s="1551"/>
      <c r="HMA32" s="1551"/>
      <c r="HMB32" s="1551"/>
      <c r="HMC32" s="1551"/>
      <c r="HMD32" s="1551"/>
      <c r="HME32" s="1551"/>
      <c r="HMF32" s="1551"/>
      <c r="HMG32" s="1551"/>
      <c r="HMH32" s="1551"/>
      <c r="HMI32" s="1551"/>
      <c r="HMJ32" s="1551"/>
      <c r="HMK32" s="1551"/>
      <c r="HML32" s="1551"/>
      <c r="HMM32" s="1551"/>
      <c r="HMN32" s="1551"/>
      <c r="HMO32" s="1551"/>
      <c r="HMP32" s="1551"/>
      <c r="HMQ32" s="1551"/>
      <c r="HMR32" s="1551"/>
      <c r="HMS32" s="1551"/>
      <c r="HMT32" s="1551"/>
      <c r="HMU32" s="1551"/>
      <c r="HMV32" s="1551"/>
      <c r="HMW32" s="1551"/>
      <c r="HMX32" s="1551"/>
      <c r="HMY32" s="1551"/>
      <c r="HMZ32" s="1551"/>
      <c r="HNA32" s="1551"/>
      <c r="HNB32" s="1551"/>
      <c r="HNC32" s="1551"/>
      <c r="HND32" s="1551"/>
      <c r="HNE32" s="1551"/>
      <c r="HNF32" s="1551"/>
      <c r="HNG32" s="1551"/>
      <c r="HNH32" s="1551"/>
      <c r="HNI32" s="1551"/>
      <c r="HNJ32" s="1551"/>
      <c r="HNK32" s="1551"/>
      <c r="HNL32" s="1551"/>
      <c r="HNM32" s="1551"/>
      <c r="HNN32" s="1551"/>
      <c r="HNO32" s="1551"/>
      <c r="HNP32" s="1551"/>
      <c r="HNQ32" s="1551"/>
      <c r="HNR32" s="1551"/>
      <c r="HNS32" s="1551"/>
      <c r="HNT32" s="1551"/>
      <c r="HNU32" s="1551"/>
      <c r="HNV32" s="1551"/>
      <c r="HNW32" s="1551"/>
      <c r="HNX32" s="1551"/>
      <c r="HNY32" s="1551"/>
      <c r="HNZ32" s="1551"/>
      <c r="HOA32" s="1551"/>
      <c r="HOB32" s="1551"/>
      <c r="HOC32" s="1551"/>
      <c r="HOD32" s="1551"/>
      <c r="HOE32" s="1551"/>
      <c r="HOF32" s="1551"/>
      <c r="HOG32" s="1551"/>
      <c r="HOH32" s="1551"/>
      <c r="HOI32" s="1551"/>
      <c r="HOJ32" s="1551"/>
      <c r="HOK32" s="1551"/>
      <c r="HOL32" s="1551"/>
      <c r="HOM32" s="1551"/>
      <c r="HON32" s="1551"/>
      <c r="HOO32" s="1551"/>
      <c r="HOP32" s="1551"/>
      <c r="HOQ32" s="1551"/>
      <c r="HOR32" s="1551"/>
      <c r="HOS32" s="1551"/>
      <c r="HOT32" s="1551"/>
      <c r="HOU32" s="1551"/>
      <c r="HOV32" s="1551"/>
      <c r="HOW32" s="1551"/>
      <c r="HOX32" s="1551"/>
      <c r="HOY32" s="1551"/>
      <c r="HOZ32" s="1551"/>
      <c r="HPA32" s="1551"/>
      <c r="HPB32" s="1551"/>
      <c r="HPC32" s="1551"/>
      <c r="HPD32" s="1551"/>
      <c r="HPE32" s="1551"/>
      <c r="HPF32" s="1551"/>
      <c r="HPG32" s="1551"/>
      <c r="HPH32" s="1551"/>
      <c r="HPI32" s="1551"/>
      <c r="HPJ32" s="1551"/>
      <c r="HPK32" s="1551"/>
      <c r="HPL32" s="1551"/>
      <c r="HPM32" s="1551"/>
      <c r="HPN32" s="1551"/>
      <c r="HPO32" s="1551"/>
      <c r="HPP32" s="1551"/>
      <c r="HPQ32" s="1551"/>
      <c r="HPR32" s="1551"/>
      <c r="HPS32" s="1551"/>
      <c r="HPT32" s="1551"/>
      <c r="HPU32" s="1551"/>
      <c r="HPV32" s="1551"/>
      <c r="HPW32" s="1551"/>
      <c r="HPX32" s="1551"/>
      <c r="HPY32" s="1551"/>
      <c r="HPZ32" s="1551"/>
      <c r="HQA32" s="1551"/>
      <c r="HQB32" s="1551"/>
      <c r="HQC32" s="1551"/>
      <c r="HQD32" s="1551"/>
      <c r="HQE32" s="1551"/>
      <c r="HQF32" s="1551"/>
      <c r="HQG32" s="1551"/>
      <c r="HQH32" s="1551"/>
      <c r="HQI32" s="1551"/>
      <c r="HQJ32" s="1551"/>
      <c r="HQK32" s="1551"/>
      <c r="HQL32" s="1551"/>
      <c r="HQM32" s="1551"/>
      <c r="HQN32" s="1551"/>
      <c r="HQO32" s="1551"/>
      <c r="HQP32" s="1551"/>
      <c r="HQQ32" s="1551"/>
      <c r="HQR32" s="1551"/>
      <c r="HQS32" s="1551"/>
      <c r="HQT32" s="1551"/>
      <c r="HQU32" s="1551"/>
      <c r="HQV32" s="1551"/>
      <c r="HQW32" s="1551"/>
      <c r="HQX32" s="1551"/>
      <c r="HQY32" s="1551"/>
      <c r="HQZ32" s="1551"/>
      <c r="HRA32" s="1551"/>
      <c r="HRB32" s="1551"/>
      <c r="HRC32" s="1551"/>
      <c r="HRD32" s="1551"/>
      <c r="HRE32" s="1551"/>
      <c r="HRF32" s="1551"/>
      <c r="HRG32" s="1551"/>
      <c r="HRH32" s="1551"/>
      <c r="HRI32" s="1551"/>
      <c r="HRJ32" s="1551"/>
      <c r="HRK32" s="1551"/>
      <c r="HRL32" s="1551"/>
      <c r="HRM32" s="1551"/>
      <c r="HRN32" s="1551"/>
      <c r="HRO32" s="1551"/>
      <c r="HRP32" s="1551"/>
      <c r="HRQ32" s="1551"/>
      <c r="HRR32" s="1551"/>
      <c r="HRS32" s="1551"/>
      <c r="HRT32" s="1551"/>
      <c r="HRU32" s="1551"/>
      <c r="HRV32" s="1551"/>
      <c r="HRW32" s="1551"/>
      <c r="HRX32" s="1551"/>
      <c r="HRY32" s="1551"/>
      <c r="HRZ32" s="1551"/>
      <c r="HSA32" s="1551"/>
      <c r="HSB32" s="1551"/>
      <c r="HSC32" s="1551"/>
      <c r="HSD32" s="1551"/>
      <c r="HSE32" s="1551"/>
      <c r="HSF32" s="1551"/>
      <c r="HSG32" s="1551"/>
      <c r="HSH32" s="1551"/>
      <c r="HSI32" s="1551"/>
      <c r="HSJ32" s="1551"/>
      <c r="HSK32" s="1551"/>
      <c r="HSL32" s="1551"/>
      <c r="HSM32" s="1551"/>
      <c r="HSN32" s="1551"/>
      <c r="HSO32" s="1551"/>
      <c r="HSP32" s="1551"/>
      <c r="HSQ32" s="1551"/>
      <c r="HSR32" s="1551"/>
      <c r="HSS32" s="1551"/>
      <c r="HST32" s="1551"/>
      <c r="HSU32" s="1551"/>
      <c r="HSV32" s="1551"/>
      <c r="HSW32" s="1551"/>
      <c r="HSX32" s="1551"/>
      <c r="HSY32" s="1551"/>
      <c r="HSZ32" s="1551"/>
      <c r="HTA32" s="1551"/>
      <c r="HTB32" s="1551"/>
      <c r="HTC32" s="1551"/>
      <c r="HTD32" s="1551"/>
      <c r="HTE32" s="1551"/>
      <c r="HTF32" s="1551"/>
      <c r="HTG32" s="1551"/>
      <c r="HTH32" s="1551"/>
      <c r="HTI32" s="1551"/>
      <c r="HTJ32" s="1551"/>
      <c r="HTK32" s="1551"/>
      <c r="HTL32" s="1551"/>
      <c r="HTM32" s="1551"/>
      <c r="HTN32" s="1551"/>
      <c r="HTO32" s="1551"/>
      <c r="HTP32" s="1551"/>
      <c r="HTQ32" s="1551"/>
      <c r="HTR32" s="1551"/>
      <c r="HTS32" s="1551"/>
      <c r="HTT32" s="1551"/>
      <c r="HTU32" s="1551"/>
      <c r="HTV32" s="1551"/>
      <c r="HTW32" s="1551"/>
      <c r="HTX32" s="1551"/>
      <c r="HTY32" s="1551"/>
      <c r="HTZ32" s="1551"/>
      <c r="HUA32" s="1551"/>
      <c r="HUB32" s="1551"/>
      <c r="HUC32" s="1551"/>
      <c r="HUD32" s="1551"/>
      <c r="HUE32" s="1551"/>
      <c r="HUF32" s="1551"/>
      <c r="HUG32" s="1551"/>
      <c r="HUH32" s="1551"/>
      <c r="HUI32" s="1551"/>
      <c r="HUJ32" s="1551"/>
      <c r="HUK32" s="1551"/>
      <c r="HUL32" s="1551"/>
      <c r="HUM32" s="1551"/>
      <c r="HUN32" s="1551"/>
      <c r="HUO32" s="1551"/>
      <c r="HUP32" s="1551"/>
      <c r="HUQ32" s="1551"/>
      <c r="HUR32" s="1551"/>
      <c r="HUS32" s="1551"/>
      <c r="HUT32" s="1551"/>
      <c r="HUU32" s="1551"/>
      <c r="HUV32" s="1551"/>
      <c r="HUW32" s="1551"/>
      <c r="HUX32" s="1551"/>
      <c r="HUY32" s="1551"/>
      <c r="HUZ32" s="1551"/>
      <c r="HVA32" s="1551"/>
      <c r="HVB32" s="1551"/>
      <c r="HVC32" s="1551"/>
      <c r="HVD32" s="1551"/>
      <c r="HVE32" s="1551"/>
      <c r="HVF32" s="1551"/>
      <c r="HVG32" s="1551"/>
      <c r="HVH32" s="1551"/>
      <c r="HVI32" s="1551"/>
      <c r="HVJ32" s="1551"/>
      <c r="HVK32" s="1551"/>
      <c r="HVL32" s="1551"/>
      <c r="HVM32" s="1551"/>
      <c r="HVN32" s="1551"/>
      <c r="HVO32" s="1551"/>
      <c r="HVP32" s="1551"/>
      <c r="HVQ32" s="1551"/>
      <c r="HVR32" s="1551"/>
      <c r="HVS32" s="1551"/>
      <c r="HVT32" s="1551"/>
      <c r="HVU32" s="1551"/>
      <c r="HVV32" s="1551"/>
      <c r="HVW32" s="1551"/>
      <c r="HVX32" s="1551"/>
      <c r="HVY32" s="1551"/>
      <c r="HVZ32" s="1551"/>
      <c r="HWA32" s="1551"/>
      <c r="HWB32" s="1551"/>
      <c r="HWC32" s="1551"/>
      <c r="HWD32" s="1551"/>
      <c r="HWE32" s="1551"/>
      <c r="HWF32" s="1551"/>
      <c r="HWG32" s="1551"/>
      <c r="HWH32" s="1551"/>
      <c r="HWI32" s="1551"/>
      <c r="HWJ32" s="1551"/>
      <c r="HWK32" s="1551"/>
      <c r="HWL32" s="1551"/>
      <c r="HWM32" s="1551"/>
      <c r="HWN32" s="1551"/>
      <c r="HWO32" s="1551"/>
      <c r="HWP32" s="1551"/>
      <c r="HWQ32" s="1551"/>
      <c r="HWR32" s="1551"/>
      <c r="HWS32" s="1551"/>
      <c r="HWT32" s="1551"/>
      <c r="HWU32" s="1551"/>
      <c r="HWV32" s="1551"/>
      <c r="HWW32" s="1551"/>
      <c r="HWX32" s="1551"/>
      <c r="HWY32" s="1551"/>
      <c r="HWZ32" s="1551"/>
      <c r="HXA32" s="1551"/>
      <c r="HXB32" s="1551"/>
      <c r="HXC32" s="1551"/>
      <c r="HXD32" s="1551"/>
      <c r="HXE32" s="1551"/>
      <c r="HXF32" s="1551"/>
      <c r="HXG32" s="1551"/>
      <c r="HXH32" s="1551"/>
      <c r="HXI32" s="1551"/>
      <c r="HXJ32" s="1551"/>
      <c r="HXK32" s="1551"/>
      <c r="HXL32" s="1551"/>
      <c r="HXM32" s="1551"/>
      <c r="HXN32" s="1551"/>
      <c r="HXO32" s="1551"/>
      <c r="HXP32" s="1551"/>
      <c r="HXQ32" s="1551"/>
      <c r="HXR32" s="1551"/>
      <c r="HXS32" s="1551"/>
      <c r="HXT32" s="1551"/>
      <c r="HXU32" s="1551"/>
      <c r="HXV32" s="1551"/>
      <c r="HXW32" s="1551"/>
      <c r="HXX32" s="1551"/>
      <c r="HXY32" s="1551"/>
      <c r="HXZ32" s="1551"/>
      <c r="HYA32" s="1551"/>
      <c r="HYB32" s="1551"/>
      <c r="HYC32" s="1551"/>
      <c r="HYD32" s="1551"/>
      <c r="HYE32" s="1551"/>
      <c r="HYF32" s="1551"/>
      <c r="HYG32" s="1551"/>
      <c r="HYH32" s="1551"/>
      <c r="HYI32" s="1551"/>
      <c r="HYJ32" s="1551"/>
      <c r="HYK32" s="1551"/>
      <c r="HYL32" s="1551"/>
      <c r="HYM32" s="1551"/>
      <c r="HYN32" s="1551"/>
      <c r="HYO32" s="1551"/>
      <c r="HYP32" s="1551"/>
      <c r="HYQ32" s="1551"/>
      <c r="HYR32" s="1551"/>
      <c r="HYS32" s="1551"/>
      <c r="HYT32" s="1551"/>
      <c r="HYU32" s="1551"/>
      <c r="HYV32" s="1551"/>
      <c r="HYW32" s="1551"/>
      <c r="HYX32" s="1551"/>
      <c r="HYY32" s="1551"/>
      <c r="HYZ32" s="1551"/>
      <c r="HZA32" s="1551"/>
      <c r="HZB32" s="1551"/>
      <c r="HZC32" s="1551"/>
      <c r="HZD32" s="1551"/>
      <c r="HZE32" s="1551"/>
      <c r="HZF32" s="1551"/>
      <c r="HZG32" s="1551"/>
      <c r="HZH32" s="1551"/>
      <c r="HZI32" s="1551"/>
      <c r="HZJ32" s="1551"/>
      <c r="HZK32" s="1551"/>
      <c r="HZL32" s="1551"/>
      <c r="HZM32" s="1551"/>
      <c r="HZN32" s="1551"/>
      <c r="HZO32" s="1551"/>
      <c r="HZP32" s="1551"/>
      <c r="HZQ32" s="1551"/>
      <c r="HZR32" s="1551"/>
      <c r="HZS32" s="1551"/>
      <c r="HZT32" s="1551"/>
      <c r="HZU32" s="1551"/>
      <c r="HZV32" s="1551"/>
      <c r="HZW32" s="1551"/>
      <c r="HZX32" s="1551"/>
      <c r="HZY32" s="1551"/>
      <c r="HZZ32" s="1551"/>
      <c r="IAA32" s="1551"/>
      <c r="IAB32" s="1551"/>
      <c r="IAC32" s="1551"/>
      <c r="IAD32" s="1551"/>
      <c r="IAE32" s="1551"/>
      <c r="IAF32" s="1551"/>
      <c r="IAG32" s="1551"/>
      <c r="IAH32" s="1551"/>
      <c r="IAI32" s="1551"/>
      <c r="IAJ32" s="1551"/>
      <c r="IAK32" s="1551"/>
      <c r="IAL32" s="1551"/>
      <c r="IAM32" s="1551"/>
      <c r="IAN32" s="1551"/>
      <c r="IAO32" s="1551"/>
      <c r="IAP32" s="1551"/>
      <c r="IAQ32" s="1551"/>
      <c r="IAR32" s="1551"/>
      <c r="IAS32" s="1551"/>
      <c r="IAT32" s="1551"/>
      <c r="IAU32" s="1551"/>
      <c r="IAV32" s="1551"/>
      <c r="IAW32" s="1551"/>
      <c r="IAX32" s="1551"/>
      <c r="IAY32" s="1551"/>
      <c r="IAZ32" s="1551"/>
      <c r="IBA32" s="1551"/>
      <c r="IBB32" s="1551"/>
      <c r="IBC32" s="1551"/>
      <c r="IBD32" s="1551"/>
      <c r="IBE32" s="1551"/>
      <c r="IBF32" s="1551"/>
      <c r="IBG32" s="1551"/>
      <c r="IBH32" s="1551"/>
      <c r="IBI32" s="1551"/>
      <c r="IBJ32" s="1551"/>
      <c r="IBK32" s="1551"/>
      <c r="IBL32" s="1551"/>
      <c r="IBM32" s="1551"/>
      <c r="IBN32" s="1551"/>
      <c r="IBO32" s="1551"/>
      <c r="IBP32" s="1551"/>
      <c r="IBQ32" s="1551"/>
      <c r="IBR32" s="1551"/>
      <c r="IBS32" s="1551"/>
      <c r="IBT32" s="1551"/>
      <c r="IBU32" s="1551"/>
      <c r="IBV32" s="1551"/>
      <c r="IBW32" s="1551"/>
      <c r="IBX32" s="1551"/>
      <c r="IBY32" s="1551"/>
      <c r="IBZ32" s="1551"/>
      <c r="ICA32" s="1551"/>
      <c r="ICB32" s="1551"/>
      <c r="ICC32" s="1551"/>
      <c r="ICD32" s="1551"/>
      <c r="ICE32" s="1551"/>
      <c r="ICF32" s="1551"/>
      <c r="ICG32" s="1551"/>
      <c r="ICH32" s="1551"/>
      <c r="ICI32" s="1551"/>
      <c r="ICJ32" s="1551"/>
      <c r="ICK32" s="1551"/>
      <c r="ICL32" s="1551"/>
      <c r="ICM32" s="1551"/>
      <c r="ICN32" s="1551"/>
      <c r="ICO32" s="1551"/>
      <c r="ICP32" s="1551"/>
      <c r="ICQ32" s="1551"/>
      <c r="ICR32" s="1551"/>
      <c r="ICS32" s="1551"/>
      <c r="ICT32" s="1551"/>
      <c r="ICU32" s="1551"/>
      <c r="ICV32" s="1551"/>
      <c r="ICW32" s="1551"/>
      <c r="ICX32" s="1551"/>
      <c r="ICY32" s="1551"/>
      <c r="ICZ32" s="1551"/>
      <c r="IDA32" s="1551"/>
      <c r="IDB32" s="1551"/>
      <c r="IDC32" s="1551"/>
      <c r="IDD32" s="1551"/>
      <c r="IDE32" s="1551"/>
      <c r="IDF32" s="1551"/>
      <c r="IDG32" s="1551"/>
      <c r="IDH32" s="1551"/>
      <c r="IDI32" s="1551"/>
      <c r="IDJ32" s="1551"/>
      <c r="IDK32" s="1551"/>
      <c r="IDL32" s="1551"/>
      <c r="IDM32" s="1551"/>
      <c r="IDN32" s="1551"/>
      <c r="IDO32" s="1551"/>
      <c r="IDP32" s="1551"/>
      <c r="IDQ32" s="1551"/>
      <c r="IDR32" s="1551"/>
      <c r="IDS32" s="1551"/>
      <c r="IDT32" s="1551"/>
      <c r="IDU32" s="1551"/>
      <c r="IDV32" s="1551"/>
      <c r="IDW32" s="1551"/>
      <c r="IDX32" s="1551"/>
      <c r="IDY32" s="1551"/>
      <c r="IDZ32" s="1551"/>
      <c r="IEA32" s="1551"/>
      <c r="IEB32" s="1551"/>
      <c r="IEC32" s="1551"/>
      <c r="IED32" s="1551"/>
      <c r="IEE32" s="1551"/>
      <c r="IEF32" s="1551"/>
      <c r="IEG32" s="1551"/>
      <c r="IEH32" s="1551"/>
      <c r="IEI32" s="1551"/>
      <c r="IEJ32" s="1551"/>
      <c r="IEK32" s="1551"/>
      <c r="IEL32" s="1551"/>
      <c r="IEM32" s="1551"/>
      <c r="IEN32" s="1551"/>
      <c r="IEO32" s="1551"/>
      <c r="IEP32" s="1551"/>
      <c r="IEQ32" s="1551"/>
      <c r="IER32" s="1551"/>
      <c r="IES32" s="1551"/>
      <c r="IET32" s="1551"/>
      <c r="IEU32" s="1551"/>
      <c r="IEV32" s="1551"/>
      <c r="IEW32" s="1551"/>
      <c r="IEX32" s="1551"/>
      <c r="IEY32" s="1551"/>
      <c r="IEZ32" s="1551"/>
      <c r="IFA32" s="1551"/>
      <c r="IFB32" s="1551"/>
      <c r="IFC32" s="1551"/>
      <c r="IFD32" s="1551"/>
      <c r="IFE32" s="1551"/>
      <c r="IFF32" s="1551"/>
      <c r="IFG32" s="1551"/>
      <c r="IFH32" s="1551"/>
      <c r="IFI32" s="1551"/>
      <c r="IFJ32" s="1551"/>
      <c r="IFK32" s="1551"/>
      <c r="IFL32" s="1551"/>
      <c r="IFM32" s="1551"/>
      <c r="IFN32" s="1551"/>
      <c r="IFO32" s="1551"/>
      <c r="IFP32" s="1551"/>
      <c r="IFQ32" s="1551"/>
      <c r="IFR32" s="1551"/>
      <c r="IFS32" s="1551"/>
      <c r="IFT32" s="1551"/>
      <c r="IFU32" s="1551"/>
      <c r="IFV32" s="1551"/>
      <c r="IFW32" s="1551"/>
      <c r="IFX32" s="1551"/>
      <c r="IFY32" s="1551"/>
      <c r="IFZ32" s="1551"/>
      <c r="IGA32" s="1551"/>
      <c r="IGB32" s="1551"/>
      <c r="IGC32" s="1551"/>
      <c r="IGD32" s="1551"/>
      <c r="IGE32" s="1551"/>
      <c r="IGF32" s="1551"/>
      <c r="IGG32" s="1551"/>
      <c r="IGH32" s="1551"/>
      <c r="IGI32" s="1551"/>
      <c r="IGJ32" s="1551"/>
      <c r="IGK32" s="1551"/>
      <c r="IGL32" s="1551"/>
      <c r="IGM32" s="1551"/>
      <c r="IGN32" s="1551"/>
      <c r="IGO32" s="1551"/>
      <c r="IGP32" s="1551"/>
      <c r="IGQ32" s="1551"/>
      <c r="IGR32" s="1551"/>
      <c r="IGS32" s="1551"/>
      <c r="IGT32" s="1551"/>
      <c r="IGU32" s="1551"/>
      <c r="IGV32" s="1551"/>
      <c r="IGW32" s="1551"/>
      <c r="IGX32" s="1551"/>
      <c r="IGY32" s="1551"/>
      <c r="IGZ32" s="1551"/>
      <c r="IHA32" s="1551"/>
      <c r="IHB32" s="1551"/>
      <c r="IHC32" s="1551"/>
      <c r="IHD32" s="1551"/>
      <c r="IHE32" s="1551"/>
      <c r="IHF32" s="1551"/>
      <c r="IHG32" s="1551"/>
      <c r="IHH32" s="1551"/>
      <c r="IHI32" s="1551"/>
      <c r="IHJ32" s="1551"/>
      <c r="IHK32" s="1551"/>
      <c r="IHL32" s="1551"/>
      <c r="IHM32" s="1551"/>
      <c r="IHN32" s="1551"/>
      <c r="IHO32" s="1551"/>
      <c r="IHP32" s="1551"/>
      <c r="IHQ32" s="1551"/>
      <c r="IHR32" s="1551"/>
      <c r="IHS32" s="1551"/>
      <c r="IHT32" s="1551"/>
      <c r="IHU32" s="1551"/>
      <c r="IHV32" s="1551"/>
      <c r="IHW32" s="1551"/>
      <c r="IHX32" s="1551"/>
      <c r="IHY32" s="1551"/>
      <c r="IHZ32" s="1551"/>
      <c r="IIA32" s="1551"/>
      <c r="IIB32" s="1551"/>
      <c r="IIC32" s="1551"/>
      <c r="IID32" s="1551"/>
      <c r="IIE32" s="1551"/>
      <c r="IIF32" s="1551"/>
      <c r="IIG32" s="1551"/>
      <c r="IIH32" s="1551"/>
      <c r="III32" s="1551"/>
      <c r="IIJ32" s="1551"/>
      <c r="IIK32" s="1551"/>
      <c r="IIL32" s="1551"/>
      <c r="IIM32" s="1551"/>
      <c r="IIN32" s="1551"/>
      <c r="IIO32" s="1551"/>
      <c r="IIP32" s="1551"/>
      <c r="IIQ32" s="1551"/>
      <c r="IIR32" s="1551"/>
      <c r="IIS32" s="1551"/>
      <c r="IIT32" s="1551"/>
      <c r="IIU32" s="1551"/>
      <c r="IIV32" s="1551"/>
      <c r="IIW32" s="1551"/>
      <c r="IIX32" s="1551"/>
      <c r="IIY32" s="1551"/>
      <c r="IIZ32" s="1551"/>
      <c r="IJA32" s="1551"/>
      <c r="IJB32" s="1551"/>
      <c r="IJC32" s="1551"/>
      <c r="IJD32" s="1551"/>
      <c r="IJE32" s="1551"/>
      <c r="IJF32" s="1551"/>
      <c r="IJG32" s="1551"/>
      <c r="IJH32" s="1551"/>
      <c r="IJI32" s="1551"/>
      <c r="IJJ32" s="1551"/>
      <c r="IJK32" s="1551"/>
      <c r="IJL32" s="1551"/>
      <c r="IJM32" s="1551"/>
      <c r="IJN32" s="1551"/>
      <c r="IJO32" s="1551"/>
      <c r="IJP32" s="1551"/>
      <c r="IJQ32" s="1551"/>
      <c r="IJR32" s="1551"/>
      <c r="IJS32" s="1551"/>
      <c r="IJT32" s="1551"/>
      <c r="IJU32" s="1551"/>
      <c r="IJV32" s="1551"/>
      <c r="IJW32" s="1551"/>
      <c r="IJX32" s="1551"/>
      <c r="IJY32" s="1551"/>
      <c r="IJZ32" s="1551"/>
      <c r="IKA32" s="1551"/>
      <c r="IKB32" s="1551"/>
      <c r="IKC32" s="1551"/>
      <c r="IKD32" s="1551"/>
      <c r="IKE32" s="1551"/>
      <c r="IKF32" s="1551"/>
      <c r="IKG32" s="1551"/>
      <c r="IKH32" s="1551"/>
      <c r="IKI32" s="1551"/>
      <c r="IKJ32" s="1551"/>
      <c r="IKK32" s="1551"/>
      <c r="IKL32" s="1551"/>
      <c r="IKM32" s="1551"/>
      <c r="IKN32" s="1551"/>
      <c r="IKO32" s="1551"/>
      <c r="IKP32" s="1551"/>
      <c r="IKQ32" s="1551"/>
      <c r="IKR32" s="1551"/>
      <c r="IKS32" s="1551"/>
      <c r="IKT32" s="1551"/>
      <c r="IKU32" s="1551"/>
      <c r="IKV32" s="1551"/>
      <c r="IKW32" s="1551"/>
      <c r="IKX32" s="1551"/>
      <c r="IKY32" s="1551"/>
      <c r="IKZ32" s="1551"/>
      <c r="ILA32" s="1551"/>
      <c r="ILB32" s="1551"/>
      <c r="ILC32" s="1551"/>
      <c r="ILD32" s="1551"/>
      <c r="ILE32" s="1551"/>
      <c r="ILF32" s="1551"/>
      <c r="ILG32" s="1551"/>
      <c r="ILH32" s="1551"/>
      <c r="ILI32" s="1551"/>
      <c r="ILJ32" s="1551"/>
      <c r="ILK32" s="1551"/>
      <c r="ILL32" s="1551"/>
      <c r="ILM32" s="1551"/>
      <c r="ILN32" s="1551"/>
      <c r="ILO32" s="1551"/>
      <c r="ILP32" s="1551"/>
      <c r="ILQ32" s="1551"/>
      <c r="ILR32" s="1551"/>
      <c r="ILS32" s="1551"/>
      <c r="ILT32" s="1551"/>
      <c r="ILU32" s="1551"/>
      <c r="ILV32" s="1551"/>
      <c r="ILW32" s="1551"/>
      <c r="ILX32" s="1551"/>
      <c r="ILY32" s="1551"/>
      <c r="ILZ32" s="1551"/>
      <c r="IMA32" s="1551"/>
      <c r="IMB32" s="1551"/>
      <c r="IMC32" s="1551"/>
      <c r="IMD32" s="1551"/>
      <c r="IME32" s="1551"/>
      <c r="IMF32" s="1551"/>
      <c r="IMG32" s="1551"/>
      <c r="IMH32" s="1551"/>
      <c r="IMI32" s="1551"/>
      <c r="IMJ32" s="1551"/>
      <c r="IMK32" s="1551"/>
      <c r="IML32" s="1551"/>
      <c r="IMM32" s="1551"/>
      <c r="IMN32" s="1551"/>
      <c r="IMO32" s="1551"/>
      <c r="IMP32" s="1551"/>
      <c r="IMQ32" s="1551"/>
      <c r="IMR32" s="1551"/>
      <c r="IMS32" s="1551"/>
      <c r="IMT32" s="1551"/>
      <c r="IMU32" s="1551"/>
      <c r="IMV32" s="1551"/>
      <c r="IMW32" s="1551"/>
      <c r="IMX32" s="1551"/>
      <c r="IMY32" s="1551"/>
      <c r="IMZ32" s="1551"/>
      <c r="INA32" s="1551"/>
      <c r="INB32" s="1551"/>
      <c r="INC32" s="1551"/>
      <c r="IND32" s="1551"/>
      <c r="INE32" s="1551"/>
      <c r="INF32" s="1551"/>
      <c r="ING32" s="1551"/>
      <c r="INH32" s="1551"/>
      <c r="INI32" s="1551"/>
      <c r="INJ32" s="1551"/>
      <c r="INK32" s="1551"/>
      <c r="INL32" s="1551"/>
      <c r="INM32" s="1551"/>
      <c r="INN32" s="1551"/>
      <c r="INO32" s="1551"/>
      <c r="INP32" s="1551"/>
      <c r="INQ32" s="1551"/>
      <c r="INR32" s="1551"/>
      <c r="INS32" s="1551"/>
      <c r="INT32" s="1551"/>
      <c r="INU32" s="1551"/>
      <c r="INV32" s="1551"/>
      <c r="INW32" s="1551"/>
      <c r="INX32" s="1551"/>
      <c r="INY32" s="1551"/>
      <c r="INZ32" s="1551"/>
      <c r="IOA32" s="1551"/>
      <c r="IOB32" s="1551"/>
      <c r="IOC32" s="1551"/>
      <c r="IOD32" s="1551"/>
      <c r="IOE32" s="1551"/>
      <c r="IOF32" s="1551"/>
      <c r="IOG32" s="1551"/>
      <c r="IOH32" s="1551"/>
      <c r="IOI32" s="1551"/>
      <c r="IOJ32" s="1551"/>
      <c r="IOK32" s="1551"/>
      <c r="IOL32" s="1551"/>
      <c r="IOM32" s="1551"/>
      <c r="ION32" s="1551"/>
      <c r="IOO32" s="1551"/>
      <c r="IOP32" s="1551"/>
      <c r="IOQ32" s="1551"/>
      <c r="IOR32" s="1551"/>
      <c r="IOS32" s="1551"/>
      <c r="IOT32" s="1551"/>
      <c r="IOU32" s="1551"/>
      <c r="IOV32" s="1551"/>
      <c r="IOW32" s="1551"/>
      <c r="IOX32" s="1551"/>
      <c r="IOY32" s="1551"/>
      <c r="IOZ32" s="1551"/>
      <c r="IPA32" s="1551"/>
      <c r="IPB32" s="1551"/>
      <c r="IPC32" s="1551"/>
      <c r="IPD32" s="1551"/>
      <c r="IPE32" s="1551"/>
      <c r="IPF32" s="1551"/>
      <c r="IPG32" s="1551"/>
      <c r="IPH32" s="1551"/>
      <c r="IPI32" s="1551"/>
      <c r="IPJ32" s="1551"/>
      <c r="IPK32" s="1551"/>
      <c r="IPL32" s="1551"/>
      <c r="IPM32" s="1551"/>
      <c r="IPN32" s="1551"/>
      <c r="IPO32" s="1551"/>
      <c r="IPP32" s="1551"/>
      <c r="IPQ32" s="1551"/>
      <c r="IPR32" s="1551"/>
      <c r="IPS32" s="1551"/>
      <c r="IPT32" s="1551"/>
      <c r="IPU32" s="1551"/>
      <c r="IPV32" s="1551"/>
      <c r="IPW32" s="1551"/>
      <c r="IPX32" s="1551"/>
      <c r="IPY32" s="1551"/>
      <c r="IPZ32" s="1551"/>
      <c r="IQA32" s="1551"/>
      <c r="IQB32" s="1551"/>
      <c r="IQC32" s="1551"/>
      <c r="IQD32" s="1551"/>
      <c r="IQE32" s="1551"/>
      <c r="IQF32" s="1551"/>
      <c r="IQG32" s="1551"/>
      <c r="IQH32" s="1551"/>
      <c r="IQI32" s="1551"/>
      <c r="IQJ32" s="1551"/>
      <c r="IQK32" s="1551"/>
      <c r="IQL32" s="1551"/>
      <c r="IQM32" s="1551"/>
      <c r="IQN32" s="1551"/>
      <c r="IQO32" s="1551"/>
      <c r="IQP32" s="1551"/>
      <c r="IQQ32" s="1551"/>
      <c r="IQR32" s="1551"/>
      <c r="IQS32" s="1551"/>
      <c r="IQT32" s="1551"/>
      <c r="IQU32" s="1551"/>
      <c r="IQV32" s="1551"/>
      <c r="IQW32" s="1551"/>
      <c r="IQX32" s="1551"/>
      <c r="IQY32" s="1551"/>
      <c r="IQZ32" s="1551"/>
      <c r="IRA32" s="1551"/>
      <c r="IRB32" s="1551"/>
      <c r="IRC32" s="1551"/>
      <c r="IRD32" s="1551"/>
      <c r="IRE32" s="1551"/>
      <c r="IRF32" s="1551"/>
      <c r="IRG32" s="1551"/>
      <c r="IRH32" s="1551"/>
      <c r="IRI32" s="1551"/>
      <c r="IRJ32" s="1551"/>
      <c r="IRK32" s="1551"/>
      <c r="IRL32" s="1551"/>
      <c r="IRM32" s="1551"/>
      <c r="IRN32" s="1551"/>
      <c r="IRO32" s="1551"/>
      <c r="IRP32" s="1551"/>
      <c r="IRQ32" s="1551"/>
      <c r="IRR32" s="1551"/>
      <c r="IRS32" s="1551"/>
      <c r="IRT32" s="1551"/>
      <c r="IRU32" s="1551"/>
      <c r="IRV32" s="1551"/>
      <c r="IRW32" s="1551"/>
      <c r="IRX32" s="1551"/>
      <c r="IRY32" s="1551"/>
      <c r="IRZ32" s="1551"/>
      <c r="ISA32" s="1551"/>
      <c r="ISB32" s="1551"/>
      <c r="ISC32" s="1551"/>
      <c r="ISD32" s="1551"/>
      <c r="ISE32" s="1551"/>
      <c r="ISF32" s="1551"/>
      <c r="ISG32" s="1551"/>
      <c r="ISH32" s="1551"/>
      <c r="ISI32" s="1551"/>
      <c r="ISJ32" s="1551"/>
      <c r="ISK32" s="1551"/>
      <c r="ISL32" s="1551"/>
      <c r="ISM32" s="1551"/>
      <c r="ISN32" s="1551"/>
      <c r="ISO32" s="1551"/>
      <c r="ISP32" s="1551"/>
      <c r="ISQ32" s="1551"/>
      <c r="ISR32" s="1551"/>
      <c r="ISS32" s="1551"/>
      <c r="IST32" s="1551"/>
      <c r="ISU32" s="1551"/>
      <c r="ISV32" s="1551"/>
      <c r="ISW32" s="1551"/>
      <c r="ISX32" s="1551"/>
      <c r="ISY32" s="1551"/>
      <c r="ISZ32" s="1551"/>
      <c r="ITA32" s="1551"/>
      <c r="ITB32" s="1551"/>
      <c r="ITC32" s="1551"/>
      <c r="ITD32" s="1551"/>
      <c r="ITE32" s="1551"/>
      <c r="ITF32" s="1551"/>
      <c r="ITG32" s="1551"/>
      <c r="ITH32" s="1551"/>
      <c r="ITI32" s="1551"/>
      <c r="ITJ32" s="1551"/>
      <c r="ITK32" s="1551"/>
      <c r="ITL32" s="1551"/>
      <c r="ITM32" s="1551"/>
      <c r="ITN32" s="1551"/>
      <c r="ITO32" s="1551"/>
      <c r="ITP32" s="1551"/>
      <c r="ITQ32" s="1551"/>
      <c r="ITR32" s="1551"/>
      <c r="ITS32" s="1551"/>
      <c r="ITT32" s="1551"/>
      <c r="ITU32" s="1551"/>
      <c r="ITV32" s="1551"/>
      <c r="ITW32" s="1551"/>
      <c r="ITX32" s="1551"/>
      <c r="ITY32" s="1551"/>
      <c r="ITZ32" s="1551"/>
      <c r="IUA32" s="1551"/>
      <c r="IUB32" s="1551"/>
      <c r="IUC32" s="1551"/>
      <c r="IUD32" s="1551"/>
      <c r="IUE32" s="1551"/>
      <c r="IUF32" s="1551"/>
      <c r="IUG32" s="1551"/>
      <c r="IUH32" s="1551"/>
      <c r="IUI32" s="1551"/>
      <c r="IUJ32" s="1551"/>
      <c r="IUK32" s="1551"/>
      <c r="IUL32" s="1551"/>
      <c r="IUM32" s="1551"/>
      <c r="IUN32" s="1551"/>
      <c r="IUO32" s="1551"/>
      <c r="IUP32" s="1551"/>
      <c r="IUQ32" s="1551"/>
      <c r="IUR32" s="1551"/>
      <c r="IUS32" s="1551"/>
      <c r="IUT32" s="1551"/>
      <c r="IUU32" s="1551"/>
      <c r="IUV32" s="1551"/>
      <c r="IUW32" s="1551"/>
      <c r="IUX32" s="1551"/>
      <c r="IUY32" s="1551"/>
      <c r="IUZ32" s="1551"/>
      <c r="IVA32" s="1551"/>
      <c r="IVB32" s="1551"/>
      <c r="IVC32" s="1551"/>
      <c r="IVD32" s="1551"/>
      <c r="IVE32" s="1551"/>
      <c r="IVF32" s="1551"/>
      <c r="IVG32" s="1551"/>
      <c r="IVH32" s="1551"/>
      <c r="IVI32" s="1551"/>
      <c r="IVJ32" s="1551"/>
      <c r="IVK32" s="1551"/>
      <c r="IVL32" s="1551"/>
      <c r="IVM32" s="1551"/>
      <c r="IVN32" s="1551"/>
      <c r="IVO32" s="1551"/>
      <c r="IVP32" s="1551"/>
      <c r="IVQ32" s="1551"/>
      <c r="IVR32" s="1551"/>
      <c r="IVS32" s="1551"/>
      <c r="IVT32" s="1551"/>
      <c r="IVU32" s="1551"/>
      <c r="IVV32" s="1551"/>
      <c r="IVW32" s="1551"/>
      <c r="IVX32" s="1551"/>
      <c r="IVY32" s="1551"/>
      <c r="IVZ32" s="1551"/>
      <c r="IWA32" s="1551"/>
      <c r="IWB32" s="1551"/>
      <c r="IWC32" s="1551"/>
      <c r="IWD32" s="1551"/>
      <c r="IWE32" s="1551"/>
      <c r="IWF32" s="1551"/>
      <c r="IWG32" s="1551"/>
      <c r="IWH32" s="1551"/>
      <c r="IWI32" s="1551"/>
      <c r="IWJ32" s="1551"/>
      <c r="IWK32" s="1551"/>
      <c r="IWL32" s="1551"/>
      <c r="IWM32" s="1551"/>
      <c r="IWN32" s="1551"/>
      <c r="IWO32" s="1551"/>
      <c r="IWP32" s="1551"/>
      <c r="IWQ32" s="1551"/>
      <c r="IWR32" s="1551"/>
      <c r="IWS32" s="1551"/>
      <c r="IWT32" s="1551"/>
      <c r="IWU32" s="1551"/>
      <c r="IWV32" s="1551"/>
      <c r="IWW32" s="1551"/>
      <c r="IWX32" s="1551"/>
      <c r="IWY32" s="1551"/>
      <c r="IWZ32" s="1551"/>
      <c r="IXA32" s="1551"/>
      <c r="IXB32" s="1551"/>
      <c r="IXC32" s="1551"/>
      <c r="IXD32" s="1551"/>
      <c r="IXE32" s="1551"/>
      <c r="IXF32" s="1551"/>
      <c r="IXG32" s="1551"/>
      <c r="IXH32" s="1551"/>
      <c r="IXI32" s="1551"/>
      <c r="IXJ32" s="1551"/>
      <c r="IXK32" s="1551"/>
      <c r="IXL32" s="1551"/>
      <c r="IXM32" s="1551"/>
      <c r="IXN32" s="1551"/>
      <c r="IXO32" s="1551"/>
      <c r="IXP32" s="1551"/>
      <c r="IXQ32" s="1551"/>
      <c r="IXR32" s="1551"/>
      <c r="IXS32" s="1551"/>
      <c r="IXT32" s="1551"/>
      <c r="IXU32" s="1551"/>
      <c r="IXV32" s="1551"/>
      <c r="IXW32" s="1551"/>
      <c r="IXX32" s="1551"/>
      <c r="IXY32" s="1551"/>
      <c r="IXZ32" s="1551"/>
      <c r="IYA32" s="1551"/>
      <c r="IYB32" s="1551"/>
      <c r="IYC32" s="1551"/>
      <c r="IYD32" s="1551"/>
      <c r="IYE32" s="1551"/>
      <c r="IYF32" s="1551"/>
      <c r="IYG32" s="1551"/>
      <c r="IYH32" s="1551"/>
      <c r="IYI32" s="1551"/>
      <c r="IYJ32" s="1551"/>
      <c r="IYK32" s="1551"/>
      <c r="IYL32" s="1551"/>
      <c r="IYM32" s="1551"/>
      <c r="IYN32" s="1551"/>
      <c r="IYO32" s="1551"/>
      <c r="IYP32" s="1551"/>
      <c r="IYQ32" s="1551"/>
      <c r="IYR32" s="1551"/>
      <c r="IYS32" s="1551"/>
      <c r="IYT32" s="1551"/>
      <c r="IYU32" s="1551"/>
      <c r="IYV32" s="1551"/>
      <c r="IYW32" s="1551"/>
      <c r="IYX32" s="1551"/>
      <c r="IYY32" s="1551"/>
      <c r="IYZ32" s="1551"/>
      <c r="IZA32" s="1551"/>
      <c r="IZB32" s="1551"/>
      <c r="IZC32" s="1551"/>
      <c r="IZD32" s="1551"/>
      <c r="IZE32" s="1551"/>
      <c r="IZF32" s="1551"/>
      <c r="IZG32" s="1551"/>
      <c r="IZH32" s="1551"/>
      <c r="IZI32" s="1551"/>
      <c r="IZJ32" s="1551"/>
      <c r="IZK32" s="1551"/>
      <c r="IZL32" s="1551"/>
      <c r="IZM32" s="1551"/>
      <c r="IZN32" s="1551"/>
      <c r="IZO32" s="1551"/>
      <c r="IZP32" s="1551"/>
      <c r="IZQ32" s="1551"/>
      <c r="IZR32" s="1551"/>
      <c r="IZS32" s="1551"/>
      <c r="IZT32" s="1551"/>
      <c r="IZU32" s="1551"/>
      <c r="IZV32" s="1551"/>
      <c r="IZW32" s="1551"/>
      <c r="IZX32" s="1551"/>
      <c r="IZY32" s="1551"/>
      <c r="IZZ32" s="1551"/>
      <c r="JAA32" s="1551"/>
      <c r="JAB32" s="1551"/>
      <c r="JAC32" s="1551"/>
      <c r="JAD32" s="1551"/>
      <c r="JAE32" s="1551"/>
      <c r="JAF32" s="1551"/>
      <c r="JAG32" s="1551"/>
      <c r="JAH32" s="1551"/>
      <c r="JAI32" s="1551"/>
      <c r="JAJ32" s="1551"/>
      <c r="JAK32" s="1551"/>
      <c r="JAL32" s="1551"/>
      <c r="JAM32" s="1551"/>
      <c r="JAN32" s="1551"/>
      <c r="JAO32" s="1551"/>
      <c r="JAP32" s="1551"/>
      <c r="JAQ32" s="1551"/>
      <c r="JAR32" s="1551"/>
      <c r="JAS32" s="1551"/>
      <c r="JAT32" s="1551"/>
      <c r="JAU32" s="1551"/>
      <c r="JAV32" s="1551"/>
      <c r="JAW32" s="1551"/>
      <c r="JAX32" s="1551"/>
      <c r="JAY32" s="1551"/>
      <c r="JAZ32" s="1551"/>
      <c r="JBA32" s="1551"/>
      <c r="JBB32" s="1551"/>
      <c r="JBC32" s="1551"/>
      <c r="JBD32" s="1551"/>
      <c r="JBE32" s="1551"/>
      <c r="JBF32" s="1551"/>
      <c r="JBG32" s="1551"/>
      <c r="JBH32" s="1551"/>
      <c r="JBI32" s="1551"/>
      <c r="JBJ32" s="1551"/>
      <c r="JBK32" s="1551"/>
      <c r="JBL32" s="1551"/>
      <c r="JBM32" s="1551"/>
      <c r="JBN32" s="1551"/>
      <c r="JBO32" s="1551"/>
      <c r="JBP32" s="1551"/>
      <c r="JBQ32" s="1551"/>
      <c r="JBR32" s="1551"/>
      <c r="JBS32" s="1551"/>
      <c r="JBT32" s="1551"/>
      <c r="JBU32" s="1551"/>
      <c r="JBV32" s="1551"/>
      <c r="JBW32" s="1551"/>
      <c r="JBX32" s="1551"/>
      <c r="JBY32" s="1551"/>
      <c r="JBZ32" s="1551"/>
      <c r="JCA32" s="1551"/>
      <c r="JCB32" s="1551"/>
      <c r="JCC32" s="1551"/>
      <c r="JCD32" s="1551"/>
      <c r="JCE32" s="1551"/>
      <c r="JCF32" s="1551"/>
      <c r="JCG32" s="1551"/>
      <c r="JCH32" s="1551"/>
      <c r="JCI32" s="1551"/>
      <c r="JCJ32" s="1551"/>
      <c r="JCK32" s="1551"/>
      <c r="JCL32" s="1551"/>
      <c r="JCM32" s="1551"/>
      <c r="JCN32" s="1551"/>
      <c r="JCO32" s="1551"/>
      <c r="JCP32" s="1551"/>
      <c r="JCQ32" s="1551"/>
      <c r="JCR32" s="1551"/>
      <c r="JCS32" s="1551"/>
      <c r="JCT32" s="1551"/>
      <c r="JCU32" s="1551"/>
      <c r="JCV32" s="1551"/>
      <c r="JCW32" s="1551"/>
      <c r="JCX32" s="1551"/>
      <c r="JCY32" s="1551"/>
      <c r="JCZ32" s="1551"/>
      <c r="JDA32" s="1551"/>
      <c r="JDB32" s="1551"/>
      <c r="JDC32" s="1551"/>
      <c r="JDD32" s="1551"/>
      <c r="JDE32" s="1551"/>
      <c r="JDF32" s="1551"/>
      <c r="JDG32" s="1551"/>
      <c r="JDH32" s="1551"/>
      <c r="JDI32" s="1551"/>
      <c r="JDJ32" s="1551"/>
      <c r="JDK32" s="1551"/>
      <c r="JDL32" s="1551"/>
      <c r="JDM32" s="1551"/>
      <c r="JDN32" s="1551"/>
      <c r="JDO32" s="1551"/>
      <c r="JDP32" s="1551"/>
      <c r="JDQ32" s="1551"/>
      <c r="JDR32" s="1551"/>
      <c r="JDS32" s="1551"/>
      <c r="JDT32" s="1551"/>
      <c r="JDU32" s="1551"/>
      <c r="JDV32" s="1551"/>
      <c r="JDW32" s="1551"/>
      <c r="JDX32" s="1551"/>
      <c r="JDY32" s="1551"/>
      <c r="JDZ32" s="1551"/>
      <c r="JEA32" s="1551"/>
      <c r="JEB32" s="1551"/>
      <c r="JEC32" s="1551"/>
      <c r="JED32" s="1551"/>
      <c r="JEE32" s="1551"/>
      <c r="JEF32" s="1551"/>
      <c r="JEG32" s="1551"/>
      <c r="JEH32" s="1551"/>
      <c r="JEI32" s="1551"/>
      <c r="JEJ32" s="1551"/>
      <c r="JEK32" s="1551"/>
      <c r="JEL32" s="1551"/>
      <c r="JEM32" s="1551"/>
      <c r="JEN32" s="1551"/>
      <c r="JEO32" s="1551"/>
      <c r="JEP32" s="1551"/>
      <c r="JEQ32" s="1551"/>
      <c r="JER32" s="1551"/>
      <c r="JES32" s="1551"/>
      <c r="JET32" s="1551"/>
      <c r="JEU32" s="1551"/>
      <c r="JEV32" s="1551"/>
      <c r="JEW32" s="1551"/>
      <c r="JEX32" s="1551"/>
      <c r="JEY32" s="1551"/>
      <c r="JEZ32" s="1551"/>
      <c r="JFA32" s="1551"/>
      <c r="JFB32" s="1551"/>
      <c r="JFC32" s="1551"/>
      <c r="JFD32" s="1551"/>
      <c r="JFE32" s="1551"/>
      <c r="JFF32" s="1551"/>
      <c r="JFG32" s="1551"/>
      <c r="JFH32" s="1551"/>
      <c r="JFI32" s="1551"/>
      <c r="JFJ32" s="1551"/>
      <c r="JFK32" s="1551"/>
      <c r="JFL32" s="1551"/>
      <c r="JFM32" s="1551"/>
      <c r="JFN32" s="1551"/>
      <c r="JFO32" s="1551"/>
      <c r="JFP32" s="1551"/>
      <c r="JFQ32" s="1551"/>
      <c r="JFR32" s="1551"/>
      <c r="JFS32" s="1551"/>
      <c r="JFT32" s="1551"/>
      <c r="JFU32" s="1551"/>
      <c r="JFV32" s="1551"/>
      <c r="JFW32" s="1551"/>
      <c r="JFX32" s="1551"/>
      <c r="JFY32" s="1551"/>
      <c r="JFZ32" s="1551"/>
      <c r="JGA32" s="1551"/>
      <c r="JGB32" s="1551"/>
      <c r="JGC32" s="1551"/>
      <c r="JGD32" s="1551"/>
      <c r="JGE32" s="1551"/>
      <c r="JGF32" s="1551"/>
      <c r="JGG32" s="1551"/>
      <c r="JGH32" s="1551"/>
      <c r="JGI32" s="1551"/>
      <c r="JGJ32" s="1551"/>
      <c r="JGK32" s="1551"/>
      <c r="JGL32" s="1551"/>
      <c r="JGM32" s="1551"/>
      <c r="JGN32" s="1551"/>
      <c r="JGO32" s="1551"/>
      <c r="JGP32" s="1551"/>
      <c r="JGQ32" s="1551"/>
      <c r="JGR32" s="1551"/>
      <c r="JGS32" s="1551"/>
      <c r="JGT32" s="1551"/>
      <c r="JGU32" s="1551"/>
      <c r="JGV32" s="1551"/>
      <c r="JGW32" s="1551"/>
      <c r="JGX32" s="1551"/>
      <c r="JGY32" s="1551"/>
      <c r="JGZ32" s="1551"/>
      <c r="JHA32" s="1551"/>
      <c r="JHB32" s="1551"/>
      <c r="JHC32" s="1551"/>
      <c r="JHD32" s="1551"/>
      <c r="JHE32" s="1551"/>
      <c r="JHF32" s="1551"/>
      <c r="JHG32" s="1551"/>
      <c r="JHH32" s="1551"/>
      <c r="JHI32" s="1551"/>
      <c r="JHJ32" s="1551"/>
      <c r="JHK32" s="1551"/>
      <c r="JHL32" s="1551"/>
      <c r="JHM32" s="1551"/>
      <c r="JHN32" s="1551"/>
      <c r="JHO32" s="1551"/>
      <c r="JHP32" s="1551"/>
      <c r="JHQ32" s="1551"/>
      <c r="JHR32" s="1551"/>
      <c r="JHS32" s="1551"/>
      <c r="JHT32" s="1551"/>
      <c r="JHU32" s="1551"/>
      <c r="JHV32" s="1551"/>
      <c r="JHW32" s="1551"/>
      <c r="JHX32" s="1551"/>
      <c r="JHY32" s="1551"/>
      <c r="JHZ32" s="1551"/>
      <c r="JIA32" s="1551"/>
      <c r="JIB32" s="1551"/>
      <c r="JIC32" s="1551"/>
      <c r="JID32" s="1551"/>
      <c r="JIE32" s="1551"/>
      <c r="JIF32" s="1551"/>
      <c r="JIG32" s="1551"/>
      <c r="JIH32" s="1551"/>
      <c r="JII32" s="1551"/>
      <c r="JIJ32" s="1551"/>
      <c r="JIK32" s="1551"/>
      <c r="JIL32" s="1551"/>
      <c r="JIM32" s="1551"/>
      <c r="JIN32" s="1551"/>
      <c r="JIO32" s="1551"/>
      <c r="JIP32" s="1551"/>
      <c r="JIQ32" s="1551"/>
      <c r="JIR32" s="1551"/>
      <c r="JIS32" s="1551"/>
      <c r="JIT32" s="1551"/>
      <c r="JIU32" s="1551"/>
      <c r="JIV32" s="1551"/>
      <c r="JIW32" s="1551"/>
      <c r="JIX32" s="1551"/>
      <c r="JIY32" s="1551"/>
      <c r="JIZ32" s="1551"/>
      <c r="JJA32" s="1551"/>
      <c r="JJB32" s="1551"/>
      <c r="JJC32" s="1551"/>
      <c r="JJD32" s="1551"/>
      <c r="JJE32" s="1551"/>
      <c r="JJF32" s="1551"/>
      <c r="JJG32" s="1551"/>
      <c r="JJH32" s="1551"/>
      <c r="JJI32" s="1551"/>
      <c r="JJJ32" s="1551"/>
      <c r="JJK32" s="1551"/>
      <c r="JJL32" s="1551"/>
      <c r="JJM32" s="1551"/>
      <c r="JJN32" s="1551"/>
      <c r="JJO32" s="1551"/>
      <c r="JJP32" s="1551"/>
      <c r="JJQ32" s="1551"/>
      <c r="JJR32" s="1551"/>
      <c r="JJS32" s="1551"/>
      <c r="JJT32" s="1551"/>
      <c r="JJU32" s="1551"/>
      <c r="JJV32" s="1551"/>
      <c r="JJW32" s="1551"/>
      <c r="JJX32" s="1551"/>
      <c r="JJY32" s="1551"/>
      <c r="JJZ32" s="1551"/>
      <c r="JKA32" s="1551"/>
      <c r="JKB32" s="1551"/>
      <c r="JKC32" s="1551"/>
      <c r="JKD32" s="1551"/>
      <c r="JKE32" s="1551"/>
      <c r="JKF32" s="1551"/>
      <c r="JKG32" s="1551"/>
      <c r="JKH32" s="1551"/>
      <c r="JKI32" s="1551"/>
      <c r="JKJ32" s="1551"/>
      <c r="JKK32" s="1551"/>
      <c r="JKL32" s="1551"/>
      <c r="JKM32" s="1551"/>
      <c r="JKN32" s="1551"/>
      <c r="JKO32" s="1551"/>
      <c r="JKP32" s="1551"/>
      <c r="JKQ32" s="1551"/>
      <c r="JKR32" s="1551"/>
      <c r="JKS32" s="1551"/>
      <c r="JKT32" s="1551"/>
      <c r="JKU32" s="1551"/>
      <c r="JKV32" s="1551"/>
      <c r="JKW32" s="1551"/>
      <c r="JKX32" s="1551"/>
      <c r="JKY32" s="1551"/>
      <c r="JKZ32" s="1551"/>
      <c r="JLA32" s="1551"/>
      <c r="JLB32" s="1551"/>
      <c r="JLC32" s="1551"/>
      <c r="JLD32" s="1551"/>
      <c r="JLE32" s="1551"/>
      <c r="JLF32" s="1551"/>
      <c r="JLG32" s="1551"/>
      <c r="JLH32" s="1551"/>
      <c r="JLI32" s="1551"/>
      <c r="JLJ32" s="1551"/>
      <c r="JLK32" s="1551"/>
      <c r="JLL32" s="1551"/>
      <c r="JLM32" s="1551"/>
      <c r="JLN32" s="1551"/>
      <c r="JLO32" s="1551"/>
      <c r="JLP32" s="1551"/>
      <c r="JLQ32" s="1551"/>
      <c r="JLR32" s="1551"/>
      <c r="JLS32" s="1551"/>
      <c r="JLT32" s="1551"/>
      <c r="JLU32" s="1551"/>
      <c r="JLV32" s="1551"/>
      <c r="JLW32" s="1551"/>
      <c r="JLX32" s="1551"/>
      <c r="JLY32" s="1551"/>
      <c r="JLZ32" s="1551"/>
      <c r="JMA32" s="1551"/>
      <c r="JMB32" s="1551"/>
      <c r="JMC32" s="1551"/>
      <c r="JMD32" s="1551"/>
      <c r="JME32" s="1551"/>
      <c r="JMF32" s="1551"/>
      <c r="JMG32" s="1551"/>
      <c r="JMH32" s="1551"/>
      <c r="JMI32" s="1551"/>
      <c r="JMJ32" s="1551"/>
      <c r="JMK32" s="1551"/>
      <c r="JML32" s="1551"/>
      <c r="JMM32" s="1551"/>
      <c r="JMN32" s="1551"/>
      <c r="JMO32" s="1551"/>
      <c r="JMP32" s="1551"/>
      <c r="JMQ32" s="1551"/>
      <c r="JMR32" s="1551"/>
      <c r="JMS32" s="1551"/>
      <c r="JMT32" s="1551"/>
      <c r="JMU32" s="1551"/>
      <c r="JMV32" s="1551"/>
      <c r="JMW32" s="1551"/>
      <c r="JMX32" s="1551"/>
      <c r="JMY32" s="1551"/>
      <c r="JMZ32" s="1551"/>
      <c r="JNA32" s="1551"/>
      <c r="JNB32" s="1551"/>
      <c r="JNC32" s="1551"/>
      <c r="JND32" s="1551"/>
      <c r="JNE32" s="1551"/>
      <c r="JNF32" s="1551"/>
      <c r="JNG32" s="1551"/>
      <c r="JNH32" s="1551"/>
      <c r="JNI32" s="1551"/>
      <c r="JNJ32" s="1551"/>
      <c r="JNK32" s="1551"/>
      <c r="JNL32" s="1551"/>
      <c r="JNM32" s="1551"/>
      <c r="JNN32" s="1551"/>
      <c r="JNO32" s="1551"/>
      <c r="JNP32" s="1551"/>
      <c r="JNQ32" s="1551"/>
      <c r="JNR32" s="1551"/>
      <c r="JNS32" s="1551"/>
      <c r="JNT32" s="1551"/>
      <c r="JNU32" s="1551"/>
      <c r="JNV32" s="1551"/>
      <c r="JNW32" s="1551"/>
      <c r="JNX32" s="1551"/>
      <c r="JNY32" s="1551"/>
      <c r="JNZ32" s="1551"/>
      <c r="JOA32" s="1551"/>
      <c r="JOB32" s="1551"/>
      <c r="JOC32" s="1551"/>
      <c r="JOD32" s="1551"/>
      <c r="JOE32" s="1551"/>
      <c r="JOF32" s="1551"/>
      <c r="JOG32" s="1551"/>
      <c r="JOH32" s="1551"/>
      <c r="JOI32" s="1551"/>
      <c r="JOJ32" s="1551"/>
      <c r="JOK32" s="1551"/>
      <c r="JOL32" s="1551"/>
      <c r="JOM32" s="1551"/>
      <c r="JON32" s="1551"/>
      <c r="JOO32" s="1551"/>
      <c r="JOP32" s="1551"/>
      <c r="JOQ32" s="1551"/>
      <c r="JOR32" s="1551"/>
      <c r="JOS32" s="1551"/>
      <c r="JOT32" s="1551"/>
      <c r="JOU32" s="1551"/>
      <c r="JOV32" s="1551"/>
      <c r="JOW32" s="1551"/>
      <c r="JOX32" s="1551"/>
      <c r="JOY32" s="1551"/>
      <c r="JOZ32" s="1551"/>
      <c r="JPA32" s="1551"/>
      <c r="JPB32" s="1551"/>
      <c r="JPC32" s="1551"/>
      <c r="JPD32" s="1551"/>
      <c r="JPE32" s="1551"/>
      <c r="JPF32" s="1551"/>
      <c r="JPG32" s="1551"/>
      <c r="JPH32" s="1551"/>
      <c r="JPI32" s="1551"/>
      <c r="JPJ32" s="1551"/>
      <c r="JPK32" s="1551"/>
      <c r="JPL32" s="1551"/>
      <c r="JPM32" s="1551"/>
      <c r="JPN32" s="1551"/>
      <c r="JPO32" s="1551"/>
      <c r="JPP32" s="1551"/>
      <c r="JPQ32" s="1551"/>
      <c r="JPR32" s="1551"/>
      <c r="JPS32" s="1551"/>
      <c r="JPT32" s="1551"/>
      <c r="JPU32" s="1551"/>
      <c r="JPV32" s="1551"/>
      <c r="JPW32" s="1551"/>
      <c r="JPX32" s="1551"/>
      <c r="JPY32" s="1551"/>
      <c r="JPZ32" s="1551"/>
      <c r="JQA32" s="1551"/>
      <c r="JQB32" s="1551"/>
      <c r="JQC32" s="1551"/>
      <c r="JQD32" s="1551"/>
      <c r="JQE32" s="1551"/>
      <c r="JQF32" s="1551"/>
      <c r="JQG32" s="1551"/>
      <c r="JQH32" s="1551"/>
      <c r="JQI32" s="1551"/>
      <c r="JQJ32" s="1551"/>
      <c r="JQK32" s="1551"/>
      <c r="JQL32" s="1551"/>
      <c r="JQM32" s="1551"/>
      <c r="JQN32" s="1551"/>
      <c r="JQO32" s="1551"/>
      <c r="JQP32" s="1551"/>
      <c r="JQQ32" s="1551"/>
      <c r="JQR32" s="1551"/>
      <c r="JQS32" s="1551"/>
      <c r="JQT32" s="1551"/>
      <c r="JQU32" s="1551"/>
      <c r="JQV32" s="1551"/>
      <c r="JQW32" s="1551"/>
      <c r="JQX32" s="1551"/>
      <c r="JQY32" s="1551"/>
      <c r="JQZ32" s="1551"/>
      <c r="JRA32" s="1551"/>
      <c r="JRB32" s="1551"/>
      <c r="JRC32" s="1551"/>
      <c r="JRD32" s="1551"/>
      <c r="JRE32" s="1551"/>
      <c r="JRF32" s="1551"/>
      <c r="JRG32" s="1551"/>
      <c r="JRH32" s="1551"/>
      <c r="JRI32" s="1551"/>
      <c r="JRJ32" s="1551"/>
      <c r="JRK32" s="1551"/>
      <c r="JRL32" s="1551"/>
      <c r="JRM32" s="1551"/>
      <c r="JRN32" s="1551"/>
      <c r="JRO32" s="1551"/>
      <c r="JRP32" s="1551"/>
      <c r="JRQ32" s="1551"/>
      <c r="JRR32" s="1551"/>
      <c r="JRS32" s="1551"/>
      <c r="JRT32" s="1551"/>
      <c r="JRU32" s="1551"/>
      <c r="JRV32" s="1551"/>
      <c r="JRW32" s="1551"/>
      <c r="JRX32" s="1551"/>
      <c r="JRY32" s="1551"/>
      <c r="JRZ32" s="1551"/>
      <c r="JSA32" s="1551"/>
      <c r="JSB32" s="1551"/>
      <c r="JSC32" s="1551"/>
      <c r="JSD32" s="1551"/>
      <c r="JSE32" s="1551"/>
      <c r="JSF32" s="1551"/>
      <c r="JSG32" s="1551"/>
      <c r="JSH32" s="1551"/>
      <c r="JSI32" s="1551"/>
      <c r="JSJ32" s="1551"/>
      <c r="JSK32" s="1551"/>
      <c r="JSL32" s="1551"/>
      <c r="JSM32" s="1551"/>
      <c r="JSN32" s="1551"/>
      <c r="JSO32" s="1551"/>
      <c r="JSP32" s="1551"/>
      <c r="JSQ32" s="1551"/>
      <c r="JSR32" s="1551"/>
      <c r="JSS32" s="1551"/>
      <c r="JST32" s="1551"/>
      <c r="JSU32" s="1551"/>
      <c r="JSV32" s="1551"/>
      <c r="JSW32" s="1551"/>
      <c r="JSX32" s="1551"/>
      <c r="JSY32" s="1551"/>
      <c r="JSZ32" s="1551"/>
      <c r="JTA32" s="1551"/>
      <c r="JTB32" s="1551"/>
      <c r="JTC32" s="1551"/>
      <c r="JTD32" s="1551"/>
      <c r="JTE32" s="1551"/>
      <c r="JTF32" s="1551"/>
      <c r="JTG32" s="1551"/>
      <c r="JTH32" s="1551"/>
      <c r="JTI32" s="1551"/>
      <c r="JTJ32" s="1551"/>
      <c r="JTK32" s="1551"/>
      <c r="JTL32" s="1551"/>
      <c r="JTM32" s="1551"/>
      <c r="JTN32" s="1551"/>
      <c r="JTO32" s="1551"/>
      <c r="JTP32" s="1551"/>
      <c r="JTQ32" s="1551"/>
      <c r="JTR32" s="1551"/>
      <c r="JTS32" s="1551"/>
      <c r="JTT32" s="1551"/>
      <c r="JTU32" s="1551"/>
      <c r="JTV32" s="1551"/>
      <c r="JTW32" s="1551"/>
      <c r="JTX32" s="1551"/>
      <c r="JTY32" s="1551"/>
      <c r="JTZ32" s="1551"/>
      <c r="JUA32" s="1551"/>
      <c r="JUB32" s="1551"/>
      <c r="JUC32" s="1551"/>
      <c r="JUD32" s="1551"/>
      <c r="JUE32" s="1551"/>
      <c r="JUF32" s="1551"/>
      <c r="JUG32" s="1551"/>
      <c r="JUH32" s="1551"/>
      <c r="JUI32" s="1551"/>
      <c r="JUJ32" s="1551"/>
      <c r="JUK32" s="1551"/>
      <c r="JUL32" s="1551"/>
      <c r="JUM32" s="1551"/>
      <c r="JUN32" s="1551"/>
      <c r="JUO32" s="1551"/>
      <c r="JUP32" s="1551"/>
      <c r="JUQ32" s="1551"/>
      <c r="JUR32" s="1551"/>
      <c r="JUS32" s="1551"/>
      <c r="JUT32" s="1551"/>
      <c r="JUU32" s="1551"/>
      <c r="JUV32" s="1551"/>
      <c r="JUW32" s="1551"/>
      <c r="JUX32" s="1551"/>
      <c r="JUY32" s="1551"/>
      <c r="JUZ32" s="1551"/>
      <c r="JVA32" s="1551"/>
      <c r="JVB32" s="1551"/>
      <c r="JVC32" s="1551"/>
      <c r="JVD32" s="1551"/>
      <c r="JVE32" s="1551"/>
      <c r="JVF32" s="1551"/>
      <c r="JVG32" s="1551"/>
      <c r="JVH32" s="1551"/>
      <c r="JVI32" s="1551"/>
      <c r="JVJ32" s="1551"/>
      <c r="JVK32" s="1551"/>
      <c r="JVL32" s="1551"/>
      <c r="JVM32" s="1551"/>
      <c r="JVN32" s="1551"/>
      <c r="JVO32" s="1551"/>
      <c r="JVP32" s="1551"/>
      <c r="JVQ32" s="1551"/>
      <c r="JVR32" s="1551"/>
      <c r="JVS32" s="1551"/>
      <c r="JVT32" s="1551"/>
      <c r="JVU32" s="1551"/>
      <c r="JVV32" s="1551"/>
      <c r="JVW32" s="1551"/>
      <c r="JVX32" s="1551"/>
      <c r="JVY32" s="1551"/>
      <c r="JVZ32" s="1551"/>
      <c r="JWA32" s="1551"/>
      <c r="JWB32" s="1551"/>
      <c r="JWC32" s="1551"/>
      <c r="JWD32" s="1551"/>
      <c r="JWE32" s="1551"/>
      <c r="JWF32" s="1551"/>
      <c r="JWG32" s="1551"/>
      <c r="JWH32" s="1551"/>
      <c r="JWI32" s="1551"/>
      <c r="JWJ32" s="1551"/>
      <c r="JWK32" s="1551"/>
      <c r="JWL32" s="1551"/>
      <c r="JWM32" s="1551"/>
      <c r="JWN32" s="1551"/>
      <c r="JWO32" s="1551"/>
      <c r="JWP32" s="1551"/>
      <c r="JWQ32" s="1551"/>
      <c r="JWR32" s="1551"/>
      <c r="JWS32" s="1551"/>
      <c r="JWT32" s="1551"/>
      <c r="JWU32" s="1551"/>
      <c r="JWV32" s="1551"/>
      <c r="JWW32" s="1551"/>
      <c r="JWX32" s="1551"/>
      <c r="JWY32" s="1551"/>
      <c r="JWZ32" s="1551"/>
      <c r="JXA32" s="1551"/>
      <c r="JXB32" s="1551"/>
      <c r="JXC32" s="1551"/>
      <c r="JXD32" s="1551"/>
      <c r="JXE32" s="1551"/>
      <c r="JXF32" s="1551"/>
      <c r="JXG32" s="1551"/>
      <c r="JXH32" s="1551"/>
      <c r="JXI32" s="1551"/>
      <c r="JXJ32" s="1551"/>
      <c r="JXK32" s="1551"/>
      <c r="JXL32" s="1551"/>
      <c r="JXM32" s="1551"/>
      <c r="JXN32" s="1551"/>
      <c r="JXO32" s="1551"/>
      <c r="JXP32" s="1551"/>
      <c r="JXQ32" s="1551"/>
      <c r="JXR32" s="1551"/>
      <c r="JXS32" s="1551"/>
      <c r="JXT32" s="1551"/>
      <c r="JXU32" s="1551"/>
      <c r="JXV32" s="1551"/>
      <c r="JXW32" s="1551"/>
      <c r="JXX32" s="1551"/>
      <c r="JXY32" s="1551"/>
      <c r="JXZ32" s="1551"/>
      <c r="JYA32" s="1551"/>
      <c r="JYB32" s="1551"/>
      <c r="JYC32" s="1551"/>
      <c r="JYD32" s="1551"/>
      <c r="JYE32" s="1551"/>
      <c r="JYF32" s="1551"/>
      <c r="JYG32" s="1551"/>
      <c r="JYH32" s="1551"/>
      <c r="JYI32" s="1551"/>
      <c r="JYJ32" s="1551"/>
      <c r="JYK32" s="1551"/>
      <c r="JYL32" s="1551"/>
      <c r="JYM32" s="1551"/>
      <c r="JYN32" s="1551"/>
      <c r="JYO32" s="1551"/>
      <c r="JYP32" s="1551"/>
      <c r="JYQ32" s="1551"/>
      <c r="JYR32" s="1551"/>
      <c r="JYS32" s="1551"/>
      <c r="JYT32" s="1551"/>
      <c r="JYU32" s="1551"/>
      <c r="JYV32" s="1551"/>
      <c r="JYW32" s="1551"/>
      <c r="JYX32" s="1551"/>
      <c r="JYY32" s="1551"/>
      <c r="JYZ32" s="1551"/>
      <c r="JZA32" s="1551"/>
      <c r="JZB32" s="1551"/>
      <c r="JZC32" s="1551"/>
      <c r="JZD32" s="1551"/>
      <c r="JZE32" s="1551"/>
      <c r="JZF32" s="1551"/>
      <c r="JZG32" s="1551"/>
      <c r="JZH32" s="1551"/>
      <c r="JZI32" s="1551"/>
      <c r="JZJ32" s="1551"/>
      <c r="JZK32" s="1551"/>
      <c r="JZL32" s="1551"/>
      <c r="JZM32" s="1551"/>
      <c r="JZN32" s="1551"/>
      <c r="JZO32" s="1551"/>
      <c r="JZP32" s="1551"/>
      <c r="JZQ32" s="1551"/>
      <c r="JZR32" s="1551"/>
      <c r="JZS32" s="1551"/>
      <c r="JZT32" s="1551"/>
      <c r="JZU32" s="1551"/>
      <c r="JZV32" s="1551"/>
      <c r="JZW32" s="1551"/>
      <c r="JZX32" s="1551"/>
      <c r="JZY32" s="1551"/>
      <c r="JZZ32" s="1551"/>
      <c r="KAA32" s="1551"/>
      <c r="KAB32" s="1551"/>
      <c r="KAC32" s="1551"/>
      <c r="KAD32" s="1551"/>
      <c r="KAE32" s="1551"/>
      <c r="KAF32" s="1551"/>
      <c r="KAG32" s="1551"/>
      <c r="KAH32" s="1551"/>
      <c r="KAI32" s="1551"/>
      <c r="KAJ32" s="1551"/>
      <c r="KAK32" s="1551"/>
      <c r="KAL32" s="1551"/>
      <c r="KAM32" s="1551"/>
      <c r="KAN32" s="1551"/>
      <c r="KAO32" s="1551"/>
      <c r="KAP32" s="1551"/>
      <c r="KAQ32" s="1551"/>
      <c r="KAR32" s="1551"/>
      <c r="KAS32" s="1551"/>
      <c r="KAT32" s="1551"/>
      <c r="KAU32" s="1551"/>
      <c r="KAV32" s="1551"/>
      <c r="KAW32" s="1551"/>
      <c r="KAX32" s="1551"/>
      <c r="KAY32" s="1551"/>
      <c r="KAZ32" s="1551"/>
      <c r="KBA32" s="1551"/>
      <c r="KBB32" s="1551"/>
      <c r="KBC32" s="1551"/>
      <c r="KBD32" s="1551"/>
      <c r="KBE32" s="1551"/>
      <c r="KBF32" s="1551"/>
      <c r="KBG32" s="1551"/>
      <c r="KBH32" s="1551"/>
      <c r="KBI32" s="1551"/>
      <c r="KBJ32" s="1551"/>
      <c r="KBK32" s="1551"/>
      <c r="KBL32" s="1551"/>
      <c r="KBM32" s="1551"/>
      <c r="KBN32" s="1551"/>
      <c r="KBO32" s="1551"/>
      <c r="KBP32" s="1551"/>
      <c r="KBQ32" s="1551"/>
      <c r="KBR32" s="1551"/>
      <c r="KBS32" s="1551"/>
      <c r="KBT32" s="1551"/>
      <c r="KBU32" s="1551"/>
      <c r="KBV32" s="1551"/>
      <c r="KBW32" s="1551"/>
      <c r="KBX32" s="1551"/>
      <c r="KBY32" s="1551"/>
      <c r="KBZ32" s="1551"/>
      <c r="KCA32" s="1551"/>
      <c r="KCB32" s="1551"/>
      <c r="KCC32" s="1551"/>
      <c r="KCD32" s="1551"/>
      <c r="KCE32" s="1551"/>
      <c r="KCF32" s="1551"/>
      <c r="KCG32" s="1551"/>
      <c r="KCH32" s="1551"/>
      <c r="KCI32" s="1551"/>
      <c r="KCJ32" s="1551"/>
      <c r="KCK32" s="1551"/>
      <c r="KCL32" s="1551"/>
      <c r="KCM32" s="1551"/>
      <c r="KCN32" s="1551"/>
      <c r="KCO32" s="1551"/>
      <c r="KCP32" s="1551"/>
      <c r="KCQ32" s="1551"/>
      <c r="KCR32" s="1551"/>
      <c r="KCS32" s="1551"/>
      <c r="KCT32" s="1551"/>
      <c r="KCU32" s="1551"/>
      <c r="KCV32" s="1551"/>
      <c r="KCW32" s="1551"/>
      <c r="KCX32" s="1551"/>
      <c r="KCY32" s="1551"/>
      <c r="KCZ32" s="1551"/>
      <c r="KDA32" s="1551"/>
      <c r="KDB32" s="1551"/>
      <c r="KDC32" s="1551"/>
      <c r="KDD32" s="1551"/>
      <c r="KDE32" s="1551"/>
      <c r="KDF32" s="1551"/>
      <c r="KDG32" s="1551"/>
      <c r="KDH32" s="1551"/>
      <c r="KDI32" s="1551"/>
      <c r="KDJ32" s="1551"/>
      <c r="KDK32" s="1551"/>
      <c r="KDL32" s="1551"/>
      <c r="KDM32" s="1551"/>
      <c r="KDN32" s="1551"/>
      <c r="KDO32" s="1551"/>
      <c r="KDP32" s="1551"/>
      <c r="KDQ32" s="1551"/>
      <c r="KDR32" s="1551"/>
      <c r="KDS32" s="1551"/>
      <c r="KDT32" s="1551"/>
      <c r="KDU32" s="1551"/>
      <c r="KDV32" s="1551"/>
      <c r="KDW32" s="1551"/>
      <c r="KDX32" s="1551"/>
      <c r="KDY32" s="1551"/>
      <c r="KDZ32" s="1551"/>
      <c r="KEA32" s="1551"/>
      <c r="KEB32" s="1551"/>
      <c r="KEC32" s="1551"/>
      <c r="KED32" s="1551"/>
      <c r="KEE32" s="1551"/>
      <c r="KEF32" s="1551"/>
      <c r="KEG32" s="1551"/>
      <c r="KEH32" s="1551"/>
      <c r="KEI32" s="1551"/>
      <c r="KEJ32" s="1551"/>
      <c r="KEK32" s="1551"/>
      <c r="KEL32" s="1551"/>
      <c r="KEM32" s="1551"/>
      <c r="KEN32" s="1551"/>
      <c r="KEO32" s="1551"/>
      <c r="KEP32" s="1551"/>
      <c r="KEQ32" s="1551"/>
      <c r="KER32" s="1551"/>
      <c r="KES32" s="1551"/>
      <c r="KET32" s="1551"/>
      <c r="KEU32" s="1551"/>
      <c r="KEV32" s="1551"/>
      <c r="KEW32" s="1551"/>
      <c r="KEX32" s="1551"/>
      <c r="KEY32" s="1551"/>
      <c r="KEZ32" s="1551"/>
      <c r="KFA32" s="1551"/>
      <c r="KFB32" s="1551"/>
      <c r="KFC32" s="1551"/>
      <c r="KFD32" s="1551"/>
      <c r="KFE32" s="1551"/>
      <c r="KFF32" s="1551"/>
      <c r="KFG32" s="1551"/>
      <c r="KFH32" s="1551"/>
      <c r="KFI32" s="1551"/>
      <c r="KFJ32" s="1551"/>
      <c r="KFK32" s="1551"/>
      <c r="KFL32" s="1551"/>
      <c r="KFM32" s="1551"/>
      <c r="KFN32" s="1551"/>
      <c r="KFO32" s="1551"/>
      <c r="KFP32" s="1551"/>
      <c r="KFQ32" s="1551"/>
      <c r="KFR32" s="1551"/>
      <c r="KFS32" s="1551"/>
      <c r="KFT32" s="1551"/>
      <c r="KFU32" s="1551"/>
      <c r="KFV32" s="1551"/>
      <c r="KFW32" s="1551"/>
      <c r="KFX32" s="1551"/>
      <c r="KFY32" s="1551"/>
      <c r="KFZ32" s="1551"/>
      <c r="KGA32" s="1551"/>
      <c r="KGB32" s="1551"/>
      <c r="KGC32" s="1551"/>
      <c r="KGD32" s="1551"/>
      <c r="KGE32" s="1551"/>
      <c r="KGF32" s="1551"/>
      <c r="KGG32" s="1551"/>
      <c r="KGH32" s="1551"/>
      <c r="KGI32" s="1551"/>
      <c r="KGJ32" s="1551"/>
      <c r="KGK32" s="1551"/>
      <c r="KGL32" s="1551"/>
      <c r="KGM32" s="1551"/>
      <c r="KGN32" s="1551"/>
      <c r="KGO32" s="1551"/>
      <c r="KGP32" s="1551"/>
      <c r="KGQ32" s="1551"/>
      <c r="KGR32" s="1551"/>
      <c r="KGS32" s="1551"/>
      <c r="KGT32" s="1551"/>
      <c r="KGU32" s="1551"/>
      <c r="KGV32" s="1551"/>
      <c r="KGW32" s="1551"/>
      <c r="KGX32" s="1551"/>
      <c r="KGY32" s="1551"/>
      <c r="KGZ32" s="1551"/>
      <c r="KHA32" s="1551"/>
      <c r="KHB32" s="1551"/>
      <c r="KHC32" s="1551"/>
      <c r="KHD32" s="1551"/>
      <c r="KHE32" s="1551"/>
      <c r="KHF32" s="1551"/>
      <c r="KHG32" s="1551"/>
      <c r="KHH32" s="1551"/>
      <c r="KHI32" s="1551"/>
      <c r="KHJ32" s="1551"/>
      <c r="KHK32" s="1551"/>
      <c r="KHL32" s="1551"/>
      <c r="KHM32" s="1551"/>
      <c r="KHN32" s="1551"/>
      <c r="KHO32" s="1551"/>
      <c r="KHP32" s="1551"/>
      <c r="KHQ32" s="1551"/>
      <c r="KHR32" s="1551"/>
      <c r="KHS32" s="1551"/>
      <c r="KHT32" s="1551"/>
      <c r="KHU32" s="1551"/>
      <c r="KHV32" s="1551"/>
      <c r="KHW32" s="1551"/>
      <c r="KHX32" s="1551"/>
      <c r="KHY32" s="1551"/>
      <c r="KHZ32" s="1551"/>
      <c r="KIA32" s="1551"/>
      <c r="KIB32" s="1551"/>
      <c r="KIC32" s="1551"/>
      <c r="KID32" s="1551"/>
      <c r="KIE32" s="1551"/>
      <c r="KIF32" s="1551"/>
      <c r="KIG32" s="1551"/>
      <c r="KIH32" s="1551"/>
      <c r="KII32" s="1551"/>
      <c r="KIJ32" s="1551"/>
      <c r="KIK32" s="1551"/>
      <c r="KIL32" s="1551"/>
      <c r="KIM32" s="1551"/>
      <c r="KIN32" s="1551"/>
      <c r="KIO32" s="1551"/>
      <c r="KIP32" s="1551"/>
      <c r="KIQ32" s="1551"/>
      <c r="KIR32" s="1551"/>
      <c r="KIS32" s="1551"/>
      <c r="KIT32" s="1551"/>
      <c r="KIU32" s="1551"/>
      <c r="KIV32" s="1551"/>
      <c r="KIW32" s="1551"/>
      <c r="KIX32" s="1551"/>
      <c r="KIY32" s="1551"/>
      <c r="KIZ32" s="1551"/>
      <c r="KJA32" s="1551"/>
      <c r="KJB32" s="1551"/>
      <c r="KJC32" s="1551"/>
      <c r="KJD32" s="1551"/>
      <c r="KJE32" s="1551"/>
      <c r="KJF32" s="1551"/>
      <c r="KJG32" s="1551"/>
      <c r="KJH32" s="1551"/>
      <c r="KJI32" s="1551"/>
      <c r="KJJ32" s="1551"/>
      <c r="KJK32" s="1551"/>
      <c r="KJL32" s="1551"/>
      <c r="KJM32" s="1551"/>
      <c r="KJN32" s="1551"/>
      <c r="KJO32" s="1551"/>
      <c r="KJP32" s="1551"/>
      <c r="KJQ32" s="1551"/>
      <c r="KJR32" s="1551"/>
      <c r="KJS32" s="1551"/>
      <c r="KJT32" s="1551"/>
      <c r="KJU32" s="1551"/>
      <c r="KJV32" s="1551"/>
      <c r="KJW32" s="1551"/>
      <c r="KJX32" s="1551"/>
      <c r="KJY32" s="1551"/>
      <c r="KJZ32" s="1551"/>
      <c r="KKA32" s="1551"/>
      <c r="KKB32" s="1551"/>
      <c r="KKC32" s="1551"/>
      <c r="KKD32" s="1551"/>
      <c r="KKE32" s="1551"/>
      <c r="KKF32" s="1551"/>
      <c r="KKG32" s="1551"/>
      <c r="KKH32" s="1551"/>
      <c r="KKI32" s="1551"/>
      <c r="KKJ32" s="1551"/>
      <c r="KKK32" s="1551"/>
      <c r="KKL32" s="1551"/>
      <c r="KKM32" s="1551"/>
      <c r="KKN32" s="1551"/>
      <c r="KKO32" s="1551"/>
      <c r="KKP32" s="1551"/>
      <c r="KKQ32" s="1551"/>
      <c r="KKR32" s="1551"/>
      <c r="KKS32" s="1551"/>
      <c r="KKT32" s="1551"/>
      <c r="KKU32" s="1551"/>
      <c r="KKV32" s="1551"/>
      <c r="KKW32" s="1551"/>
      <c r="KKX32" s="1551"/>
      <c r="KKY32" s="1551"/>
      <c r="KKZ32" s="1551"/>
      <c r="KLA32" s="1551"/>
      <c r="KLB32" s="1551"/>
      <c r="KLC32" s="1551"/>
      <c r="KLD32" s="1551"/>
      <c r="KLE32" s="1551"/>
      <c r="KLF32" s="1551"/>
      <c r="KLG32" s="1551"/>
      <c r="KLH32" s="1551"/>
      <c r="KLI32" s="1551"/>
      <c r="KLJ32" s="1551"/>
      <c r="KLK32" s="1551"/>
      <c r="KLL32" s="1551"/>
      <c r="KLM32" s="1551"/>
      <c r="KLN32" s="1551"/>
      <c r="KLO32" s="1551"/>
      <c r="KLP32" s="1551"/>
      <c r="KLQ32" s="1551"/>
      <c r="KLR32" s="1551"/>
      <c r="KLS32" s="1551"/>
      <c r="KLT32" s="1551"/>
      <c r="KLU32" s="1551"/>
      <c r="KLV32" s="1551"/>
      <c r="KLW32" s="1551"/>
      <c r="KLX32" s="1551"/>
      <c r="KLY32" s="1551"/>
      <c r="KLZ32" s="1551"/>
      <c r="KMA32" s="1551"/>
      <c r="KMB32" s="1551"/>
      <c r="KMC32" s="1551"/>
      <c r="KMD32" s="1551"/>
      <c r="KME32" s="1551"/>
      <c r="KMF32" s="1551"/>
      <c r="KMG32" s="1551"/>
      <c r="KMH32" s="1551"/>
      <c r="KMI32" s="1551"/>
      <c r="KMJ32" s="1551"/>
      <c r="KMK32" s="1551"/>
      <c r="KML32" s="1551"/>
      <c r="KMM32" s="1551"/>
      <c r="KMN32" s="1551"/>
      <c r="KMO32" s="1551"/>
      <c r="KMP32" s="1551"/>
      <c r="KMQ32" s="1551"/>
      <c r="KMR32" s="1551"/>
      <c r="KMS32" s="1551"/>
      <c r="KMT32" s="1551"/>
      <c r="KMU32" s="1551"/>
      <c r="KMV32" s="1551"/>
      <c r="KMW32" s="1551"/>
      <c r="KMX32" s="1551"/>
      <c r="KMY32" s="1551"/>
      <c r="KMZ32" s="1551"/>
      <c r="KNA32" s="1551"/>
      <c r="KNB32" s="1551"/>
      <c r="KNC32" s="1551"/>
      <c r="KND32" s="1551"/>
      <c r="KNE32" s="1551"/>
      <c r="KNF32" s="1551"/>
      <c r="KNG32" s="1551"/>
      <c r="KNH32" s="1551"/>
      <c r="KNI32" s="1551"/>
      <c r="KNJ32" s="1551"/>
      <c r="KNK32" s="1551"/>
      <c r="KNL32" s="1551"/>
      <c r="KNM32" s="1551"/>
      <c r="KNN32" s="1551"/>
      <c r="KNO32" s="1551"/>
      <c r="KNP32" s="1551"/>
      <c r="KNQ32" s="1551"/>
      <c r="KNR32" s="1551"/>
      <c r="KNS32" s="1551"/>
      <c r="KNT32" s="1551"/>
      <c r="KNU32" s="1551"/>
      <c r="KNV32" s="1551"/>
      <c r="KNW32" s="1551"/>
      <c r="KNX32" s="1551"/>
      <c r="KNY32" s="1551"/>
      <c r="KNZ32" s="1551"/>
      <c r="KOA32" s="1551"/>
      <c r="KOB32" s="1551"/>
      <c r="KOC32" s="1551"/>
      <c r="KOD32" s="1551"/>
      <c r="KOE32" s="1551"/>
      <c r="KOF32" s="1551"/>
      <c r="KOG32" s="1551"/>
      <c r="KOH32" s="1551"/>
      <c r="KOI32" s="1551"/>
      <c r="KOJ32" s="1551"/>
      <c r="KOK32" s="1551"/>
      <c r="KOL32" s="1551"/>
      <c r="KOM32" s="1551"/>
      <c r="KON32" s="1551"/>
      <c r="KOO32" s="1551"/>
      <c r="KOP32" s="1551"/>
      <c r="KOQ32" s="1551"/>
      <c r="KOR32" s="1551"/>
      <c r="KOS32" s="1551"/>
      <c r="KOT32" s="1551"/>
      <c r="KOU32" s="1551"/>
      <c r="KOV32" s="1551"/>
      <c r="KOW32" s="1551"/>
      <c r="KOX32" s="1551"/>
      <c r="KOY32" s="1551"/>
      <c r="KOZ32" s="1551"/>
      <c r="KPA32" s="1551"/>
      <c r="KPB32" s="1551"/>
      <c r="KPC32" s="1551"/>
      <c r="KPD32" s="1551"/>
      <c r="KPE32" s="1551"/>
      <c r="KPF32" s="1551"/>
      <c r="KPG32" s="1551"/>
      <c r="KPH32" s="1551"/>
      <c r="KPI32" s="1551"/>
      <c r="KPJ32" s="1551"/>
      <c r="KPK32" s="1551"/>
      <c r="KPL32" s="1551"/>
      <c r="KPM32" s="1551"/>
      <c r="KPN32" s="1551"/>
      <c r="KPO32" s="1551"/>
      <c r="KPP32" s="1551"/>
      <c r="KPQ32" s="1551"/>
      <c r="KPR32" s="1551"/>
      <c r="KPS32" s="1551"/>
      <c r="KPT32" s="1551"/>
      <c r="KPU32" s="1551"/>
      <c r="KPV32" s="1551"/>
      <c r="KPW32" s="1551"/>
      <c r="KPX32" s="1551"/>
      <c r="KPY32" s="1551"/>
      <c r="KPZ32" s="1551"/>
      <c r="KQA32" s="1551"/>
      <c r="KQB32" s="1551"/>
      <c r="KQC32" s="1551"/>
      <c r="KQD32" s="1551"/>
      <c r="KQE32" s="1551"/>
      <c r="KQF32" s="1551"/>
      <c r="KQG32" s="1551"/>
      <c r="KQH32" s="1551"/>
      <c r="KQI32" s="1551"/>
      <c r="KQJ32" s="1551"/>
      <c r="KQK32" s="1551"/>
      <c r="KQL32" s="1551"/>
      <c r="KQM32" s="1551"/>
      <c r="KQN32" s="1551"/>
      <c r="KQO32" s="1551"/>
      <c r="KQP32" s="1551"/>
      <c r="KQQ32" s="1551"/>
      <c r="KQR32" s="1551"/>
      <c r="KQS32" s="1551"/>
      <c r="KQT32" s="1551"/>
      <c r="KQU32" s="1551"/>
      <c r="KQV32" s="1551"/>
      <c r="KQW32" s="1551"/>
      <c r="KQX32" s="1551"/>
      <c r="KQY32" s="1551"/>
      <c r="KQZ32" s="1551"/>
      <c r="KRA32" s="1551"/>
      <c r="KRB32" s="1551"/>
      <c r="KRC32" s="1551"/>
      <c r="KRD32" s="1551"/>
      <c r="KRE32" s="1551"/>
      <c r="KRF32" s="1551"/>
      <c r="KRG32" s="1551"/>
      <c r="KRH32" s="1551"/>
      <c r="KRI32" s="1551"/>
      <c r="KRJ32" s="1551"/>
      <c r="KRK32" s="1551"/>
      <c r="KRL32" s="1551"/>
      <c r="KRM32" s="1551"/>
      <c r="KRN32" s="1551"/>
      <c r="KRO32" s="1551"/>
      <c r="KRP32" s="1551"/>
      <c r="KRQ32" s="1551"/>
      <c r="KRR32" s="1551"/>
      <c r="KRS32" s="1551"/>
      <c r="KRT32" s="1551"/>
      <c r="KRU32" s="1551"/>
      <c r="KRV32" s="1551"/>
      <c r="KRW32" s="1551"/>
      <c r="KRX32" s="1551"/>
      <c r="KRY32" s="1551"/>
      <c r="KRZ32" s="1551"/>
      <c r="KSA32" s="1551"/>
      <c r="KSB32" s="1551"/>
      <c r="KSC32" s="1551"/>
      <c r="KSD32" s="1551"/>
      <c r="KSE32" s="1551"/>
      <c r="KSF32" s="1551"/>
      <c r="KSG32" s="1551"/>
      <c r="KSH32" s="1551"/>
      <c r="KSI32" s="1551"/>
      <c r="KSJ32" s="1551"/>
      <c r="KSK32" s="1551"/>
      <c r="KSL32" s="1551"/>
      <c r="KSM32" s="1551"/>
      <c r="KSN32" s="1551"/>
      <c r="KSO32" s="1551"/>
      <c r="KSP32" s="1551"/>
      <c r="KSQ32" s="1551"/>
      <c r="KSR32" s="1551"/>
      <c r="KSS32" s="1551"/>
      <c r="KST32" s="1551"/>
      <c r="KSU32" s="1551"/>
      <c r="KSV32" s="1551"/>
      <c r="KSW32" s="1551"/>
      <c r="KSX32" s="1551"/>
      <c r="KSY32" s="1551"/>
      <c r="KSZ32" s="1551"/>
      <c r="KTA32" s="1551"/>
      <c r="KTB32" s="1551"/>
      <c r="KTC32" s="1551"/>
      <c r="KTD32" s="1551"/>
      <c r="KTE32" s="1551"/>
      <c r="KTF32" s="1551"/>
      <c r="KTG32" s="1551"/>
      <c r="KTH32" s="1551"/>
      <c r="KTI32" s="1551"/>
      <c r="KTJ32" s="1551"/>
      <c r="KTK32" s="1551"/>
      <c r="KTL32" s="1551"/>
      <c r="KTM32" s="1551"/>
      <c r="KTN32" s="1551"/>
      <c r="KTO32" s="1551"/>
      <c r="KTP32" s="1551"/>
      <c r="KTQ32" s="1551"/>
      <c r="KTR32" s="1551"/>
      <c r="KTS32" s="1551"/>
      <c r="KTT32" s="1551"/>
      <c r="KTU32" s="1551"/>
      <c r="KTV32" s="1551"/>
      <c r="KTW32" s="1551"/>
      <c r="KTX32" s="1551"/>
      <c r="KTY32" s="1551"/>
      <c r="KTZ32" s="1551"/>
      <c r="KUA32" s="1551"/>
      <c r="KUB32" s="1551"/>
      <c r="KUC32" s="1551"/>
      <c r="KUD32" s="1551"/>
      <c r="KUE32" s="1551"/>
      <c r="KUF32" s="1551"/>
      <c r="KUG32" s="1551"/>
      <c r="KUH32" s="1551"/>
      <c r="KUI32" s="1551"/>
      <c r="KUJ32" s="1551"/>
      <c r="KUK32" s="1551"/>
      <c r="KUL32" s="1551"/>
      <c r="KUM32" s="1551"/>
      <c r="KUN32" s="1551"/>
      <c r="KUO32" s="1551"/>
      <c r="KUP32" s="1551"/>
      <c r="KUQ32" s="1551"/>
      <c r="KUR32" s="1551"/>
      <c r="KUS32" s="1551"/>
      <c r="KUT32" s="1551"/>
      <c r="KUU32" s="1551"/>
      <c r="KUV32" s="1551"/>
      <c r="KUW32" s="1551"/>
      <c r="KUX32" s="1551"/>
      <c r="KUY32" s="1551"/>
      <c r="KUZ32" s="1551"/>
      <c r="KVA32" s="1551"/>
      <c r="KVB32" s="1551"/>
      <c r="KVC32" s="1551"/>
      <c r="KVD32" s="1551"/>
      <c r="KVE32" s="1551"/>
      <c r="KVF32" s="1551"/>
      <c r="KVG32" s="1551"/>
      <c r="KVH32" s="1551"/>
      <c r="KVI32" s="1551"/>
      <c r="KVJ32" s="1551"/>
      <c r="KVK32" s="1551"/>
      <c r="KVL32" s="1551"/>
      <c r="KVM32" s="1551"/>
      <c r="KVN32" s="1551"/>
      <c r="KVO32" s="1551"/>
      <c r="KVP32" s="1551"/>
      <c r="KVQ32" s="1551"/>
      <c r="KVR32" s="1551"/>
      <c r="KVS32" s="1551"/>
      <c r="KVT32" s="1551"/>
      <c r="KVU32" s="1551"/>
      <c r="KVV32" s="1551"/>
      <c r="KVW32" s="1551"/>
      <c r="KVX32" s="1551"/>
      <c r="KVY32" s="1551"/>
      <c r="KVZ32" s="1551"/>
      <c r="KWA32" s="1551"/>
      <c r="KWB32" s="1551"/>
      <c r="KWC32" s="1551"/>
      <c r="KWD32" s="1551"/>
      <c r="KWE32" s="1551"/>
      <c r="KWF32" s="1551"/>
      <c r="KWG32" s="1551"/>
      <c r="KWH32" s="1551"/>
      <c r="KWI32" s="1551"/>
      <c r="KWJ32" s="1551"/>
      <c r="KWK32" s="1551"/>
      <c r="KWL32" s="1551"/>
      <c r="KWM32" s="1551"/>
      <c r="KWN32" s="1551"/>
      <c r="KWO32" s="1551"/>
      <c r="KWP32" s="1551"/>
      <c r="KWQ32" s="1551"/>
      <c r="KWR32" s="1551"/>
      <c r="KWS32" s="1551"/>
      <c r="KWT32" s="1551"/>
      <c r="KWU32" s="1551"/>
      <c r="KWV32" s="1551"/>
      <c r="KWW32" s="1551"/>
      <c r="KWX32" s="1551"/>
      <c r="KWY32" s="1551"/>
      <c r="KWZ32" s="1551"/>
      <c r="KXA32" s="1551"/>
      <c r="KXB32" s="1551"/>
      <c r="KXC32" s="1551"/>
      <c r="KXD32" s="1551"/>
      <c r="KXE32" s="1551"/>
      <c r="KXF32" s="1551"/>
      <c r="KXG32" s="1551"/>
      <c r="KXH32" s="1551"/>
      <c r="KXI32" s="1551"/>
      <c r="KXJ32" s="1551"/>
      <c r="KXK32" s="1551"/>
      <c r="KXL32" s="1551"/>
      <c r="KXM32" s="1551"/>
      <c r="KXN32" s="1551"/>
      <c r="KXO32" s="1551"/>
      <c r="KXP32" s="1551"/>
      <c r="KXQ32" s="1551"/>
      <c r="KXR32" s="1551"/>
      <c r="KXS32" s="1551"/>
      <c r="KXT32" s="1551"/>
      <c r="KXU32" s="1551"/>
      <c r="KXV32" s="1551"/>
      <c r="KXW32" s="1551"/>
      <c r="KXX32" s="1551"/>
      <c r="KXY32" s="1551"/>
      <c r="KXZ32" s="1551"/>
      <c r="KYA32" s="1551"/>
      <c r="KYB32" s="1551"/>
      <c r="KYC32" s="1551"/>
      <c r="KYD32" s="1551"/>
      <c r="KYE32" s="1551"/>
      <c r="KYF32" s="1551"/>
      <c r="KYG32" s="1551"/>
      <c r="KYH32" s="1551"/>
      <c r="KYI32" s="1551"/>
      <c r="KYJ32" s="1551"/>
      <c r="KYK32" s="1551"/>
      <c r="KYL32" s="1551"/>
      <c r="KYM32" s="1551"/>
      <c r="KYN32" s="1551"/>
      <c r="KYO32" s="1551"/>
      <c r="KYP32" s="1551"/>
      <c r="KYQ32" s="1551"/>
      <c r="KYR32" s="1551"/>
      <c r="KYS32" s="1551"/>
      <c r="KYT32" s="1551"/>
      <c r="KYU32" s="1551"/>
      <c r="KYV32" s="1551"/>
      <c r="KYW32" s="1551"/>
      <c r="KYX32" s="1551"/>
      <c r="KYY32" s="1551"/>
      <c r="KYZ32" s="1551"/>
      <c r="KZA32" s="1551"/>
      <c r="KZB32" s="1551"/>
      <c r="KZC32" s="1551"/>
      <c r="KZD32" s="1551"/>
      <c r="KZE32" s="1551"/>
      <c r="KZF32" s="1551"/>
      <c r="KZG32" s="1551"/>
      <c r="KZH32" s="1551"/>
      <c r="KZI32" s="1551"/>
      <c r="KZJ32" s="1551"/>
      <c r="KZK32" s="1551"/>
      <c r="KZL32" s="1551"/>
      <c r="KZM32" s="1551"/>
      <c r="KZN32" s="1551"/>
      <c r="KZO32" s="1551"/>
      <c r="KZP32" s="1551"/>
      <c r="KZQ32" s="1551"/>
      <c r="KZR32" s="1551"/>
      <c r="KZS32" s="1551"/>
      <c r="KZT32" s="1551"/>
      <c r="KZU32" s="1551"/>
      <c r="KZV32" s="1551"/>
      <c r="KZW32" s="1551"/>
      <c r="KZX32" s="1551"/>
      <c r="KZY32" s="1551"/>
      <c r="KZZ32" s="1551"/>
      <c r="LAA32" s="1551"/>
      <c r="LAB32" s="1551"/>
      <c r="LAC32" s="1551"/>
      <c r="LAD32" s="1551"/>
      <c r="LAE32" s="1551"/>
      <c r="LAF32" s="1551"/>
      <c r="LAG32" s="1551"/>
      <c r="LAH32" s="1551"/>
      <c r="LAI32" s="1551"/>
      <c r="LAJ32" s="1551"/>
      <c r="LAK32" s="1551"/>
      <c r="LAL32" s="1551"/>
      <c r="LAM32" s="1551"/>
      <c r="LAN32" s="1551"/>
      <c r="LAO32" s="1551"/>
      <c r="LAP32" s="1551"/>
      <c r="LAQ32" s="1551"/>
      <c r="LAR32" s="1551"/>
      <c r="LAS32" s="1551"/>
      <c r="LAT32" s="1551"/>
      <c r="LAU32" s="1551"/>
      <c r="LAV32" s="1551"/>
      <c r="LAW32" s="1551"/>
      <c r="LAX32" s="1551"/>
      <c r="LAY32" s="1551"/>
      <c r="LAZ32" s="1551"/>
      <c r="LBA32" s="1551"/>
      <c r="LBB32" s="1551"/>
      <c r="LBC32" s="1551"/>
      <c r="LBD32" s="1551"/>
      <c r="LBE32" s="1551"/>
      <c r="LBF32" s="1551"/>
      <c r="LBG32" s="1551"/>
      <c r="LBH32" s="1551"/>
      <c r="LBI32" s="1551"/>
      <c r="LBJ32" s="1551"/>
      <c r="LBK32" s="1551"/>
      <c r="LBL32" s="1551"/>
      <c r="LBM32" s="1551"/>
      <c r="LBN32" s="1551"/>
      <c r="LBO32" s="1551"/>
      <c r="LBP32" s="1551"/>
      <c r="LBQ32" s="1551"/>
      <c r="LBR32" s="1551"/>
      <c r="LBS32" s="1551"/>
      <c r="LBT32" s="1551"/>
      <c r="LBU32" s="1551"/>
      <c r="LBV32" s="1551"/>
      <c r="LBW32" s="1551"/>
      <c r="LBX32" s="1551"/>
      <c r="LBY32" s="1551"/>
      <c r="LBZ32" s="1551"/>
      <c r="LCA32" s="1551"/>
      <c r="LCB32" s="1551"/>
      <c r="LCC32" s="1551"/>
      <c r="LCD32" s="1551"/>
      <c r="LCE32" s="1551"/>
      <c r="LCF32" s="1551"/>
      <c r="LCG32" s="1551"/>
      <c r="LCH32" s="1551"/>
      <c r="LCI32" s="1551"/>
      <c r="LCJ32" s="1551"/>
      <c r="LCK32" s="1551"/>
      <c r="LCL32" s="1551"/>
      <c r="LCM32" s="1551"/>
      <c r="LCN32" s="1551"/>
      <c r="LCO32" s="1551"/>
      <c r="LCP32" s="1551"/>
      <c r="LCQ32" s="1551"/>
      <c r="LCR32" s="1551"/>
      <c r="LCS32" s="1551"/>
      <c r="LCT32" s="1551"/>
      <c r="LCU32" s="1551"/>
      <c r="LCV32" s="1551"/>
      <c r="LCW32" s="1551"/>
      <c r="LCX32" s="1551"/>
      <c r="LCY32" s="1551"/>
      <c r="LCZ32" s="1551"/>
      <c r="LDA32" s="1551"/>
      <c r="LDB32" s="1551"/>
      <c r="LDC32" s="1551"/>
      <c r="LDD32" s="1551"/>
      <c r="LDE32" s="1551"/>
      <c r="LDF32" s="1551"/>
      <c r="LDG32" s="1551"/>
      <c r="LDH32" s="1551"/>
      <c r="LDI32" s="1551"/>
      <c r="LDJ32" s="1551"/>
      <c r="LDK32" s="1551"/>
      <c r="LDL32" s="1551"/>
      <c r="LDM32" s="1551"/>
      <c r="LDN32" s="1551"/>
      <c r="LDO32" s="1551"/>
      <c r="LDP32" s="1551"/>
      <c r="LDQ32" s="1551"/>
      <c r="LDR32" s="1551"/>
      <c r="LDS32" s="1551"/>
      <c r="LDT32" s="1551"/>
      <c r="LDU32" s="1551"/>
      <c r="LDV32" s="1551"/>
      <c r="LDW32" s="1551"/>
      <c r="LDX32" s="1551"/>
      <c r="LDY32" s="1551"/>
      <c r="LDZ32" s="1551"/>
      <c r="LEA32" s="1551"/>
      <c r="LEB32" s="1551"/>
      <c r="LEC32" s="1551"/>
      <c r="LED32" s="1551"/>
      <c r="LEE32" s="1551"/>
      <c r="LEF32" s="1551"/>
      <c r="LEG32" s="1551"/>
      <c r="LEH32" s="1551"/>
      <c r="LEI32" s="1551"/>
      <c r="LEJ32" s="1551"/>
      <c r="LEK32" s="1551"/>
      <c r="LEL32" s="1551"/>
      <c r="LEM32" s="1551"/>
      <c r="LEN32" s="1551"/>
      <c r="LEO32" s="1551"/>
      <c r="LEP32" s="1551"/>
      <c r="LEQ32" s="1551"/>
      <c r="LER32" s="1551"/>
      <c r="LES32" s="1551"/>
      <c r="LET32" s="1551"/>
      <c r="LEU32" s="1551"/>
      <c r="LEV32" s="1551"/>
      <c r="LEW32" s="1551"/>
      <c r="LEX32" s="1551"/>
      <c r="LEY32" s="1551"/>
      <c r="LEZ32" s="1551"/>
      <c r="LFA32" s="1551"/>
      <c r="LFB32" s="1551"/>
      <c r="LFC32" s="1551"/>
      <c r="LFD32" s="1551"/>
      <c r="LFE32" s="1551"/>
      <c r="LFF32" s="1551"/>
      <c r="LFG32" s="1551"/>
      <c r="LFH32" s="1551"/>
      <c r="LFI32" s="1551"/>
      <c r="LFJ32" s="1551"/>
      <c r="LFK32" s="1551"/>
      <c r="LFL32" s="1551"/>
      <c r="LFM32" s="1551"/>
      <c r="LFN32" s="1551"/>
      <c r="LFO32" s="1551"/>
      <c r="LFP32" s="1551"/>
      <c r="LFQ32" s="1551"/>
      <c r="LFR32" s="1551"/>
      <c r="LFS32" s="1551"/>
      <c r="LFT32" s="1551"/>
      <c r="LFU32" s="1551"/>
      <c r="LFV32" s="1551"/>
      <c r="LFW32" s="1551"/>
      <c r="LFX32" s="1551"/>
      <c r="LFY32" s="1551"/>
      <c r="LFZ32" s="1551"/>
      <c r="LGA32" s="1551"/>
      <c r="LGB32" s="1551"/>
      <c r="LGC32" s="1551"/>
      <c r="LGD32" s="1551"/>
      <c r="LGE32" s="1551"/>
      <c r="LGF32" s="1551"/>
      <c r="LGG32" s="1551"/>
      <c r="LGH32" s="1551"/>
      <c r="LGI32" s="1551"/>
      <c r="LGJ32" s="1551"/>
      <c r="LGK32" s="1551"/>
      <c r="LGL32" s="1551"/>
      <c r="LGM32" s="1551"/>
      <c r="LGN32" s="1551"/>
      <c r="LGO32" s="1551"/>
      <c r="LGP32" s="1551"/>
      <c r="LGQ32" s="1551"/>
      <c r="LGR32" s="1551"/>
      <c r="LGS32" s="1551"/>
      <c r="LGT32" s="1551"/>
      <c r="LGU32" s="1551"/>
      <c r="LGV32" s="1551"/>
      <c r="LGW32" s="1551"/>
      <c r="LGX32" s="1551"/>
      <c r="LGY32" s="1551"/>
      <c r="LGZ32" s="1551"/>
      <c r="LHA32" s="1551"/>
      <c r="LHB32" s="1551"/>
      <c r="LHC32" s="1551"/>
      <c r="LHD32" s="1551"/>
      <c r="LHE32" s="1551"/>
      <c r="LHF32" s="1551"/>
      <c r="LHG32" s="1551"/>
      <c r="LHH32" s="1551"/>
      <c r="LHI32" s="1551"/>
      <c r="LHJ32" s="1551"/>
      <c r="LHK32" s="1551"/>
      <c r="LHL32" s="1551"/>
      <c r="LHM32" s="1551"/>
      <c r="LHN32" s="1551"/>
      <c r="LHO32" s="1551"/>
      <c r="LHP32" s="1551"/>
      <c r="LHQ32" s="1551"/>
      <c r="LHR32" s="1551"/>
      <c r="LHS32" s="1551"/>
      <c r="LHT32" s="1551"/>
      <c r="LHU32" s="1551"/>
      <c r="LHV32" s="1551"/>
      <c r="LHW32" s="1551"/>
      <c r="LHX32" s="1551"/>
      <c r="LHY32" s="1551"/>
      <c r="LHZ32" s="1551"/>
      <c r="LIA32" s="1551"/>
      <c r="LIB32" s="1551"/>
      <c r="LIC32" s="1551"/>
      <c r="LID32" s="1551"/>
      <c r="LIE32" s="1551"/>
      <c r="LIF32" s="1551"/>
      <c r="LIG32" s="1551"/>
      <c r="LIH32" s="1551"/>
      <c r="LII32" s="1551"/>
      <c r="LIJ32" s="1551"/>
      <c r="LIK32" s="1551"/>
      <c r="LIL32" s="1551"/>
      <c r="LIM32" s="1551"/>
      <c r="LIN32" s="1551"/>
      <c r="LIO32" s="1551"/>
      <c r="LIP32" s="1551"/>
      <c r="LIQ32" s="1551"/>
      <c r="LIR32" s="1551"/>
      <c r="LIS32" s="1551"/>
      <c r="LIT32" s="1551"/>
      <c r="LIU32" s="1551"/>
      <c r="LIV32" s="1551"/>
      <c r="LIW32" s="1551"/>
      <c r="LIX32" s="1551"/>
      <c r="LIY32" s="1551"/>
      <c r="LIZ32" s="1551"/>
      <c r="LJA32" s="1551"/>
      <c r="LJB32" s="1551"/>
      <c r="LJC32" s="1551"/>
      <c r="LJD32" s="1551"/>
      <c r="LJE32" s="1551"/>
      <c r="LJF32" s="1551"/>
      <c r="LJG32" s="1551"/>
      <c r="LJH32" s="1551"/>
      <c r="LJI32" s="1551"/>
      <c r="LJJ32" s="1551"/>
      <c r="LJK32" s="1551"/>
      <c r="LJL32" s="1551"/>
      <c r="LJM32" s="1551"/>
      <c r="LJN32" s="1551"/>
      <c r="LJO32" s="1551"/>
      <c r="LJP32" s="1551"/>
      <c r="LJQ32" s="1551"/>
      <c r="LJR32" s="1551"/>
      <c r="LJS32" s="1551"/>
      <c r="LJT32" s="1551"/>
      <c r="LJU32" s="1551"/>
      <c r="LJV32" s="1551"/>
      <c r="LJW32" s="1551"/>
      <c r="LJX32" s="1551"/>
      <c r="LJY32" s="1551"/>
      <c r="LJZ32" s="1551"/>
      <c r="LKA32" s="1551"/>
      <c r="LKB32" s="1551"/>
      <c r="LKC32" s="1551"/>
      <c r="LKD32" s="1551"/>
      <c r="LKE32" s="1551"/>
      <c r="LKF32" s="1551"/>
      <c r="LKG32" s="1551"/>
      <c r="LKH32" s="1551"/>
      <c r="LKI32" s="1551"/>
      <c r="LKJ32" s="1551"/>
      <c r="LKK32" s="1551"/>
      <c r="LKL32" s="1551"/>
      <c r="LKM32" s="1551"/>
      <c r="LKN32" s="1551"/>
      <c r="LKO32" s="1551"/>
      <c r="LKP32" s="1551"/>
      <c r="LKQ32" s="1551"/>
      <c r="LKR32" s="1551"/>
      <c r="LKS32" s="1551"/>
      <c r="LKT32" s="1551"/>
      <c r="LKU32" s="1551"/>
      <c r="LKV32" s="1551"/>
      <c r="LKW32" s="1551"/>
      <c r="LKX32" s="1551"/>
      <c r="LKY32" s="1551"/>
      <c r="LKZ32" s="1551"/>
      <c r="LLA32" s="1551"/>
      <c r="LLB32" s="1551"/>
      <c r="LLC32" s="1551"/>
      <c r="LLD32" s="1551"/>
      <c r="LLE32" s="1551"/>
      <c r="LLF32" s="1551"/>
      <c r="LLG32" s="1551"/>
      <c r="LLH32" s="1551"/>
      <c r="LLI32" s="1551"/>
      <c r="LLJ32" s="1551"/>
      <c r="LLK32" s="1551"/>
      <c r="LLL32" s="1551"/>
      <c r="LLM32" s="1551"/>
      <c r="LLN32" s="1551"/>
      <c r="LLO32" s="1551"/>
      <c r="LLP32" s="1551"/>
      <c r="LLQ32" s="1551"/>
      <c r="LLR32" s="1551"/>
      <c r="LLS32" s="1551"/>
      <c r="LLT32" s="1551"/>
      <c r="LLU32" s="1551"/>
      <c r="LLV32" s="1551"/>
      <c r="LLW32" s="1551"/>
      <c r="LLX32" s="1551"/>
      <c r="LLY32" s="1551"/>
      <c r="LLZ32" s="1551"/>
      <c r="LMA32" s="1551"/>
      <c r="LMB32" s="1551"/>
      <c r="LMC32" s="1551"/>
      <c r="LMD32" s="1551"/>
      <c r="LME32" s="1551"/>
      <c r="LMF32" s="1551"/>
      <c r="LMG32" s="1551"/>
      <c r="LMH32" s="1551"/>
      <c r="LMI32" s="1551"/>
      <c r="LMJ32" s="1551"/>
      <c r="LMK32" s="1551"/>
      <c r="LML32" s="1551"/>
      <c r="LMM32" s="1551"/>
      <c r="LMN32" s="1551"/>
      <c r="LMO32" s="1551"/>
      <c r="LMP32" s="1551"/>
      <c r="LMQ32" s="1551"/>
      <c r="LMR32" s="1551"/>
      <c r="LMS32" s="1551"/>
      <c r="LMT32" s="1551"/>
      <c r="LMU32" s="1551"/>
      <c r="LMV32" s="1551"/>
      <c r="LMW32" s="1551"/>
      <c r="LMX32" s="1551"/>
      <c r="LMY32" s="1551"/>
      <c r="LMZ32" s="1551"/>
      <c r="LNA32" s="1551"/>
      <c r="LNB32" s="1551"/>
      <c r="LNC32" s="1551"/>
      <c r="LND32" s="1551"/>
      <c r="LNE32" s="1551"/>
      <c r="LNF32" s="1551"/>
      <c r="LNG32" s="1551"/>
      <c r="LNH32" s="1551"/>
      <c r="LNI32" s="1551"/>
      <c r="LNJ32" s="1551"/>
      <c r="LNK32" s="1551"/>
      <c r="LNL32" s="1551"/>
      <c r="LNM32" s="1551"/>
      <c r="LNN32" s="1551"/>
      <c r="LNO32" s="1551"/>
      <c r="LNP32" s="1551"/>
      <c r="LNQ32" s="1551"/>
      <c r="LNR32" s="1551"/>
      <c r="LNS32" s="1551"/>
      <c r="LNT32" s="1551"/>
      <c r="LNU32" s="1551"/>
      <c r="LNV32" s="1551"/>
      <c r="LNW32" s="1551"/>
      <c r="LNX32" s="1551"/>
      <c r="LNY32" s="1551"/>
      <c r="LNZ32" s="1551"/>
      <c r="LOA32" s="1551"/>
      <c r="LOB32" s="1551"/>
      <c r="LOC32" s="1551"/>
      <c r="LOD32" s="1551"/>
      <c r="LOE32" s="1551"/>
      <c r="LOF32" s="1551"/>
      <c r="LOG32" s="1551"/>
      <c r="LOH32" s="1551"/>
      <c r="LOI32" s="1551"/>
      <c r="LOJ32" s="1551"/>
      <c r="LOK32" s="1551"/>
      <c r="LOL32" s="1551"/>
      <c r="LOM32" s="1551"/>
      <c r="LON32" s="1551"/>
      <c r="LOO32" s="1551"/>
      <c r="LOP32" s="1551"/>
      <c r="LOQ32" s="1551"/>
      <c r="LOR32" s="1551"/>
      <c r="LOS32" s="1551"/>
      <c r="LOT32" s="1551"/>
      <c r="LOU32" s="1551"/>
      <c r="LOV32" s="1551"/>
      <c r="LOW32" s="1551"/>
      <c r="LOX32" s="1551"/>
      <c r="LOY32" s="1551"/>
      <c r="LOZ32" s="1551"/>
      <c r="LPA32" s="1551"/>
      <c r="LPB32" s="1551"/>
      <c r="LPC32" s="1551"/>
      <c r="LPD32" s="1551"/>
      <c r="LPE32" s="1551"/>
      <c r="LPF32" s="1551"/>
      <c r="LPG32" s="1551"/>
      <c r="LPH32" s="1551"/>
      <c r="LPI32" s="1551"/>
      <c r="LPJ32" s="1551"/>
      <c r="LPK32" s="1551"/>
      <c r="LPL32" s="1551"/>
      <c r="LPM32" s="1551"/>
      <c r="LPN32" s="1551"/>
      <c r="LPO32" s="1551"/>
      <c r="LPP32" s="1551"/>
      <c r="LPQ32" s="1551"/>
      <c r="LPR32" s="1551"/>
      <c r="LPS32" s="1551"/>
      <c r="LPT32" s="1551"/>
      <c r="LPU32" s="1551"/>
      <c r="LPV32" s="1551"/>
      <c r="LPW32" s="1551"/>
      <c r="LPX32" s="1551"/>
      <c r="LPY32" s="1551"/>
      <c r="LPZ32" s="1551"/>
      <c r="LQA32" s="1551"/>
      <c r="LQB32" s="1551"/>
      <c r="LQC32" s="1551"/>
      <c r="LQD32" s="1551"/>
      <c r="LQE32" s="1551"/>
      <c r="LQF32" s="1551"/>
      <c r="LQG32" s="1551"/>
      <c r="LQH32" s="1551"/>
      <c r="LQI32" s="1551"/>
      <c r="LQJ32" s="1551"/>
      <c r="LQK32" s="1551"/>
      <c r="LQL32" s="1551"/>
      <c r="LQM32" s="1551"/>
      <c r="LQN32" s="1551"/>
      <c r="LQO32" s="1551"/>
      <c r="LQP32" s="1551"/>
      <c r="LQQ32" s="1551"/>
      <c r="LQR32" s="1551"/>
      <c r="LQS32" s="1551"/>
      <c r="LQT32" s="1551"/>
      <c r="LQU32" s="1551"/>
      <c r="LQV32" s="1551"/>
      <c r="LQW32" s="1551"/>
      <c r="LQX32" s="1551"/>
      <c r="LQY32" s="1551"/>
      <c r="LQZ32" s="1551"/>
      <c r="LRA32" s="1551"/>
      <c r="LRB32" s="1551"/>
      <c r="LRC32" s="1551"/>
      <c r="LRD32" s="1551"/>
      <c r="LRE32" s="1551"/>
      <c r="LRF32" s="1551"/>
      <c r="LRG32" s="1551"/>
      <c r="LRH32" s="1551"/>
      <c r="LRI32" s="1551"/>
      <c r="LRJ32" s="1551"/>
      <c r="LRK32" s="1551"/>
      <c r="LRL32" s="1551"/>
      <c r="LRM32" s="1551"/>
      <c r="LRN32" s="1551"/>
      <c r="LRO32" s="1551"/>
      <c r="LRP32" s="1551"/>
      <c r="LRQ32" s="1551"/>
      <c r="LRR32" s="1551"/>
      <c r="LRS32" s="1551"/>
      <c r="LRT32" s="1551"/>
      <c r="LRU32" s="1551"/>
      <c r="LRV32" s="1551"/>
      <c r="LRW32" s="1551"/>
      <c r="LRX32" s="1551"/>
      <c r="LRY32" s="1551"/>
      <c r="LRZ32" s="1551"/>
      <c r="LSA32" s="1551"/>
      <c r="LSB32" s="1551"/>
      <c r="LSC32" s="1551"/>
      <c r="LSD32" s="1551"/>
      <c r="LSE32" s="1551"/>
      <c r="LSF32" s="1551"/>
      <c r="LSG32" s="1551"/>
      <c r="LSH32" s="1551"/>
      <c r="LSI32" s="1551"/>
      <c r="LSJ32" s="1551"/>
      <c r="LSK32" s="1551"/>
      <c r="LSL32" s="1551"/>
      <c r="LSM32" s="1551"/>
      <c r="LSN32" s="1551"/>
      <c r="LSO32" s="1551"/>
      <c r="LSP32" s="1551"/>
      <c r="LSQ32" s="1551"/>
      <c r="LSR32" s="1551"/>
      <c r="LSS32" s="1551"/>
      <c r="LST32" s="1551"/>
      <c r="LSU32" s="1551"/>
      <c r="LSV32" s="1551"/>
      <c r="LSW32" s="1551"/>
      <c r="LSX32" s="1551"/>
      <c r="LSY32" s="1551"/>
      <c r="LSZ32" s="1551"/>
      <c r="LTA32" s="1551"/>
      <c r="LTB32" s="1551"/>
      <c r="LTC32" s="1551"/>
      <c r="LTD32" s="1551"/>
      <c r="LTE32" s="1551"/>
      <c r="LTF32" s="1551"/>
      <c r="LTG32" s="1551"/>
      <c r="LTH32" s="1551"/>
      <c r="LTI32" s="1551"/>
      <c r="LTJ32" s="1551"/>
      <c r="LTK32" s="1551"/>
      <c r="LTL32" s="1551"/>
      <c r="LTM32" s="1551"/>
      <c r="LTN32" s="1551"/>
      <c r="LTO32" s="1551"/>
      <c r="LTP32" s="1551"/>
      <c r="LTQ32" s="1551"/>
      <c r="LTR32" s="1551"/>
      <c r="LTS32" s="1551"/>
      <c r="LTT32" s="1551"/>
      <c r="LTU32" s="1551"/>
      <c r="LTV32" s="1551"/>
      <c r="LTW32" s="1551"/>
      <c r="LTX32" s="1551"/>
      <c r="LTY32" s="1551"/>
      <c r="LTZ32" s="1551"/>
      <c r="LUA32" s="1551"/>
      <c r="LUB32" s="1551"/>
      <c r="LUC32" s="1551"/>
      <c r="LUD32" s="1551"/>
      <c r="LUE32" s="1551"/>
      <c r="LUF32" s="1551"/>
      <c r="LUG32" s="1551"/>
      <c r="LUH32" s="1551"/>
      <c r="LUI32" s="1551"/>
      <c r="LUJ32" s="1551"/>
      <c r="LUK32" s="1551"/>
      <c r="LUL32" s="1551"/>
      <c r="LUM32" s="1551"/>
      <c r="LUN32" s="1551"/>
      <c r="LUO32" s="1551"/>
      <c r="LUP32" s="1551"/>
      <c r="LUQ32" s="1551"/>
      <c r="LUR32" s="1551"/>
      <c r="LUS32" s="1551"/>
      <c r="LUT32" s="1551"/>
      <c r="LUU32" s="1551"/>
      <c r="LUV32" s="1551"/>
      <c r="LUW32" s="1551"/>
      <c r="LUX32" s="1551"/>
      <c r="LUY32" s="1551"/>
      <c r="LUZ32" s="1551"/>
      <c r="LVA32" s="1551"/>
      <c r="LVB32" s="1551"/>
      <c r="LVC32" s="1551"/>
      <c r="LVD32" s="1551"/>
      <c r="LVE32" s="1551"/>
      <c r="LVF32" s="1551"/>
      <c r="LVG32" s="1551"/>
      <c r="LVH32" s="1551"/>
      <c r="LVI32" s="1551"/>
      <c r="LVJ32" s="1551"/>
      <c r="LVK32" s="1551"/>
      <c r="LVL32" s="1551"/>
      <c r="LVM32" s="1551"/>
      <c r="LVN32" s="1551"/>
      <c r="LVO32" s="1551"/>
      <c r="LVP32" s="1551"/>
      <c r="LVQ32" s="1551"/>
      <c r="LVR32" s="1551"/>
      <c r="LVS32" s="1551"/>
      <c r="LVT32" s="1551"/>
      <c r="LVU32" s="1551"/>
      <c r="LVV32" s="1551"/>
      <c r="LVW32" s="1551"/>
      <c r="LVX32" s="1551"/>
      <c r="LVY32" s="1551"/>
      <c r="LVZ32" s="1551"/>
      <c r="LWA32" s="1551"/>
      <c r="LWB32" s="1551"/>
      <c r="LWC32" s="1551"/>
      <c r="LWD32" s="1551"/>
      <c r="LWE32" s="1551"/>
      <c r="LWF32" s="1551"/>
      <c r="LWG32" s="1551"/>
      <c r="LWH32" s="1551"/>
      <c r="LWI32" s="1551"/>
      <c r="LWJ32" s="1551"/>
      <c r="LWK32" s="1551"/>
      <c r="LWL32" s="1551"/>
      <c r="LWM32" s="1551"/>
      <c r="LWN32" s="1551"/>
      <c r="LWO32" s="1551"/>
      <c r="LWP32" s="1551"/>
      <c r="LWQ32" s="1551"/>
      <c r="LWR32" s="1551"/>
      <c r="LWS32" s="1551"/>
      <c r="LWT32" s="1551"/>
      <c r="LWU32" s="1551"/>
      <c r="LWV32" s="1551"/>
      <c r="LWW32" s="1551"/>
      <c r="LWX32" s="1551"/>
      <c r="LWY32" s="1551"/>
      <c r="LWZ32" s="1551"/>
      <c r="LXA32" s="1551"/>
      <c r="LXB32" s="1551"/>
      <c r="LXC32" s="1551"/>
      <c r="LXD32" s="1551"/>
      <c r="LXE32" s="1551"/>
      <c r="LXF32" s="1551"/>
      <c r="LXG32" s="1551"/>
      <c r="LXH32" s="1551"/>
      <c r="LXI32" s="1551"/>
      <c r="LXJ32" s="1551"/>
      <c r="LXK32" s="1551"/>
      <c r="LXL32" s="1551"/>
      <c r="LXM32" s="1551"/>
      <c r="LXN32" s="1551"/>
      <c r="LXO32" s="1551"/>
      <c r="LXP32" s="1551"/>
      <c r="LXQ32" s="1551"/>
      <c r="LXR32" s="1551"/>
      <c r="LXS32" s="1551"/>
      <c r="LXT32" s="1551"/>
      <c r="LXU32" s="1551"/>
      <c r="LXV32" s="1551"/>
      <c r="LXW32" s="1551"/>
      <c r="LXX32" s="1551"/>
      <c r="LXY32" s="1551"/>
      <c r="LXZ32" s="1551"/>
      <c r="LYA32" s="1551"/>
      <c r="LYB32" s="1551"/>
      <c r="LYC32" s="1551"/>
      <c r="LYD32" s="1551"/>
      <c r="LYE32" s="1551"/>
      <c r="LYF32" s="1551"/>
      <c r="LYG32" s="1551"/>
      <c r="LYH32" s="1551"/>
      <c r="LYI32" s="1551"/>
      <c r="LYJ32" s="1551"/>
      <c r="LYK32" s="1551"/>
      <c r="LYL32" s="1551"/>
      <c r="LYM32" s="1551"/>
      <c r="LYN32" s="1551"/>
      <c r="LYO32" s="1551"/>
      <c r="LYP32" s="1551"/>
      <c r="LYQ32" s="1551"/>
      <c r="LYR32" s="1551"/>
      <c r="LYS32" s="1551"/>
      <c r="LYT32" s="1551"/>
      <c r="LYU32" s="1551"/>
      <c r="LYV32" s="1551"/>
      <c r="LYW32" s="1551"/>
      <c r="LYX32" s="1551"/>
      <c r="LYY32" s="1551"/>
      <c r="LYZ32" s="1551"/>
      <c r="LZA32" s="1551"/>
      <c r="LZB32" s="1551"/>
      <c r="LZC32" s="1551"/>
      <c r="LZD32" s="1551"/>
      <c r="LZE32" s="1551"/>
      <c r="LZF32" s="1551"/>
      <c r="LZG32" s="1551"/>
      <c r="LZH32" s="1551"/>
      <c r="LZI32" s="1551"/>
      <c r="LZJ32" s="1551"/>
      <c r="LZK32" s="1551"/>
      <c r="LZL32" s="1551"/>
      <c r="LZM32" s="1551"/>
      <c r="LZN32" s="1551"/>
      <c r="LZO32" s="1551"/>
      <c r="LZP32" s="1551"/>
      <c r="LZQ32" s="1551"/>
      <c r="LZR32" s="1551"/>
      <c r="LZS32" s="1551"/>
      <c r="LZT32" s="1551"/>
      <c r="LZU32" s="1551"/>
      <c r="LZV32" s="1551"/>
      <c r="LZW32" s="1551"/>
      <c r="LZX32" s="1551"/>
      <c r="LZY32" s="1551"/>
      <c r="LZZ32" s="1551"/>
      <c r="MAA32" s="1551"/>
      <c r="MAB32" s="1551"/>
      <c r="MAC32" s="1551"/>
      <c r="MAD32" s="1551"/>
      <c r="MAE32" s="1551"/>
      <c r="MAF32" s="1551"/>
      <c r="MAG32" s="1551"/>
      <c r="MAH32" s="1551"/>
      <c r="MAI32" s="1551"/>
      <c r="MAJ32" s="1551"/>
      <c r="MAK32" s="1551"/>
      <c r="MAL32" s="1551"/>
      <c r="MAM32" s="1551"/>
      <c r="MAN32" s="1551"/>
      <c r="MAO32" s="1551"/>
      <c r="MAP32" s="1551"/>
      <c r="MAQ32" s="1551"/>
      <c r="MAR32" s="1551"/>
      <c r="MAS32" s="1551"/>
      <c r="MAT32" s="1551"/>
      <c r="MAU32" s="1551"/>
      <c r="MAV32" s="1551"/>
      <c r="MAW32" s="1551"/>
      <c r="MAX32" s="1551"/>
      <c r="MAY32" s="1551"/>
      <c r="MAZ32" s="1551"/>
      <c r="MBA32" s="1551"/>
      <c r="MBB32" s="1551"/>
      <c r="MBC32" s="1551"/>
      <c r="MBD32" s="1551"/>
      <c r="MBE32" s="1551"/>
      <c r="MBF32" s="1551"/>
      <c r="MBG32" s="1551"/>
      <c r="MBH32" s="1551"/>
      <c r="MBI32" s="1551"/>
      <c r="MBJ32" s="1551"/>
      <c r="MBK32" s="1551"/>
      <c r="MBL32" s="1551"/>
      <c r="MBM32" s="1551"/>
      <c r="MBN32" s="1551"/>
      <c r="MBO32" s="1551"/>
      <c r="MBP32" s="1551"/>
      <c r="MBQ32" s="1551"/>
      <c r="MBR32" s="1551"/>
      <c r="MBS32" s="1551"/>
      <c r="MBT32" s="1551"/>
      <c r="MBU32" s="1551"/>
      <c r="MBV32" s="1551"/>
      <c r="MBW32" s="1551"/>
      <c r="MBX32" s="1551"/>
      <c r="MBY32" s="1551"/>
      <c r="MBZ32" s="1551"/>
      <c r="MCA32" s="1551"/>
      <c r="MCB32" s="1551"/>
      <c r="MCC32" s="1551"/>
      <c r="MCD32" s="1551"/>
      <c r="MCE32" s="1551"/>
      <c r="MCF32" s="1551"/>
      <c r="MCG32" s="1551"/>
      <c r="MCH32" s="1551"/>
      <c r="MCI32" s="1551"/>
      <c r="MCJ32" s="1551"/>
      <c r="MCK32" s="1551"/>
      <c r="MCL32" s="1551"/>
      <c r="MCM32" s="1551"/>
      <c r="MCN32" s="1551"/>
      <c r="MCO32" s="1551"/>
      <c r="MCP32" s="1551"/>
      <c r="MCQ32" s="1551"/>
      <c r="MCR32" s="1551"/>
      <c r="MCS32" s="1551"/>
      <c r="MCT32" s="1551"/>
      <c r="MCU32" s="1551"/>
      <c r="MCV32" s="1551"/>
      <c r="MCW32" s="1551"/>
      <c r="MCX32" s="1551"/>
      <c r="MCY32" s="1551"/>
      <c r="MCZ32" s="1551"/>
      <c r="MDA32" s="1551"/>
      <c r="MDB32" s="1551"/>
      <c r="MDC32" s="1551"/>
      <c r="MDD32" s="1551"/>
      <c r="MDE32" s="1551"/>
      <c r="MDF32" s="1551"/>
      <c r="MDG32" s="1551"/>
      <c r="MDH32" s="1551"/>
      <c r="MDI32" s="1551"/>
      <c r="MDJ32" s="1551"/>
      <c r="MDK32" s="1551"/>
      <c r="MDL32" s="1551"/>
      <c r="MDM32" s="1551"/>
      <c r="MDN32" s="1551"/>
      <c r="MDO32" s="1551"/>
      <c r="MDP32" s="1551"/>
      <c r="MDQ32" s="1551"/>
      <c r="MDR32" s="1551"/>
      <c r="MDS32" s="1551"/>
      <c r="MDT32" s="1551"/>
      <c r="MDU32" s="1551"/>
      <c r="MDV32" s="1551"/>
      <c r="MDW32" s="1551"/>
      <c r="MDX32" s="1551"/>
      <c r="MDY32" s="1551"/>
      <c r="MDZ32" s="1551"/>
      <c r="MEA32" s="1551"/>
      <c r="MEB32" s="1551"/>
      <c r="MEC32" s="1551"/>
      <c r="MED32" s="1551"/>
      <c r="MEE32" s="1551"/>
      <c r="MEF32" s="1551"/>
      <c r="MEG32" s="1551"/>
      <c r="MEH32" s="1551"/>
      <c r="MEI32" s="1551"/>
      <c r="MEJ32" s="1551"/>
      <c r="MEK32" s="1551"/>
      <c r="MEL32" s="1551"/>
      <c r="MEM32" s="1551"/>
      <c r="MEN32" s="1551"/>
      <c r="MEO32" s="1551"/>
      <c r="MEP32" s="1551"/>
      <c r="MEQ32" s="1551"/>
      <c r="MER32" s="1551"/>
      <c r="MES32" s="1551"/>
      <c r="MET32" s="1551"/>
      <c r="MEU32" s="1551"/>
      <c r="MEV32" s="1551"/>
      <c r="MEW32" s="1551"/>
      <c r="MEX32" s="1551"/>
      <c r="MEY32" s="1551"/>
      <c r="MEZ32" s="1551"/>
      <c r="MFA32" s="1551"/>
      <c r="MFB32" s="1551"/>
      <c r="MFC32" s="1551"/>
      <c r="MFD32" s="1551"/>
      <c r="MFE32" s="1551"/>
      <c r="MFF32" s="1551"/>
      <c r="MFG32" s="1551"/>
      <c r="MFH32" s="1551"/>
      <c r="MFI32" s="1551"/>
      <c r="MFJ32" s="1551"/>
      <c r="MFK32" s="1551"/>
      <c r="MFL32" s="1551"/>
      <c r="MFM32" s="1551"/>
      <c r="MFN32" s="1551"/>
      <c r="MFO32" s="1551"/>
      <c r="MFP32" s="1551"/>
      <c r="MFQ32" s="1551"/>
      <c r="MFR32" s="1551"/>
      <c r="MFS32" s="1551"/>
      <c r="MFT32" s="1551"/>
      <c r="MFU32" s="1551"/>
      <c r="MFV32" s="1551"/>
      <c r="MFW32" s="1551"/>
      <c r="MFX32" s="1551"/>
      <c r="MFY32" s="1551"/>
      <c r="MFZ32" s="1551"/>
      <c r="MGA32" s="1551"/>
      <c r="MGB32" s="1551"/>
      <c r="MGC32" s="1551"/>
      <c r="MGD32" s="1551"/>
      <c r="MGE32" s="1551"/>
      <c r="MGF32" s="1551"/>
      <c r="MGG32" s="1551"/>
      <c r="MGH32" s="1551"/>
      <c r="MGI32" s="1551"/>
      <c r="MGJ32" s="1551"/>
      <c r="MGK32" s="1551"/>
      <c r="MGL32" s="1551"/>
      <c r="MGM32" s="1551"/>
      <c r="MGN32" s="1551"/>
      <c r="MGO32" s="1551"/>
      <c r="MGP32" s="1551"/>
      <c r="MGQ32" s="1551"/>
      <c r="MGR32" s="1551"/>
      <c r="MGS32" s="1551"/>
      <c r="MGT32" s="1551"/>
      <c r="MGU32" s="1551"/>
      <c r="MGV32" s="1551"/>
      <c r="MGW32" s="1551"/>
      <c r="MGX32" s="1551"/>
      <c r="MGY32" s="1551"/>
      <c r="MGZ32" s="1551"/>
      <c r="MHA32" s="1551"/>
      <c r="MHB32" s="1551"/>
      <c r="MHC32" s="1551"/>
      <c r="MHD32" s="1551"/>
      <c r="MHE32" s="1551"/>
      <c r="MHF32" s="1551"/>
      <c r="MHG32" s="1551"/>
      <c r="MHH32" s="1551"/>
      <c r="MHI32" s="1551"/>
      <c r="MHJ32" s="1551"/>
      <c r="MHK32" s="1551"/>
      <c r="MHL32" s="1551"/>
      <c r="MHM32" s="1551"/>
      <c r="MHN32" s="1551"/>
      <c r="MHO32" s="1551"/>
      <c r="MHP32" s="1551"/>
      <c r="MHQ32" s="1551"/>
      <c r="MHR32" s="1551"/>
      <c r="MHS32" s="1551"/>
      <c r="MHT32" s="1551"/>
      <c r="MHU32" s="1551"/>
      <c r="MHV32" s="1551"/>
      <c r="MHW32" s="1551"/>
      <c r="MHX32" s="1551"/>
      <c r="MHY32" s="1551"/>
      <c r="MHZ32" s="1551"/>
      <c r="MIA32" s="1551"/>
      <c r="MIB32" s="1551"/>
      <c r="MIC32" s="1551"/>
      <c r="MID32" s="1551"/>
      <c r="MIE32" s="1551"/>
      <c r="MIF32" s="1551"/>
      <c r="MIG32" s="1551"/>
      <c r="MIH32" s="1551"/>
      <c r="MII32" s="1551"/>
      <c r="MIJ32" s="1551"/>
      <c r="MIK32" s="1551"/>
      <c r="MIL32" s="1551"/>
      <c r="MIM32" s="1551"/>
      <c r="MIN32" s="1551"/>
      <c r="MIO32" s="1551"/>
      <c r="MIP32" s="1551"/>
      <c r="MIQ32" s="1551"/>
      <c r="MIR32" s="1551"/>
      <c r="MIS32" s="1551"/>
      <c r="MIT32" s="1551"/>
      <c r="MIU32" s="1551"/>
      <c r="MIV32" s="1551"/>
      <c r="MIW32" s="1551"/>
      <c r="MIX32" s="1551"/>
      <c r="MIY32" s="1551"/>
      <c r="MIZ32" s="1551"/>
      <c r="MJA32" s="1551"/>
      <c r="MJB32" s="1551"/>
      <c r="MJC32" s="1551"/>
      <c r="MJD32" s="1551"/>
      <c r="MJE32" s="1551"/>
      <c r="MJF32" s="1551"/>
      <c r="MJG32" s="1551"/>
      <c r="MJH32" s="1551"/>
      <c r="MJI32" s="1551"/>
      <c r="MJJ32" s="1551"/>
      <c r="MJK32" s="1551"/>
      <c r="MJL32" s="1551"/>
      <c r="MJM32" s="1551"/>
      <c r="MJN32" s="1551"/>
      <c r="MJO32" s="1551"/>
      <c r="MJP32" s="1551"/>
      <c r="MJQ32" s="1551"/>
      <c r="MJR32" s="1551"/>
      <c r="MJS32" s="1551"/>
      <c r="MJT32" s="1551"/>
      <c r="MJU32" s="1551"/>
      <c r="MJV32" s="1551"/>
      <c r="MJW32" s="1551"/>
      <c r="MJX32" s="1551"/>
      <c r="MJY32" s="1551"/>
      <c r="MJZ32" s="1551"/>
      <c r="MKA32" s="1551"/>
      <c r="MKB32" s="1551"/>
      <c r="MKC32" s="1551"/>
      <c r="MKD32" s="1551"/>
      <c r="MKE32" s="1551"/>
      <c r="MKF32" s="1551"/>
      <c r="MKG32" s="1551"/>
      <c r="MKH32" s="1551"/>
      <c r="MKI32" s="1551"/>
      <c r="MKJ32" s="1551"/>
      <c r="MKK32" s="1551"/>
      <c r="MKL32" s="1551"/>
      <c r="MKM32" s="1551"/>
      <c r="MKN32" s="1551"/>
      <c r="MKO32" s="1551"/>
      <c r="MKP32" s="1551"/>
      <c r="MKQ32" s="1551"/>
      <c r="MKR32" s="1551"/>
      <c r="MKS32" s="1551"/>
      <c r="MKT32" s="1551"/>
      <c r="MKU32" s="1551"/>
      <c r="MKV32" s="1551"/>
      <c r="MKW32" s="1551"/>
      <c r="MKX32" s="1551"/>
      <c r="MKY32" s="1551"/>
      <c r="MKZ32" s="1551"/>
      <c r="MLA32" s="1551"/>
      <c r="MLB32" s="1551"/>
      <c r="MLC32" s="1551"/>
      <c r="MLD32" s="1551"/>
      <c r="MLE32" s="1551"/>
      <c r="MLF32" s="1551"/>
      <c r="MLG32" s="1551"/>
      <c r="MLH32" s="1551"/>
      <c r="MLI32" s="1551"/>
      <c r="MLJ32" s="1551"/>
      <c r="MLK32" s="1551"/>
      <c r="MLL32" s="1551"/>
      <c r="MLM32" s="1551"/>
      <c r="MLN32" s="1551"/>
      <c r="MLO32" s="1551"/>
      <c r="MLP32" s="1551"/>
      <c r="MLQ32" s="1551"/>
      <c r="MLR32" s="1551"/>
      <c r="MLS32" s="1551"/>
      <c r="MLT32" s="1551"/>
      <c r="MLU32" s="1551"/>
      <c r="MLV32" s="1551"/>
      <c r="MLW32" s="1551"/>
      <c r="MLX32" s="1551"/>
      <c r="MLY32" s="1551"/>
      <c r="MLZ32" s="1551"/>
      <c r="MMA32" s="1551"/>
      <c r="MMB32" s="1551"/>
      <c r="MMC32" s="1551"/>
      <c r="MMD32" s="1551"/>
      <c r="MME32" s="1551"/>
      <c r="MMF32" s="1551"/>
      <c r="MMG32" s="1551"/>
      <c r="MMH32" s="1551"/>
      <c r="MMI32" s="1551"/>
      <c r="MMJ32" s="1551"/>
      <c r="MMK32" s="1551"/>
      <c r="MML32" s="1551"/>
      <c r="MMM32" s="1551"/>
      <c r="MMN32" s="1551"/>
      <c r="MMO32" s="1551"/>
      <c r="MMP32" s="1551"/>
      <c r="MMQ32" s="1551"/>
      <c r="MMR32" s="1551"/>
      <c r="MMS32" s="1551"/>
      <c r="MMT32" s="1551"/>
      <c r="MMU32" s="1551"/>
      <c r="MMV32" s="1551"/>
      <c r="MMW32" s="1551"/>
      <c r="MMX32" s="1551"/>
      <c r="MMY32" s="1551"/>
      <c r="MMZ32" s="1551"/>
      <c r="MNA32" s="1551"/>
      <c r="MNB32" s="1551"/>
      <c r="MNC32" s="1551"/>
      <c r="MND32" s="1551"/>
      <c r="MNE32" s="1551"/>
      <c r="MNF32" s="1551"/>
      <c r="MNG32" s="1551"/>
      <c r="MNH32" s="1551"/>
      <c r="MNI32" s="1551"/>
      <c r="MNJ32" s="1551"/>
      <c r="MNK32" s="1551"/>
      <c r="MNL32" s="1551"/>
      <c r="MNM32" s="1551"/>
      <c r="MNN32" s="1551"/>
      <c r="MNO32" s="1551"/>
      <c r="MNP32" s="1551"/>
      <c r="MNQ32" s="1551"/>
      <c r="MNR32" s="1551"/>
      <c r="MNS32" s="1551"/>
      <c r="MNT32" s="1551"/>
      <c r="MNU32" s="1551"/>
      <c r="MNV32" s="1551"/>
      <c r="MNW32" s="1551"/>
      <c r="MNX32" s="1551"/>
      <c r="MNY32" s="1551"/>
      <c r="MNZ32" s="1551"/>
      <c r="MOA32" s="1551"/>
      <c r="MOB32" s="1551"/>
      <c r="MOC32" s="1551"/>
      <c r="MOD32" s="1551"/>
      <c r="MOE32" s="1551"/>
      <c r="MOF32" s="1551"/>
      <c r="MOG32" s="1551"/>
      <c r="MOH32" s="1551"/>
      <c r="MOI32" s="1551"/>
      <c r="MOJ32" s="1551"/>
      <c r="MOK32" s="1551"/>
      <c r="MOL32" s="1551"/>
      <c r="MOM32" s="1551"/>
      <c r="MON32" s="1551"/>
      <c r="MOO32" s="1551"/>
      <c r="MOP32" s="1551"/>
      <c r="MOQ32" s="1551"/>
      <c r="MOR32" s="1551"/>
      <c r="MOS32" s="1551"/>
      <c r="MOT32" s="1551"/>
      <c r="MOU32" s="1551"/>
      <c r="MOV32" s="1551"/>
      <c r="MOW32" s="1551"/>
      <c r="MOX32" s="1551"/>
      <c r="MOY32" s="1551"/>
      <c r="MOZ32" s="1551"/>
      <c r="MPA32" s="1551"/>
      <c r="MPB32" s="1551"/>
      <c r="MPC32" s="1551"/>
      <c r="MPD32" s="1551"/>
      <c r="MPE32" s="1551"/>
      <c r="MPF32" s="1551"/>
      <c r="MPG32" s="1551"/>
      <c r="MPH32" s="1551"/>
      <c r="MPI32" s="1551"/>
      <c r="MPJ32" s="1551"/>
      <c r="MPK32" s="1551"/>
      <c r="MPL32" s="1551"/>
      <c r="MPM32" s="1551"/>
      <c r="MPN32" s="1551"/>
      <c r="MPO32" s="1551"/>
      <c r="MPP32" s="1551"/>
      <c r="MPQ32" s="1551"/>
      <c r="MPR32" s="1551"/>
      <c r="MPS32" s="1551"/>
      <c r="MPT32" s="1551"/>
      <c r="MPU32" s="1551"/>
      <c r="MPV32" s="1551"/>
      <c r="MPW32" s="1551"/>
      <c r="MPX32" s="1551"/>
      <c r="MPY32" s="1551"/>
      <c r="MPZ32" s="1551"/>
      <c r="MQA32" s="1551"/>
      <c r="MQB32" s="1551"/>
      <c r="MQC32" s="1551"/>
      <c r="MQD32" s="1551"/>
      <c r="MQE32" s="1551"/>
      <c r="MQF32" s="1551"/>
      <c r="MQG32" s="1551"/>
      <c r="MQH32" s="1551"/>
      <c r="MQI32" s="1551"/>
      <c r="MQJ32" s="1551"/>
      <c r="MQK32" s="1551"/>
      <c r="MQL32" s="1551"/>
      <c r="MQM32" s="1551"/>
      <c r="MQN32" s="1551"/>
      <c r="MQO32" s="1551"/>
      <c r="MQP32" s="1551"/>
      <c r="MQQ32" s="1551"/>
      <c r="MQR32" s="1551"/>
      <c r="MQS32" s="1551"/>
      <c r="MQT32" s="1551"/>
      <c r="MQU32" s="1551"/>
      <c r="MQV32" s="1551"/>
      <c r="MQW32" s="1551"/>
      <c r="MQX32" s="1551"/>
      <c r="MQY32" s="1551"/>
      <c r="MQZ32" s="1551"/>
      <c r="MRA32" s="1551"/>
      <c r="MRB32" s="1551"/>
      <c r="MRC32" s="1551"/>
      <c r="MRD32" s="1551"/>
      <c r="MRE32" s="1551"/>
      <c r="MRF32" s="1551"/>
      <c r="MRG32" s="1551"/>
      <c r="MRH32" s="1551"/>
      <c r="MRI32" s="1551"/>
      <c r="MRJ32" s="1551"/>
      <c r="MRK32" s="1551"/>
      <c r="MRL32" s="1551"/>
      <c r="MRM32" s="1551"/>
      <c r="MRN32" s="1551"/>
      <c r="MRO32" s="1551"/>
      <c r="MRP32" s="1551"/>
      <c r="MRQ32" s="1551"/>
      <c r="MRR32" s="1551"/>
      <c r="MRS32" s="1551"/>
      <c r="MRT32" s="1551"/>
      <c r="MRU32" s="1551"/>
      <c r="MRV32" s="1551"/>
      <c r="MRW32" s="1551"/>
      <c r="MRX32" s="1551"/>
      <c r="MRY32" s="1551"/>
      <c r="MRZ32" s="1551"/>
      <c r="MSA32" s="1551"/>
      <c r="MSB32" s="1551"/>
      <c r="MSC32" s="1551"/>
      <c r="MSD32" s="1551"/>
      <c r="MSE32" s="1551"/>
      <c r="MSF32" s="1551"/>
      <c r="MSG32" s="1551"/>
      <c r="MSH32" s="1551"/>
      <c r="MSI32" s="1551"/>
      <c r="MSJ32" s="1551"/>
      <c r="MSK32" s="1551"/>
      <c r="MSL32" s="1551"/>
      <c r="MSM32" s="1551"/>
      <c r="MSN32" s="1551"/>
      <c r="MSO32" s="1551"/>
      <c r="MSP32" s="1551"/>
      <c r="MSQ32" s="1551"/>
      <c r="MSR32" s="1551"/>
      <c r="MSS32" s="1551"/>
      <c r="MST32" s="1551"/>
      <c r="MSU32" s="1551"/>
      <c r="MSV32" s="1551"/>
      <c r="MSW32" s="1551"/>
      <c r="MSX32" s="1551"/>
      <c r="MSY32" s="1551"/>
      <c r="MSZ32" s="1551"/>
      <c r="MTA32" s="1551"/>
      <c r="MTB32" s="1551"/>
      <c r="MTC32" s="1551"/>
      <c r="MTD32" s="1551"/>
      <c r="MTE32" s="1551"/>
      <c r="MTF32" s="1551"/>
      <c r="MTG32" s="1551"/>
      <c r="MTH32" s="1551"/>
      <c r="MTI32" s="1551"/>
      <c r="MTJ32" s="1551"/>
      <c r="MTK32" s="1551"/>
      <c r="MTL32" s="1551"/>
      <c r="MTM32" s="1551"/>
      <c r="MTN32" s="1551"/>
      <c r="MTO32" s="1551"/>
      <c r="MTP32" s="1551"/>
      <c r="MTQ32" s="1551"/>
      <c r="MTR32" s="1551"/>
      <c r="MTS32" s="1551"/>
      <c r="MTT32" s="1551"/>
      <c r="MTU32" s="1551"/>
      <c r="MTV32" s="1551"/>
      <c r="MTW32" s="1551"/>
      <c r="MTX32" s="1551"/>
      <c r="MTY32" s="1551"/>
      <c r="MTZ32" s="1551"/>
      <c r="MUA32" s="1551"/>
      <c r="MUB32" s="1551"/>
      <c r="MUC32" s="1551"/>
      <c r="MUD32" s="1551"/>
      <c r="MUE32" s="1551"/>
      <c r="MUF32" s="1551"/>
      <c r="MUG32" s="1551"/>
      <c r="MUH32" s="1551"/>
      <c r="MUI32" s="1551"/>
      <c r="MUJ32" s="1551"/>
      <c r="MUK32" s="1551"/>
      <c r="MUL32" s="1551"/>
      <c r="MUM32" s="1551"/>
      <c r="MUN32" s="1551"/>
      <c r="MUO32" s="1551"/>
      <c r="MUP32" s="1551"/>
      <c r="MUQ32" s="1551"/>
      <c r="MUR32" s="1551"/>
      <c r="MUS32" s="1551"/>
      <c r="MUT32" s="1551"/>
      <c r="MUU32" s="1551"/>
      <c r="MUV32" s="1551"/>
      <c r="MUW32" s="1551"/>
      <c r="MUX32" s="1551"/>
      <c r="MUY32" s="1551"/>
      <c r="MUZ32" s="1551"/>
      <c r="MVA32" s="1551"/>
      <c r="MVB32" s="1551"/>
      <c r="MVC32" s="1551"/>
      <c r="MVD32" s="1551"/>
      <c r="MVE32" s="1551"/>
      <c r="MVF32" s="1551"/>
      <c r="MVG32" s="1551"/>
      <c r="MVH32" s="1551"/>
      <c r="MVI32" s="1551"/>
      <c r="MVJ32" s="1551"/>
      <c r="MVK32" s="1551"/>
      <c r="MVL32" s="1551"/>
      <c r="MVM32" s="1551"/>
      <c r="MVN32" s="1551"/>
      <c r="MVO32" s="1551"/>
      <c r="MVP32" s="1551"/>
      <c r="MVQ32" s="1551"/>
      <c r="MVR32" s="1551"/>
      <c r="MVS32" s="1551"/>
      <c r="MVT32" s="1551"/>
      <c r="MVU32" s="1551"/>
      <c r="MVV32" s="1551"/>
      <c r="MVW32" s="1551"/>
      <c r="MVX32" s="1551"/>
      <c r="MVY32" s="1551"/>
      <c r="MVZ32" s="1551"/>
      <c r="MWA32" s="1551"/>
      <c r="MWB32" s="1551"/>
      <c r="MWC32" s="1551"/>
      <c r="MWD32" s="1551"/>
      <c r="MWE32" s="1551"/>
      <c r="MWF32" s="1551"/>
      <c r="MWG32" s="1551"/>
      <c r="MWH32" s="1551"/>
      <c r="MWI32" s="1551"/>
      <c r="MWJ32" s="1551"/>
      <c r="MWK32" s="1551"/>
      <c r="MWL32" s="1551"/>
      <c r="MWM32" s="1551"/>
      <c r="MWN32" s="1551"/>
      <c r="MWO32" s="1551"/>
      <c r="MWP32" s="1551"/>
      <c r="MWQ32" s="1551"/>
      <c r="MWR32" s="1551"/>
      <c r="MWS32" s="1551"/>
      <c r="MWT32" s="1551"/>
      <c r="MWU32" s="1551"/>
      <c r="MWV32" s="1551"/>
      <c r="MWW32" s="1551"/>
      <c r="MWX32" s="1551"/>
      <c r="MWY32" s="1551"/>
      <c r="MWZ32" s="1551"/>
      <c r="MXA32" s="1551"/>
      <c r="MXB32" s="1551"/>
      <c r="MXC32" s="1551"/>
      <c r="MXD32" s="1551"/>
      <c r="MXE32" s="1551"/>
      <c r="MXF32" s="1551"/>
      <c r="MXG32" s="1551"/>
      <c r="MXH32" s="1551"/>
      <c r="MXI32" s="1551"/>
      <c r="MXJ32" s="1551"/>
      <c r="MXK32" s="1551"/>
      <c r="MXL32" s="1551"/>
      <c r="MXM32" s="1551"/>
      <c r="MXN32" s="1551"/>
      <c r="MXO32" s="1551"/>
      <c r="MXP32" s="1551"/>
      <c r="MXQ32" s="1551"/>
      <c r="MXR32" s="1551"/>
      <c r="MXS32" s="1551"/>
      <c r="MXT32" s="1551"/>
      <c r="MXU32" s="1551"/>
      <c r="MXV32" s="1551"/>
      <c r="MXW32" s="1551"/>
      <c r="MXX32" s="1551"/>
      <c r="MXY32" s="1551"/>
      <c r="MXZ32" s="1551"/>
      <c r="MYA32" s="1551"/>
      <c r="MYB32" s="1551"/>
      <c r="MYC32" s="1551"/>
      <c r="MYD32" s="1551"/>
      <c r="MYE32" s="1551"/>
      <c r="MYF32" s="1551"/>
      <c r="MYG32" s="1551"/>
      <c r="MYH32" s="1551"/>
      <c r="MYI32" s="1551"/>
      <c r="MYJ32" s="1551"/>
      <c r="MYK32" s="1551"/>
      <c r="MYL32" s="1551"/>
      <c r="MYM32" s="1551"/>
      <c r="MYN32" s="1551"/>
      <c r="MYO32" s="1551"/>
      <c r="MYP32" s="1551"/>
      <c r="MYQ32" s="1551"/>
      <c r="MYR32" s="1551"/>
      <c r="MYS32" s="1551"/>
      <c r="MYT32" s="1551"/>
      <c r="MYU32" s="1551"/>
      <c r="MYV32" s="1551"/>
      <c r="MYW32" s="1551"/>
      <c r="MYX32" s="1551"/>
      <c r="MYY32" s="1551"/>
      <c r="MYZ32" s="1551"/>
      <c r="MZA32" s="1551"/>
      <c r="MZB32" s="1551"/>
      <c r="MZC32" s="1551"/>
      <c r="MZD32" s="1551"/>
      <c r="MZE32" s="1551"/>
      <c r="MZF32" s="1551"/>
      <c r="MZG32" s="1551"/>
      <c r="MZH32" s="1551"/>
      <c r="MZI32" s="1551"/>
      <c r="MZJ32" s="1551"/>
      <c r="MZK32" s="1551"/>
      <c r="MZL32" s="1551"/>
      <c r="MZM32" s="1551"/>
      <c r="MZN32" s="1551"/>
      <c r="MZO32" s="1551"/>
      <c r="MZP32" s="1551"/>
      <c r="MZQ32" s="1551"/>
      <c r="MZR32" s="1551"/>
      <c r="MZS32" s="1551"/>
      <c r="MZT32" s="1551"/>
      <c r="MZU32" s="1551"/>
      <c r="MZV32" s="1551"/>
      <c r="MZW32" s="1551"/>
      <c r="MZX32" s="1551"/>
      <c r="MZY32" s="1551"/>
      <c r="MZZ32" s="1551"/>
      <c r="NAA32" s="1551"/>
      <c r="NAB32" s="1551"/>
      <c r="NAC32" s="1551"/>
      <c r="NAD32" s="1551"/>
      <c r="NAE32" s="1551"/>
      <c r="NAF32" s="1551"/>
      <c r="NAG32" s="1551"/>
      <c r="NAH32" s="1551"/>
      <c r="NAI32" s="1551"/>
      <c r="NAJ32" s="1551"/>
      <c r="NAK32" s="1551"/>
      <c r="NAL32" s="1551"/>
      <c r="NAM32" s="1551"/>
      <c r="NAN32" s="1551"/>
      <c r="NAO32" s="1551"/>
      <c r="NAP32" s="1551"/>
      <c r="NAQ32" s="1551"/>
      <c r="NAR32" s="1551"/>
      <c r="NAS32" s="1551"/>
      <c r="NAT32" s="1551"/>
      <c r="NAU32" s="1551"/>
      <c r="NAV32" s="1551"/>
      <c r="NAW32" s="1551"/>
      <c r="NAX32" s="1551"/>
      <c r="NAY32" s="1551"/>
      <c r="NAZ32" s="1551"/>
      <c r="NBA32" s="1551"/>
      <c r="NBB32" s="1551"/>
      <c r="NBC32" s="1551"/>
      <c r="NBD32" s="1551"/>
      <c r="NBE32" s="1551"/>
      <c r="NBF32" s="1551"/>
      <c r="NBG32" s="1551"/>
      <c r="NBH32" s="1551"/>
      <c r="NBI32" s="1551"/>
      <c r="NBJ32" s="1551"/>
      <c r="NBK32" s="1551"/>
      <c r="NBL32" s="1551"/>
      <c r="NBM32" s="1551"/>
      <c r="NBN32" s="1551"/>
      <c r="NBO32" s="1551"/>
      <c r="NBP32" s="1551"/>
      <c r="NBQ32" s="1551"/>
      <c r="NBR32" s="1551"/>
      <c r="NBS32" s="1551"/>
      <c r="NBT32" s="1551"/>
      <c r="NBU32" s="1551"/>
      <c r="NBV32" s="1551"/>
      <c r="NBW32" s="1551"/>
      <c r="NBX32" s="1551"/>
      <c r="NBY32" s="1551"/>
      <c r="NBZ32" s="1551"/>
      <c r="NCA32" s="1551"/>
      <c r="NCB32" s="1551"/>
      <c r="NCC32" s="1551"/>
      <c r="NCD32" s="1551"/>
      <c r="NCE32" s="1551"/>
      <c r="NCF32" s="1551"/>
      <c r="NCG32" s="1551"/>
      <c r="NCH32" s="1551"/>
      <c r="NCI32" s="1551"/>
      <c r="NCJ32" s="1551"/>
      <c r="NCK32" s="1551"/>
      <c r="NCL32" s="1551"/>
      <c r="NCM32" s="1551"/>
      <c r="NCN32" s="1551"/>
      <c r="NCO32" s="1551"/>
      <c r="NCP32" s="1551"/>
      <c r="NCQ32" s="1551"/>
      <c r="NCR32" s="1551"/>
      <c r="NCS32" s="1551"/>
      <c r="NCT32" s="1551"/>
      <c r="NCU32" s="1551"/>
      <c r="NCV32" s="1551"/>
      <c r="NCW32" s="1551"/>
      <c r="NCX32" s="1551"/>
      <c r="NCY32" s="1551"/>
      <c r="NCZ32" s="1551"/>
      <c r="NDA32" s="1551"/>
      <c r="NDB32" s="1551"/>
      <c r="NDC32" s="1551"/>
      <c r="NDD32" s="1551"/>
      <c r="NDE32" s="1551"/>
      <c r="NDF32" s="1551"/>
      <c r="NDG32" s="1551"/>
      <c r="NDH32" s="1551"/>
      <c r="NDI32" s="1551"/>
      <c r="NDJ32" s="1551"/>
      <c r="NDK32" s="1551"/>
      <c r="NDL32" s="1551"/>
      <c r="NDM32" s="1551"/>
      <c r="NDN32" s="1551"/>
      <c r="NDO32" s="1551"/>
      <c r="NDP32" s="1551"/>
      <c r="NDQ32" s="1551"/>
      <c r="NDR32" s="1551"/>
      <c r="NDS32" s="1551"/>
      <c r="NDT32" s="1551"/>
      <c r="NDU32" s="1551"/>
      <c r="NDV32" s="1551"/>
      <c r="NDW32" s="1551"/>
      <c r="NDX32" s="1551"/>
      <c r="NDY32" s="1551"/>
      <c r="NDZ32" s="1551"/>
      <c r="NEA32" s="1551"/>
      <c r="NEB32" s="1551"/>
      <c r="NEC32" s="1551"/>
      <c r="NED32" s="1551"/>
      <c r="NEE32" s="1551"/>
      <c r="NEF32" s="1551"/>
      <c r="NEG32" s="1551"/>
      <c r="NEH32" s="1551"/>
      <c r="NEI32" s="1551"/>
      <c r="NEJ32" s="1551"/>
      <c r="NEK32" s="1551"/>
      <c r="NEL32" s="1551"/>
      <c r="NEM32" s="1551"/>
      <c r="NEN32" s="1551"/>
      <c r="NEO32" s="1551"/>
      <c r="NEP32" s="1551"/>
      <c r="NEQ32" s="1551"/>
      <c r="NER32" s="1551"/>
      <c r="NES32" s="1551"/>
      <c r="NET32" s="1551"/>
      <c r="NEU32" s="1551"/>
      <c r="NEV32" s="1551"/>
      <c r="NEW32" s="1551"/>
      <c r="NEX32" s="1551"/>
      <c r="NEY32" s="1551"/>
      <c r="NEZ32" s="1551"/>
      <c r="NFA32" s="1551"/>
      <c r="NFB32" s="1551"/>
      <c r="NFC32" s="1551"/>
      <c r="NFD32" s="1551"/>
      <c r="NFE32" s="1551"/>
      <c r="NFF32" s="1551"/>
      <c r="NFG32" s="1551"/>
      <c r="NFH32" s="1551"/>
      <c r="NFI32" s="1551"/>
      <c r="NFJ32" s="1551"/>
      <c r="NFK32" s="1551"/>
      <c r="NFL32" s="1551"/>
      <c r="NFM32" s="1551"/>
      <c r="NFN32" s="1551"/>
      <c r="NFO32" s="1551"/>
      <c r="NFP32" s="1551"/>
      <c r="NFQ32" s="1551"/>
      <c r="NFR32" s="1551"/>
      <c r="NFS32" s="1551"/>
      <c r="NFT32" s="1551"/>
      <c r="NFU32" s="1551"/>
      <c r="NFV32" s="1551"/>
      <c r="NFW32" s="1551"/>
      <c r="NFX32" s="1551"/>
      <c r="NFY32" s="1551"/>
      <c r="NFZ32" s="1551"/>
      <c r="NGA32" s="1551"/>
      <c r="NGB32" s="1551"/>
      <c r="NGC32" s="1551"/>
      <c r="NGD32" s="1551"/>
      <c r="NGE32" s="1551"/>
      <c r="NGF32" s="1551"/>
      <c r="NGG32" s="1551"/>
      <c r="NGH32" s="1551"/>
      <c r="NGI32" s="1551"/>
      <c r="NGJ32" s="1551"/>
      <c r="NGK32" s="1551"/>
      <c r="NGL32" s="1551"/>
      <c r="NGM32" s="1551"/>
      <c r="NGN32" s="1551"/>
      <c r="NGO32" s="1551"/>
      <c r="NGP32" s="1551"/>
      <c r="NGQ32" s="1551"/>
      <c r="NGR32" s="1551"/>
      <c r="NGS32" s="1551"/>
      <c r="NGT32" s="1551"/>
      <c r="NGU32" s="1551"/>
      <c r="NGV32" s="1551"/>
      <c r="NGW32" s="1551"/>
      <c r="NGX32" s="1551"/>
      <c r="NGY32" s="1551"/>
      <c r="NGZ32" s="1551"/>
      <c r="NHA32" s="1551"/>
      <c r="NHB32" s="1551"/>
      <c r="NHC32" s="1551"/>
      <c r="NHD32" s="1551"/>
      <c r="NHE32" s="1551"/>
      <c r="NHF32" s="1551"/>
      <c r="NHG32" s="1551"/>
      <c r="NHH32" s="1551"/>
      <c r="NHI32" s="1551"/>
      <c r="NHJ32" s="1551"/>
      <c r="NHK32" s="1551"/>
      <c r="NHL32" s="1551"/>
      <c r="NHM32" s="1551"/>
      <c r="NHN32" s="1551"/>
      <c r="NHO32" s="1551"/>
      <c r="NHP32" s="1551"/>
      <c r="NHQ32" s="1551"/>
      <c r="NHR32" s="1551"/>
      <c r="NHS32" s="1551"/>
      <c r="NHT32" s="1551"/>
      <c r="NHU32" s="1551"/>
      <c r="NHV32" s="1551"/>
      <c r="NHW32" s="1551"/>
      <c r="NHX32" s="1551"/>
      <c r="NHY32" s="1551"/>
      <c r="NHZ32" s="1551"/>
      <c r="NIA32" s="1551"/>
      <c r="NIB32" s="1551"/>
      <c r="NIC32" s="1551"/>
      <c r="NID32" s="1551"/>
      <c r="NIE32" s="1551"/>
      <c r="NIF32" s="1551"/>
      <c r="NIG32" s="1551"/>
      <c r="NIH32" s="1551"/>
      <c r="NII32" s="1551"/>
      <c r="NIJ32" s="1551"/>
      <c r="NIK32" s="1551"/>
      <c r="NIL32" s="1551"/>
      <c r="NIM32" s="1551"/>
      <c r="NIN32" s="1551"/>
      <c r="NIO32" s="1551"/>
      <c r="NIP32" s="1551"/>
      <c r="NIQ32" s="1551"/>
      <c r="NIR32" s="1551"/>
      <c r="NIS32" s="1551"/>
      <c r="NIT32" s="1551"/>
      <c r="NIU32" s="1551"/>
      <c r="NIV32" s="1551"/>
      <c r="NIW32" s="1551"/>
      <c r="NIX32" s="1551"/>
      <c r="NIY32" s="1551"/>
      <c r="NIZ32" s="1551"/>
      <c r="NJA32" s="1551"/>
      <c r="NJB32" s="1551"/>
      <c r="NJC32" s="1551"/>
      <c r="NJD32" s="1551"/>
      <c r="NJE32" s="1551"/>
      <c r="NJF32" s="1551"/>
      <c r="NJG32" s="1551"/>
      <c r="NJH32" s="1551"/>
      <c r="NJI32" s="1551"/>
      <c r="NJJ32" s="1551"/>
      <c r="NJK32" s="1551"/>
      <c r="NJL32" s="1551"/>
      <c r="NJM32" s="1551"/>
      <c r="NJN32" s="1551"/>
      <c r="NJO32" s="1551"/>
      <c r="NJP32" s="1551"/>
      <c r="NJQ32" s="1551"/>
      <c r="NJR32" s="1551"/>
      <c r="NJS32" s="1551"/>
      <c r="NJT32" s="1551"/>
      <c r="NJU32" s="1551"/>
      <c r="NJV32" s="1551"/>
      <c r="NJW32" s="1551"/>
      <c r="NJX32" s="1551"/>
      <c r="NJY32" s="1551"/>
      <c r="NJZ32" s="1551"/>
      <c r="NKA32" s="1551"/>
      <c r="NKB32" s="1551"/>
      <c r="NKC32" s="1551"/>
      <c r="NKD32" s="1551"/>
      <c r="NKE32" s="1551"/>
      <c r="NKF32" s="1551"/>
      <c r="NKG32" s="1551"/>
      <c r="NKH32" s="1551"/>
      <c r="NKI32" s="1551"/>
      <c r="NKJ32" s="1551"/>
      <c r="NKK32" s="1551"/>
      <c r="NKL32" s="1551"/>
      <c r="NKM32" s="1551"/>
      <c r="NKN32" s="1551"/>
      <c r="NKO32" s="1551"/>
      <c r="NKP32" s="1551"/>
      <c r="NKQ32" s="1551"/>
      <c r="NKR32" s="1551"/>
      <c r="NKS32" s="1551"/>
      <c r="NKT32" s="1551"/>
      <c r="NKU32" s="1551"/>
      <c r="NKV32" s="1551"/>
      <c r="NKW32" s="1551"/>
      <c r="NKX32" s="1551"/>
      <c r="NKY32" s="1551"/>
      <c r="NKZ32" s="1551"/>
      <c r="NLA32" s="1551"/>
      <c r="NLB32" s="1551"/>
      <c r="NLC32" s="1551"/>
      <c r="NLD32" s="1551"/>
      <c r="NLE32" s="1551"/>
      <c r="NLF32" s="1551"/>
      <c r="NLG32" s="1551"/>
      <c r="NLH32" s="1551"/>
      <c r="NLI32" s="1551"/>
      <c r="NLJ32" s="1551"/>
      <c r="NLK32" s="1551"/>
      <c r="NLL32" s="1551"/>
      <c r="NLM32" s="1551"/>
      <c r="NLN32" s="1551"/>
      <c r="NLO32" s="1551"/>
      <c r="NLP32" s="1551"/>
      <c r="NLQ32" s="1551"/>
      <c r="NLR32" s="1551"/>
      <c r="NLS32" s="1551"/>
      <c r="NLT32" s="1551"/>
      <c r="NLU32" s="1551"/>
      <c r="NLV32" s="1551"/>
      <c r="NLW32" s="1551"/>
      <c r="NLX32" s="1551"/>
      <c r="NLY32" s="1551"/>
      <c r="NLZ32" s="1551"/>
      <c r="NMA32" s="1551"/>
      <c r="NMB32" s="1551"/>
      <c r="NMC32" s="1551"/>
      <c r="NMD32" s="1551"/>
      <c r="NME32" s="1551"/>
      <c r="NMF32" s="1551"/>
      <c r="NMG32" s="1551"/>
      <c r="NMH32" s="1551"/>
      <c r="NMI32" s="1551"/>
      <c r="NMJ32" s="1551"/>
      <c r="NMK32" s="1551"/>
      <c r="NML32" s="1551"/>
      <c r="NMM32" s="1551"/>
      <c r="NMN32" s="1551"/>
      <c r="NMO32" s="1551"/>
      <c r="NMP32" s="1551"/>
      <c r="NMQ32" s="1551"/>
      <c r="NMR32" s="1551"/>
      <c r="NMS32" s="1551"/>
      <c r="NMT32" s="1551"/>
      <c r="NMU32" s="1551"/>
      <c r="NMV32" s="1551"/>
      <c r="NMW32" s="1551"/>
      <c r="NMX32" s="1551"/>
      <c r="NMY32" s="1551"/>
      <c r="NMZ32" s="1551"/>
      <c r="NNA32" s="1551"/>
      <c r="NNB32" s="1551"/>
      <c r="NNC32" s="1551"/>
      <c r="NND32" s="1551"/>
      <c r="NNE32" s="1551"/>
      <c r="NNF32" s="1551"/>
      <c r="NNG32" s="1551"/>
      <c r="NNH32" s="1551"/>
      <c r="NNI32" s="1551"/>
      <c r="NNJ32" s="1551"/>
      <c r="NNK32" s="1551"/>
      <c r="NNL32" s="1551"/>
      <c r="NNM32" s="1551"/>
      <c r="NNN32" s="1551"/>
      <c r="NNO32" s="1551"/>
      <c r="NNP32" s="1551"/>
      <c r="NNQ32" s="1551"/>
      <c r="NNR32" s="1551"/>
      <c r="NNS32" s="1551"/>
      <c r="NNT32" s="1551"/>
      <c r="NNU32" s="1551"/>
      <c r="NNV32" s="1551"/>
      <c r="NNW32" s="1551"/>
      <c r="NNX32" s="1551"/>
      <c r="NNY32" s="1551"/>
      <c r="NNZ32" s="1551"/>
      <c r="NOA32" s="1551"/>
      <c r="NOB32" s="1551"/>
      <c r="NOC32" s="1551"/>
      <c r="NOD32" s="1551"/>
      <c r="NOE32" s="1551"/>
      <c r="NOF32" s="1551"/>
      <c r="NOG32" s="1551"/>
      <c r="NOH32" s="1551"/>
      <c r="NOI32" s="1551"/>
      <c r="NOJ32" s="1551"/>
      <c r="NOK32" s="1551"/>
      <c r="NOL32" s="1551"/>
      <c r="NOM32" s="1551"/>
      <c r="NON32" s="1551"/>
      <c r="NOO32" s="1551"/>
      <c r="NOP32" s="1551"/>
      <c r="NOQ32" s="1551"/>
      <c r="NOR32" s="1551"/>
      <c r="NOS32" s="1551"/>
      <c r="NOT32" s="1551"/>
      <c r="NOU32" s="1551"/>
      <c r="NOV32" s="1551"/>
      <c r="NOW32" s="1551"/>
      <c r="NOX32" s="1551"/>
      <c r="NOY32" s="1551"/>
      <c r="NOZ32" s="1551"/>
      <c r="NPA32" s="1551"/>
      <c r="NPB32" s="1551"/>
      <c r="NPC32" s="1551"/>
      <c r="NPD32" s="1551"/>
      <c r="NPE32" s="1551"/>
      <c r="NPF32" s="1551"/>
      <c r="NPG32" s="1551"/>
      <c r="NPH32" s="1551"/>
      <c r="NPI32" s="1551"/>
      <c r="NPJ32" s="1551"/>
      <c r="NPK32" s="1551"/>
      <c r="NPL32" s="1551"/>
      <c r="NPM32" s="1551"/>
      <c r="NPN32" s="1551"/>
      <c r="NPO32" s="1551"/>
      <c r="NPP32" s="1551"/>
      <c r="NPQ32" s="1551"/>
      <c r="NPR32" s="1551"/>
      <c r="NPS32" s="1551"/>
      <c r="NPT32" s="1551"/>
      <c r="NPU32" s="1551"/>
      <c r="NPV32" s="1551"/>
      <c r="NPW32" s="1551"/>
      <c r="NPX32" s="1551"/>
      <c r="NPY32" s="1551"/>
      <c r="NPZ32" s="1551"/>
      <c r="NQA32" s="1551"/>
      <c r="NQB32" s="1551"/>
      <c r="NQC32" s="1551"/>
      <c r="NQD32" s="1551"/>
      <c r="NQE32" s="1551"/>
      <c r="NQF32" s="1551"/>
      <c r="NQG32" s="1551"/>
      <c r="NQH32" s="1551"/>
      <c r="NQI32" s="1551"/>
      <c r="NQJ32" s="1551"/>
      <c r="NQK32" s="1551"/>
      <c r="NQL32" s="1551"/>
      <c r="NQM32" s="1551"/>
      <c r="NQN32" s="1551"/>
      <c r="NQO32" s="1551"/>
      <c r="NQP32" s="1551"/>
      <c r="NQQ32" s="1551"/>
      <c r="NQR32" s="1551"/>
      <c r="NQS32" s="1551"/>
      <c r="NQT32" s="1551"/>
      <c r="NQU32" s="1551"/>
      <c r="NQV32" s="1551"/>
      <c r="NQW32" s="1551"/>
      <c r="NQX32" s="1551"/>
      <c r="NQY32" s="1551"/>
      <c r="NQZ32" s="1551"/>
      <c r="NRA32" s="1551"/>
      <c r="NRB32" s="1551"/>
      <c r="NRC32" s="1551"/>
      <c r="NRD32" s="1551"/>
      <c r="NRE32" s="1551"/>
      <c r="NRF32" s="1551"/>
      <c r="NRG32" s="1551"/>
      <c r="NRH32" s="1551"/>
      <c r="NRI32" s="1551"/>
      <c r="NRJ32" s="1551"/>
      <c r="NRK32" s="1551"/>
      <c r="NRL32" s="1551"/>
      <c r="NRM32" s="1551"/>
      <c r="NRN32" s="1551"/>
      <c r="NRO32" s="1551"/>
      <c r="NRP32" s="1551"/>
      <c r="NRQ32" s="1551"/>
      <c r="NRR32" s="1551"/>
      <c r="NRS32" s="1551"/>
      <c r="NRT32" s="1551"/>
      <c r="NRU32" s="1551"/>
      <c r="NRV32" s="1551"/>
      <c r="NRW32" s="1551"/>
      <c r="NRX32" s="1551"/>
      <c r="NRY32" s="1551"/>
      <c r="NRZ32" s="1551"/>
      <c r="NSA32" s="1551"/>
      <c r="NSB32" s="1551"/>
      <c r="NSC32" s="1551"/>
      <c r="NSD32" s="1551"/>
      <c r="NSE32" s="1551"/>
      <c r="NSF32" s="1551"/>
      <c r="NSG32" s="1551"/>
      <c r="NSH32" s="1551"/>
      <c r="NSI32" s="1551"/>
      <c r="NSJ32" s="1551"/>
      <c r="NSK32" s="1551"/>
      <c r="NSL32" s="1551"/>
      <c r="NSM32" s="1551"/>
      <c r="NSN32" s="1551"/>
      <c r="NSO32" s="1551"/>
      <c r="NSP32" s="1551"/>
      <c r="NSQ32" s="1551"/>
      <c r="NSR32" s="1551"/>
      <c r="NSS32" s="1551"/>
      <c r="NST32" s="1551"/>
      <c r="NSU32" s="1551"/>
      <c r="NSV32" s="1551"/>
      <c r="NSW32" s="1551"/>
      <c r="NSX32" s="1551"/>
      <c r="NSY32" s="1551"/>
      <c r="NSZ32" s="1551"/>
      <c r="NTA32" s="1551"/>
      <c r="NTB32" s="1551"/>
      <c r="NTC32" s="1551"/>
      <c r="NTD32" s="1551"/>
      <c r="NTE32" s="1551"/>
      <c r="NTF32" s="1551"/>
      <c r="NTG32" s="1551"/>
      <c r="NTH32" s="1551"/>
      <c r="NTI32" s="1551"/>
      <c r="NTJ32" s="1551"/>
      <c r="NTK32" s="1551"/>
      <c r="NTL32" s="1551"/>
      <c r="NTM32" s="1551"/>
      <c r="NTN32" s="1551"/>
      <c r="NTO32" s="1551"/>
      <c r="NTP32" s="1551"/>
      <c r="NTQ32" s="1551"/>
      <c r="NTR32" s="1551"/>
      <c r="NTS32" s="1551"/>
      <c r="NTT32" s="1551"/>
      <c r="NTU32" s="1551"/>
      <c r="NTV32" s="1551"/>
      <c r="NTW32" s="1551"/>
      <c r="NTX32" s="1551"/>
      <c r="NTY32" s="1551"/>
      <c r="NTZ32" s="1551"/>
      <c r="NUA32" s="1551"/>
      <c r="NUB32" s="1551"/>
      <c r="NUC32" s="1551"/>
      <c r="NUD32" s="1551"/>
      <c r="NUE32" s="1551"/>
      <c r="NUF32" s="1551"/>
      <c r="NUG32" s="1551"/>
      <c r="NUH32" s="1551"/>
      <c r="NUI32" s="1551"/>
      <c r="NUJ32" s="1551"/>
      <c r="NUK32" s="1551"/>
      <c r="NUL32" s="1551"/>
      <c r="NUM32" s="1551"/>
      <c r="NUN32" s="1551"/>
      <c r="NUO32" s="1551"/>
      <c r="NUP32" s="1551"/>
      <c r="NUQ32" s="1551"/>
      <c r="NUR32" s="1551"/>
      <c r="NUS32" s="1551"/>
      <c r="NUT32" s="1551"/>
      <c r="NUU32" s="1551"/>
      <c r="NUV32" s="1551"/>
      <c r="NUW32" s="1551"/>
      <c r="NUX32" s="1551"/>
      <c r="NUY32" s="1551"/>
      <c r="NUZ32" s="1551"/>
      <c r="NVA32" s="1551"/>
      <c r="NVB32" s="1551"/>
      <c r="NVC32" s="1551"/>
      <c r="NVD32" s="1551"/>
      <c r="NVE32" s="1551"/>
      <c r="NVF32" s="1551"/>
      <c r="NVG32" s="1551"/>
      <c r="NVH32" s="1551"/>
      <c r="NVI32" s="1551"/>
      <c r="NVJ32" s="1551"/>
      <c r="NVK32" s="1551"/>
      <c r="NVL32" s="1551"/>
      <c r="NVM32" s="1551"/>
      <c r="NVN32" s="1551"/>
      <c r="NVO32" s="1551"/>
      <c r="NVP32" s="1551"/>
      <c r="NVQ32" s="1551"/>
      <c r="NVR32" s="1551"/>
      <c r="NVS32" s="1551"/>
      <c r="NVT32" s="1551"/>
      <c r="NVU32" s="1551"/>
      <c r="NVV32" s="1551"/>
      <c r="NVW32" s="1551"/>
      <c r="NVX32" s="1551"/>
      <c r="NVY32" s="1551"/>
      <c r="NVZ32" s="1551"/>
      <c r="NWA32" s="1551"/>
      <c r="NWB32" s="1551"/>
      <c r="NWC32" s="1551"/>
      <c r="NWD32" s="1551"/>
      <c r="NWE32" s="1551"/>
      <c r="NWF32" s="1551"/>
      <c r="NWG32" s="1551"/>
      <c r="NWH32" s="1551"/>
      <c r="NWI32" s="1551"/>
      <c r="NWJ32" s="1551"/>
      <c r="NWK32" s="1551"/>
      <c r="NWL32" s="1551"/>
      <c r="NWM32" s="1551"/>
      <c r="NWN32" s="1551"/>
      <c r="NWO32" s="1551"/>
      <c r="NWP32" s="1551"/>
      <c r="NWQ32" s="1551"/>
      <c r="NWR32" s="1551"/>
      <c r="NWS32" s="1551"/>
      <c r="NWT32" s="1551"/>
      <c r="NWU32" s="1551"/>
      <c r="NWV32" s="1551"/>
      <c r="NWW32" s="1551"/>
      <c r="NWX32" s="1551"/>
      <c r="NWY32" s="1551"/>
      <c r="NWZ32" s="1551"/>
      <c r="NXA32" s="1551"/>
      <c r="NXB32" s="1551"/>
      <c r="NXC32" s="1551"/>
      <c r="NXD32" s="1551"/>
      <c r="NXE32" s="1551"/>
      <c r="NXF32" s="1551"/>
      <c r="NXG32" s="1551"/>
      <c r="NXH32" s="1551"/>
      <c r="NXI32" s="1551"/>
      <c r="NXJ32" s="1551"/>
      <c r="NXK32" s="1551"/>
      <c r="NXL32" s="1551"/>
      <c r="NXM32" s="1551"/>
      <c r="NXN32" s="1551"/>
      <c r="NXO32" s="1551"/>
      <c r="NXP32" s="1551"/>
      <c r="NXQ32" s="1551"/>
      <c r="NXR32" s="1551"/>
      <c r="NXS32" s="1551"/>
      <c r="NXT32" s="1551"/>
      <c r="NXU32" s="1551"/>
      <c r="NXV32" s="1551"/>
      <c r="NXW32" s="1551"/>
      <c r="NXX32" s="1551"/>
      <c r="NXY32" s="1551"/>
      <c r="NXZ32" s="1551"/>
      <c r="NYA32" s="1551"/>
      <c r="NYB32" s="1551"/>
      <c r="NYC32" s="1551"/>
      <c r="NYD32" s="1551"/>
      <c r="NYE32" s="1551"/>
      <c r="NYF32" s="1551"/>
      <c r="NYG32" s="1551"/>
      <c r="NYH32" s="1551"/>
      <c r="NYI32" s="1551"/>
      <c r="NYJ32" s="1551"/>
      <c r="NYK32" s="1551"/>
      <c r="NYL32" s="1551"/>
      <c r="NYM32" s="1551"/>
      <c r="NYN32" s="1551"/>
      <c r="NYO32" s="1551"/>
      <c r="NYP32" s="1551"/>
      <c r="NYQ32" s="1551"/>
      <c r="NYR32" s="1551"/>
      <c r="NYS32" s="1551"/>
      <c r="NYT32" s="1551"/>
      <c r="NYU32" s="1551"/>
      <c r="NYV32" s="1551"/>
      <c r="NYW32" s="1551"/>
      <c r="NYX32" s="1551"/>
      <c r="NYY32" s="1551"/>
      <c r="NYZ32" s="1551"/>
      <c r="NZA32" s="1551"/>
      <c r="NZB32" s="1551"/>
      <c r="NZC32" s="1551"/>
      <c r="NZD32" s="1551"/>
      <c r="NZE32" s="1551"/>
      <c r="NZF32" s="1551"/>
      <c r="NZG32" s="1551"/>
      <c r="NZH32" s="1551"/>
      <c r="NZI32" s="1551"/>
      <c r="NZJ32" s="1551"/>
      <c r="NZK32" s="1551"/>
      <c r="NZL32" s="1551"/>
      <c r="NZM32" s="1551"/>
      <c r="NZN32" s="1551"/>
      <c r="NZO32" s="1551"/>
      <c r="NZP32" s="1551"/>
      <c r="NZQ32" s="1551"/>
      <c r="NZR32" s="1551"/>
      <c r="NZS32" s="1551"/>
      <c r="NZT32" s="1551"/>
      <c r="NZU32" s="1551"/>
      <c r="NZV32" s="1551"/>
      <c r="NZW32" s="1551"/>
      <c r="NZX32" s="1551"/>
      <c r="NZY32" s="1551"/>
      <c r="NZZ32" s="1551"/>
      <c r="OAA32" s="1551"/>
      <c r="OAB32" s="1551"/>
      <c r="OAC32" s="1551"/>
      <c r="OAD32" s="1551"/>
      <c r="OAE32" s="1551"/>
      <c r="OAF32" s="1551"/>
      <c r="OAG32" s="1551"/>
      <c r="OAH32" s="1551"/>
      <c r="OAI32" s="1551"/>
      <c r="OAJ32" s="1551"/>
      <c r="OAK32" s="1551"/>
      <c r="OAL32" s="1551"/>
      <c r="OAM32" s="1551"/>
      <c r="OAN32" s="1551"/>
      <c r="OAO32" s="1551"/>
      <c r="OAP32" s="1551"/>
      <c r="OAQ32" s="1551"/>
      <c r="OAR32" s="1551"/>
      <c r="OAS32" s="1551"/>
      <c r="OAT32" s="1551"/>
      <c r="OAU32" s="1551"/>
      <c r="OAV32" s="1551"/>
      <c r="OAW32" s="1551"/>
      <c r="OAX32" s="1551"/>
      <c r="OAY32" s="1551"/>
      <c r="OAZ32" s="1551"/>
      <c r="OBA32" s="1551"/>
      <c r="OBB32" s="1551"/>
      <c r="OBC32" s="1551"/>
      <c r="OBD32" s="1551"/>
      <c r="OBE32" s="1551"/>
      <c r="OBF32" s="1551"/>
      <c r="OBG32" s="1551"/>
      <c r="OBH32" s="1551"/>
      <c r="OBI32" s="1551"/>
      <c r="OBJ32" s="1551"/>
      <c r="OBK32" s="1551"/>
      <c r="OBL32" s="1551"/>
      <c r="OBM32" s="1551"/>
      <c r="OBN32" s="1551"/>
      <c r="OBO32" s="1551"/>
      <c r="OBP32" s="1551"/>
      <c r="OBQ32" s="1551"/>
      <c r="OBR32" s="1551"/>
      <c r="OBS32" s="1551"/>
      <c r="OBT32" s="1551"/>
      <c r="OBU32" s="1551"/>
      <c r="OBV32" s="1551"/>
      <c r="OBW32" s="1551"/>
      <c r="OBX32" s="1551"/>
      <c r="OBY32" s="1551"/>
      <c r="OBZ32" s="1551"/>
      <c r="OCA32" s="1551"/>
      <c r="OCB32" s="1551"/>
      <c r="OCC32" s="1551"/>
      <c r="OCD32" s="1551"/>
      <c r="OCE32" s="1551"/>
      <c r="OCF32" s="1551"/>
      <c r="OCG32" s="1551"/>
      <c r="OCH32" s="1551"/>
      <c r="OCI32" s="1551"/>
      <c r="OCJ32" s="1551"/>
      <c r="OCK32" s="1551"/>
      <c r="OCL32" s="1551"/>
      <c r="OCM32" s="1551"/>
      <c r="OCN32" s="1551"/>
      <c r="OCO32" s="1551"/>
      <c r="OCP32" s="1551"/>
      <c r="OCQ32" s="1551"/>
      <c r="OCR32" s="1551"/>
      <c r="OCS32" s="1551"/>
      <c r="OCT32" s="1551"/>
      <c r="OCU32" s="1551"/>
      <c r="OCV32" s="1551"/>
      <c r="OCW32" s="1551"/>
      <c r="OCX32" s="1551"/>
      <c r="OCY32" s="1551"/>
      <c r="OCZ32" s="1551"/>
      <c r="ODA32" s="1551"/>
      <c r="ODB32" s="1551"/>
      <c r="ODC32" s="1551"/>
      <c r="ODD32" s="1551"/>
      <c r="ODE32" s="1551"/>
      <c r="ODF32" s="1551"/>
      <c r="ODG32" s="1551"/>
      <c r="ODH32" s="1551"/>
      <c r="ODI32" s="1551"/>
      <c r="ODJ32" s="1551"/>
      <c r="ODK32" s="1551"/>
      <c r="ODL32" s="1551"/>
      <c r="ODM32" s="1551"/>
      <c r="ODN32" s="1551"/>
      <c r="ODO32" s="1551"/>
      <c r="ODP32" s="1551"/>
      <c r="ODQ32" s="1551"/>
      <c r="ODR32" s="1551"/>
      <c r="ODS32" s="1551"/>
      <c r="ODT32" s="1551"/>
      <c r="ODU32" s="1551"/>
      <c r="ODV32" s="1551"/>
      <c r="ODW32" s="1551"/>
      <c r="ODX32" s="1551"/>
      <c r="ODY32" s="1551"/>
      <c r="ODZ32" s="1551"/>
      <c r="OEA32" s="1551"/>
      <c r="OEB32" s="1551"/>
      <c r="OEC32" s="1551"/>
      <c r="OED32" s="1551"/>
      <c r="OEE32" s="1551"/>
      <c r="OEF32" s="1551"/>
      <c r="OEG32" s="1551"/>
      <c r="OEH32" s="1551"/>
      <c r="OEI32" s="1551"/>
      <c r="OEJ32" s="1551"/>
      <c r="OEK32" s="1551"/>
      <c r="OEL32" s="1551"/>
      <c r="OEM32" s="1551"/>
      <c r="OEN32" s="1551"/>
      <c r="OEO32" s="1551"/>
      <c r="OEP32" s="1551"/>
      <c r="OEQ32" s="1551"/>
      <c r="OER32" s="1551"/>
      <c r="OES32" s="1551"/>
      <c r="OET32" s="1551"/>
      <c r="OEU32" s="1551"/>
      <c r="OEV32" s="1551"/>
      <c r="OEW32" s="1551"/>
      <c r="OEX32" s="1551"/>
      <c r="OEY32" s="1551"/>
      <c r="OEZ32" s="1551"/>
      <c r="OFA32" s="1551"/>
      <c r="OFB32" s="1551"/>
      <c r="OFC32" s="1551"/>
      <c r="OFD32" s="1551"/>
      <c r="OFE32" s="1551"/>
      <c r="OFF32" s="1551"/>
      <c r="OFG32" s="1551"/>
      <c r="OFH32" s="1551"/>
      <c r="OFI32" s="1551"/>
      <c r="OFJ32" s="1551"/>
      <c r="OFK32" s="1551"/>
      <c r="OFL32" s="1551"/>
      <c r="OFM32" s="1551"/>
      <c r="OFN32" s="1551"/>
      <c r="OFO32" s="1551"/>
      <c r="OFP32" s="1551"/>
      <c r="OFQ32" s="1551"/>
      <c r="OFR32" s="1551"/>
      <c r="OFS32" s="1551"/>
      <c r="OFT32" s="1551"/>
      <c r="OFU32" s="1551"/>
      <c r="OFV32" s="1551"/>
      <c r="OFW32" s="1551"/>
      <c r="OFX32" s="1551"/>
      <c r="OFY32" s="1551"/>
      <c r="OFZ32" s="1551"/>
      <c r="OGA32" s="1551"/>
      <c r="OGB32" s="1551"/>
      <c r="OGC32" s="1551"/>
      <c r="OGD32" s="1551"/>
      <c r="OGE32" s="1551"/>
      <c r="OGF32" s="1551"/>
      <c r="OGG32" s="1551"/>
      <c r="OGH32" s="1551"/>
      <c r="OGI32" s="1551"/>
      <c r="OGJ32" s="1551"/>
      <c r="OGK32" s="1551"/>
      <c r="OGL32" s="1551"/>
      <c r="OGM32" s="1551"/>
      <c r="OGN32" s="1551"/>
      <c r="OGO32" s="1551"/>
      <c r="OGP32" s="1551"/>
      <c r="OGQ32" s="1551"/>
      <c r="OGR32" s="1551"/>
      <c r="OGS32" s="1551"/>
      <c r="OGT32" s="1551"/>
      <c r="OGU32" s="1551"/>
      <c r="OGV32" s="1551"/>
      <c r="OGW32" s="1551"/>
      <c r="OGX32" s="1551"/>
      <c r="OGY32" s="1551"/>
      <c r="OGZ32" s="1551"/>
      <c r="OHA32" s="1551"/>
      <c r="OHB32" s="1551"/>
      <c r="OHC32" s="1551"/>
      <c r="OHD32" s="1551"/>
      <c r="OHE32" s="1551"/>
      <c r="OHF32" s="1551"/>
      <c r="OHG32" s="1551"/>
      <c r="OHH32" s="1551"/>
      <c r="OHI32" s="1551"/>
      <c r="OHJ32" s="1551"/>
      <c r="OHK32" s="1551"/>
      <c r="OHL32" s="1551"/>
      <c r="OHM32" s="1551"/>
      <c r="OHN32" s="1551"/>
      <c r="OHO32" s="1551"/>
      <c r="OHP32" s="1551"/>
      <c r="OHQ32" s="1551"/>
      <c r="OHR32" s="1551"/>
      <c r="OHS32" s="1551"/>
      <c r="OHT32" s="1551"/>
      <c r="OHU32" s="1551"/>
      <c r="OHV32" s="1551"/>
      <c r="OHW32" s="1551"/>
      <c r="OHX32" s="1551"/>
      <c r="OHY32" s="1551"/>
      <c r="OHZ32" s="1551"/>
      <c r="OIA32" s="1551"/>
      <c r="OIB32" s="1551"/>
      <c r="OIC32" s="1551"/>
      <c r="OID32" s="1551"/>
      <c r="OIE32" s="1551"/>
      <c r="OIF32" s="1551"/>
      <c r="OIG32" s="1551"/>
      <c r="OIH32" s="1551"/>
      <c r="OII32" s="1551"/>
      <c r="OIJ32" s="1551"/>
      <c r="OIK32" s="1551"/>
      <c r="OIL32" s="1551"/>
      <c r="OIM32" s="1551"/>
      <c r="OIN32" s="1551"/>
      <c r="OIO32" s="1551"/>
      <c r="OIP32" s="1551"/>
      <c r="OIQ32" s="1551"/>
      <c r="OIR32" s="1551"/>
      <c r="OIS32" s="1551"/>
      <c r="OIT32" s="1551"/>
      <c r="OIU32" s="1551"/>
      <c r="OIV32" s="1551"/>
      <c r="OIW32" s="1551"/>
      <c r="OIX32" s="1551"/>
      <c r="OIY32" s="1551"/>
      <c r="OIZ32" s="1551"/>
      <c r="OJA32" s="1551"/>
      <c r="OJB32" s="1551"/>
      <c r="OJC32" s="1551"/>
      <c r="OJD32" s="1551"/>
      <c r="OJE32" s="1551"/>
      <c r="OJF32" s="1551"/>
      <c r="OJG32" s="1551"/>
      <c r="OJH32" s="1551"/>
      <c r="OJI32" s="1551"/>
      <c r="OJJ32" s="1551"/>
      <c r="OJK32" s="1551"/>
      <c r="OJL32" s="1551"/>
      <c r="OJM32" s="1551"/>
      <c r="OJN32" s="1551"/>
      <c r="OJO32" s="1551"/>
      <c r="OJP32" s="1551"/>
      <c r="OJQ32" s="1551"/>
      <c r="OJR32" s="1551"/>
      <c r="OJS32" s="1551"/>
      <c r="OJT32" s="1551"/>
      <c r="OJU32" s="1551"/>
      <c r="OJV32" s="1551"/>
      <c r="OJW32" s="1551"/>
      <c r="OJX32" s="1551"/>
      <c r="OJY32" s="1551"/>
      <c r="OJZ32" s="1551"/>
      <c r="OKA32" s="1551"/>
      <c r="OKB32" s="1551"/>
      <c r="OKC32" s="1551"/>
      <c r="OKD32" s="1551"/>
      <c r="OKE32" s="1551"/>
      <c r="OKF32" s="1551"/>
      <c r="OKG32" s="1551"/>
      <c r="OKH32" s="1551"/>
      <c r="OKI32" s="1551"/>
      <c r="OKJ32" s="1551"/>
      <c r="OKK32" s="1551"/>
      <c r="OKL32" s="1551"/>
      <c r="OKM32" s="1551"/>
      <c r="OKN32" s="1551"/>
      <c r="OKO32" s="1551"/>
      <c r="OKP32" s="1551"/>
      <c r="OKQ32" s="1551"/>
      <c r="OKR32" s="1551"/>
      <c r="OKS32" s="1551"/>
      <c r="OKT32" s="1551"/>
      <c r="OKU32" s="1551"/>
      <c r="OKV32" s="1551"/>
      <c r="OKW32" s="1551"/>
      <c r="OKX32" s="1551"/>
      <c r="OKY32" s="1551"/>
      <c r="OKZ32" s="1551"/>
      <c r="OLA32" s="1551"/>
      <c r="OLB32" s="1551"/>
      <c r="OLC32" s="1551"/>
      <c r="OLD32" s="1551"/>
      <c r="OLE32" s="1551"/>
      <c r="OLF32" s="1551"/>
      <c r="OLG32" s="1551"/>
      <c r="OLH32" s="1551"/>
      <c r="OLI32" s="1551"/>
      <c r="OLJ32" s="1551"/>
      <c r="OLK32" s="1551"/>
      <c r="OLL32" s="1551"/>
      <c r="OLM32" s="1551"/>
      <c r="OLN32" s="1551"/>
      <c r="OLO32" s="1551"/>
      <c r="OLP32" s="1551"/>
      <c r="OLQ32" s="1551"/>
      <c r="OLR32" s="1551"/>
      <c r="OLS32" s="1551"/>
      <c r="OLT32" s="1551"/>
      <c r="OLU32" s="1551"/>
      <c r="OLV32" s="1551"/>
      <c r="OLW32" s="1551"/>
      <c r="OLX32" s="1551"/>
      <c r="OLY32" s="1551"/>
      <c r="OLZ32" s="1551"/>
      <c r="OMA32" s="1551"/>
      <c r="OMB32" s="1551"/>
      <c r="OMC32" s="1551"/>
      <c r="OMD32" s="1551"/>
      <c r="OME32" s="1551"/>
      <c r="OMF32" s="1551"/>
      <c r="OMG32" s="1551"/>
      <c r="OMH32" s="1551"/>
      <c r="OMI32" s="1551"/>
      <c r="OMJ32" s="1551"/>
      <c r="OMK32" s="1551"/>
      <c r="OML32" s="1551"/>
      <c r="OMM32" s="1551"/>
      <c r="OMN32" s="1551"/>
      <c r="OMO32" s="1551"/>
      <c r="OMP32" s="1551"/>
      <c r="OMQ32" s="1551"/>
      <c r="OMR32" s="1551"/>
      <c r="OMS32" s="1551"/>
      <c r="OMT32" s="1551"/>
      <c r="OMU32" s="1551"/>
      <c r="OMV32" s="1551"/>
      <c r="OMW32" s="1551"/>
      <c r="OMX32" s="1551"/>
      <c r="OMY32" s="1551"/>
      <c r="OMZ32" s="1551"/>
      <c r="ONA32" s="1551"/>
      <c r="ONB32" s="1551"/>
      <c r="ONC32" s="1551"/>
      <c r="OND32" s="1551"/>
      <c r="ONE32" s="1551"/>
      <c r="ONF32" s="1551"/>
      <c r="ONG32" s="1551"/>
      <c r="ONH32" s="1551"/>
      <c r="ONI32" s="1551"/>
      <c r="ONJ32" s="1551"/>
      <c r="ONK32" s="1551"/>
      <c r="ONL32" s="1551"/>
      <c r="ONM32" s="1551"/>
      <c r="ONN32" s="1551"/>
      <c r="ONO32" s="1551"/>
      <c r="ONP32" s="1551"/>
      <c r="ONQ32" s="1551"/>
      <c r="ONR32" s="1551"/>
      <c r="ONS32" s="1551"/>
      <c r="ONT32" s="1551"/>
      <c r="ONU32" s="1551"/>
      <c r="ONV32" s="1551"/>
      <c r="ONW32" s="1551"/>
      <c r="ONX32" s="1551"/>
      <c r="ONY32" s="1551"/>
      <c r="ONZ32" s="1551"/>
      <c r="OOA32" s="1551"/>
      <c r="OOB32" s="1551"/>
      <c r="OOC32" s="1551"/>
      <c r="OOD32" s="1551"/>
      <c r="OOE32" s="1551"/>
      <c r="OOF32" s="1551"/>
      <c r="OOG32" s="1551"/>
      <c r="OOH32" s="1551"/>
      <c r="OOI32" s="1551"/>
      <c r="OOJ32" s="1551"/>
      <c r="OOK32" s="1551"/>
      <c r="OOL32" s="1551"/>
      <c r="OOM32" s="1551"/>
      <c r="OON32" s="1551"/>
      <c r="OOO32" s="1551"/>
      <c r="OOP32" s="1551"/>
      <c r="OOQ32" s="1551"/>
      <c r="OOR32" s="1551"/>
      <c r="OOS32" s="1551"/>
      <c r="OOT32" s="1551"/>
      <c r="OOU32" s="1551"/>
      <c r="OOV32" s="1551"/>
      <c r="OOW32" s="1551"/>
      <c r="OOX32" s="1551"/>
      <c r="OOY32" s="1551"/>
      <c r="OOZ32" s="1551"/>
      <c r="OPA32" s="1551"/>
      <c r="OPB32" s="1551"/>
      <c r="OPC32" s="1551"/>
      <c r="OPD32" s="1551"/>
      <c r="OPE32" s="1551"/>
      <c r="OPF32" s="1551"/>
      <c r="OPG32" s="1551"/>
      <c r="OPH32" s="1551"/>
      <c r="OPI32" s="1551"/>
      <c r="OPJ32" s="1551"/>
      <c r="OPK32" s="1551"/>
      <c r="OPL32" s="1551"/>
      <c r="OPM32" s="1551"/>
      <c r="OPN32" s="1551"/>
      <c r="OPO32" s="1551"/>
      <c r="OPP32" s="1551"/>
      <c r="OPQ32" s="1551"/>
      <c r="OPR32" s="1551"/>
      <c r="OPS32" s="1551"/>
      <c r="OPT32" s="1551"/>
      <c r="OPU32" s="1551"/>
      <c r="OPV32" s="1551"/>
      <c r="OPW32" s="1551"/>
      <c r="OPX32" s="1551"/>
      <c r="OPY32" s="1551"/>
      <c r="OPZ32" s="1551"/>
      <c r="OQA32" s="1551"/>
      <c r="OQB32" s="1551"/>
      <c r="OQC32" s="1551"/>
      <c r="OQD32" s="1551"/>
      <c r="OQE32" s="1551"/>
      <c r="OQF32" s="1551"/>
      <c r="OQG32" s="1551"/>
      <c r="OQH32" s="1551"/>
      <c r="OQI32" s="1551"/>
      <c r="OQJ32" s="1551"/>
      <c r="OQK32" s="1551"/>
      <c r="OQL32" s="1551"/>
      <c r="OQM32" s="1551"/>
      <c r="OQN32" s="1551"/>
      <c r="OQO32" s="1551"/>
      <c r="OQP32" s="1551"/>
      <c r="OQQ32" s="1551"/>
      <c r="OQR32" s="1551"/>
      <c r="OQS32" s="1551"/>
      <c r="OQT32" s="1551"/>
      <c r="OQU32" s="1551"/>
      <c r="OQV32" s="1551"/>
      <c r="OQW32" s="1551"/>
      <c r="OQX32" s="1551"/>
      <c r="OQY32" s="1551"/>
      <c r="OQZ32" s="1551"/>
      <c r="ORA32" s="1551"/>
      <c r="ORB32" s="1551"/>
      <c r="ORC32" s="1551"/>
      <c r="ORD32" s="1551"/>
      <c r="ORE32" s="1551"/>
      <c r="ORF32" s="1551"/>
      <c r="ORG32" s="1551"/>
      <c r="ORH32" s="1551"/>
      <c r="ORI32" s="1551"/>
      <c r="ORJ32" s="1551"/>
      <c r="ORK32" s="1551"/>
      <c r="ORL32" s="1551"/>
      <c r="ORM32" s="1551"/>
      <c r="ORN32" s="1551"/>
      <c r="ORO32" s="1551"/>
      <c r="ORP32" s="1551"/>
      <c r="ORQ32" s="1551"/>
      <c r="ORR32" s="1551"/>
      <c r="ORS32" s="1551"/>
      <c r="ORT32" s="1551"/>
      <c r="ORU32" s="1551"/>
      <c r="ORV32" s="1551"/>
      <c r="ORW32" s="1551"/>
      <c r="ORX32" s="1551"/>
      <c r="ORY32" s="1551"/>
      <c r="ORZ32" s="1551"/>
      <c r="OSA32" s="1551"/>
      <c r="OSB32" s="1551"/>
      <c r="OSC32" s="1551"/>
      <c r="OSD32" s="1551"/>
      <c r="OSE32" s="1551"/>
      <c r="OSF32" s="1551"/>
      <c r="OSG32" s="1551"/>
      <c r="OSH32" s="1551"/>
      <c r="OSI32" s="1551"/>
      <c r="OSJ32" s="1551"/>
      <c r="OSK32" s="1551"/>
      <c r="OSL32" s="1551"/>
      <c r="OSM32" s="1551"/>
      <c r="OSN32" s="1551"/>
      <c r="OSO32" s="1551"/>
      <c r="OSP32" s="1551"/>
      <c r="OSQ32" s="1551"/>
      <c r="OSR32" s="1551"/>
      <c r="OSS32" s="1551"/>
      <c r="OST32" s="1551"/>
      <c r="OSU32" s="1551"/>
      <c r="OSV32" s="1551"/>
      <c r="OSW32" s="1551"/>
      <c r="OSX32" s="1551"/>
      <c r="OSY32" s="1551"/>
      <c r="OSZ32" s="1551"/>
      <c r="OTA32" s="1551"/>
      <c r="OTB32" s="1551"/>
      <c r="OTC32" s="1551"/>
      <c r="OTD32" s="1551"/>
      <c r="OTE32" s="1551"/>
      <c r="OTF32" s="1551"/>
      <c r="OTG32" s="1551"/>
      <c r="OTH32" s="1551"/>
      <c r="OTI32" s="1551"/>
      <c r="OTJ32" s="1551"/>
      <c r="OTK32" s="1551"/>
      <c r="OTL32" s="1551"/>
      <c r="OTM32" s="1551"/>
      <c r="OTN32" s="1551"/>
      <c r="OTO32" s="1551"/>
      <c r="OTP32" s="1551"/>
      <c r="OTQ32" s="1551"/>
      <c r="OTR32" s="1551"/>
      <c r="OTS32" s="1551"/>
      <c r="OTT32" s="1551"/>
      <c r="OTU32" s="1551"/>
      <c r="OTV32" s="1551"/>
      <c r="OTW32" s="1551"/>
      <c r="OTX32" s="1551"/>
      <c r="OTY32" s="1551"/>
      <c r="OTZ32" s="1551"/>
      <c r="OUA32" s="1551"/>
      <c r="OUB32" s="1551"/>
      <c r="OUC32" s="1551"/>
      <c r="OUD32" s="1551"/>
      <c r="OUE32" s="1551"/>
      <c r="OUF32" s="1551"/>
      <c r="OUG32" s="1551"/>
      <c r="OUH32" s="1551"/>
      <c r="OUI32" s="1551"/>
      <c r="OUJ32" s="1551"/>
      <c r="OUK32" s="1551"/>
      <c r="OUL32" s="1551"/>
      <c r="OUM32" s="1551"/>
      <c r="OUN32" s="1551"/>
      <c r="OUO32" s="1551"/>
      <c r="OUP32" s="1551"/>
      <c r="OUQ32" s="1551"/>
      <c r="OUR32" s="1551"/>
      <c r="OUS32" s="1551"/>
      <c r="OUT32" s="1551"/>
      <c r="OUU32" s="1551"/>
      <c r="OUV32" s="1551"/>
      <c r="OUW32" s="1551"/>
      <c r="OUX32" s="1551"/>
      <c r="OUY32" s="1551"/>
      <c r="OUZ32" s="1551"/>
      <c r="OVA32" s="1551"/>
      <c r="OVB32" s="1551"/>
      <c r="OVC32" s="1551"/>
      <c r="OVD32" s="1551"/>
      <c r="OVE32" s="1551"/>
      <c r="OVF32" s="1551"/>
      <c r="OVG32" s="1551"/>
      <c r="OVH32" s="1551"/>
      <c r="OVI32" s="1551"/>
      <c r="OVJ32" s="1551"/>
      <c r="OVK32" s="1551"/>
      <c r="OVL32" s="1551"/>
      <c r="OVM32" s="1551"/>
      <c r="OVN32" s="1551"/>
      <c r="OVO32" s="1551"/>
      <c r="OVP32" s="1551"/>
      <c r="OVQ32" s="1551"/>
      <c r="OVR32" s="1551"/>
      <c r="OVS32" s="1551"/>
      <c r="OVT32" s="1551"/>
      <c r="OVU32" s="1551"/>
      <c r="OVV32" s="1551"/>
      <c r="OVW32" s="1551"/>
      <c r="OVX32" s="1551"/>
      <c r="OVY32" s="1551"/>
      <c r="OVZ32" s="1551"/>
      <c r="OWA32" s="1551"/>
      <c r="OWB32" s="1551"/>
      <c r="OWC32" s="1551"/>
      <c r="OWD32" s="1551"/>
      <c r="OWE32" s="1551"/>
      <c r="OWF32" s="1551"/>
      <c r="OWG32" s="1551"/>
      <c r="OWH32" s="1551"/>
      <c r="OWI32" s="1551"/>
      <c r="OWJ32" s="1551"/>
      <c r="OWK32" s="1551"/>
      <c r="OWL32" s="1551"/>
      <c r="OWM32" s="1551"/>
      <c r="OWN32" s="1551"/>
      <c r="OWO32" s="1551"/>
      <c r="OWP32" s="1551"/>
      <c r="OWQ32" s="1551"/>
      <c r="OWR32" s="1551"/>
      <c r="OWS32" s="1551"/>
      <c r="OWT32" s="1551"/>
      <c r="OWU32" s="1551"/>
      <c r="OWV32" s="1551"/>
      <c r="OWW32" s="1551"/>
      <c r="OWX32" s="1551"/>
      <c r="OWY32" s="1551"/>
      <c r="OWZ32" s="1551"/>
      <c r="OXA32" s="1551"/>
      <c r="OXB32" s="1551"/>
      <c r="OXC32" s="1551"/>
      <c r="OXD32" s="1551"/>
      <c r="OXE32" s="1551"/>
      <c r="OXF32" s="1551"/>
      <c r="OXG32" s="1551"/>
      <c r="OXH32" s="1551"/>
      <c r="OXI32" s="1551"/>
      <c r="OXJ32" s="1551"/>
      <c r="OXK32" s="1551"/>
      <c r="OXL32" s="1551"/>
      <c r="OXM32" s="1551"/>
      <c r="OXN32" s="1551"/>
      <c r="OXO32" s="1551"/>
      <c r="OXP32" s="1551"/>
      <c r="OXQ32" s="1551"/>
      <c r="OXR32" s="1551"/>
      <c r="OXS32" s="1551"/>
      <c r="OXT32" s="1551"/>
      <c r="OXU32" s="1551"/>
      <c r="OXV32" s="1551"/>
      <c r="OXW32" s="1551"/>
      <c r="OXX32" s="1551"/>
      <c r="OXY32" s="1551"/>
      <c r="OXZ32" s="1551"/>
      <c r="OYA32" s="1551"/>
      <c r="OYB32" s="1551"/>
      <c r="OYC32" s="1551"/>
      <c r="OYD32" s="1551"/>
      <c r="OYE32" s="1551"/>
      <c r="OYF32" s="1551"/>
      <c r="OYG32" s="1551"/>
      <c r="OYH32" s="1551"/>
      <c r="OYI32" s="1551"/>
      <c r="OYJ32" s="1551"/>
      <c r="OYK32" s="1551"/>
      <c r="OYL32" s="1551"/>
      <c r="OYM32" s="1551"/>
      <c r="OYN32" s="1551"/>
      <c r="OYO32" s="1551"/>
      <c r="OYP32" s="1551"/>
      <c r="OYQ32" s="1551"/>
      <c r="OYR32" s="1551"/>
      <c r="OYS32" s="1551"/>
      <c r="OYT32" s="1551"/>
      <c r="OYU32" s="1551"/>
      <c r="OYV32" s="1551"/>
      <c r="OYW32" s="1551"/>
      <c r="OYX32" s="1551"/>
      <c r="OYY32" s="1551"/>
      <c r="OYZ32" s="1551"/>
      <c r="OZA32" s="1551"/>
      <c r="OZB32" s="1551"/>
      <c r="OZC32" s="1551"/>
      <c r="OZD32" s="1551"/>
      <c r="OZE32" s="1551"/>
      <c r="OZF32" s="1551"/>
      <c r="OZG32" s="1551"/>
      <c r="OZH32" s="1551"/>
      <c r="OZI32" s="1551"/>
      <c r="OZJ32" s="1551"/>
      <c r="OZK32" s="1551"/>
      <c r="OZL32" s="1551"/>
      <c r="OZM32" s="1551"/>
      <c r="OZN32" s="1551"/>
      <c r="OZO32" s="1551"/>
      <c r="OZP32" s="1551"/>
      <c r="OZQ32" s="1551"/>
      <c r="OZR32" s="1551"/>
      <c r="OZS32" s="1551"/>
      <c r="OZT32" s="1551"/>
      <c r="OZU32" s="1551"/>
      <c r="OZV32" s="1551"/>
      <c r="OZW32" s="1551"/>
      <c r="OZX32" s="1551"/>
      <c r="OZY32" s="1551"/>
      <c r="OZZ32" s="1551"/>
      <c r="PAA32" s="1551"/>
      <c r="PAB32" s="1551"/>
      <c r="PAC32" s="1551"/>
      <c r="PAD32" s="1551"/>
      <c r="PAE32" s="1551"/>
      <c r="PAF32" s="1551"/>
      <c r="PAG32" s="1551"/>
      <c r="PAH32" s="1551"/>
      <c r="PAI32" s="1551"/>
      <c r="PAJ32" s="1551"/>
      <c r="PAK32" s="1551"/>
      <c r="PAL32" s="1551"/>
      <c r="PAM32" s="1551"/>
      <c r="PAN32" s="1551"/>
      <c r="PAO32" s="1551"/>
      <c r="PAP32" s="1551"/>
      <c r="PAQ32" s="1551"/>
      <c r="PAR32" s="1551"/>
      <c r="PAS32" s="1551"/>
      <c r="PAT32" s="1551"/>
      <c r="PAU32" s="1551"/>
      <c r="PAV32" s="1551"/>
      <c r="PAW32" s="1551"/>
      <c r="PAX32" s="1551"/>
      <c r="PAY32" s="1551"/>
      <c r="PAZ32" s="1551"/>
      <c r="PBA32" s="1551"/>
      <c r="PBB32" s="1551"/>
      <c r="PBC32" s="1551"/>
      <c r="PBD32" s="1551"/>
      <c r="PBE32" s="1551"/>
      <c r="PBF32" s="1551"/>
      <c r="PBG32" s="1551"/>
      <c r="PBH32" s="1551"/>
      <c r="PBI32" s="1551"/>
      <c r="PBJ32" s="1551"/>
      <c r="PBK32" s="1551"/>
      <c r="PBL32" s="1551"/>
      <c r="PBM32" s="1551"/>
      <c r="PBN32" s="1551"/>
      <c r="PBO32" s="1551"/>
      <c r="PBP32" s="1551"/>
      <c r="PBQ32" s="1551"/>
      <c r="PBR32" s="1551"/>
      <c r="PBS32" s="1551"/>
      <c r="PBT32" s="1551"/>
      <c r="PBU32" s="1551"/>
      <c r="PBV32" s="1551"/>
      <c r="PBW32" s="1551"/>
      <c r="PBX32" s="1551"/>
      <c r="PBY32" s="1551"/>
      <c r="PBZ32" s="1551"/>
      <c r="PCA32" s="1551"/>
      <c r="PCB32" s="1551"/>
      <c r="PCC32" s="1551"/>
      <c r="PCD32" s="1551"/>
      <c r="PCE32" s="1551"/>
      <c r="PCF32" s="1551"/>
      <c r="PCG32" s="1551"/>
      <c r="PCH32" s="1551"/>
      <c r="PCI32" s="1551"/>
      <c r="PCJ32" s="1551"/>
      <c r="PCK32" s="1551"/>
      <c r="PCL32" s="1551"/>
      <c r="PCM32" s="1551"/>
      <c r="PCN32" s="1551"/>
      <c r="PCO32" s="1551"/>
      <c r="PCP32" s="1551"/>
      <c r="PCQ32" s="1551"/>
      <c r="PCR32" s="1551"/>
      <c r="PCS32" s="1551"/>
      <c r="PCT32" s="1551"/>
      <c r="PCU32" s="1551"/>
      <c r="PCV32" s="1551"/>
      <c r="PCW32" s="1551"/>
      <c r="PCX32" s="1551"/>
      <c r="PCY32" s="1551"/>
      <c r="PCZ32" s="1551"/>
      <c r="PDA32" s="1551"/>
      <c r="PDB32" s="1551"/>
      <c r="PDC32" s="1551"/>
      <c r="PDD32" s="1551"/>
      <c r="PDE32" s="1551"/>
      <c r="PDF32" s="1551"/>
      <c r="PDG32" s="1551"/>
      <c r="PDH32" s="1551"/>
      <c r="PDI32" s="1551"/>
      <c r="PDJ32" s="1551"/>
      <c r="PDK32" s="1551"/>
      <c r="PDL32" s="1551"/>
      <c r="PDM32" s="1551"/>
      <c r="PDN32" s="1551"/>
      <c r="PDO32" s="1551"/>
      <c r="PDP32" s="1551"/>
      <c r="PDQ32" s="1551"/>
      <c r="PDR32" s="1551"/>
      <c r="PDS32" s="1551"/>
      <c r="PDT32" s="1551"/>
      <c r="PDU32" s="1551"/>
      <c r="PDV32" s="1551"/>
      <c r="PDW32" s="1551"/>
      <c r="PDX32" s="1551"/>
      <c r="PDY32" s="1551"/>
      <c r="PDZ32" s="1551"/>
      <c r="PEA32" s="1551"/>
      <c r="PEB32" s="1551"/>
      <c r="PEC32" s="1551"/>
      <c r="PED32" s="1551"/>
      <c r="PEE32" s="1551"/>
      <c r="PEF32" s="1551"/>
      <c r="PEG32" s="1551"/>
      <c r="PEH32" s="1551"/>
      <c r="PEI32" s="1551"/>
      <c r="PEJ32" s="1551"/>
      <c r="PEK32" s="1551"/>
      <c r="PEL32" s="1551"/>
      <c r="PEM32" s="1551"/>
      <c r="PEN32" s="1551"/>
      <c r="PEO32" s="1551"/>
      <c r="PEP32" s="1551"/>
      <c r="PEQ32" s="1551"/>
      <c r="PER32" s="1551"/>
      <c r="PES32" s="1551"/>
      <c r="PET32" s="1551"/>
      <c r="PEU32" s="1551"/>
      <c r="PEV32" s="1551"/>
      <c r="PEW32" s="1551"/>
      <c r="PEX32" s="1551"/>
      <c r="PEY32" s="1551"/>
      <c r="PEZ32" s="1551"/>
      <c r="PFA32" s="1551"/>
      <c r="PFB32" s="1551"/>
      <c r="PFC32" s="1551"/>
      <c r="PFD32" s="1551"/>
      <c r="PFE32" s="1551"/>
      <c r="PFF32" s="1551"/>
      <c r="PFG32" s="1551"/>
      <c r="PFH32" s="1551"/>
      <c r="PFI32" s="1551"/>
      <c r="PFJ32" s="1551"/>
      <c r="PFK32" s="1551"/>
      <c r="PFL32" s="1551"/>
      <c r="PFM32" s="1551"/>
      <c r="PFN32" s="1551"/>
      <c r="PFO32" s="1551"/>
      <c r="PFP32" s="1551"/>
      <c r="PFQ32" s="1551"/>
      <c r="PFR32" s="1551"/>
      <c r="PFS32" s="1551"/>
      <c r="PFT32" s="1551"/>
      <c r="PFU32" s="1551"/>
      <c r="PFV32" s="1551"/>
      <c r="PFW32" s="1551"/>
      <c r="PFX32" s="1551"/>
      <c r="PFY32" s="1551"/>
      <c r="PFZ32" s="1551"/>
      <c r="PGA32" s="1551"/>
      <c r="PGB32" s="1551"/>
      <c r="PGC32" s="1551"/>
      <c r="PGD32" s="1551"/>
      <c r="PGE32" s="1551"/>
      <c r="PGF32" s="1551"/>
      <c r="PGG32" s="1551"/>
      <c r="PGH32" s="1551"/>
      <c r="PGI32" s="1551"/>
      <c r="PGJ32" s="1551"/>
      <c r="PGK32" s="1551"/>
      <c r="PGL32" s="1551"/>
      <c r="PGM32" s="1551"/>
      <c r="PGN32" s="1551"/>
      <c r="PGO32" s="1551"/>
      <c r="PGP32" s="1551"/>
      <c r="PGQ32" s="1551"/>
      <c r="PGR32" s="1551"/>
      <c r="PGS32" s="1551"/>
      <c r="PGT32" s="1551"/>
      <c r="PGU32" s="1551"/>
      <c r="PGV32" s="1551"/>
      <c r="PGW32" s="1551"/>
      <c r="PGX32" s="1551"/>
      <c r="PGY32" s="1551"/>
      <c r="PGZ32" s="1551"/>
      <c r="PHA32" s="1551"/>
      <c r="PHB32" s="1551"/>
      <c r="PHC32" s="1551"/>
      <c r="PHD32" s="1551"/>
      <c r="PHE32" s="1551"/>
      <c r="PHF32" s="1551"/>
      <c r="PHG32" s="1551"/>
      <c r="PHH32" s="1551"/>
      <c r="PHI32" s="1551"/>
      <c r="PHJ32" s="1551"/>
      <c r="PHK32" s="1551"/>
      <c r="PHL32" s="1551"/>
      <c r="PHM32" s="1551"/>
      <c r="PHN32" s="1551"/>
      <c r="PHO32" s="1551"/>
      <c r="PHP32" s="1551"/>
      <c r="PHQ32" s="1551"/>
      <c r="PHR32" s="1551"/>
      <c r="PHS32" s="1551"/>
      <c r="PHT32" s="1551"/>
      <c r="PHU32" s="1551"/>
      <c r="PHV32" s="1551"/>
      <c r="PHW32" s="1551"/>
      <c r="PHX32" s="1551"/>
      <c r="PHY32" s="1551"/>
      <c r="PHZ32" s="1551"/>
      <c r="PIA32" s="1551"/>
      <c r="PIB32" s="1551"/>
      <c r="PIC32" s="1551"/>
      <c r="PID32" s="1551"/>
      <c r="PIE32" s="1551"/>
      <c r="PIF32" s="1551"/>
      <c r="PIG32" s="1551"/>
      <c r="PIH32" s="1551"/>
      <c r="PII32" s="1551"/>
      <c r="PIJ32" s="1551"/>
      <c r="PIK32" s="1551"/>
      <c r="PIL32" s="1551"/>
      <c r="PIM32" s="1551"/>
      <c r="PIN32" s="1551"/>
      <c r="PIO32" s="1551"/>
      <c r="PIP32" s="1551"/>
      <c r="PIQ32" s="1551"/>
      <c r="PIR32" s="1551"/>
      <c r="PIS32" s="1551"/>
      <c r="PIT32" s="1551"/>
      <c r="PIU32" s="1551"/>
      <c r="PIV32" s="1551"/>
      <c r="PIW32" s="1551"/>
      <c r="PIX32" s="1551"/>
      <c r="PIY32" s="1551"/>
      <c r="PIZ32" s="1551"/>
      <c r="PJA32" s="1551"/>
      <c r="PJB32" s="1551"/>
      <c r="PJC32" s="1551"/>
      <c r="PJD32" s="1551"/>
      <c r="PJE32" s="1551"/>
      <c r="PJF32" s="1551"/>
      <c r="PJG32" s="1551"/>
      <c r="PJH32" s="1551"/>
      <c r="PJI32" s="1551"/>
      <c r="PJJ32" s="1551"/>
      <c r="PJK32" s="1551"/>
      <c r="PJL32" s="1551"/>
      <c r="PJM32" s="1551"/>
      <c r="PJN32" s="1551"/>
      <c r="PJO32" s="1551"/>
      <c r="PJP32" s="1551"/>
      <c r="PJQ32" s="1551"/>
      <c r="PJR32" s="1551"/>
      <c r="PJS32" s="1551"/>
      <c r="PJT32" s="1551"/>
      <c r="PJU32" s="1551"/>
      <c r="PJV32" s="1551"/>
      <c r="PJW32" s="1551"/>
      <c r="PJX32" s="1551"/>
      <c r="PJY32" s="1551"/>
      <c r="PJZ32" s="1551"/>
      <c r="PKA32" s="1551"/>
      <c r="PKB32" s="1551"/>
      <c r="PKC32" s="1551"/>
      <c r="PKD32" s="1551"/>
      <c r="PKE32" s="1551"/>
      <c r="PKF32" s="1551"/>
      <c r="PKG32" s="1551"/>
      <c r="PKH32" s="1551"/>
      <c r="PKI32" s="1551"/>
      <c r="PKJ32" s="1551"/>
      <c r="PKK32" s="1551"/>
      <c r="PKL32" s="1551"/>
      <c r="PKM32" s="1551"/>
      <c r="PKN32" s="1551"/>
      <c r="PKO32" s="1551"/>
      <c r="PKP32" s="1551"/>
      <c r="PKQ32" s="1551"/>
      <c r="PKR32" s="1551"/>
      <c r="PKS32" s="1551"/>
      <c r="PKT32" s="1551"/>
      <c r="PKU32" s="1551"/>
      <c r="PKV32" s="1551"/>
      <c r="PKW32" s="1551"/>
      <c r="PKX32" s="1551"/>
      <c r="PKY32" s="1551"/>
      <c r="PKZ32" s="1551"/>
      <c r="PLA32" s="1551"/>
      <c r="PLB32" s="1551"/>
      <c r="PLC32" s="1551"/>
      <c r="PLD32" s="1551"/>
      <c r="PLE32" s="1551"/>
      <c r="PLF32" s="1551"/>
      <c r="PLG32" s="1551"/>
      <c r="PLH32" s="1551"/>
      <c r="PLI32" s="1551"/>
      <c r="PLJ32" s="1551"/>
      <c r="PLK32" s="1551"/>
      <c r="PLL32" s="1551"/>
      <c r="PLM32" s="1551"/>
      <c r="PLN32" s="1551"/>
      <c r="PLO32" s="1551"/>
      <c r="PLP32" s="1551"/>
      <c r="PLQ32" s="1551"/>
      <c r="PLR32" s="1551"/>
      <c r="PLS32" s="1551"/>
      <c r="PLT32" s="1551"/>
      <c r="PLU32" s="1551"/>
      <c r="PLV32" s="1551"/>
      <c r="PLW32" s="1551"/>
      <c r="PLX32" s="1551"/>
      <c r="PLY32" s="1551"/>
      <c r="PLZ32" s="1551"/>
      <c r="PMA32" s="1551"/>
      <c r="PMB32" s="1551"/>
      <c r="PMC32" s="1551"/>
      <c r="PMD32" s="1551"/>
      <c r="PME32" s="1551"/>
      <c r="PMF32" s="1551"/>
      <c r="PMG32" s="1551"/>
      <c r="PMH32" s="1551"/>
      <c r="PMI32" s="1551"/>
      <c r="PMJ32" s="1551"/>
      <c r="PMK32" s="1551"/>
      <c r="PML32" s="1551"/>
      <c r="PMM32" s="1551"/>
      <c r="PMN32" s="1551"/>
      <c r="PMO32" s="1551"/>
      <c r="PMP32" s="1551"/>
      <c r="PMQ32" s="1551"/>
      <c r="PMR32" s="1551"/>
      <c r="PMS32" s="1551"/>
      <c r="PMT32" s="1551"/>
      <c r="PMU32" s="1551"/>
      <c r="PMV32" s="1551"/>
      <c r="PMW32" s="1551"/>
      <c r="PMX32" s="1551"/>
      <c r="PMY32" s="1551"/>
      <c r="PMZ32" s="1551"/>
      <c r="PNA32" s="1551"/>
      <c r="PNB32" s="1551"/>
      <c r="PNC32" s="1551"/>
      <c r="PND32" s="1551"/>
      <c r="PNE32" s="1551"/>
      <c r="PNF32" s="1551"/>
      <c r="PNG32" s="1551"/>
      <c r="PNH32" s="1551"/>
      <c r="PNI32" s="1551"/>
      <c r="PNJ32" s="1551"/>
      <c r="PNK32" s="1551"/>
      <c r="PNL32" s="1551"/>
      <c r="PNM32" s="1551"/>
      <c r="PNN32" s="1551"/>
      <c r="PNO32" s="1551"/>
      <c r="PNP32" s="1551"/>
      <c r="PNQ32" s="1551"/>
      <c r="PNR32" s="1551"/>
      <c r="PNS32" s="1551"/>
      <c r="PNT32" s="1551"/>
      <c r="PNU32" s="1551"/>
      <c r="PNV32" s="1551"/>
      <c r="PNW32" s="1551"/>
      <c r="PNX32" s="1551"/>
      <c r="PNY32" s="1551"/>
      <c r="PNZ32" s="1551"/>
      <c r="POA32" s="1551"/>
      <c r="POB32" s="1551"/>
      <c r="POC32" s="1551"/>
      <c r="POD32" s="1551"/>
      <c r="POE32" s="1551"/>
      <c r="POF32" s="1551"/>
      <c r="POG32" s="1551"/>
      <c r="POH32" s="1551"/>
      <c r="POI32" s="1551"/>
      <c r="POJ32" s="1551"/>
      <c r="POK32" s="1551"/>
      <c r="POL32" s="1551"/>
      <c r="POM32" s="1551"/>
      <c r="PON32" s="1551"/>
      <c r="POO32" s="1551"/>
      <c r="POP32" s="1551"/>
      <c r="POQ32" s="1551"/>
      <c r="POR32" s="1551"/>
      <c r="POS32" s="1551"/>
      <c r="POT32" s="1551"/>
      <c r="POU32" s="1551"/>
      <c r="POV32" s="1551"/>
      <c r="POW32" s="1551"/>
      <c r="POX32" s="1551"/>
      <c r="POY32" s="1551"/>
      <c r="POZ32" s="1551"/>
      <c r="PPA32" s="1551"/>
      <c r="PPB32" s="1551"/>
      <c r="PPC32" s="1551"/>
      <c r="PPD32" s="1551"/>
      <c r="PPE32" s="1551"/>
      <c r="PPF32" s="1551"/>
      <c r="PPG32" s="1551"/>
      <c r="PPH32" s="1551"/>
      <c r="PPI32" s="1551"/>
      <c r="PPJ32" s="1551"/>
      <c r="PPK32" s="1551"/>
      <c r="PPL32" s="1551"/>
      <c r="PPM32" s="1551"/>
      <c r="PPN32" s="1551"/>
      <c r="PPO32" s="1551"/>
      <c r="PPP32" s="1551"/>
      <c r="PPQ32" s="1551"/>
      <c r="PPR32" s="1551"/>
      <c r="PPS32" s="1551"/>
      <c r="PPT32" s="1551"/>
      <c r="PPU32" s="1551"/>
      <c r="PPV32" s="1551"/>
      <c r="PPW32" s="1551"/>
      <c r="PPX32" s="1551"/>
      <c r="PPY32" s="1551"/>
      <c r="PPZ32" s="1551"/>
      <c r="PQA32" s="1551"/>
      <c r="PQB32" s="1551"/>
      <c r="PQC32" s="1551"/>
      <c r="PQD32" s="1551"/>
      <c r="PQE32" s="1551"/>
      <c r="PQF32" s="1551"/>
      <c r="PQG32" s="1551"/>
      <c r="PQH32" s="1551"/>
      <c r="PQI32" s="1551"/>
      <c r="PQJ32" s="1551"/>
      <c r="PQK32" s="1551"/>
      <c r="PQL32" s="1551"/>
      <c r="PQM32" s="1551"/>
      <c r="PQN32" s="1551"/>
      <c r="PQO32" s="1551"/>
      <c r="PQP32" s="1551"/>
      <c r="PQQ32" s="1551"/>
      <c r="PQR32" s="1551"/>
      <c r="PQS32" s="1551"/>
      <c r="PQT32" s="1551"/>
      <c r="PQU32" s="1551"/>
      <c r="PQV32" s="1551"/>
      <c r="PQW32" s="1551"/>
      <c r="PQX32" s="1551"/>
      <c r="PQY32" s="1551"/>
      <c r="PQZ32" s="1551"/>
      <c r="PRA32" s="1551"/>
      <c r="PRB32" s="1551"/>
      <c r="PRC32" s="1551"/>
      <c r="PRD32" s="1551"/>
      <c r="PRE32" s="1551"/>
      <c r="PRF32" s="1551"/>
      <c r="PRG32" s="1551"/>
      <c r="PRH32" s="1551"/>
      <c r="PRI32" s="1551"/>
      <c r="PRJ32" s="1551"/>
      <c r="PRK32" s="1551"/>
      <c r="PRL32" s="1551"/>
      <c r="PRM32" s="1551"/>
      <c r="PRN32" s="1551"/>
      <c r="PRO32" s="1551"/>
      <c r="PRP32" s="1551"/>
      <c r="PRQ32" s="1551"/>
      <c r="PRR32" s="1551"/>
      <c r="PRS32" s="1551"/>
      <c r="PRT32" s="1551"/>
      <c r="PRU32" s="1551"/>
      <c r="PRV32" s="1551"/>
      <c r="PRW32" s="1551"/>
      <c r="PRX32" s="1551"/>
      <c r="PRY32" s="1551"/>
      <c r="PRZ32" s="1551"/>
      <c r="PSA32" s="1551"/>
      <c r="PSB32" s="1551"/>
      <c r="PSC32" s="1551"/>
      <c r="PSD32" s="1551"/>
      <c r="PSE32" s="1551"/>
      <c r="PSF32" s="1551"/>
      <c r="PSG32" s="1551"/>
      <c r="PSH32" s="1551"/>
      <c r="PSI32" s="1551"/>
      <c r="PSJ32" s="1551"/>
      <c r="PSK32" s="1551"/>
      <c r="PSL32" s="1551"/>
      <c r="PSM32" s="1551"/>
      <c r="PSN32" s="1551"/>
      <c r="PSO32" s="1551"/>
      <c r="PSP32" s="1551"/>
      <c r="PSQ32" s="1551"/>
      <c r="PSR32" s="1551"/>
      <c r="PSS32" s="1551"/>
      <c r="PST32" s="1551"/>
      <c r="PSU32" s="1551"/>
      <c r="PSV32" s="1551"/>
      <c r="PSW32" s="1551"/>
      <c r="PSX32" s="1551"/>
      <c r="PSY32" s="1551"/>
      <c r="PSZ32" s="1551"/>
      <c r="PTA32" s="1551"/>
      <c r="PTB32" s="1551"/>
      <c r="PTC32" s="1551"/>
      <c r="PTD32" s="1551"/>
      <c r="PTE32" s="1551"/>
      <c r="PTF32" s="1551"/>
      <c r="PTG32" s="1551"/>
      <c r="PTH32" s="1551"/>
      <c r="PTI32" s="1551"/>
      <c r="PTJ32" s="1551"/>
      <c r="PTK32" s="1551"/>
      <c r="PTL32" s="1551"/>
      <c r="PTM32" s="1551"/>
      <c r="PTN32" s="1551"/>
      <c r="PTO32" s="1551"/>
      <c r="PTP32" s="1551"/>
      <c r="PTQ32" s="1551"/>
      <c r="PTR32" s="1551"/>
      <c r="PTS32" s="1551"/>
      <c r="PTT32" s="1551"/>
      <c r="PTU32" s="1551"/>
      <c r="PTV32" s="1551"/>
      <c r="PTW32" s="1551"/>
      <c r="PTX32" s="1551"/>
      <c r="PTY32" s="1551"/>
      <c r="PTZ32" s="1551"/>
      <c r="PUA32" s="1551"/>
      <c r="PUB32" s="1551"/>
      <c r="PUC32" s="1551"/>
      <c r="PUD32" s="1551"/>
      <c r="PUE32" s="1551"/>
      <c r="PUF32" s="1551"/>
      <c r="PUG32" s="1551"/>
      <c r="PUH32" s="1551"/>
      <c r="PUI32" s="1551"/>
      <c r="PUJ32" s="1551"/>
      <c r="PUK32" s="1551"/>
      <c r="PUL32" s="1551"/>
      <c r="PUM32" s="1551"/>
      <c r="PUN32" s="1551"/>
      <c r="PUO32" s="1551"/>
      <c r="PUP32" s="1551"/>
      <c r="PUQ32" s="1551"/>
      <c r="PUR32" s="1551"/>
      <c r="PUS32" s="1551"/>
      <c r="PUT32" s="1551"/>
      <c r="PUU32" s="1551"/>
      <c r="PUV32" s="1551"/>
      <c r="PUW32" s="1551"/>
      <c r="PUX32" s="1551"/>
      <c r="PUY32" s="1551"/>
      <c r="PUZ32" s="1551"/>
      <c r="PVA32" s="1551"/>
      <c r="PVB32" s="1551"/>
      <c r="PVC32" s="1551"/>
      <c r="PVD32" s="1551"/>
      <c r="PVE32" s="1551"/>
      <c r="PVF32" s="1551"/>
      <c r="PVG32" s="1551"/>
      <c r="PVH32" s="1551"/>
      <c r="PVI32" s="1551"/>
      <c r="PVJ32" s="1551"/>
      <c r="PVK32" s="1551"/>
      <c r="PVL32" s="1551"/>
      <c r="PVM32" s="1551"/>
      <c r="PVN32" s="1551"/>
      <c r="PVO32" s="1551"/>
      <c r="PVP32" s="1551"/>
      <c r="PVQ32" s="1551"/>
      <c r="PVR32" s="1551"/>
      <c r="PVS32" s="1551"/>
      <c r="PVT32" s="1551"/>
      <c r="PVU32" s="1551"/>
      <c r="PVV32" s="1551"/>
      <c r="PVW32" s="1551"/>
      <c r="PVX32" s="1551"/>
      <c r="PVY32" s="1551"/>
      <c r="PVZ32" s="1551"/>
      <c r="PWA32" s="1551"/>
      <c r="PWB32" s="1551"/>
      <c r="PWC32" s="1551"/>
      <c r="PWD32" s="1551"/>
      <c r="PWE32" s="1551"/>
      <c r="PWF32" s="1551"/>
      <c r="PWG32" s="1551"/>
      <c r="PWH32" s="1551"/>
      <c r="PWI32" s="1551"/>
      <c r="PWJ32" s="1551"/>
      <c r="PWK32" s="1551"/>
      <c r="PWL32" s="1551"/>
      <c r="PWM32" s="1551"/>
      <c r="PWN32" s="1551"/>
      <c r="PWO32" s="1551"/>
      <c r="PWP32" s="1551"/>
      <c r="PWQ32" s="1551"/>
      <c r="PWR32" s="1551"/>
      <c r="PWS32" s="1551"/>
      <c r="PWT32" s="1551"/>
      <c r="PWU32" s="1551"/>
      <c r="PWV32" s="1551"/>
      <c r="PWW32" s="1551"/>
      <c r="PWX32" s="1551"/>
      <c r="PWY32" s="1551"/>
      <c r="PWZ32" s="1551"/>
      <c r="PXA32" s="1551"/>
      <c r="PXB32" s="1551"/>
      <c r="PXC32" s="1551"/>
      <c r="PXD32" s="1551"/>
      <c r="PXE32" s="1551"/>
      <c r="PXF32" s="1551"/>
      <c r="PXG32" s="1551"/>
      <c r="PXH32" s="1551"/>
      <c r="PXI32" s="1551"/>
      <c r="PXJ32" s="1551"/>
      <c r="PXK32" s="1551"/>
      <c r="PXL32" s="1551"/>
      <c r="PXM32" s="1551"/>
      <c r="PXN32" s="1551"/>
      <c r="PXO32" s="1551"/>
      <c r="PXP32" s="1551"/>
      <c r="PXQ32" s="1551"/>
      <c r="PXR32" s="1551"/>
      <c r="PXS32" s="1551"/>
      <c r="PXT32" s="1551"/>
      <c r="PXU32" s="1551"/>
      <c r="PXV32" s="1551"/>
      <c r="PXW32" s="1551"/>
      <c r="PXX32" s="1551"/>
      <c r="PXY32" s="1551"/>
      <c r="PXZ32" s="1551"/>
      <c r="PYA32" s="1551"/>
      <c r="PYB32" s="1551"/>
      <c r="PYC32" s="1551"/>
      <c r="PYD32" s="1551"/>
      <c r="PYE32" s="1551"/>
      <c r="PYF32" s="1551"/>
      <c r="PYG32" s="1551"/>
      <c r="PYH32" s="1551"/>
      <c r="PYI32" s="1551"/>
      <c r="PYJ32" s="1551"/>
      <c r="PYK32" s="1551"/>
      <c r="PYL32" s="1551"/>
      <c r="PYM32" s="1551"/>
      <c r="PYN32" s="1551"/>
      <c r="PYO32" s="1551"/>
      <c r="PYP32" s="1551"/>
      <c r="PYQ32" s="1551"/>
      <c r="PYR32" s="1551"/>
      <c r="PYS32" s="1551"/>
      <c r="PYT32" s="1551"/>
      <c r="PYU32" s="1551"/>
      <c r="PYV32" s="1551"/>
      <c r="PYW32" s="1551"/>
      <c r="PYX32" s="1551"/>
      <c r="PYY32" s="1551"/>
      <c r="PYZ32" s="1551"/>
      <c r="PZA32" s="1551"/>
      <c r="PZB32" s="1551"/>
      <c r="PZC32" s="1551"/>
      <c r="PZD32" s="1551"/>
      <c r="PZE32" s="1551"/>
      <c r="PZF32" s="1551"/>
      <c r="PZG32" s="1551"/>
      <c r="PZH32" s="1551"/>
      <c r="PZI32" s="1551"/>
      <c r="PZJ32" s="1551"/>
      <c r="PZK32" s="1551"/>
      <c r="PZL32" s="1551"/>
      <c r="PZM32" s="1551"/>
      <c r="PZN32" s="1551"/>
      <c r="PZO32" s="1551"/>
      <c r="PZP32" s="1551"/>
      <c r="PZQ32" s="1551"/>
      <c r="PZR32" s="1551"/>
      <c r="PZS32" s="1551"/>
      <c r="PZT32" s="1551"/>
      <c r="PZU32" s="1551"/>
      <c r="PZV32" s="1551"/>
      <c r="PZW32" s="1551"/>
      <c r="PZX32" s="1551"/>
      <c r="PZY32" s="1551"/>
      <c r="PZZ32" s="1551"/>
      <c r="QAA32" s="1551"/>
      <c r="QAB32" s="1551"/>
      <c r="QAC32" s="1551"/>
      <c r="QAD32" s="1551"/>
      <c r="QAE32" s="1551"/>
      <c r="QAF32" s="1551"/>
      <c r="QAG32" s="1551"/>
      <c r="QAH32" s="1551"/>
      <c r="QAI32" s="1551"/>
      <c r="QAJ32" s="1551"/>
      <c r="QAK32" s="1551"/>
      <c r="QAL32" s="1551"/>
      <c r="QAM32" s="1551"/>
      <c r="QAN32" s="1551"/>
      <c r="QAO32" s="1551"/>
      <c r="QAP32" s="1551"/>
      <c r="QAQ32" s="1551"/>
      <c r="QAR32" s="1551"/>
      <c r="QAS32" s="1551"/>
      <c r="QAT32" s="1551"/>
      <c r="QAU32" s="1551"/>
      <c r="QAV32" s="1551"/>
      <c r="QAW32" s="1551"/>
      <c r="QAX32" s="1551"/>
      <c r="QAY32" s="1551"/>
      <c r="QAZ32" s="1551"/>
      <c r="QBA32" s="1551"/>
      <c r="QBB32" s="1551"/>
      <c r="QBC32" s="1551"/>
      <c r="QBD32" s="1551"/>
      <c r="QBE32" s="1551"/>
      <c r="QBF32" s="1551"/>
      <c r="QBG32" s="1551"/>
      <c r="QBH32" s="1551"/>
      <c r="QBI32" s="1551"/>
      <c r="QBJ32" s="1551"/>
      <c r="QBK32" s="1551"/>
      <c r="QBL32" s="1551"/>
      <c r="QBM32" s="1551"/>
      <c r="QBN32" s="1551"/>
      <c r="QBO32" s="1551"/>
      <c r="QBP32" s="1551"/>
      <c r="QBQ32" s="1551"/>
      <c r="QBR32" s="1551"/>
      <c r="QBS32" s="1551"/>
      <c r="QBT32" s="1551"/>
      <c r="QBU32" s="1551"/>
      <c r="QBV32" s="1551"/>
      <c r="QBW32" s="1551"/>
      <c r="QBX32" s="1551"/>
      <c r="QBY32" s="1551"/>
      <c r="QBZ32" s="1551"/>
      <c r="QCA32" s="1551"/>
      <c r="QCB32" s="1551"/>
      <c r="QCC32" s="1551"/>
      <c r="QCD32" s="1551"/>
      <c r="QCE32" s="1551"/>
      <c r="QCF32" s="1551"/>
      <c r="QCG32" s="1551"/>
      <c r="QCH32" s="1551"/>
      <c r="QCI32" s="1551"/>
      <c r="QCJ32" s="1551"/>
      <c r="QCK32" s="1551"/>
      <c r="QCL32" s="1551"/>
      <c r="QCM32" s="1551"/>
      <c r="QCN32" s="1551"/>
      <c r="QCO32" s="1551"/>
      <c r="QCP32" s="1551"/>
      <c r="QCQ32" s="1551"/>
      <c r="QCR32" s="1551"/>
      <c r="QCS32" s="1551"/>
      <c r="QCT32" s="1551"/>
      <c r="QCU32" s="1551"/>
      <c r="QCV32" s="1551"/>
      <c r="QCW32" s="1551"/>
      <c r="QCX32" s="1551"/>
      <c r="QCY32" s="1551"/>
      <c r="QCZ32" s="1551"/>
      <c r="QDA32" s="1551"/>
      <c r="QDB32" s="1551"/>
      <c r="QDC32" s="1551"/>
      <c r="QDD32" s="1551"/>
      <c r="QDE32" s="1551"/>
      <c r="QDF32" s="1551"/>
      <c r="QDG32" s="1551"/>
      <c r="QDH32" s="1551"/>
      <c r="QDI32" s="1551"/>
      <c r="QDJ32" s="1551"/>
      <c r="QDK32" s="1551"/>
      <c r="QDL32" s="1551"/>
      <c r="QDM32" s="1551"/>
      <c r="QDN32" s="1551"/>
      <c r="QDO32" s="1551"/>
      <c r="QDP32" s="1551"/>
      <c r="QDQ32" s="1551"/>
      <c r="QDR32" s="1551"/>
      <c r="QDS32" s="1551"/>
      <c r="QDT32" s="1551"/>
      <c r="QDU32" s="1551"/>
      <c r="QDV32" s="1551"/>
      <c r="QDW32" s="1551"/>
      <c r="QDX32" s="1551"/>
      <c r="QDY32" s="1551"/>
      <c r="QDZ32" s="1551"/>
      <c r="QEA32" s="1551"/>
      <c r="QEB32" s="1551"/>
      <c r="QEC32" s="1551"/>
      <c r="QED32" s="1551"/>
      <c r="QEE32" s="1551"/>
      <c r="QEF32" s="1551"/>
      <c r="QEG32" s="1551"/>
      <c r="QEH32" s="1551"/>
      <c r="QEI32" s="1551"/>
      <c r="QEJ32" s="1551"/>
      <c r="QEK32" s="1551"/>
      <c r="QEL32" s="1551"/>
      <c r="QEM32" s="1551"/>
      <c r="QEN32" s="1551"/>
      <c r="QEO32" s="1551"/>
      <c r="QEP32" s="1551"/>
      <c r="QEQ32" s="1551"/>
      <c r="QER32" s="1551"/>
      <c r="QES32" s="1551"/>
      <c r="QET32" s="1551"/>
      <c r="QEU32" s="1551"/>
      <c r="QEV32" s="1551"/>
      <c r="QEW32" s="1551"/>
      <c r="QEX32" s="1551"/>
      <c r="QEY32" s="1551"/>
      <c r="QEZ32" s="1551"/>
      <c r="QFA32" s="1551"/>
      <c r="QFB32" s="1551"/>
      <c r="QFC32" s="1551"/>
      <c r="QFD32" s="1551"/>
      <c r="QFE32" s="1551"/>
      <c r="QFF32" s="1551"/>
      <c r="QFG32" s="1551"/>
      <c r="QFH32" s="1551"/>
      <c r="QFI32" s="1551"/>
      <c r="QFJ32" s="1551"/>
      <c r="QFK32" s="1551"/>
      <c r="QFL32" s="1551"/>
      <c r="QFM32" s="1551"/>
      <c r="QFN32" s="1551"/>
      <c r="QFO32" s="1551"/>
      <c r="QFP32" s="1551"/>
      <c r="QFQ32" s="1551"/>
      <c r="QFR32" s="1551"/>
      <c r="QFS32" s="1551"/>
      <c r="QFT32" s="1551"/>
      <c r="QFU32" s="1551"/>
      <c r="QFV32" s="1551"/>
      <c r="QFW32" s="1551"/>
      <c r="QFX32" s="1551"/>
      <c r="QFY32" s="1551"/>
      <c r="QFZ32" s="1551"/>
      <c r="QGA32" s="1551"/>
      <c r="QGB32" s="1551"/>
      <c r="QGC32" s="1551"/>
      <c r="QGD32" s="1551"/>
      <c r="QGE32" s="1551"/>
      <c r="QGF32" s="1551"/>
      <c r="QGG32" s="1551"/>
      <c r="QGH32" s="1551"/>
      <c r="QGI32" s="1551"/>
      <c r="QGJ32" s="1551"/>
      <c r="QGK32" s="1551"/>
      <c r="QGL32" s="1551"/>
      <c r="QGM32" s="1551"/>
      <c r="QGN32" s="1551"/>
      <c r="QGO32" s="1551"/>
      <c r="QGP32" s="1551"/>
      <c r="QGQ32" s="1551"/>
      <c r="QGR32" s="1551"/>
      <c r="QGS32" s="1551"/>
      <c r="QGT32" s="1551"/>
      <c r="QGU32" s="1551"/>
      <c r="QGV32" s="1551"/>
      <c r="QGW32" s="1551"/>
      <c r="QGX32" s="1551"/>
      <c r="QGY32" s="1551"/>
      <c r="QGZ32" s="1551"/>
      <c r="QHA32" s="1551"/>
      <c r="QHB32" s="1551"/>
      <c r="QHC32" s="1551"/>
      <c r="QHD32" s="1551"/>
      <c r="QHE32" s="1551"/>
      <c r="QHF32" s="1551"/>
      <c r="QHG32" s="1551"/>
      <c r="QHH32" s="1551"/>
      <c r="QHI32" s="1551"/>
      <c r="QHJ32" s="1551"/>
      <c r="QHK32" s="1551"/>
      <c r="QHL32" s="1551"/>
      <c r="QHM32" s="1551"/>
      <c r="QHN32" s="1551"/>
      <c r="QHO32" s="1551"/>
      <c r="QHP32" s="1551"/>
      <c r="QHQ32" s="1551"/>
      <c r="QHR32" s="1551"/>
      <c r="QHS32" s="1551"/>
      <c r="QHT32" s="1551"/>
      <c r="QHU32" s="1551"/>
      <c r="QHV32" s="1551"/>
      <c r="QHW32" s="1551"/>
      <c r="QHX32" s="1551"/>
      <c r="QHY32" s="1551"/>
      <c r="QHZ32" s="1551"/>
      <c r="QIA32" s="1551"/>
      <c r="QIB32" s="1551"/>
      <c r="QIC32" s="1551"/>
      <c r="QID32" s="1551"/>
      <c r="QIE32" s="1551"/>
      <c r="QIF32" s="1551"/>
      <c r="QIG32" s="1551"/>
      <c r="QIH32" s="1551"/>
      <c r="QII32" s="1551"/>
      <c r="QIJ32" s="1551"/>
      <c r="QIK32" s="1551"/>
      <c r="QIL32" s="1551"/>
      <c r="QIM32" s="1551"/>
      <c r="QIN32" s="1551"/>
      <c r="QIO32" s="1551"/>
      <c r="QIP32" s="1551"/>
      <c r="QIQ32" s="1551"/>
      <c r="QIR32" s="1551"/>
      <c r="QIS32" s="1551"/>
      <c r="QIT32" s="1551"/>
      <c r="QIU32" s="1551"/>
      <c r="QIV32" s="1551"/>
      <c r="QIW32" s="1551"/>
      <c r="QIX32" s="1551"/>
      <c r="QIY32" s="1551"/>
      <c r="QIZ32" s="1551"/>
      <c r="QJA32" s="1551"/>
      <c r="QJB32" s="1551"/>
      <c r="QJC32" s="1551"/>
      <c r="QJD32" s="1551"/>
      <c r="QJE32" s="1551"/>
      <c r="QJF32" s="1551"/>
      <c r="QJG32" s="1551"/>
      <c r="QJH32" s="1551"/>
      <c r="QJI32" s="1551"/>
      <c r="QJJ32" s="1551"/>
      <c r="QJK32" s="1551"/>
      <c r="QJL32" s="1551"/>
      <c r="QJM32" s="1551"/>
      <c r="QJN32" s="1551"/>
      <c r="QJO32" s="1551"/>
      <c r="QJP32" s="1551"/>
      <c r="QJQ32" s="1551"/>
      <c r="QJR32" s="1551"/>
      <c r="QJS32" s="1551"/>
      <c r="QJT32" s="1551"/>
      <c r="QJU32" s="1551"/>
      <c r="QJV32" s="1551"/>
      <c r="QJW32" s="1551"/>
      <c r="QJX32" s="1551"/>
      <c r="QJY32" s="1551"/>
      <c r="QJZ32" s="1551"/>
      <c r="QKA32" s="1551"/>
      <c r="QKB32" s="1551"/>
      <c r="QKC32" s="1551"/>
      <c r="QKD32" s="1551"/>
      <c r="QKE32" s="1551"/>
      <c r="QKF32" s="1551"/>
      <c r="QKG32" s="1551"/>
      <c r="QKH32" s="1551"/>
      <c r="QKI32" s="1551"/>
      <c r="QKJ32" s="1551"/>
      <c r="QKK32" s="1551"/>
      <c r="QKL32" s="1551"/>
      <c r="QKM32" s="1551"/>
      <c r="QKN32" s="1551"/>
      <c r="QKO32" s="1551"/>
      <c r="QKP32" s="1551"/>
      <c r="QKQ32" s="1551"/>
      <c r="QKR32" s="1551"/>
      <c r="QKS32" s="1551"/>
      <c r="QKT32" s="1551"/>
      <c r="QKU32" s="1551"/>
      <c r="QKV32" s="1551"/>
      <c r="QKW32" s="1551"/>
      <c r="QKX32" s="1551"/>
      <c r="QKY32" s="1551"/>
      <c r="QKZ32" s="1551"/>
      <c r="QLA32" s="1551"/>
      <c r="QLB32" s="1551"/>
      <c r="QLC32" s="1551"/>
      <c r="QLD32" s="1551"/>
      <c r="QLE32" s="1551"/>
      <c r="QLF32" s="1551"/>
      <c r="QLG32" s="1551"/>
      <c r="QLH32" s="1551"/>
      <c r="QLI32" s="1551"/>
      <c r="QLJ32" s="1551"/>
      <c r="QLK32" s="1551"/>
      <c r="QLL32" s="1551"/>
      <c r="QLM32" s="1551"/>
      <c r="QLN32" s="1551"/>
      <c r="QLO32" s="1551"/>
      <c r="QLP32" s="1551"/>
      <c r="QLQ32" s="1551"/>
      <c r="QLR32" s="1551"/>
      <c r="QLS32" s="1551"/>
      <c r="QLT32" s="1551"/>
      <c r="QLU32" s="1551"/>
      <c r="QLV32" s="1551"/>
      <c r="QLW32" s="1551"/>
      <c r="QLX32" s="1551"/>
      <c r="QLY32" s="1551"/>
      <c r="QLZ32" s="1551"/>
      <c r="QMA32" s="1551"/>
      <c r="QMB32" s="1551"/>
      <c r="QMC32" s="1551"/>
      <c r="QMD32" s="1551"/>
      <c r="QME32" s="1551"/>
      <c r="QMF32" s="1551"/>
      <c r="QMG32" s="1551"/>
      <c r="QMH32" s="1551"/>
      <c r="QMI32" s="1551"/>
      <c r="QMJ32" s="1551"/>
      <c r="QMK32" s="1551"/>
      <c r="QML32" s="1551"/>
      <c r="QMM32" s="1551"/>
      <c r="QMN32" s="1551"/>
      <c r="QMO32" s="1551"/>
      <c r="QMP32" s="1551"/>
      <c r="QMQ32" s="1551"/>
      <c r="QMR32" s="1551"/>
      <c r="QMS32" s="1551"/>
      <c r="QMT32" s="1551"/>
      <c r="QMU32" s="1551"/>
      <c r="QMV32" s="1551"/>
      <c r="QMW32" s="1551"/>
      <c r="QMX32" s="1551"/>
      <c r="QMY32" s="1551"/>
      <c r="QMZ32" s="1551"/>
      <c r="QNA32" s="1551"/>
      <c r="QNB32" s="1551"/>
      <c r="QNC32" s="1551"/>
      <c r="QND32" s="1551"/>
      <c r="QNE32" s="1551"/>
      <c r="QNF32" s="1551"/>
      <c r="QNG32" s="1551"/>
      <c r="QNH32" s="1551"/>
      <c r="QNI32" s="1551"/>
      <c r="QNJ32" s="1551"/>
      <c r="QNK32" s="1551"/>
      <c r="QNL32" s="1551"/>
      <c r="QNM32" s="1551"/>
      <c r="QNN32" s="1551"/>
      <c r="QNO32" s="1551"/>
      <c r="QNP32" s="1551"/>
      <c r="QNQ32" s="1551"/>
      <c r="QNR32" s="1551"/>
      <c r="QNS32" s="1551"/>
      <c r="QNT32" s="1551"/>
      <c r="QNU32" s="1551"/>
      <c r="QNV32" s="1551"/>
      <c r="QNW32" s="1551"/>
      <c r="QNX32" s="1551"/>
      <c r="QNY32" s="1551"/>
      <c r="QNZ32" s="1551"/>
      <c r="QOA32" s="1551"/>
      <c r="QOB32" s="1551"/>
      <c r="QOC32" s="1551"/>
      <c r="QOD32" s="1551"/>
      <c r="QOE32" s="1551"/>
      <c r="QOF32" s="1551"/>
      <c r="QOG32" s="1551"/>
      <c r="QOH32" s="1551"/>
      <c r="QOI32" s="1551"/>
      <c r="QOJ32" s="1551"/>
      <c r="QOK32" s="1551"/>
      <c r="QOL32" s="1551"/>
      <c r="QOM32" s="1551"/>
      <c r="QON32" s="1551"/>
      <c r="QOO32" s="1551"/>
      <c r="QOP32" s="1551"/>
      <c r="QOQ32" s="1551"/>
      <c r="QOR32" s="1551"/>
      <c r="QOS32" s="1551"/>
      <c r="QOT32" s="1551"/>
      <c r="QOU32" s="1551"/>
      <c r="QOV32" s="1551"/>
      <c r="QOW32" s="1551"/>
      <c r="QOX32" s="1551"/>
      <c r="QOY32" s="1551"/>
      <c r="QOZ32" s="1551"/>
      <c r="QPA32" s="1551"/>
      <c r="QPB32" s="1551"/>
      <c r="QPC32" s="1551"/>
      <c r="QPD32" s="1551"/>
      <c r="QPE32" s="1551"/>
      <c r="QPF32" s="1551"/>
      <c r="QPG32" s="1551"/>
      <c r="QPH32" s="1551"/>
      <c r="QPI32" s="1551"/>
      <c r="QPJ32" s="1551"/>
      <c r="QPK32" s="1551"/>
      <c r="QPL32" s="1551"/>
      <c r="QPM32" s="1551"/>
      <c r="QPN32" s="1551"/>
      <c r="QPO32" s="1551"/>
      <c r="QPP32" s="1551"/>
      <c r="QPQ32" s="1551"/>
      <c r="QPR32" s="1551"/>
      <c r="QPS32" s="1551"/>
      <c r="QPT32" s="1551"/>
      <c r="QPU32" s="1551"/>
      <c r="QPV32" s="1551"/>
      <c r="QPW32" s="1551"/>
      <c r="QPX32" s="1551"/>
      <c r="QPY32" s="1551"/>
      <c r="QPZ32" s="1551"/>
      <c r="QQA32" s="1551"/>
      <c r="QQB32" s="1551"/>
      <c r="QQC32" s="1551"/>
      <c r="QQD32" s="1551"/>
      <c r="QQE32" s="1551"/>
      <c r="QQF32" s="1551"/>
      <c r="QQG32" s="1551"/>
      <c r="QQH32" s="1551"/>
      <c r="QQI32" s="1551"/>
      <c r="QQJ32" s="1551"/>
      <c r="QQK32" s="1551"/>
      <c r="QQL32" s="1551"/>
      <c r="QQM32" s="1551"/>
      <c r="QQN32" s="1551"/>
      <c r="QQO32" s="1551"/>
      <c r="QQP32" s="1551"/>
      <c r="QQQ32" s="1551"/>
      <c r="QQR32" s="1551"/>
      <c r="QQS32" s="1551"/>
      <c r="QQT32" s="1551"/>
      <c r="QQU32" s="1551"/>
      <c r="QQV32" s="1551"/>
      <c r="QQW32" s="1551"/>
      <c r="QQX32" s="1551"/>
      <c r="QQY32" s="1551"/>
      <c r="QQZ32" s="1551"/>
      <c r="QRA32" s="1551"/>
      <c r="QRB32" s="1551"/>
      <c r="QRC32" s="1551"/>
      <c r="QRD32" s="1551"/>
      <c r="QRE32" s="1551"/>
      <c r="QRF32" s="1551"/>
      <c r="QRG32" s="1551"/>
      <c r="QRH32" s="1551"/>
      <c r="QRI32" s="1551"/>
      <c r="QRJ32" s="1551"/>
      <c r="QRK32" s="1551"/>
      <c r="QRL32" s="1551"/>
      <c r="QRM32" s="1551"/>
      <c r="QRN32" s="1551"/>
      <c r="QRO32" s="1551"/>
      <c r="QRP32" s="1551"/>
      <c r="QRQ32" s="1551"/>
      <c r="QRR32" s="1551"/>
      <c r="QRS32" s="1551"/>
      <c r="QRT32" s="1551"/>
      <c r="QRU32" s="1551"/>
      <c r="QRV32" s="1551"/>
      <c r="QRW32" s="1551"/>
      <c r="QRX32" s="1551"/>
      <c r="QRY32" s="1551"/>
      <c r="QRZ32" s="1551"/>
      <c r="QSA32" s="1551"/>
      <c r="QSB32" s="1551"/>
      <c r="QSC32" s="1551"/>
      <c r="QSD32" s="1551"/>
      <c r="QSE32" s="1551"/>
      <c r="QSF32" s="1551"/>
      <c r="QSG32" s="1551"/>
      <c r="QSH32" s="1551"/>
      <c r="QSI32" s="1551"/>
      <c r="QSJ32" s="1551"/>
      <c r="QSK32" s="1551"/>
      <c r="QSL32" s="1551"/>
      <c r="QSM32" s="1551"/>
      <c r="QSN32" s="1551"/>
      <c r="QSO32" s="1551"/>
      <c r="QSP32" s="1551"/>
      <c r="QSQ32" s="1551"/>
      <c r="QSR32" s="1551"/>
      <c r="QSS32" s="1551"/>
      <c r="QST32" s="1551"/>
      <c r="QSU32" s="1551"/>
      <c r="QSV32" s="1551"/>
      <c r="QSW32" s="1551"/>
      <c r="QSX32" s="1551"/>
      <c r="QSY32" s="1551"/>
      <c r="QSZ32" s="1551"/>
      <c r="QTA32" s="1551"/>
      <c r="QTB32" s="1551"/>
      <c r="QTC32" s="1551"/>
      <c r="QTD32" s="1551"/>
      <c r="QTE32" s="1551"/>
      <c r="QTF32" s="1551"/>
      <c r="QTG32" s="1551"/>
      <c r="QTH32" s="1551"/>
      <c r="QTI32" s="1551"/>
      <c r="QTJ32" s="1551"/>
      <c r="QTK32" s="1551"/>
      <c r="QTL32" s="1551"/>
      <c r="QTM32" s="1551"/>
      <c r="QTN32" s="1551"/>
      <c r="QTO32" s="1551"/>
      <c r="QTP32" s="1551"/>
      <c r="QTQ32" s="1551"/>
      <c r="QTR32" s="1551"/>
      <c r="QTS32" s="1551"/>
      <c r="QTT32" s="1551"/>
      <c r="QTU32" s="1551"/>
      <c r="QTV32" s="1551"/>
      <c r="QTW32" s="1551"/>
      <c r="QTX32" s="1551"/>
      <c r="QTY32" s="1551"/>
      <c r="QTZ32" s="1551"/>
      <c r="QUA32" s="1551"/>
      <c r="QUB32" s="1551"/>
      <c r="QUC32" s="1551"/>
      <c r="QUD32" s="1551"/>
      <c r="QUE32" s="1551"/>
      <c r="QUF32" s="1551"/>
      <c r="QUG32" s="1551"/>
      <c r="QUH32" s="1551"/>
      <c r="QUI32" s="1551"/>
      <c r="QUJ32" s="1551"/>
      <c r="QUK32" s="1551"/>
      <c r="QUL32" s="1551"/>
      <c r="QUM32" s="1551"/>
      <c r="QUN32" s="1551"/>
      <c r="QUO32" s="1551"/>
      <c r="QUP32" s="1551"/>
      <c r="QUQ32" s="1551"/>
      <c r="QUR32" s="1551"/>
      <c r="QUS32" s="1551"/>
      <c r="QUT32" s="1551"/>
      <c r="QUU32" s="1551"/>
      <c r="QUV32" s="1551"/>
      <c r="QUW32" s="1551"/>
      <c r="QUX32" s="1551"/>
      <c r="QUY32" s="1551"/>
      <c r="QUZ32" s="1551"/>
      <c r="QVA32" s="1551"/>
      <c r="QVB32" s="1551"/>
      <c r="QVC32" s="1551"/>
      <c r="QVD32" s="1551"/>
      <c r="QVE32" s="1551"/>
      <c r="QVF32" s="1551"/>
      <c r="QVG32" s="1551"/>
      <c r="QVH32" s="1551"/>
      <c r="QVI32" s="1551"/>
      <c r="QVJ32" s="1551"/>
      <c r="QVK32" s="1551"/>
      <c r="QVL32" s="1551"/>
      <c r="QVM32" s="1551"/>
      <c r="QVN32" s="1551"/>
      <c r="QVO32" s="1551"/>
      <c r="QVP32" s="1551"/>
      <c r="QVQ32" s="1551"/>
      <c r="QVR32" s="1551"/>
      <c r="QVS32" s="1551"/>
      <c r="QVT32" s="1551"/>
      <c r="QVU32" s="1551"/>
      <c r="QVV32" s="1551"/>
      <c r="QVW32" s="1551"/>
      <c r="QVX32" s="1551"/>
      <c r="QVY32" s="1551"/>
      <c r="QVZ32" s="1551"/>
      <c r="QWA32" s="1551"/>
      <c r="QWB32" s="1551"/>
      <c r="QWC32" s="1551"/>
      <c r="QWD32" s="1551"/>
      <c r="QWE32" s="1551"/>
      <c r="QWF32" s="1551"/>
      <c r="QWG32" s="1551"/>
      <c r="QWH32" s="1551"/>
      <c r="QWI32" s="1551"/>
      <c r="QWJ32" s="1551"/>
      <c r="QWK32" s="1551"/>
      <c r="QWL32" s="1551"/>
      <c r="QWM32" s="1551"/>
      <c r="QWN32" s="1551"/>
      <c r="QWO32" s="1551"/>
      <c r="QWP32" s="1551"/>
      <c r="QWQ32" s="1551"/>
      <c r="QWR32" s="1551"/>
      <c r="QWS32" s="1551"/>
      <c r="QWT32" s="1551"/>
      <c r="QWU32" s="1551"/>
      <c r="QWV32" s="1551"/>
      <c r="QWW32" s="1551"/>
      <c r="QWX32" s="1551"/>
      <c r="QWY32" s="1551"/>
      <c r="QWZ32" s="1551"/>
      <c r="QXA32" s="1551"/>
      <c r="QXB32" s="1551"/>
      <c r="QXC32" s="1551"/>
      <c r="QXD32" s="1551"/>
      <c r="QXE32" s="1551"/>
      <c r="QXF32" s="1551"/>
      <c r="QXG32" s="1551"/>
      <c r="QXH32" s="1551"/>
      <c r="QXI32" s="1551"/>
      <c r="QXJ32" s="1551"/>
      <c r="QXK32" s="1551"/>
      <c r="QXL32" s="1551"/>
      <c r="QXM32" s="1551"/>
      <c r="QXN32" s="1551"/>
      <c r="QXO32" s="1551"/>
      <c r="QXP32" s="1551"/>
      <c r="QXQ32" s="1551"/>
      <c r="QXR32" s="1551"/>
      <c r="QXS32" s="1551"/>
      <c r="QXT32" s="1551"/>
      <c r="QXU32" s="1551"/>
      <c r="QXV32" s="1551"/>
      <c r="QXW32" s="1551"/>
      <c r="QXX32" s="1551"/>
      <c r="QXY32" s="1551"/>
      <c r="QXZ32" s="1551"/>
      <c r="QYA32" s="1551"/>
      <c r="QYB32" s="1551"/>
      <c r="QYC32" s="1551"/>
      <c r="QYD32" s="1551"/>
      <c r="QYE32" s="1551"/>
      <c r="QYF32" s="1551"/>
      <c r="QYG32" s="1551"/>
      <c r="QYH32" s="1551"/>
      <c r="QYI32" s="1551"/>
      <c r="QYJ32" s="1551"/>
      <c r="QYK32" s="1551"/>
      <c r="QYL32" s="1551"/>
      <c r="QYM32" s="1551"/>
      <c r="QYN32" s="1551"/>
      <c r="QYO32" s="1551"/>
      <c r="QYP32" s="1551"/>
      <c r="QYQ32" s="1551"/>
      <c r="QYR32" s="1551"/>
      <c r="QYS32" s="1551"/>
      <c r="QYT32" s="1551"/>
      <c r="QYU32" s="1551"/>
      <c r="QYV32" s="1551"/>
      <c r="QYW32" s="1551"/>
      <c r="QYX32" s="1551"/>
      <c r="QYY32" s="1551"/>
      <c r="QYZ32" s="1551"/>
      <c r="QZA32" s="1551"/>
      <c r="QZB32" s="1551"/>
      <c r="QZC32" s="1551"/>
      <c r="QZD32" s="1551"/>
      <c r="QZE32" s="1551"/>
      <c r="QZF32" s="1551"/>
      <c r="QZG32" s="1551"/>
      <c r="QZH32" s="1551"/>
      <c r="QZI32" s="1551"/>
      <c r="QZJ32" s="1551"/>
      <c r="QZK32" s="1551"/>
      <c r="QZL32" s="1551"/>
      <c r="QZM32" s="1551"/>
      <c r="QZN32" s="1551"/>
      <c r="QZO32" s="1551"/>
      <c r="QZP32" s="1551"/>
      <c r="QZQ32" s="1551"/>
      <c r="QZR32" s="1551"/>
      <c r="QZS32" s="1551"/>
      <c r="QZT32" s="1551"/>
      <c r="QZU32" s="1551"/>
      <c r="QZV32" s="1551"/>
      <c r="QZW32" s="1551"/>
      <c r="QZX32" s="1551"/>
      <c r="QZY32" s="1551"/>
      <c r="QZZ32" s="1551"/>
      <c r="RAA32" s="1551"/>
      <c r="RAB32" s="1551"/>
      <c r="RAC32" s="1551"/>
      <c r="RAD32" s="1551"/>
      <c r="RAE32" s="1551"/>
      <c r="RAF32" s="1551"/>
      <c r="RAG32" s="1551"/>
      <c r="RAH32" s="1551"/>
      <c r="RAI32" s="1551"/>
      <c r="RAJ32" s="1551"/>
      <c r="RAK32" s="1551"/>
      <c r="RAL32" s="1551"/>
      <c r="RAM32" s="1551"/>
      <c r="RAN32" s="1551"/>
      <c r="RAO32" s="1551"/>
      <c r="RAP32" s="1551"/>
      <c r="RAQ32" s="1551"/>
      <c r="RAR32" s="1551"/>
      <c r="RAS32" s="1551"/>
      <c r="RAT32" s="1551"/>
      <c r="RAU32" s="1551"/>
      <c r="RAV32" s="1551"/>
      <c r="RAW32" s="1551"/>
      <c r="RAX32" s="1551"/>
      <c r="RAY32" s="1551"/>
      <c r="RAZ32" s="1551"/>
      <c r="RBA32" s="1551"/>
      <c r="RBB32" s="1551"/>
      <c r="RBC32" s="1551"/>
      <c r="RBD32" s="1551"/>
      <c r="RBE32" s="1551"/>
      <c r="RBF32" s="1551"/>
      <c r="RBG32" s="1551"/>
      <c r="RBH32" s="1551"/>
      <c r="RBI32" s="1551"/>
      <c r="RBJ32" s="1551"/>
      <c r="RBK32" s="1551"/>
      <c r="RBL32" s="1551"/>
      <c r="RBM32" s="1551"/>
      <c r="RBN32" s="1551"/>
      <c r="RBO32" s="1551"/>
      <c r="RBP32" s="1551"/>
      <c r="RBQ32" s="1551"/>
      <c r="RBR32" s="1551"/>
      <c r="RBS32" s="1551"/>
      <c r="RBT32" s="1551"/>
      <c r="RBU32" s="1551"/>
      <c r="RBV32" s="1551"/>
      <c r="RBW32" s="1551"/>
      <c r="RBX32" s="1551"/>
      <c r="RBY32" s="1551"/>
      <c r="RBZ32" s="1551"/>
      <c r="RCA32" s="1551"/>
      <c r="RCB32" s="1551"/>
      <c r="RCC32" s="1551"/>
      <c r="RCD32" s="1551"/>
      <c r="RCE32" s="1551"/>
      <c r="RCF32" s="1551"/>
      <c r="RCG32" s="1551"/>
      <c r="RCH32" s="1551"/>
      <c r="RCI32" s="1551"/>
      <c r="RCJ32" s="1551"/>
      <c r="RCK32" s="1551"/>
      <c r="RCL32" s="1551"/>
      <c r="RCM32" s="1551"/>
      <c r="RCN32" s="1551"/>
      <c r="RCO32" s="1551"/>
      <c r="RCP32" s="1551"/>
      <c r="RCQ32" s="1551"/>
      <c r="RCR32" s="1551"/>
      <c r="RCS32" s="1551"/>
      <c r="RCT32" s="1551"/>
      <c r="RCU32" s="1551"/>
      <c r="RCV32" s="1551"/>
      <c r="RCW32" s="1551"/>
      <c r="RCX32" s="1551"/>
      <c r="RCY32" s="1551"/>
      <c r="RCZ32" s="1551"/>
      <c r="RDA32" s="1551"/>
      <c r="RDB32" s="1551"/>
      <c r="RDC32" s="1551"/>
      <c r="RDD32" s="1551"/>
      <c r="RDE32" s="1551"/>
      <c r="RDF32" s="1551"/>
      <c r="RDG32" s="1551"/>
      <c r="RDH32" s="1551"/>
      <c r="RDI32" s="1551"/>
      <c r="RDJ32" s="1551"/>
      <c r="RDK32" s="1551"/>
      <c r="RDL32" s="1551"/>
      <c r="RDM32" s="1551"/>
      <c r="RDN32" s="1551"/>
      <c r="RDO32" s="1551"/>
      <c r="RDP32" s="1551"/>
      <c r="RDQ32" s="1551"/>
      <c r="RDR32" s="1551"/>
      <c r="RDS32" s="1551"/>
      <c r="RDT32" s="1551"/>
      <c r="RDU32" s="1551"/>
      <c r="RDV32" s="1551"/>
      <c r="RDW32" s="1551"/>
      <c r="RDX32" s="1551"/>
      <c r="RDY32" s="1551"/>
      <c r="RDZ32" s="1551"/>
      <c r="REA32" s="1551"/>
      <c r="REB32" s="1551"/>
      <c r="REC32" s="1551"/>
      <c r="RED32" s="1551"/>
      <c r="REE32" s="1551"/>
      <c r="REF32" s="1551"/>
      <c r="REG32" s="1551"/>
      <c r="REH32" s="1551"/>
      <c r="REI32" s="1551"/>
      <c r="REJ32" s="1551"/>
      <c r="REK32" s="1551"/>
      <c r="REL32" s="1551"/>
      <c r="REM32" s="1551"/>
      <c r="REN32" s="1551"/>
      <c r="REO32" s="1551"/>
      <c r="REP32" s="1551"/>
      <c r="REQ32" s="1551"/>
      <c r="RER32" s="1551"/>
      <c r="RES32" s="1551"/>
      <c r="RET32" s="1551"/>
      <c r="REU32" s="1551"/>
      <c r="REV32" s="1551"/>
      <c r="REW32" s="1551"/>
      <c r="REX32" s="1551"/>
      <c r="REY32" s="1551"/>
      <c r="REZ32" s="1551"/>
      <c r="RFA32" s="1551"/>
      <c r="RFB32" s="1551"/>
      <c r="RFC32" s="1551"/>
      <c r="RFD32" s="1551"/>
      <c r="RFE32" s="1551"/>
      <c r="RFF32" s="1551"/>
      <c r="RFG32" s="1551"/>
      <c r="RFH32" s="1551"/>
      <c r="RFI32" s="1551"/>
      <c r="RFJ32" s="1551"/>
      <c r="RFK32" s="1551"/>
      <c r="RFL32" s="1551"/>
      <c r="RFM32" s="1551"/>
      <c r="RFN32" s="1551"/>
      <c r="RFO32" s="1551"/>
      <c r="RFP32" s="1551"/>
      <c r="RFQ32" s="1551"/>
      <c r="RFR32" s="1551"/>
      <c r="RFS32" s="1551"/>
      <c r="RFT32" s="1551"/>
      <c r="RFU32" s="1551"/>
      <c r="RFV32" s="1551"/>
      <c r="RFW32" s="1551"/>
      <c r="RFX32" s="1551"/>
      <c r="RFY32" s="1551"/>
      <c r="RFZ32" s="1551"/>
      <c r="RGA32" s="1551"/>
      <c r="RGB32" s="1551"/>
      <c r="RGC32" s="1551"/>
      <c r="RGD32" s="1551"/>
      <c r="RGE32" s="1551"/>
      <c r="RGF32" s="1551"/>
      <c r="RGG32" s="1551"/>
      <c r="RGH32" s="1551"/>
      <c r="RGI32" s="1551"/>
      <c r="RGJ32" s="1551"/>
      <c r="RGK32" s="1551"/>
      <c r="RGL32" s="1551"/>
      <c r="RGM32" s="1551"/>
      <c r="RGN32" s="1551"/>
      <c r="RGO32" s="1551"/>
      <c r="RGP32" s="1551"/>
      <c r="RGQ32" s="1551"/>
      <c r="RGR32" s="1551"/>
      <c r="RGS32" s="1551"/>
      <c r="RGT32" s="1551"/>
      <c r="RGU32" s="1551"/>
      <c r="RGV32" s="1551"/>
      <c r="RGW32" s="1551"/>
      <c r="RGX32" s="1551"/>
      <c r="RGY32" s="1551"/>
      <c r="RGZ32" s="1551"/>
      <c r="RHA32" s="1551"/>
      <c r="RHB32" s="1551"/>
      <c r="RHC32" s="1551"/>
      <c r="RHD32" s="1551"/>
      <c r="RHE32" s="1551"/>
      <c r="RHF32" s="1551"/>
      <c r="RHG32" s="1551"/>
      <c r="RHH32" s="1551"/>
      <c r="RHI32" s="1551"/>
      <c r="RHJ32" s="1551"/>
      <c r="RHK32" s="1551"/>
      <c r="RHL32" s="1551"/>
      <c r="RHM32" s="1551"/>
      <c r="RHN32" s="1551"/>
      <c r="RHO32" s="1551"/>
      <c r="RHP32" s="1551"/>
      <c r="RHQ32" s="1551"/>
      <c r="RHR32" s="1551"/>
      <c r="RHS32" s="1551"/>
      <c r="RHT32" s="1551"/>
      <c r="RHU32" s="1551"/>
      <c r="RHV32" s="1551"/>
      <c r="RHW32" s="1551"/>
      <c r="RHX32" s="1551"/>
      <c r="RHY32" s="1551"/>
      <c r="RHZ32" s="1551"/>
      <c r="RIA32" s="1551"/>
      <c r="RIB32" s="1551"/>
      <c r="RIC32" s="1551"/>
      <c r="RID32" s="1551"/>
      <c r="RIE32" s="1551"/>
      <c r="RIF32" s="1551"/>
      <c r="RIG32" s="1551"/>
      <c r="RIH32" s="1551"/>
      <c r="RII32" s="1551"/>
      <c r="RIJ32" s="1551"/>
      <c r="RIK32" s="1551"/>
      <c r="RIL32" s="1551"/>
      <c r="RIM32" s="1551"/>
      <c r="RIN32" s="1551"/>
      <c r="RIO32" s="1551"/>
      <c r="RIP32" s="1551"/>
      <c r="RIQ32" s="1551"/>
      <c r="RIR32" s="1551"/>
      <c r="RIS32" s="1551"/>
      <c r="RIT32" s="1551"/>
      <c r="RIU32" s="1551"/>
      <c r="RIV32" s="1551"/>
      <c r="RIW32" s="1551"/>
      <c r="RIX32" s="1551"/>
      <c r="RIY32" s="1551"/>
      <c r="RIZ32" s="1551"/>
      <c r="RJA32" s="1551"/>
      <c r="RJB32" s="1551"/>
      <c r="RJC32" s="1551"/>
      <c r="RJD32" s="1551"/>
      <c r="RJE32" s="1551"/>
      <c r="RJF32" s="1551"/>
      <c r="RJG32" s="1551"/>
      <c r="RJH32" s="1551"/>
      <c r="RJI32" s="1551"/>
      <c r="RJJ32" s="1551"/>
      <c r="RJK32" s="1551"/>
      <c r="RJL32" s="1551"/>
      <c r="RJM32" s="1551"/>
      <c r="RJN32" s="1551"/>
      <c r="RJO32" s="1551"/>
      <c r="RJP32" s="1551"/>
      <c r="RJQ32" s="1551"/>
      <c r="RJR32" s="1551"/>
      <c r="RJS32" s="1551"/>
      <c r="RJT32" s="1551"/>
      <c r="RJU32" s="1551"/>
      <c r="RJV32" s="1551"/>
      <c r="RJW32" s="1551"/>
      <c r="RJX32" s="1551"/>
      <c r="RJY32" s="1551"/>
      <c r="RJZ32" s="1551"/>
      <c r="RKA32" s="1551"/>
      <c r="RKB32" s="1551"/>
      <c r="RKC32" s="1551"/>
      <c r="RKD32" s="1551"/>
      <c r="RKE32" s="1551"/>
      <c r="RKF32" s="1551"/>
      <c r="RKG32" s="1551"/>
      <c r="RKH32" s="1551"/>
      <c r="RKI32" s="1551"/>
      <c r="RKJ32" s="1551"/>
      <c r="RKK32" s="1551"/>
      <c r="RKL32" s="1551"/>
      <c r="RKM32" s="1551"/>
      <c r="RKN32" s="1551"/>
      <c r="RKO32" s="1551"/>
      <c r="RKP32" s="1551"/>
      <c r="RKQ32" s="1551"/>
      <c r="RKR32" s="1551"/>
      <c r="RKS32" s="1551"/>
      <c r="RKT32" s="1551"/>
      <c r="RKU32" s="1551"/>
      <c r="RKV32" s="1551"/>
      <c r="RKW32" s="1551"/>
      <c r="RKX32" s="1551"/>
      <c r="RKY32" s="1551"/>
      <c r="RKZ32" s="1551"/>
      <c r="RLA32" s="1551"/>
      <c r="RLB32" s="1551"/>
      <c r="RLC32" s="1551"/>
      <c r="RLD32" s="1551"/>
      <c r="RLE32" s="1551"/>
      <c r="RLF32" s="1551"/>
      <c r="RLG32" s="1551"/>
      <c r="RLH32" s="1551"/>
      <c r="RLI32" s="1551"/>
      <c r="RLJ32" s="1551"/>
      <c r="RLK32" s="1551"/>
      <c r="RLL32" s="1551"/>
      <c r="RLM32" s="1551"/>
      <c r="RLN32" s="1551"/>
      <c r="RLO32" s="1551"/>
      <c r="RLP32" s="1551"/>
      <c r="RLQ32" s="1551"/>
      <c r="RLR32" s="1551"/>
      <c r="RLS32" s="1551"/>
      <c r="RLT32" s="1551"/>
      <c r="RLU32" s="1551"/>
      <c r="RLV32" s="1551"/>
      <c r="RLW32" s="1551"/>
      <c r="RLX32" s="1551"/>
      <c r="RLY32" s="1551"/>
      <c r="RLZ32" s="1551"/>
      <c r="RMA32" s="1551"/>
      <c r="RMB32" s="1551"/>
      <c r="RMC32" s="1551"/>
      <c r="RMD32" s="1551"/>
      <c r="RME32" s="1551"/>
      <c r="RMF32" s="1551"/>
      <c r="RMG32" s="1551"/>
      <c r="RMH32" s="1551"/>
      <c r="RMI32" s="1551"/>
      <c r="RMJ32" s="1551"/>
      <c r="RMK32" s="1551"/>
      <c r="RML32" s="1551"/>
      <c r="RMM32" s="1551"/>
      <c r="RMN32" s="1551"/>
      <c r="RMO32" s="1551"/>
      <c r="RMP32" s="1551"/>
      <c r="RMQ32" s="1551"/>
      <c r="RMR32" s="1551"/>
      <c r="RMS32" s="1551"/>
      <c r="RMT32" s="1551"/>
      <c r="RMU32" s="1551"/>
      <c r="RMV32" s="1551"/>
      <c r="RMW32" s="1551"/>
      <c r="RMX32" s="1551"/>
      <c r="RMY32" s="1551"/>
      <c r="RMZ32" s="1551"/>
      <c r="RNA32" s="1551"/>
      <c r="RNB32" s="1551"/>
      <c r="RNC32" s="1551"/>
      <c r="RND32" s="1551"/>
      <c r="RNE32" s="1551"/>
      <c r="RNF32" s="1551"/>
      <c r="RNG32" s="1551"/>
      <c r="RNH32" s="1551"/>
      <c r="RNI32" s="1551"/>
      <c r="RNJ32" s="1551"/>
      <c r="RNK32" s="1551"/>
      <c r="RNL32" s="1551"/>
      <c r="RNM32" s="1551"/>
      <c r="RNN32" s="1551"/>
      <c r="RNO32" s="1551"/>
      <c r="RNP32" s="1551"/>
      <c r="RNQ32" s="1551"/>
      <c r="RNR32" s="1551"/>
      <c r="RNS32" s="1551"/>
      <c r="RNT32" s="1551"/>
      <c r="RNU32" s="1551"/>
      <c r="RNV32" s="1551"/>
      <c r="RNW32" s="1551"/>
      <c r="RNX32" s="1551"/>
      <c r="RNY32" s="1551"/>
      <c r="RNZ32" s="1551"/>
      <c r="ROA32" s="1551"/>
      <c r="ROB32" s="1551"/>
      <c r="ROC32" s="1551"/>
      <c r="ROD32" s="1551"/>
      <c r="ROE32" s="1551"/>
      <c r="ROF32" s="1551"/>
      <c r="ROG32" s="1551"/>
      <c r="ROH32" s="1551"/>
      <c r="ROI32" s="1551"/>
      <c r="ROJ32" s="1551"/>
      <c r="ROK32" s="1551"/>
      <c r="ROL32" s="1551"/>
      <c r="ROM32" s="1551"/>
      <c r="RON32" s="1551"/>
      <c r="ROO32" s="1551"/>
      <c r="ROP32" s="1551"/>
      <c r="ROQ32" s="1551"/>
      <c r="ROR32" s="1551"/>
      <c r="ROS32" s="1551"/>
      <c r="ROT32" s="1551"/>
      <c r="ROU32" s="1551"/>
      <c r="ROV32" s="1551"/>
      <c r="ROW32" s="1551"/>
      <c r="ROX32" s="1551"/>
      <c r="ROY32" s="1551"/>
      <c r="ROZ32" s="1551"/>
      <c r="RPA32" s="1551"/>
      <c r="RPB32" s="1551"/>
      <c r="RPC32" s="1551"/>
      <c r="RPD32" s="1551"/>
      <c r="RPE32" s="1551"/>
      <c r="RPF32" s="1551"/>
      <c r="RPG32" s="1551"/>
      <c r="RPH32" s="1551"/>
      <c r="RPI32" s="1551"/>
      <c r="RPJ32" s="1551"/>
      <c r="RPK32" s="1551"/>
      <c r="RPL32" s="1551"/>
      <c r="RPM32" s="1551"/>
      <c r="RPN32" s="1551"/>
      <c r="RPO32" s="1551"/>
      <c r="RPP32" s="1551"/>
      <c r="RPQ32" s="1551"/>
      <c r="RPR32" s="1551"/>
      <c r="RPS32" s="1551"/>
      <c r="RPT32" s="1551"/>
      <c r="RPU32" s="1551"/>
      <c r="RPV32" s="1551"/>
      <c r="RPW32" s="1551"/>
      <c r="RPX32" s="1551"/>
      <c r="RPY32" s="1551"/>
      <c r="RPZ32" s="1551"/>
      <c r="RQA32" s="1551"/>
      <c r="RQB32" s="1551"/>
      <c r="RQC32" s="1551"/>
      <c r="RQD32" s="1551"/>
      <c r="RQE32" s="1551"/>
      <c r="RQF32" s="1551"/>
      <c r="RQG32" s="1551"/>
      <c r="RQH32" s="1551"/>
      <c r="RQI32" s="1551"/>
      <c r="RQJ32" s="1551"/>
      <c r="RQK32" s="1551"/>
      <c r="RQL32" s="1551"/>
      <c r="RQM32" s="1551"/>
      <c r="RQN32" s="1551"/>
      <c r="RQO32" s="1551"/>
      <c r="RQP32" s="1551"/>
      <c r="RQQ32" s="1551"/>
      <c r="RQR32" s="1551"/>
      <c r="RQS32" s="1551"/>
      <c r="RQT32" s="1551"/>
      <c r="RQU32" s="1551"/>
      <c r="RQV32" s="1551"/>
      <c r="RQW32" s="1551"/>
      <c r="RQX32" s="1551"/>
      <c r="RQY32" s="1551"/>
      <c r="RQZ32" s="1551"/>
      <c r="RRA32" s="1551"/>
      <c r="RRB32" s="1551"/>
      <c r="RRC32" s="1551"/>
      <c r="RRD32" s="1551"/>
      <c r="RRE32" s="1551"/>
      <c r="RRF32" s="1551"/>
      <c r="RRG32" s="1551"/>
      <c r="RRH32" s="1551"/>
      <c r="RRI32" s="1551"/>
      <c r="RRJ32" s="1551"/>
      <c r="RRK32" s="1551"/>
      <c r="RRL32" s="1551"/>
      <c r="RRM32" s="1551"/>
      <c r="RRN32" s="1551"/>
      <c r="RRO32" s="1551"/>
      <c r="RRP32" s="1551"/>
      <c r="RRQ32" s="1551"/>
      <c r="RRR32" s="1551"/>
      <c r="RRS32" s="1551"/>
      <c r="RRT32" s="1551"/>
      <c r="RRU32" s="1551"/>
      <c r="RRV32" s="1551"/>
      <c r="RRW32" s="1551"/>
      <c r="RRX32" s="1551"/>
      <c r="RRY32" s="1551"/>
      <c r="RRZ32" s="1551"/>
      <c r="RSA32" s="1551"/>
      <c r="RSB32" s="1551"/>
      <c r="RSC32" s="1551"/>
      <c r="RSD32" s="1551"/>
      <c r="RSE32" s="1551"/>
      <c r="RSF32" s="1551"/>
      <c r="RSG32" s="1551"/>
      <c r="RSH32" s="1551"/>
      <c r="RSI32" s="1551"/>
      <c r="RSJ32" s="1551"/>
      <c r="RSK32" s="1551"/>
      <c r="RSL32" s="1551"/>
      <c r="RSM32" s="1551"/>
      <c r="RSN32" s="1551"/>
      <c r="RSO32" s="1551"/>
      <c r="RSP32" s="1551"/>
      <c r="RSQ32" s="1551"/>
      <c r="RSR32" s="1551"/>
      <c r="RSS32" s="1551"/>
      <c r="RST32" s="1551"/>
      <c r="RSU32" s="1551"/>
      <c r="RSV32" s="1551"/>
      <c r="RSW32" s="1551"/>
      <c r="RSX32" s="1551"/>
      <c r="RSY32" s="1551"/>
      <c r="RSZ32" s="1551"/>
      <c r="RTA32" s="1551"/>
      <c r="RTB32" s="1551"/>
      <c r="RTC32" s="1551"/>
      <c r="RTD32" s="1551"/>
      <c r="RTE32" s="1551"/>
      <c r="RTF32" s="1551"/>
      <c r="RTG32" s="1551"/>
      <c r="RTH32" s="1551"/>
      <c r="RTI32" s="1551"/>
      <c r="RTJ32" s="1551"/>
      <c r="RTK32" s="1551"/>
      <c r="RTL32" s="1551"/>
      <c r="RTM32" s="1551"/>
      <c r="RTN32" s="1551"/>
      <c r="RTO32" s="1551"/>
      <c r="RTP32" s="1551"/>
      <c r="RTQ32" s="1551"/>
      <c r="RTR32" s="1551"/>
      <c r="RTS32" s="1551"/>
      <c r="RTT32" s="1551"/>
      <c r="RTU32" s="1551"/>
      <c r="RTV32" s="1551"/>
      <c r="RTW32" s="1551"/>
      <c r="RTX32" s="1551"/>
      <c r="RTY32" s="1551"/>
      <c r="RTZ32" s="1551"/>
      <c r="RUA32" s="1551"/>
      <c r="RUB32" s="1551"/>
      <c r="RUC32" s="1551"/>
      <c r="RUD32" s="1551"/>
      <c r="RUE32" s="1551"/>
      <c r="RUF32" s="1551"/>
      <c r="RUG32" s="1551"/>
      <c r="RUH32" s="1551"/>
      <c r="RUI32" s="1551"/>
      <c r="RUJ32" s="1551"/>
      <c r="RUK32" s="1551"/>
      <c r="RUL32" s="1551"/>
      <c r="RUM32" s="1551"/>
      <c r="RUN32" s="1551"/>
      <c r="RUO32" s="1551"/>
      <c r="RUP32" s="1551"/>
      <c r="RUQ32" s="1551"/>
      <c r="RUR32" s="1551"/>
      <c r="RUS32" s="1551"/>
      <c r="RUT32" s="1551"/>
      <c r="RUU32" s="1551"/>
      <c r="RUV32" s="1551"/>
      <c r="RUW32" s="1551"/>
      <c r="RUX32" s="1551"/>
      <c r="RUY32" s="1551"/>
      <c r="RUZ32" s="1551"/>
      <c r="RVA32" s="1551"/>
      <c r="RVB32" s="1551"/>
      <c r="RVC32" s="1551"/>
      <c r="RVD32" s="1551"/>
      <c r="RVE32" s="1551"/>
      <c r="RVF32" s="1551"/>
      <c r="RVG32" s="1551"/>
      <c r="RVH32" s="1551"/>
      <c r="RVI32" s="1551"/>
      <c r="RVJ32" s="1551"/>
      <c r="RVK32" s="1551"/>
      <c r="RVL32" s="1551"/>
      <c r="RVM32" s="1551"/>
      <c r="RVN32" s="1551"/>
      <c r="RVO32" s="1551"/>
      <c r="RVP32" s="1551"/>
      <c r="RVQ32" s="1551"/>
      <c r="RVR32" s="1551"/>
      <c r="RVS32" s="1551"/>
      <c r="RVT32" s="1551"/>
      <c r="RVU32" s="1551"/>
      <c r="RVV32" s="1551"/>
      <c r="RVW32" s="1551"/>
      <c r="RVX32" s="1551"/>
      <c r="RVY32" s="1551"/>
      <c r="RVZ32" s="1551"/>
      <c r="RWA32" s="1551"/>
      <c r="RWB32" s="1551"/>
      <c r="RWC32" s="1551"/>
      <c r="RWD32" s="1551"/>
      <c r="RWE32" s="1551"/>
      <c r="RWF32" s="1551"/>
      <c r="RWG32" s="1551"/>
      <c r="RWH32" s="1551"/>
      <c r="RWI32" s="1551"/>
      <c r="RWJ32" s="1551"/>
      <c r="RWK32" s="1551"/>
      <c r="RWL32" s="1551"/>
      <c r="RWM32" s="1551"/>
      <c r="RWN32" s="1551"/>
      <c r="RWO32" s="1551"/>
      <c r="RWP32" s="1551"/>
      <c r="RWQ32" s="1551"/>
      <c r="RWR32" s="1551"/>
      <c r="RWS32" s="1551"/>
      <c r="RWT32" s="1551"/>
      <c r="RWU32" s="1551"/>
      <c r="RWV32" s="1551"/>
      <c r="RWW32" s="1551"/>
      <c r="RWX32" s="1551"/>
      <c r="RWY32" s="1551"/>
      <c r="RWZ32" s="1551"/>
      <c r="RXA32" s="1551"/>
      <c r="RXB32" s="1551"/>
      <c r="RXC32" s="1551"/>
      <c r="RXD32" s="1551"/>
      <c r="RXE32" s="1551"/>
      <c r="RXF32" s="1551"/>
      <c r="RXG32" s="1551"/>
      <c r="RXH32" s="1551"/>
      <c r="RXI32" s="1551"/>
      <c r="RXJ32" s="1551"/>
      <c r="RXK32" s="1551"/>
      <c r="RXL32" s="1551"/>
      <c r="RXM32" s="1551"/>
      <c r="RXN32" s="1551"/>
      <c r="RXO32" s="1551"/>
      <c r="RXP32" s="1551"/>
      <c r="RXQ32" s="1551"/>
      <c r="RXR32" s="1551"/>
      <c r="RXS32" s="1551"/>
      <c r="RXT32" s="1551"/>
      <c r="RXU32" s="1551"/>
      <c r="RXV32" s="1551"/>
      <c r="RXW32" s="1551"/>
      <c r="RXX32" s="1551"/>
      <c r="RXY32" s="1551"/>
      <c r="RXZ32" s="1551"/>
      <c r="RYA32" s="1551"/>
      <c r="RYB32" s="1551"/>
      <c r="RYC32" s="1551"/>
      <c r="RYD32" s="1551"/>
      <c r="RYE32" s="1551"/>
      <c r="RYF32" s="1551"/>
      <c r="RYG32" s="1551"/>
      <c r="RYH32" s="1551"/>
      <c r="RYI32" s="1551"/>
      <c r="RYJ32" s="1551"/>
      <c r="RYK32" s="1551"/>
      <c r="RYL32" s="1551"/>
      <c r="RYM32" s="1551"/>
      <c r="RYN32" s="1551"/>
      <c r="RYO32" s="1551"/>
      <c r="RYP32" s="1551"/>
      <c r="RYQ32" s="1551"/>
      <c r="RYR32" s="1551"/>
      <c r="RYS32" s="1551"/>
      <c r="RYT32" s="1551"/>
      <c r="RYU32" s="1551"/>
      <c r="RYV32" s="1551"/>
      <c r="RYW32" s="1551"/>
      <c r="RYX32" s="1551"/>
      <c r="RYY32" s="1551"/>
      <c r="RYZ32" s="1551"/>
      <c r="RZA32" s="1551"/>
      <c r="RZB32" s="1551"/>
      <c r="RZC32" s="1551"/>
      <c r="RZD32" s="1551"/>
      <c r="RZE32" s="1551"/>
      <c r="RZF32" s="1551"/>
      <c r="RZG32" s="1551"/>
      <c r="RZH32" s="1551"/>
      <c r="RZI32" s="1551"/>
      <c r="RZJ32" s="1551"/>
      <c r="RZK32" s="1551"/>
      <c r="RZL32" s="1551"/>
      <c r="RZM32" s="1551"/>
      <c r="RZN32" s="1551"/>
      <c r="RZO32" s="1551"/>
      <c r="RZP32" s="1551"/>
      <c r="RZQ32" s="1551"/>
      <c r="RZR32" s="1551"/>
      <c r="RZS32" s="1551"/>
      <c r="RZT32" s="1551"/>
      <c r="RZU32" s="1551"/>
      <c r="RZV32" s="1551"/>
      <c r="RZW32" s="1551"/>
      <c r="RZX32" s="1551"/>
      <c r="RZY32" s="1551"/>
      <c r="RZZ32" s="1551"/>
      <c r="SAA32" s="1551"/>
      <c r="SAB32" s="1551"/>
      <c r="SAC32" s="1551"/>
      <c r="SAD32" s="1551"/>
      <c r="SAE32" s="1551"/>
      <c r="SAF32" s="1551"/>
      <c r="SAG32" s="1551"/>
      <c r="SAH32" s="1551"/>
      <c r="SAI32" s="1551"/>
      <c r="SAJ32" s="1551"/>
      <c r="SAK32" s="1551"/>
      <c r="SAL32" s="1551"/>
      <c r="SAM32" s="1551"/>
      <c r="SAN32" s="1551"/>
      <c r="SAO32" s="1551"/>
      <c r="SAP32" s="1551"/>
      <c r="SAQ32" s="1551"/>
      <c r="SAR32" s="1551"/>
      <c r="SAS32" s="1551"/>
      <c r="SAT32" s="1551"/>
      <c r="SAU32" s="1551"/>
      <c r="SAV32" s="1551"/>
      <c r="SAW32" s="1551"/>
      <c r="SAX32" s="1551"/>
      <c r="SAY32" s="1551"/>
      <c r="SAZ32" s="1551"/>
      <c r="SBA32" s="1551"/>
      <c r="SBB32" s="1551"/>
      <c r="SBC32" s="1551"/>
      <c r="SBD32" s="1551"/>
      <c r="SBE32" s="1551"/>
      <c r="SBF32" s="1551"/>
      <c r="SBG32" s="1551"/>
      <c r="SBH32" s="1551"/>
      <c r="SBI32" s="1551"/>
      <c r="SBJ32" s="1551"/>
      <c r="SBK32" s="1551"/>
      <c r="SBL32" s="1551"/>
      <c r="SBM32" s="1551"/>
      <c r="SBN32" s="1551"/>
      <c r="SBO32" s="1551"/>
      <c r="SBP32" s="1551"/>
      <c r="SBQ32" s="1551"/>
      <c r="SBR32" s="1551"/>
      <c r="SBS32" s="1551"/>
      <c r="SBT32" s="1551"/>
      <c r="SBU32" s="1551"/>
      <c r="SBV32" s="1551"/>
      <c r="SBW32" s="1551"/>
      <c r="SBX32" s="1551"/>
      <c r="SBY32" s="1551"/>
      <c r="SBZ32" s="1551"/>
      <c r="SCA32" s="1551"/>
      <c r="SCB32" s="1551"/>
      <c r="SCC32" s="1551"/>
      <c r="SCD32" s="1551"/>
      <c r="SCE32" s="1551"/>
      <c r="SCF32" s="1551"/>
      <c r="SCG32" s="1551"/>
      <c r="SCH32" s="1551"/>
      <c r="SCI32" s="1551"/>
      <c r="SCJ32" s="1551"/>
      <c r="SCK32" s="1551"/>
      <c r="SCL32" s="1551"/>
      <c r="SCM32" s="1551"/>
      <c r="SCN32" s="1551"/>
      <c r="SCO32" s="1551"/>
      <c r="SCP32" s="1551"/>
      <c r="SCQ32" s="1551"/>
      <c r="SCR32" s="1551"/>
      <c r="SCS32" s="1551"/>
      <c r="SCT32" s="1551"/>
      <c r="SCU32" s="1551"/>
      <c r="SCV32" s="1551"/>
      <c r="SCW32" s="1551"/>
      <c r="SCX32" s="1551"/>
      <c r="SCY32" s="1551"/>
      <c r="SCZ32" s="1551"/>
      <c r="SDA32" s="1551"/>
      <c r="SDB32" s="1551"/>
      <c r="SDC32" s="1551"/>
      <c r="SDD32" s="1551"/>
      <c r="SDE32" s="1551"/>
      <c r="SDF32" s="1551"/>
      <c r="SDG32" s="1551"/>
      <c r="SDH32" s="1551"/>
      <c r="SDI32" s="1551"/>
      <c r="SDJ32" s="1551"/>
      <c r="SDK32" s="1551"/>
      <c r="SDL32" s="1551"/>
      <c r="SDM32" s="1551"/>
      <c r="SDN32" s="1551"/>
      <c r="SDO32" s="1551"/>
      <c r="SDP32" s="1551"/>
      <c r="SDQ32" s="1551"/>
      <c r="SDR32" s="1551"/>
      <c r="SDS32" s="1551"/>
      <c r="SDT32" s="1551"/>
      <c r="SDU32" s="1551"/>
      <c r="SDV32" s="1551"/>
      <c r="SDW32" s="1551"/>
      <c r="SDX32" s="1551"/>
      <c r="SDY32" s="1551"/>
      <c r="SDZ32" s="1551"/>
      <c r="SEA32" s="1551"/>
      <c r="SEB32" s="1551"/>
      <c r="SEC32" s="1551"/>
      <c r="SED32" s="1551"/>
      <c r="SEE32" s="1551"/>
      <c r="SEF32" s="1551"/>
      <c r="SEG32" s="1551"/>
      <c r="SEH32" s="1551"/>
      <c r="SEI32" s="1551"/>
      <c r="SEJ32" s="1551"/>
      <c r="SEK32" s="1551"/>
      <c r="SEL32" s="1551"/>
      <c r="SEM32" s="1551"/>
      <c r="SEN32" s="1551"/>
      <c r="SEO32" s="1551"/>
      <c r="SEP32" s="1551"/>
      <c r="SEQ32" s="1551"/>
      <c r="SER32" s="1551"/>
      <c r="SES32" s="1551"/>
      <c r="SET32" s="1551"/>
      <c r="SEU32" s="1551"/>
      <c r="SEV32" s="1551"/>
      <c r="SEW32" s="1551"/>
      <c r="SEX32" s="1551"/>
      <c r="SEY32" s="1551"/>
      <c r="SEZ32" s="1551"/>
      <c r="SFA32" s="1551"/>
      <c r="SFB32" s="1551"/>
      <c r="SFC32" s="1551"/>
      <c r="SFD32" s="1551"/>
      <c r="SFE32" s="1551"/>
      <c r="SFF32" s="1551"/>
      <c r="SFG32" s="1551"/>
      <c r="SFH32" s="1551"/>
      <c r="SFI32" s="1551"/>
      <c r="SFJ32" s="1551"/>
      <c r="SFK32" s="1551"/>
      <c r="SFL32" s="1551"/>
      <c r="SFM32" s="1551"/>
      <c r="SFN32" s="1551"/>
      <c r="SFO32" s="1551"/>
      <c r="SFP32" s="1551"/>
      <c r="SFQ32" s="1551"/>
      <c r="SFR32" s="1551"/>
      <c r="SFS32" s="1551"/>
      <c r="SFT32" s="1551"/>
      <c r="SFU32" s="1551"/>
      <c r="SFV32" s="1551"/>
      <c r="SFW32" s="1551"/>
      <c r="SFX32" s="1551"/>
      <c r="SFY32" s="1551"/>
      <c r="SFZ32" s="1551"/>
      <c r="SGA32" s="1551"/>
      <c r="SGB32" s="1551"/>
      <c r="SGC32" s="1551"/>
      <c r="SGD32" s="1551"/>
      <c r="SGE32" s="1551"/>
      <c r="SGF32" s="1551"/>
      <c r="SGG32" s="1551"/>
      <c r="SGH32" s="1551"/>
      <c r="SGI32" s="1551"/>
      <c r="SGJ32" s="1551"/>
      <c r="SGK32" s="1551"/>
      <c r="SGL32" s="1551"/>
      <c r="SGM32" s="1551"/>
      <c r="SGN32" s="1551"/>
      <c r="SGO32" s="1551"/>
      <c r="SGP32" s="1551"/>
      <c r="SGQ32" s="1551"/>
      <c r="SGR32" s="1551"/>
      <c r="SGS32" s="1551"/>
      <c r="SGT32" s="1551"/>
      <c r="SGU32" s="1551"/>
      <c r="SGV32" s="1551"/>
      <c r="SGW32" s="1551"/>
      <c r="SGX32" s="1551"/>
      <c r="SGY32" s="1551"/>
      <c r="SGZ32" s="1551"/>
      <c r="SHA32" s="1551"/>
      <c r="SHB32" s="1551"/>
      <c r="SHC32" s="1551"/>
      <c r="SHD32" s="1551"/>
      <c r="SHE32" s="1551"/>
      <c r="SHF32" s="1551"/>
      <c r="SHG32" s="1551"/>
      <c r="SHH32" s="1551"/>
      <c r="SHI32" s="1551"/>
      <c r="SHJ32" s="1551"/>
      <c r="SHK32" s="1551"/>
      <c r="SHL32" s="1551"/>
      <c r="SHM32" s="1551"/>
      <c r="SHN32" s="1551"/>
      <c r="SHO32" s="1551"/>
      <c r="SHP32" s="1551"/>
      <c r="SHQ32" s="1551"/>
      <c r="SHR32" s="1551"/>
      <c r="SHS32" s="1551"/>
      <c r="SHT32" s="1551"/>
      <c r="SHU32" s="1551"/>
      <c r="SHV32" s="1551"/>
      <c r="SHW32" s="1551"/>
      <c r="SHX32" s="1551"/>
      <c r="SHY32" s="1551"/>
      <c r="SHZ32" s="1551"/>
      <c r="SIA32" s="1551"/>
      <c r="SIB32" s="1551"/>
      <c r="SIC32" s="1551"/>
      <c r="SID32" s="1551"/>
      <c r="SIE32" s="1551"/>
      <c r="SIF32" s="1551"/>
      <c r="SIG32" s="1551"/>
      <c r="SIH32" s="1551"/>
      <c r="SII32" s="1551"/>
      <c r="SIJ32" s="1551"/>
      <c r="SIK32" s="1551"/>
      <c r="SIL32" s="1551"/>
      <c r="SIM32" s="1551"/>
      <c r="SIN32" s="1551"/>
      <c r="SIO32" s="1551"/>
      <c r="SIP32" s="1551"/>
      <c r="SIQ32" s="1551"/>
      <c r="SIR32" s="1551"/>
      <c r="SIS32" s="1551"/>
      <c r="SIT32" s="1551"/>
      <c r="SIU32" s="1551"/>
      <c r="SIV32" s="1551"/>
      <c r="SIW32" s="1551"/>
      <c r="SIX32" s="1551"/>
      <c r="SIY32" s="1551"/>
      <c r="SIZ32" s="1551"/>
      <c r="SJA32" s="1551"/>
      <c r="SJB32" s="1551"/>
      <c r="SJC32" s="1551"/>
      <c r="SJD32" s="1551"/>
      <c r="SJE32" s="1551"/>
      <c r="SJF32" s="1551"/>
      <c r="SJG32" s="1551"/>
      <c r="SJH32" s="1551"/>
      <c r="SJI32" s="1551"/>
      <c r="SJJ32" s="1551"/>
      <c r="SJK32" s="1551"/>
      <c r="SJL32" s="1551"/>
      <c r="SJM32" s="1551"/>
      <c r="SJN32" s="1551"/>
      <c r="SJO32" s="1551"/>
      <c r="SJP32" s="1551"/>
      <c r="SJQ32" s="1551"/>
      <c r="SJR32" s="1551"/>
      <c r="SJS32" s="1551"/>
      <c r="SJT32" s="1551"/>
      <c r="SJU32" s="1551"/>
      <c r="SJV32" s="1551"/>
      <c r="SJW32" s="1551"/>
      <c r="SJX32" s="1551"/>
      <c r="SJY32" s="1551"/>
      <c r="SJZ32" s="1551"/>
      <c r="SKA32" s="1551"/>
      <c r="SKB32" s="1551"/>
      <c r="SKC32" s="1551"/>
      <c r="SKD32" s="1551"/>
      <c r="SKE32" s="1551"/>
      <c r="SKF32" s="1551"/>
      <c r="SKG32" s="1551"/>
      <c r="SKH32" s="1551"/>
      <c r="SKI32" s="1551"/>
      <c r="SKJ32" s="1551"/>
      <c r="SKK32" s="1551"/>
      <c r="SKL32" s="1551"/>
      <c r="SKM32" s="1551"/>
      <c r="SKN32" s="1551"/>
      <c r="SKO32" s="1551"/>
      <c r="SKP32" s="1551"/>
      <c r="SKQ32" s="1551"/>
      <c r="SKR32" s="1551"/>
      <c r="SKS32" s="1551"/>
      <c r="SKT32" s="1551"/>
      <c r="SKU32" s="1551"/>
      <c r="SKV32" s="1551"/>
      <c r="SKW32" s="1551"/>
      <c r="SKX32" s="1551"/>
      <c r="SKY32" s="1551"/>
      <c r="SKZ32" s="1551"/>
      <c r="SLA32" s="1551"/>
      <c r="SLB32" s="1551"/>
      <c r="SLC32" s="1551"/>
      <c r="SLD32" s="1551"/>
      <c r="SLE32" s="1551"/>
      <c r="SLF32" s="1551"/>
      <c r="SLG32" s="1551"/>
      <c r="SLH32" s="1551"/>
      <c r="SLI32" s="1551"/>
      <c r="SLJ32" s="1551"/>
      <c r="SLK32" s="1551"/>
      <c r="SLL32" s="1551"/>
      <c r="SLM32" s="1551"/>
      <c r="SLN32" s="1551"/>
      <c r="SLO32" s="1551"/>
      <c r="SLP32" s="1551"/>
      <c r="SLQ32" s="1551"/>
      <c r="SLR32" s="1551"/>
      <c r="SLS32" s="1551"/>
      <c r="SLT32" s="1551"/>
      <c r="SLU32" s="1551"/>
      <c r="SLV32" s="1551"/>
      <c r="SLW32" s="1551"/>
      <c r="SLX32" s="1551"/>
      <c r="SLY32" s="1551"/>
      <c r="SLZ32" s="1551"/>
      <c r="SMA32" s="1551"/>
      <c r="SMB32" s="1551"/>
      <c r="SMC32" s="1551"/>
      <c r="SMD32" s="1551"/>
      <c r="SME32" s="1551"/>
      <c r="SMF32" s="1551"/>
      <c r="SMG32" s="1551"/>
      <c r="SMH32" s="1551"/>
      <c r="SMI32" s="1551"/>
      <c r="SMJ32" s="1551"/>
      <c r="SMK32" s="1551"/>
      <c r="SML32" s="1551"/>
      <c r="SMM32" s="1551"/>
      <c r="SMN32" s="1551"/>
      <c r="SMO32" s="1551"/>
      <c r="SMP32" s="1551"/>
      <c r="SMQ32" s="1551"/>
      <c r="SMR32" s="1551"/>
      <c r="SMS32" s="1551"/>
      <c r="SMT32" s="1551"/>
      <c r="SMU32" s="1551"/>
      <c r="SMV32" s="1551"/>
      <c r="SMW32" s="1551"/>
      <c r="SMX32" s="1551"/>
      <c r="SMY32" s="1551"/>
      <c r="SMZ32" s="1551"/>
      <c r="SNA32" s="1551"/>
      <c r="SNB32" s="1551"/>
      <c r="SNC32" s="1551"/>
      <c r="SND32" s="1551"/>
      <c r="SNE32" s="1551"/>
      <c r="SNF32" s="1551"/>
      <c r="SNG32" s="1551"/>
      <c r="SNH32" s="1551"/>
      <c r="SNI32" s="1551"/>
      <c r="SNJ32" s="1551"/>
      <c r="SNK32" s="1551"/>
      <c r="SNL32" s="1551"/>
      <c r="SNM32" s="1551"/>
      <c r="SNN32" s="1551"/>
      <c r="SNO32" s="1551"/>
      <c r="SNP32" s="1551"/>
      <c r="SNQ32" s="1551"/>
      <c r="SNR32" s="1551"/>
      <c r="SNS32" s="1551"/>
      <c r="SNT32" s="1551"/>
      <c r="SNU32" s="1551"/>
      <c r="SNV32" s="1551"/>
      <c r="SNW32" s="1551"/>
      <c r="SNX32" s="1551"/>
      <c r="SNY32" s="1551"/>
      <c r="SNZ32" s="1551"/>
      <c r="SOA32" s="1551"/>
      <c r="SOB32" s="1551"/>
      <c r="SOC32" s="1551"/>
      <c r="SOD32" s="1551"/>
      <c r="SOE32" s="1551"/>
      <c r="SOF32" s="1551"/>
      <c r="SOG32" s="1551"/>
      <c r="SOH32" s="1551"/>
      <c r="SOI32" s="1551"/>
      <c r="SOJ32" s="1551"/>
      <c r="SOK32" s="1551"/>
      <c r="SOL32" s="1551"/>
      <c r="SOM32" s="1551"/>
      <c r="SON32" s="1551"/>
      <c r="SOO32" s="1551"/>
      <c r="SOP32" s="1551"/>
      <c r="SOQ32" s="1551"/>
      <c r="SOR32" s="1551"/>
      <c r="SOS32" s="1551"/>
      <c r="SOT32" s="1551"/>
      <c r="SOU32" s="1551"/>
      <c r="SOV32" s="1551"/>
      <c r="SOW32" s="1551"/>
      <c r="SOX32" s="1551"/>
      <c r="SOY32" s="1551"/>
      <c r="SOZ32" s="1551"/>
      <c r="SPA32" s="1551"/>
      <c r="SPB32" s="1551"/>
      <c r="SPC32" s="1551"/>
      <c r="SPD32" s="1551"/>
      <c r="SPE32" s="1551"/>
      <c r="SPF32" s="1551"/>
      <c r="SPG32" s="1551"/>
      <c r="SPH32" s="1551"/>
      <c r="SPI32" s="1551"/>
      <c r="SPJ32" s="1551"/>
      <c r="SPK32" s="1551"/>
      <c r="SPL32" s="1551"/>
      <c r="SPM32" s="1551"/>
      <c r="SPN32" s="1551"/>
      <c r="SPO32" s="1551"/>
      <c r="SPP32" s="1551"/>
      <c r="SPQ32" s="1551"/>
      <c r="SPR32" s="1551"/>
      <c r="SPS32" s="1551"/>
      <c r="SPT32" s="1551"/>
      <c r="SPU32" s="1551"/>
      <c r="SPV32" s="1551"/>
      <c r="SPW32" s="1551"/>
      <c r="SPX32" s="1551"/>
      <c r="SPY32" s="1551"/>
      <c r="SPZ32" s="1551"/>
      <c r="SQA32" s="1551"/>
      <c r="SQB32" s="1551"/>
      <c r="SQC32" s="1551"/>
      <c r="SQD32" s="1551"/>
      <c r="SQE32" s="1551"/>
      <c r="SQF32" s="1551"/>
      <c r="SQG32" s="1551"/>
      <c r="SQH32" s="1551"/>
      <c r="SQI32" s="1551"/>
      <c r="SQJ32" s="1551"/>
      <c r="SQK32" s="1551"/>
      <c r="SQL32" s="1551"/>
      <c r="SQM32" s="1551"/>
      <c r="SQN32" s="1551"/>
      <c r="SQO32" s="1551"/>
      <c r="SQP32" s="1551"/>
      <c r="SQQ32" s="1551"/>
      <c r="SQR32" s="1551"/>
      <c r="SQS32" s="1551"/>
      <c r="SQT32" s="1551"/>
      <c r="SQU32" s="1551"/>
      <c r="SQV32" s="1551"/>
      <c r="SQW32" s="1551"/>
      <c r="SQX32" s="1551"/>
      <c r="SQY32" s="1551"/>
      <c r="SQZ32" s="1551"/>
      <c r="SRA32" s="1551"/>
      <c r="SRB32" s="1551"/>
      <c r="SRC32" s="1551"/>
      <c r="SRD32" s="1551"/>
      <c r="SRE32" s="1551"/>
      <c r="SRF32" s="1551"/>
      <c r="SRG32" s="1551"/>
      <c r="SRH32" s="1551"/>
      <c r="SRI32" s="1551"/>
      <c r="SRJ32" s="1551"/>
      <c r="SRK32" s="1551"/>
      <c r="SRL32" s="1551"/>
      <c r="SRM32" s="1551"/>
      <c r="SRN32" s="1551"/>
      <c r="SRO32" s="1551"/>
      <c r="SRP32" s="1551"/>
      <c r="SRQ32" s="1551"/>
      <c r="SRR32" s="1551"/>
      <c r="SRS32" s="1551"/>
      <c r="SRT32" s="1551"/>
      <c r="SRU32" s="1551"/>
      <c r="SRV32" s="1551"/>
      <c r="SRW32" s="1551"/>
      <c r="SRX32" s="1551"/>
      <c r="SRY32" s="1551"/>
      <c r="SRZ32" s="1551"/>
      <c r="SSA32" s="1551"/>
      <c r="SSB32" s="1551"/>
      <c r="SSC32" s="1551"/>
      <c r="SSD32" s="1551"/>
      <c r="SSE32" s="1551"/>
      <c r="SSF32" s="1551"/>
      <c r="SSG32" s="1551"/>
      <c r="SSH32" s="1551"/>
      <c r="SSI32" s="1551"/>
      <c r="SSJ32" s="1551"/>
      <c r="SSK32" s="1551"/>
      <c r="SSL32" s="1551"/>
      <c r="SSM32" s="1551"/>
      <c r="SSN32" s="1551"/>
      <c r="SSO32" s="1551"/>
      <c r="SSP32" s="1551"/>
      <c r="SSQ32" s="1551"/>
      <c r="SSR32" s="1551"/>
      <c r="SSS32" s="1551"/>
      <c r="SST32" s="1551"/>
      <c r="SSU32" s="1551"/>
      <c r="SSV32" s="1551"/>
      <c r="SSW32" s="1551"/>
      <c r="SSX32" s="1551"/>
      <c r="SSY32" s="1551"/>
      <c r="SSZ32" s="1551"/>
      <c r="STA32" s="1551"/>
      <c r="STB32" s="1551"/>
      <c r="STC32" s="1551"/>
      <c r="STD32" s="1551"/>
      <c r="STE32" s="1551"/>
      <c r="STF32" s="1551"/>
      <c r="STG32" s="1551"/>
      <c r="STH32" s="1551"/>
      <c r="STI32" s="1551"/>
      <c r="STJ32" s="1551"/>
      <c r="STK32" s="1551"/>
      <c r="STL32" s="1551"/>
      <c r="STM32" s="1551"/>
      <c r="STN32" s="1551"/>
      <c r="STO32" s="1551"/>
      <c r="STP32" s="1551"/>
      <c r="STQ32" s="1551"/>
      <c r="STR32" s="1551"/>
      <c r="STS32" s="1551"/>
      <c r="STT32" s="1551"/>
      <c r="STU32" s="1551"/>
      <c r="STV32" s="1551"/>
      <c r="STW32" s="1551"/>
      <c r="STX32" s="1551"/>
      <c r="STY32" s="1551"/>
      <c r="STZ32" s="1551"/>
      <c r="SUA32" s="1551"/>
      <c r="SUB32" s="1551"/>
      <c r="SUC32" s="1551"/>
      <c r="SUD32" s="1551"/>
      <c r="SUE32" s="1551"/>
      <c r="SUF32" s="1551"/>
      <c r="SUG32" s="1551"/>
      <c r="SUH32" s="1551"/>
      <c r="SUI32" s="1551"/>
      <c r="SUJ32" s="1551"/>
      <c r="SUK32" s="1551"/>
      <c r="SUL32" s="1551"/>
      <c r="SUM32" s="1551"/>
      <c r="SUN32" s="1551"/>
      <c r="SUO32" s="1551"/>
      <c r="SUP32" s="1551"/>
      <c r="SUQ32" s="1551"/>
      <c r="SUR32" s="1551"/>
      <c r="SUS32" s="1551"/>
      <c r="SUT32" s="1551"/>
      <c r="SUU32" s="1551"/>
      <c r="SUV32" s="1551"/>
      <c r="SUW32" s="1551"/>
      <c r="SUX32" s="1551"/>
      <c r="SUY32" s="1551"/>
      <c r="SUZ32" s="1551"/>
      <c r="SVA32" s="1551"/>
      <c r="SVB32" s="1551"/>
      <c r="SVC32" s="1551"/>
      <c r="SVD32" s="1551"/>
      <c r="SVE32" s="1551"/>
      <c r="SVF32" s="1551"/>
      <c r="SVG32" s="1551"/>
      <c r="SVH32" s="1551"/>
      <c r="SVI32" s="1551"/>
      <c r="SVJ32" s="1551"/>
      <c r="SVK32" s="1551"/>
      <c r="SVL32" s="1551"/>
      <c r="SVM32" s="1551"/>
      <c r="SVN32" s="1551"/>
      <c r="SVO32" s="1551"/>
      <c r="SVP32" s="1551"/>
      <c r="SVQ32" s="1551"/>
      <c r="SVR32" s="1551"/>
      <c r="SVS32" s="1551"/>
      <c r="SVT32" s="1551"/>
      <c r="SVU32" s="1551"/>
      <c r="SVV32" s="1551"/>
      <c r="SVW32" s="1551"/>
      <c r="SVX32" s="1551"/>
      <c r="SVY32" s="1551"/>
      <c r="SVZ32" s="1551"/>
      <c r="SWA32" s="1551"/>
      <c r="SWB32" s="1551"/>
      <c r="SWC32" s="1551"/>
      <c r="SWD32" s="1551"/>
      <c r="SWE32" s="1551"/>
      <c r="SWF32" s="1551"/>
      <c r="SWG32" s="1551"/>
      <c r="SWH32" s="1551"/>
      <c r="SWI32" s="1551"/>
      <c r="SWJ32" s="1551"/>
      <c r="SWK32" s="1551"/>
      <c r="SWL32" s="1551"/>
      <c r="SWM32" s="1551"/>
      <c r="SWN32" s="1551"/>
      <c r="SWO32" s="1551"/>
      <c r="SWP32" s="1551"/>
      <c r="SWQ32" s="1551"/>
      <c r="SWR32" s="1551"/>
      <c r="SWS32" s="1551"/>
      <c r="SWT32" s="1551"/>
      <c r="SWU32" s="1551"/>
      <c r="SWV32" s="1551"/>
      <c r="SWW32" s="1551"/>
      <c r="SWX32" s="1551"/>
      <c r="SWY32" s="1551"/>
      <c r="SWZ32" s="1551"/>
      <c r="SXA32" s="1551"/>
      <c r="SXB32" s="1551"/>
      <c r="SXC32" s="1551"/>
      <c r="SXD32" s="1551"/>
      <c r="SXE32" s="1551"/>
      <c r="SXF32" s="1551"/>
      <c r="SXG32" s="1551"/>
      <c r="SXH32" s="1551"/>
      <c r="SXI32" s="1551"/>
      <c r="SXJ32" s="1551"/>
      <c r="SXK32" s="1551"/>
      <c r="SXL32" s="1551"/>
      <c r="SXM32" s="1551"/>
      <c r="SXN32" s="1551"/>
      <c r="SXO32" s="1551"/>
      <c r="SXP32" s="1551"/>
      <c r="SXQ32" s="1551"/>
      <c r="SXR32" s="1551"/>
      <c r="SXS32" s="1551"/>
      <c r="SXT32" s="1551"/>
      <c r="SXU32" s="1551"/>
      <c r="SXV32" s="1551"/>
      <c r="SXW32" s="1551"/>
      <c r="SXX32" s="1551"/>
      <c r="SXY32" s="1551"/>
      <c r="SXZ32" s="1551"/>
      <c r="SYA32" s="1551"/>
      <c r="SYB32" s="1551"/>
      <c r="SYC32" s="1551"/>
      <c r="SYD32" s="1551"/>
      <c r="SYE32" s="1551"/>
      <c r="SYF32" s="1551"/>
      <c r="SYG32" s="1551"/>
      <c r="SYH32" s="1551"/>
      <c r="SYI32" s="1551"/>
      <c r="SYJ32" s="1551"/>
      <c r="SYK32" s="1551"/>
      <c r="SYL32" s="1551"/>
      <c r="SYM32" s="1551"/>
      <c r="SYN32" s="1551"/>
      <c r="SYO32" s="1551"/>
      <c r="SYP32" s="1551"/>
      <c r="SYQ32" s="1551"/>
      <c r="SYR32" s="1551"/>
      <c r="SYS32" s="1551"/>
      <c r="SYT32" s="1551"/>
      <c r="SYU32" s="1551"/>
      <c r="SYV32" s="1551"/>
      <c r="SYW32" s="1551"/>
      <c r="SYX32" s="1551"/>
      <c r="SYY32" s="1551"/>
      <c r="SYZ32" s="1551"/>
      <c r="SZA32" s="1551"/>
      <c r="SZB32" s="1551"/>
      <c r="SZC32" s="1551"/>
      <c r="SZD32" s="1551"/>
      <c r="SZE32" s="1551"/>
      <c r="SZF32" s="1551"/>
      <c r="SZG32" s="1551"/>
      <c r="SZH32" s="1551"/>
      <c r="SZI32" s="1551"/>
      <c r="SZJ32" s="1551"/>
      <c r="SZK32" s="1551"/>
      <c r="SZL32" s="1551"/>
      <c r="SZM32" s="1551"/>
      <c r="SZN32" s="1551"/>
      <c r="SZO32" s="1551"/>
      <c r="SZP32" s="1551"/>
      <c r="SZQ32" s="1551"/>
      <c r="SZR32" s="1551"/>
      <c r="SZS32" s="1551"/>
      <c r="SZT32" s="1551"/>
      <c r="SZU32" s="1551"/>
      <c r="SZV32" s="1551"/>
      <c r="SZW32" s="1551"/>
      <c r="SZX32" s="1551"/>
      <c r="SZY32" s="1551"/>
      <c r="SZZ32" s="1551"/>
      <c r="TAA32" s="1551"/>
      <c r="TAB32" s="1551"/>
      <c r="TAC32" s="1551"/>
      <c r="TAD32" s="1551"/>
      <c r="TAE32" s="1551"/>
      <c r="TAF32" s="1551"/>
      <c r="TAG32" s="1551"/>
      <c r="TAH32" s="1551"/>
      <c r="TAI32" s="1551"/>
      <c r="TAJ32" s="1551"/>
      <c r="TAK32" s="1551"/>
      <c r="TAL32" s="1551"/>
      <c r="TAM32" s="1551"/>
      <c r="TAN32" s="1551"/>
      <c r="TAO32" s="1551"/>
      <c r="TAP32" s="1551"/>
      <c r="TAQ32" s="1551"/>
      <c r="TAR32" s="1551"/>
      <c r="TAS32" s="1551"/>
      <c r="TAT32" s="1551"/>
      <c r="TAU32" s="1551"/>
      <c r="TAV32" s="1551"/>
      <c r="TAW32" s="1551"/>
      <c r="TAX32" s="1551"/>
      <c r="TAY32" s="1551"/>
      <c r="TAZ32" s="1551"/>
      <c r="TBA32" s="1551"/>
      <c r="TBB32" s="1551"/>
      <c r="TBC32" s="1551"/>
      <c r="TBD32" s="1551"/>
      <c r="TBE32" s="1551"/>
      <c r="TBF32" s="1551"/>
      <c r="TBG32" s="1551"/>
      <c r="TBH32" s="1551"/>
      <c r="TBI32" s="1551"/>
      <c r="TBJ32" s="1551"/>
      <c r="TBK32" s="1551"/>
      <c r="TBL32" s="1551"/>
      <c r="TBM32" s="1551"/>
      <c r="TBN32" s="1551"/>
      <c r="TBO32" s="1551"/>
      <c r="TBP32" s="1551"/>
      <c r="TBQ32" s="1551"/>
      <c r="TBR32" s="1551"/>
      <c r="TBS32" s="1551"/>
      <c r="TBT32" s="1551"/>
      <c r="TBU32" s="1551"/>
      <c r="TBV32" s="1551"/>
      <c r="TBW32" s="1551"/>
      <c r="TBX32" s="1551"/>
      <c r="TBY32" s="1551"/>
      <c r="TBZ32" s="1551"/>
      <c r="TCA32" s="1551"/>
      <c r="TCB32" s="1551"/>
      <c r="TCC32" s="1551"/>
      <c r="TCD32" s="1551"/>
      <c r="TCE32" s="1551"/>
      <c r="TCF32" s="1551"/>
      <c r="TCG32" s="1551"/>
      <c r="TCH32" s="1551"/>
      <c r="TCI32" s="1551"/>
      <c r="TCJ32" s="1551"/>
      <c r="TCK32" s="1551"/>
      <c r="TCL32" s="1551"/>
      <c r="TCM32" s="1551"/>
      <c r="TCN32" s="1551"/>
      <c r="TCO32" s="1551"/>
      <c r="TCP32" s="1551"/>
      <c r="TCQ32" s="1551"/>
      <c r="TCR32" s="1551"/>
      <c r="TCS32" s="1551"/>
      <c r="TCT32" s="1551"/>
      <c r="TCU32" s="1551"/>
      <c r="TCV32" s="1551"/>
      <c r="TCW32" s="1551"/>
      <c r="TCX32" s="1551"/>
      <c r="TCY32" s="1551"/>
      <c r="TCZ32" s="1551"/>
      <c r="TDA32" s="1551"/>
      <c r="TDB32" s="1551"/>
      <c r="TDC32" s="1551"/>
      <c r="TDD32" s="1551"/>
      <c r="TDE32" s="1551"/>
      <c r="TDF32" s="1551"/>
      <c r="TDG32" s="1551"/>
      <c r="TDH32" s="1551"/>
      <c r="TDI32" s="1551"/>
      <c r="TDJ32" s="1551"/>
      <c r="TDK32" s="1551"/>
      <c r="TDL32" s="1551"/>
      <c r="TDM32" s="1551"/>
      <c r="TDN32" s="1551"/>
      <c r="TDO32" s="1551"/>
      <c r="TDP32" s="1551"/>
      <c r="TDQ32" s="1551"/>
      <c r="TDR32" s="1551"/>
      <c r="TDS32" s="1551"/>
      <c r="TDT32" s="1551"/>
      <c r="TDU32" s="1551"/>
      <c r="TDV32" s="1551"/>
      <c r="TDW32" s="1551"/>
      <c r="TDX32" s="1551"/>
      <c r="TDY32" s="1551"/>
      <c r="TDZ32" s="1551"/>
      <c r="TEA32" s="1551"/>
      <c r="TEB32" s="1551"/>
      <c r="TEC32" s="1551"/>
      <c r="TED32" s="1551"/>
      <c r="TEE32" s="1551"/>
      <c r="TEF32" s="1551"/>
      <c r="TEG32" s="1551"/>
      <c r="TEH32" s="1551"/>
      <c r="TEI32" s="1551"/>
      <c r="TEJ32" s="1551"/>
      <c r="TEK32" s="1551"/>
      <c r="TEL32" s="1551"/>
      <c r="TEM32" s="1551"/>
      <c r="TEN32" s="1551"/>
      <c r="TEO32" s="1551"/>
      <c r="TEP32" s="1551"/>
      <c r="TEQ32" s="1551"/>
      <c r="TER32" s="1551"/>
      <c r="TES32" s="1551"/>
      <c r="TET32" s="1551"/>
      <c r="TEU32" s="1551"/>
      <c r="TEV32" s="1551"/>
      <c r="TEW32" s="1551"/>
      <c r="TEX32" s="1551"/>
      <c r="TEY32" s="1551"/>
      <c r="TEZ32" s="1551"/>
      <c r="TFA32" s="1551"/>
      <c r="TFB32" s="1551"/>
      <c r="TFC32" s="1551"/>
      <c r="TFD32" s="1551"/>
      <c r="TFE32" s="1551"/>
      <c r="TFF32" s="1551"/>
      <c r="TFG32" s="1551"/>
      <c r="TFH32" s="1551"/>
      <c r="TFI32" s="1551"/>
      <c r="TFJ32" s="1551"/>
      <c r="TFK32" s="1551"/>
      <c r="TFL32" s="1551"/>
      <c r="TFM32" s="1551"/>
      <c r="TFN32" s="1551"/>
      <c r="TFO32" s="1551"/>
      <c r="TFP32" s="1551"/>
      <c r="TFQ32" s="1551"/>
      <c r="TFR32" s="1551"/>
      <c r="TFS32" s="1551"/>
      <c r="TFT32" s="1551"/>
      <c r="TFU32" s="1551"/>
      <c r="TFV32" s="1551"/>
      <c r="TFW32" s="1551"/>
      <c r="TFX32" s="1551"/>
      <c r="TFY32" s="1551"/>
      <c r="TFZ32" s="1551"/>
      <c r="TGA32" s="1551"/>
      <c r="TGB32" s="1551"/>
      <c r="TGC32" s="1551"/>
      <c r="TGD32" s="1551"/>
      <c r="TGE32" s="1551"/>
      <c r="TGF32" s="1551"/>
      <c r="TGG32" s="1551"/>
      <c r="TGH32" s="1551"/>
      <c r="TGI32" s="1551"/>
      <c r="TGJ32" s="1551"/>
      <c r="TGK32" s="1551"/>
      <c r="TGL32" s="1551"/>
      <c r="TGM32" s="1551"/>
      <c r="TGN32" s="1551"/>
      <c r="TGO32" s="1551"/>
      <c r="TGP32" s="1551"/>
      <c r="TGQ32" s="1551"/>
      <c r="TGR32" s="1551"/>
      <c r="TGS32" s="1551"/>
      <c r="TGT32" s="1551"/>
      <c r="TGU32" s="1551"/>
      <c r="TGV32" s="1551"/>
      <c r="TGW32" s="1551"/>
      <c r="TGX32" s="1551"/>
      <c r="TGY32" s="1551"/>
      <c r="TGZ32" s="1551"/>
      <c r="THA32" s="1551"/>
      <c r="THB32" s="1551"/>
      <c r="THC32" s="1551"/>
      <c r="THD32" s="1551"/>
      <c r="THE32" s="1551"/>
      <c r="THF32" s="1551"/>
      <c r="THG32" s="1551"/>
      <c r="THH32" s="1551"/>
      <c r="THI32" s="1551"/>
      <c r="THJ32" s="1551"/>
      <c r="THK32" s="1551"/>
      <c r="THL32" s="1551"/>
      <c r="THM32" s="1551"/>
      <c r="THN32" s="1551"/>
      <c r="THO32" s="1551"/>
      <c r="THP32" s="1551"/>
      <c r="THQ32" s="1551"/>
      <c r="THR32" s="1551"/>
      <c r="THS32" s="1551"/>
      <c r="THT32" s="1551"/>
      <c r="THU32" s="1551"/>
      <c r="THV32" s="1551"/>
      <c r="THW32" s="1551"/>
      <c r="THX32" s="1551"/>
      <c r="THY32" s="1551"/>
      <c r="THZ32" s="1551"/>
      <c r="TIA32" s="1551"/>
      <c r="TIB32" s="1551"/>
      <c r="TIC32" s="1551"/>
      <c r="TID32" s="1551"/>
      <c r="TIE32" s="1551"/>
      <c r="TIF32" s="1551"/>
      <c r="TIG32" s="1551"/>
      <c r="TIH32" s="1551"/>
      <c r="TII32" s="1551"/>
      <c r="TIJ32" s="1551"/>
      <c r="TIK32" s="1551"/>
      <c r="TIL32" s="1551"/>
      <c r="TIM32" s="1551"/>
      <c r="TIN32" s="1551"/>
      <c r="TIO32" s="1551"/>
      <c r="TIP32" s="1551"/>
      <c r="TIQ32" s="1551"/>
      <c r="TIR32" s="1551"/>
      <c r="TIS32" s="1551"/>
      <c r="TIT32" s="1551"/>
      <c r="TIU32" s="1551"/>
      <c r="TIV32" s="1551"/>
      <c r="TIW32" s="1551"/>
      <c r="TIX32" s="1551"/>
      <c r="TIY32" s="1551"/>
      <c r="TIZ32" s="1551"/>
      <c r="TJA32" s="1551"/>
      <c r="TJB32" s="1551"/>
      <c r="TJC32" s="1551"/>
      <c r="TJD32" s="1551"/>
      <c r="TJE32" s="1551"/>
      <c r="TJF32" s="1551"/>
      <c r="TJG32" s="1551"/>
      <c r="TJH32" s="1551"/>
      <c r="TJI32" s="1551"/>
      <c r="TJJ32" s="1551"/>
      <c r="TJK32" s="1551"/>
      <c r="TJL32" s="1551"/>
      <c r="TJM32" s="1551"/>
      <c r="TJN32" s="1551"/>
      <c r="TJO32" s="1551"/>
      <c r="TJP32" s="1551"/>
      <c r="TJQ32" s="1551"/>
      <c r="TJR32" s="1551"/>
      <c r="TJS32" s="1551"/>
      <c r="TJT32" s="1551"/>
      <c r="TJU32" s="1551"/>
      <c r="TJV32" s="1551"/>
      <c r="TJW32" s="1551"/>
      <c r="TJX32" s="1551"/>
      <c r="TJY32" s="1551"/>
      <c r="TJZ32" s="1551"/>
      <c r="TKA32" s="1551"/>
      <c r="TKB32" s="1551"/>
      <c r="TKC32" s="1551"/>
      <c r="TKD32" s="1551"/>
      <c r="TKE32" s="1551"/>
      <c r="TKF32" s="1551"/>
      <c r="TKG32" s="1551"/>
      <c r="TKH32" s="1551"/>
      <c r="TKI32" s="1551"/>
      <c r="TKJ32" s="1551"/>
      <c r="TKK32" s="1551"/>
      <c r="TKL32" s="1551"/>
      <c r="TKM32" s="1551"/>
      <c r="TKN32" s="1551"/>
      <c r="TKO32" s="1551"/>
      <c r="TKP32" s="1551"/>
      <c r="TKQ32" s="1551"/>
      <c r="TKR32" s="1551"/>
      <c r="TKS32" s="1551"/>
      <c r="TKT32" s="1551"/>
      <c r="TKU32" s="1551"/>
      <c r="TKV32" s="1551"/>
      <c r="TKW32" s="1551"/>
      <c r="TKX32" s="1551"/>
      <c r="TKY32" s="1551"/>
      <c r="TKZ32" s="1551"/>
      <c r="TLA32" s="1551"/>
      <c r="TLB32" s="1551"/>
      <c r="TLC32" s="1551"/>
      <c r="TLD32" s="1551"/>
      <c r="TLE32" s="1551"/>
      <c r="TLF32" s="1551"/>
      <c r="TLG32" s="1551"/>
      <c r="TLH32" s="1551"/>
      <c r="TLI32" s="1551"/>
      <c r="TLJ32" s="1551"/>
      <c r="TLK32" s="1551"/>
      <c r="TLL32" s="1551"/>
      <c r="TLM32" s="1551"/>
      <c r="TLN32" s="1551"/>
      <c r="TLO32" s="1551"/>
      <c r="TLP32" s="1551"/>
      <c r="TLQ32" s="1551"/>
      <c r="TLR32" s="1551"/>
      <c r="TLS32" s="1551"/>
      <c r="TLT32" s="1551"/>
      <c r="TLU32" s="1551"/>
      <c r="TLV32" s="1551"/>
      <c r="TLW32" s="1551"/>
      <c r="TLX32" s="1551"/>
      <c r="TLY32" s="1551"/>
      <c r="TLZ32" s="1551"/>
      <c r="TMA32" s="1551"/>
      <c r="TMB32" s="1551"/>
      <c r="TMC32" s="1551"/>
      <c r="TMD32" s="1551"/>
      <c r="TME32" s="1551"/>
      <c r="TMF32" s="1551"/>
      <c r="TMG32" s="1551"/>
      <c r="TMH32" s="1551"/>
      <c r="TMI32" s="1551"/>
      <c r="TMJ32" s="1551"/>
      <c r="TMK32" s="1551"/>
      <c r="TML32" s="1551"/>
      <c r="TMM32" s="1551"/>
      <c r="TMN32" s="1551"/>
      <c r="TMO32" s="1551"/>
      <c r="TMP32" s="1551"/>
      <c r="TMQ32" s="1551"/>
      <c r="TMR32" s="1551"/>
      <c r="TMS32" s="1551"/>
      <c r="TMT32" s="1551"/>
      <c r="TMU32" s="1551"/>
      <c r="TMV32" s="1551"/>
      <c r="TMW32" s="1551"/>
      <c r="TMX32" s="1551"/>
      <c r="TMY32" s="1551"/>
      <c r="TMZ32" s="1551"/>
      <c r="TNA32" s="1551"/>
      <c r="TNB32" s="1551"/>
      <c r="TNC32" s="1551"/>
      <c r="TND32" s="1551"/>
      <c r="TNE32" s="1551"/>
      <c r="TNF32" s="1551"/>
      <c r="TNG32" s="1551"/>
      <c r="TNH32" s="1551"/>
      <c r="TNI32" s="1551"/>
      <c r="TNJ32" s="1551"/>
      <c r="TNK32" s="1551"/>
      <c r="TNL32" s="1551"/>
      <c r="TNM32" s="1551"/>
      <c r="TNN32" s="1551"/>
      <c r="TNO32" s="1551"/>
      <c r="TNP32" s="1551"/>
      <c r="TNQ32" s="1551"/>
      <c r="TNR32" s="1551"/>
      <c r="TNS32" s="1551"/>
      <c r="TNT32" s="1551"/>
      <c r="TNU32" s="1551"/>
      <c r="TNV32" s="1551"/>
      <c r="TNW32" s="1551"/>
      <c r="TNX32" s="1551"/>
      <c r="TNY32" s="1551"/>
      <c r="TNZ32" s="1551"/>
      <c r="TOA32" s="1551"/>
      <c r="TOB32" s="1551"/>
      <c r="TOC32" s="1551"/>
      <c r="TOD32" s="1551"/>
      <c r="TOE32" s="1551"/>
      <c r="TOF32" s="1551"/>
      <c r="TOG32" s="1551"/>
      <c r="TOH32" s="1551"/>
      <c r="TOI32" s="1551"/>
      <c r="TOJ32" s="1551"/>
      <c r="TOK32" s="1551"/>
      <c r="TOL32" s="1551"/>
      <c r="TOM32" s="1551"/>
      <c r="TON32" s="1551"/>
      <c r="TOO32" s="1551"/>
      <c r="TOP32" s="1551"/>
      <c r="TOQ32" s="1551"/>
      <c r="TOR32" s="1551"/>
      <c r="TOS32" s="1551"/>
      <c r="TOT32" s="1551"/>
      <c r="TOU32" s="1551"/>
      <c r="TOV32" s="1551"/>
      <c r="TOW32" s="1551"/>
      <c r="TOX32" s="1551"/>
      <c r="TOY32" s="1551"/>
      <c r="TOZ32" s="1551"/>
      <c r="TPA32" s="1551"/>
      <c r="TPB32" s="1551"/>
      <c r="TPC32" s="1551"/>
      <c r="TPD32" s="1551"/>
      <c r="TPE32" s="1551"/>
      <c r="TPF32" s="1551"/>
      <c r="TPG32" s="1551"/>
      <c r="TPH32" s="1551"/>
      <c r="TPI32" s="1551"/>
      <c r="TPJ32" s="1551"/>
      <c r="TPK32" s="1551"/>
      <c r="TPL32" s="1551"/>
      <c r="TPM32" s="1551"/>
      <c r="TPN32" s="1551"/>
      <c r="TPO32" s="1551"/>
      <c r="TPP32" s="1551"/>
      <c r="TPQ32" s="1551"/>
      <c r="TPR32" s="1551"/>
      <c r="TPS32" s="1551"/>
      <c r="TPT32" s="1551"/>
      <c r="TPU32" s="1551"/>
      <c r="TPV32" s="1551"/>
      <c r="TPW32" s="1551"/>
      <c r="TPX32" s="1551"/>
      <c r="TPY32" s="1551"/>
      <c r="TPZ32" s="1551"/>
      <c r="TQA32" s="1551"/>
      <c r="TQB32" s="1551"/>
      <c r="TQC32" s="1551"/>
      <c r="TQD32" s="1551"/>
      <c r="TQE32" s="1551"/>
      <c r="TQF32" s="1551"/>
      <c r="TQG32" s="1551"/>
      <c r="TQH32" s="1551"/>
      <c r="TQI32" s="1551"/>
      <c r="TQJ32" s="1551"/>
      <c r="TQK32" s="1551"/>
      <c r="TQL32" s="1551"/>
      <c r="TQM32" s="1551"/>
      <c r="TQN32" s="1551"/>
      <c r="TQO32" s="1551"/>
      <c r="TQP32" s="1551"/>
      <c r="TQQ32" s="1551"/>
      <c r="TQR32" s="1551"/>
      <c r="TQS32" s="1551"/>
      <c r="TQT32" s="1551"/>
      <c r="TQU32" s="1551"/>
      <c r="TQV32" s="1551"/>
      <c r="TQW32" s="1551"/>
      <c r="TQX32" s="1551"/>
      <c r="TQY32" s="1551"/>
      <c r="TQZ32" s="1551"/>
      <c r="TRA32" s="1551"/>
      <c r="TRB32" s="1551"/>
      <c r="TRC32" s="1551"/>
      <c r="TRD32" s="1551"/>
      <c r="TRE32" s="1551"/>
      <c r="TRF32" s="1551"/>
      <c r="TRG32" s="1551"/>
      <c r="TRH32" s="1551"/>
      <c r="TRI32" s="1551"/>
      <c r="TRJ32" s="1551"/>
      <c r="TRK32" s="1551"/>
      <c r="TRL32" s="1551"/>
      <c r="TRM32" s="1551"/>
      <c r="TRN32" s="1551"/>
      <c r="TRO32" s="1551"/>
      <c r="TRP32" s="1551"/>
      <c r="TRQ32" s="1551"/>
      <c r="TRR32" s="1551"/>
      <c r="TRS32" s="1551"/>
      <c r="TRT32" s="1551"/>
      <c r="TRU32" s="1551"/>
      <c r="TRV32" s="1551"/>
      <c r="TRW32" s="1551"/>
      <c r="TRX32" s="1551"/>
      <c r="TRY32" s="1551"/>
      <c r="TRZ32" s="1551"/>
      <c r="TSA32" s="1551"/>
      <c r="TSB32" s="1551"/>
      <c r="TSC32" s="1551"/>
      <c r="TSD32" s="1551"/>
      <c r="TSE32" s="1551"/>
      <c r="TSF32" s="1551"/>
      <c r="TSG32" s="1551"/>
      <c r="TSH32" s="1551"/>
      <c r="TSI32" s="1551"/>
      <c r="TSJ32" s="1551"/>
      <c r="TSK32" s="1551"/>
      <c r="TSL32" s="1551"/>
      <c r="TSM32" s="1551"/>
      <c r="TSN32" s="1551"/>
      <c r="TSO32" s="1551"/>
      <c r="TSP32" s="1551"/>
      <c r="TSQ32" s="1551"/>
      <c r="TSR32" s="1551"/>
      <c r="TSS32" s="1551"/>
      <c r="TST32" s="1551"/>
      <c r="TSU32" s="1551"/>
      <c r="TSV32" s="1551"/>
      <c r="TSW32" s="1551"/>
      <c r="TSX32" s="1551"/>
      <c r="TSY32" s="1551"/>
      <c r="TSZ32" s="1551"/>
      <c r="TTA32" s="1551"/>
      <c r="TTB32" s="1551"/>
      <c r="TTC32" s="1551"/>
      <c r="TTD32" s="1551"/>
      <c r="TTE32" s="1551"/>
      <c r="TTF32" s="1551"/>
      <c r="TTG32" s="1551"/>
      <c r="TTH32" s="1551"/>
      <c r="TTI32" s="1551"/>
      <c r="TTJ32" s="1551"/>
      <c r="TTK32" s="1551"/>
      <c r="TTL32" s="1551"/>
      <c r="TTM32" s="1551"/>
      <c r="TTN32" s="1551"/>
      <c r="TTO32" s="1551"/>
      <c r="TTP32" s="1551"/>
      <c r="TTQ32" s="1551"/>
      <c r="TTR32" s="1551"/>
      <c r="TTS32" s="1551"/>
      <c r="TTT32" s="1551"/>
      <c r="TTU32" s="1551"/>
      <c r="TTV32" s="1551"/>
      <c r="TTW32" s="1551"/>
      <c r="TTX32" s="1551"/>
      <c r="TTY32" s="1551"/>
      <c r="TTZ32" s="1551"/>
      <c r="TUA32" s="1551"/>
      <c r="TUB32" s="1551"/>
      <c r="TUC32" s="1551"/>
      <c r="TUD32" s="1551"/>
      <c r="TUE32" s="1551"/>
      <c r="TUF32" s="1551"/>
      <c r="TUG32" s="1551"/>
      <c r="TUH32" s="1551"/>
      <c r="TUI32" s="1551"/>
      <c r="TUJ32" s="1551"/>
      <c r="TUK32" s="1551"/>
      <c r="TUL32" s="1551"/>
      <c r="TUM32" s="1551"/>
      <c r="TUN32" s="1551"/>
      <c r="TUO32" s="1551"/>
      <c r="TUP32" s="1551"/>
      <c r="TUQ32" s="1551"/>
      <c r="TUR32" s="1551"/>
      <c r="TUS32" s="1551"/>
      <c r="TUT32" s="1551"/>
      <c r="TUU32" s="1551"/>
      <c r="TUV32" s="1551"/>
      <c r="TUW32" s="1551"/>
      <c r="TUX32" s="1551"/>
      <c r="TUY32" s="1551"/>
      <c r="TUZ32" s="1551"/>
      <c r="TVA32" s="1551"/>
      <c r="TVB32" s="1551"/>
      <c r="TVC32" s="1551"/>
      <c r="TVD32" s="1551"/>
      <c r="TVE32" s="1551"/>
      <c r="TVF32" s="1551"/>
      <c r="TVG32" s="1551"/>
      <c r="TVH32" s="1551"/>
      <c r="TVI32" s="1551"/>
      <c r="TVJ32" s="1551"/>
      <c r="TVK32" s="1551"/>
      <c r="TVL32" s="1551"/>
      <c r="TVM32" s="1551"/>
      <c r="TVN32" s="1551"/>
      <c r="TVO32" s="1551"/>
      <c r="TVP32" s="1551"/>
      <c r="TVQ32" s="1551"/>
      <c r="TVR32" s="1551"/>
      <c r="TVS32" s="1551"/>
      <c r="TVT32" s="1551"/>
      <c r="TVU32" s="1551"/>
      <c r="TVV32" s="1551"/>
      <c r="TVW32" s="1551"/>
      <c r="TVX32" s="1551"/>
      <c r="TVY32" s="1551"/>
      <c r="TVZ32" s="1551"/>
      <c r="TWA32" s="1551"/>
      <c r="TWB32" s="1551"/>
      <c r="TWC32" s="1551"/>
      <c r="TWD32" s="1551"/>
      <c r="TWE32" s="1551"/>
      <c r="TWF32" s="1551"/>
      <c r="TWG32" s="1551"/>
      <c r="TWH32" s="1551"/>
      <c r="TWI32" s="1551"/>
      <c r="TWJ32" s="1551"/>
      <c r="TWK32" s="1551"/>
      <c r="TWL32" s="1551"/>
      <c r="TWM32" s="1551"/>
      <c r="TWN32" s="1551"/>
      <c r="TWO32" s="1551"/>
      <c r="TWP32" s="1551"/>
      <c r="TWQ32" s="1551"/>
      <c r="TWR32" s="1551"/>
      <c r="TWS32" s="1551"/>
      <c r="TWT32" s="1551"/>
      <c r="TWU32" s="1551"/>
      <c r="TWV32" s="1551"/>
      <c r="TWW32" s="1551"/>
      <c r="TWX32" s="1551"/>
      <c r="TWY32" s="1551"/>
      <c r="TWZ32" s="1551"/>
      <c r="TXA32" s="1551"/>
      <c r="TXB32" s="1551"/>
      <c r="TXC32" s="1551"/>
      <c r="TXD32" s="1551"/>
      <c r="TXE32" s="1551"/>
      <c r="TXF32" s="1551"/>
      <c r="TXG32" s="1551"/>
      <c r="TXH32" s="1551"/>
      <c r="TXI32" s="1551"/>
      <c r="TXJ32" s="1551"/>
      <c r="TXK32" s="1551"/>
      <c r="TXL32" s="1551"/>
      <c r="TXM32" s="1551"/>
      <c r="TXN32" s="1551"/>
      <c r="TXO32" s="1551"/>
      <c r="TXP32" s="1551"/>
      <c r="TXQ32" s="1551"/>
      <c r="TXR32" s="1551"/>
      <c r="TXS32" s="1551"/>
      <c r="TXT32" s="1551"/>
      <c r="TXU32" s="1551"/>
      <c r="TXV32" s="1551"/>
      <c r="TXW32" s="1551"/>
      <c r="TXX32" s="1551"/>
      <c r="TXY32" s="1551"/>
      <c r="TXZ32" s="1551"/>
      <c r="TYA32" s="1551"/>
      <c r="TYB32" s="1551"/>
      <c r="TYC32" s="1551"/>
      <c r="TYD32" s="1551"/>
      <c r="TYE32" s="1551"/>
      <c r="TYF32" s="1551"/>
      <c r="TYG32" s="1551"/>
      <c r="TYH32" s="1551"/>
      <c r="TYI32" s="1551"/>
      <c r="TYJ32" s="1551"/>
      <c r="TYK32" s="1551"/>
      <c r="TYL32" s="1551"/>
      <c r="TYM32" s="1551"/>
      <c r="TYN32" s="1551"/>
      <c r="TYO32" s="1551"/>
      <c r="TYP32" s="1551"/>
      <c r="TYQ32" s="1551"/>
      <c r="TYR32" s="1551"/>
      <c r="TYS32" s="1551"/>
      <c r="TYT32" s="1551"/>
      <c r="TYU32" s="1551"/>
      <c r="TYV32" s="1551"/>
      <c r="TYW32" s="1551"/>
      <c r="TYX32" s="1551"/>
      <c r="TYY32" s="1551"/>
      <c r="TYZ32" s="1551"/>
      <c r="TZA32" s="1551"/>
      <c r="TZB32" s="1551"/>
      <c r="TZC32" s="1551"/>
      <c r="TZD32" s="1551"/>
      <c r="TZE32" s="1551"/>
      <c r="TZF32" s="1551"/>
      <c r="TZG32" s="1551"/>
      <c r="TZH32" s="1551"/>
      <c r="TZI32" s="1551"/>
      <c r="TZJ32" s="1551"/>
      <c r="TZK32" s="1551"/>
      <c r="TZL32" s="1551"/>
      <c r="TZM32" s="1551"/>
      <c r="TZN32" s="1551"/>
      <c r="TZO32" s="1551"/>
      <c r="TZP32" s="1551"/>
      <c r="TZQ32" s="1551"/>
      <c r="TZR32" s="1551"/>
      <c r="TZS32" s="1551"/>
      <c r="TZT32" s="1551"/>
      <c r="TZU32" s="1551"/>
      <c r="TZV32" s="1551"/>
      <c r="TZW32" s="1551"/>
      <c r="TZX32" s="1551"/>
      <c r="TZY32" s="1551"/>
      <c r="TZZ32" s="1551"/>
      <c r="UAA32" s="1551"/>
      <c r="UAB32" s="1551"/>
      <c r="UAC32" s="1551"/>
      <c r="UAD32" s="1551"/>
      <c r="UAE32" s="1551"/>
      <c r="UAF32" s="1551"/>
      <c r="UAG32" s="1551"/>
      <c r="UAH32" s="1551"/>
      <c r="UAI32" s="1551"/>
      <c r="UAJ32" s="1551"/>
      <c r="UAK32" s="1551"/>
      <c r="UAL32" s="1551"/>
      <c r="UAM32" s="1551"/>
      <c r="UAN32" s="1551"/>
      <c r="UAO32" s="1551"/>
      <c r="UAP32" s="1551"/>
      <c r="UAQ32" s="1551"/>
      <c r="UAR32" s="1551"/>
      <c r="UAS32" s="1551"/>
      <c r="UAT32" s="1551"/>
      <c r="UAU32" s="1551"/>
      <c r="UAV32" s="1551"/>
      <c r="UAW32" s="1551"/>
      <c r="UAX32" s="1551"/>
      <c r="UAY32" s="1551"/>
      <c r="UAZ32" s="1551"/>
      <c r="UBA32" s="1551"/>
      <c r="UBB32" s="1551"/>
      <c r="UBC32" s="1551"/>
      <c r="UBD32" s="1551"/>
      <c r="UBE32" s="1551"/>
      <c r="UBF32" s="1551"/>
      <c r="UBG32" s="1551"/>
      <c r="UBH32" s="1551"/>
      <c r="UBI32" s="1551"/>
      <c r="UBJ32" s="1551"/>
      <c r="UBK32" s="1551"/>
      <c r="UBL32" s="1551"/>
      <c r="UBM32" s="1551"/>
      <c r="UBN32" s="1551"/>
      <c r="UBO32" s="1551"/>
      <c r="UBP32" s="1551"/>
      <c r="UBQ32" s="1551"/>
      <c r="UBR32" s="1551"/>
      <c r="UBS32" s="1551"/>
      <c r="UBT32" s="1551"/>
      <c r="UBU32" s="1551"/>
      <c r="UBV32" s="1551"/>
      <c r="UBW32" s="1551"/>
      <c r="UBX32" s="1551"/>
      <c r="UBY32" s="1551"/>
      <c r="UBZ32" s="1551"/>
      <c r="UCA32" s="1551"/>
      <c r="UCB32" s="1551"/>
      <c r="UCC32" s="1551"/>
      <c r="UCD32" s="1551"/>
      <c r="UCE32" s="1551"/>
      <c r="UCF32" s="1551"/>
      <c r="UCG32" s="1551"/>
      <c r="UCH32" s="1551"/>
      <c r="UCI32" s="1551"/>
      <c r="UCJ32" s="1551"/>
      <c r="UCK32" s="1551"/>
      <c r="UCL32" s="1551"/>
      <c r="UCM32" s="1551"/>
      <c r="UCN32" s="1551"/>
      <c r="UCO32" s="1551"/>
      <c r="UCP32" s="1551"/>
      <c r="UCQ32" s="1551"/>
      <c r="UCR32" s="1551"/>
      <c r="UCS32" s="1551"/>
      <c r="UCT32" s="1551"/>
      <c r="UCU32" s="1551"/>
      <c r="UCV32" s="1551"/>
      <c r="UCW32" s="1551"/>
      <c r="UCX32" s="1551"/>
      <c r="UCY32" s="1551"/>
      <c r="UCZ32" s="1551"/>
      <c r="UDA32" s="1551"/>
      <c r="UDB32" s="1551"/>
      <c r="UDC32" s="1551"/>
      <c r="UDD32" s="1551"/>
      <c r="UDE32" s="1551"/>
      <c r="UDF32" s="1551"/>
      <c r="UDG32" s="1551"/>
      <c r="UDH32" s="1551"/>
      <c r="UDI32" s="1551"/>
      <c r="UDJ32" s="1551"/>
      <c r="UDK32" s="1551"/>
      <c r="UDL32" s="1551"/>
      <c r="UDM32" s="1551"/>
      <c r="UDN32" s="1551"/>
      <c r="UDO32" s="1551"/>
      <c r="UDP32" s="1551"/>
      <c r="UDQ32" s="1551"/>
      <c r="UDR32" s="1551"/>
      <c r="UDS32" s="1551"/>
      <c r="UDT32" s="1551"/>
      <c r="UDU32" s="1551"/>
      <c r="UDV32" s="1551"/>
      <c r="UDW32" s="1551"/>
      <c r="UDX32" s="1551"/>
      <c r="UDY32" s="1551"/>
      <c r="UDZ32" s="1551"/>
      <c r="UEA32" s="1551"/>
      <c r="UEB32" s="1551"/>
      <c r="UEC32" s="1551"/>
      <c r="UED32" s="1551"/>
      <c r="UEE32" s="1551"/>
      <c r="UEF32" s="1551"/>
      <c r="UEG32" s="1551"/>
      <c r="UEH32" s="1551"/>
      <c r="UEI32" s="1551"/>
      <c r="UEJ32" s="1551"/>
      <c r="UEK32" s="1551"/>
      <c r="UEL32" s="1551"/>
      <c r="UEM32" s="1551"/>
      <c r="UEN32" s="1551"/>
      <c r="UEO32" s="1551"/>
      <c r="UEP32" s="1551"/>
      <c r="UEQ32" s="1551"/>
      <c r="UER32" s="1551"/>
      <c r="UES32" s="1551"/>
      <c r="UET32" s="1551"/>
      <c r="UEU32" s="1551"/>
      <c r="UEV32" s="1551"/>
      <c r="UEW32" s="1551"/>
      <c r="UEX32" s="1551"/>
      <c r="UEY32" s="1551"/>
      <c r="UEZ32" s="1551"/>
      <c r="UFA32" s="1551"/>
      <c r="UFB32" s="1551"/>
      <c r="UFC32" s="1551"/>
      <c r="UFD32" s="1551"/>
      <c r="UFE32" s="1551"/>
      <c r="UFF32" s="1551"/>
      <c r="UFG32" s="1551"/>
      <c r="UFH32" s="1551"/>
      <c r="UFI32" s="1551"/>
      <c r="UFJ32" s="1551"/>
      <c r="UFK32" s="1551"/>
      <c r="UFL32" s="1551"/>
      <c r="UFM32" s="1551"/>
      <c r="UFN32" s="1551"/>
      <c r="UFO32" s="1551"/>
      <c r="UFP32" s="1551"/>
      <c r="UFQ32" s="1551"/>
      <c r="UFR32" s="1551"/>
      <c r="UFS32" s="1551"/>
      <c r="UFT32" s="1551"/>
      <c r="UFU32" s="1551"/>
      <c r="UFV32" s="1551"/>
      <c r="UFW32" s="1551"/>
      <c r="UFX32" s="1551"/>
      <c r="UFY32" s="1551"/>
      <c r="UFZ32" s="1551"/>
      <c r="UGA32" s="1551"/>
      <c r="UGB32" s="1551"/>
      <c r="UGC32" s="1551"/>
      <c r="UGD32" s="1551"/>
      <c r="UGE32" s="1551"/>
      <c r="UGF32" s="1551"/>
      <c r="UGG32" s="1551"/>
      <c r="UGH32" s="1551"/>
      <c r="UGI32" s="1551"/>
      <c r="UGJ32" s="1551"/>
      <c r="UGK32" s="1551"/>
      <c r="UGL32" s="1551"/>
      <c r="UGM32" s="1551"/>
      <c r="UGN32" s="1551"/>
      <c r="UGO32" s="1551"/>
      <c r="UGP32" s="1551"/>
      <c r="UGQ32" s="1551"/>
      <c r="UGR32" s="1551"/>
      <c r="UGS32" s="1551"/>
      <c r="UGT32" s="1551"/>
      <c r="UGU32" s="1551"/>
      <c r="UGV32" s="1551"/>
      <c r="UGW32" s="1551"/>
      <c r="UGX32" s="1551"/>
      <c r="UGY32" s="1551"/>
      <c r="UGZ32" s="1551"/>
      <c r="UHA32" s="1551"/>
      <c r="UHB32" s="1551"/>
      <c r="UHC32" s="1551"/>
      <c r="UHD32" s="1551"/>
      <c r="UHE32" s="1551"/>
      <c r="UHF32" s="1551"/>
      <c r="UHG32" s="1551"/>
      <c r="UHH32" s="1551"/>
      <c r="UHI32" s="1551"/>
      <c r="UHJ32" s="1551"/>
      <c r="UHK32" s="1551"/>
      <c r="UHL32" s="1551"/>
      <c r="UHM32" s="1551"/>
      <c r="UHN32" s="1551"/>
      <c r="UHO32" s="1551"/>
      <c r="UHP32" s="1551"/>
      <c r="UHQ32" s="1551"/>
      <c r="UHR32" s="1551"/>
      <c r="UHS32" s="1551"/>
      <c r="UHT32" s="1551"/>
      <c r="UHU32" s="1551"/>
      <c r="UHV32" s="1551"/>
      <c r="UHW32" s="1551"/>
      <c r="UHX32" s="1551"/>
      <c r="UHY32" s="1551"/>
      <c r="UHZ32" s="1551"/>
      <c r="UIA32" s="1551"/>
      <c r="UIB32" s="1551"/>
      <c r="UIC32" s="1551"/>
      <c r="UID32" s="1551"/>
      <c r="UIE32" s="1551"/>
      <c r="UIF32" s="1551"/>
      <c r="UIG32" s="1551"/>
      <c r="UIH32" s="1551"/>
      <c r="UII32" s="1551"/>
      <c r="UIJ32" s="1551"/>
      <c r="UIK32" s="1551"/>
      <c r="UIL32" s="1551"/>
      <c r="UIM32" s="1551"/>
      <c r="UIN32" s="1551"/>
      <c r="UIO32" s="1551"/>
      <c r="UIP32" s="1551"/>
      <c r="UIQ32" s="1551"/>
      <c r="UIR32" s="1551"/>
      <c r="UIS32" s="1551"/>
      <c r="UIT32" s="1551"/>
      <c r="UIU32" s="1551"/>
      <c r="UIV32" s="1551"/>
      <c r="UIW32" s="1551"/>
      <c r="UIX32" s="1551"/>
      <c r="UIY32" s="1551"/>
      <c r="UIZ32" s="1551"/>
      <c r="UJA32" s="1551"/>
      <c r="UJB32" s="1551"/>
      <c r="UJC32" s="1551"/>
      <c r="UJD32" s="1551"/>
      <c r="UJE32" s="1551"/>
      <c r="UJF32" s="1551"/>
      <c r="UJG32" s="1551"/>
      <c r="UJH32" s="1551"/>
      <c r="UJI32" s="1551"/>
      <c r="UJJ32" s="1551"/>
      <c r="UJK32" s="1551"/>
      <c r="UJL32" s="1551"/>
      <c r="UJM32" s="1551"/>
      <c r="UJN32" s="1551"/>
      <c r="UJO32" s="1551"/>
      <c r="UJP32" s="1551"/>
      <c r="UJQ32" s="1551"/>
      <c r="UJR32" s="1551"/>
      <c r="UJS32" s="1551"/>
      <c r="UJT32" s="1551"/>
      <c r="UJU32" s="1551"/>
      <c r="UJV32" s="1551"/>
      <c r="UJW32" s="1551"/>
      <c r="UJX32" s="1551"/>
      <c r="UJY32" s="1551"/>
      <c r="UJZ32" s="1551"/>
      <c r="UKA32" s="1551"/>
      <c r="UKB32" s="1551"/>
      <c r="UKC32" s="1551"/>
      <c r="UKD32" s="1551"/>
      <c r="UKE32" s="1551"/>
      <c r="UKF32" s="1551"/>
      <c r="UKG32" s="1551"/>
      <c r="UKH32" s="1551"/>
      <c r="UKI32" s="1551"/>
      <c r="UKJ32" s="1551"/>
      <c r="UKK32" s="1551"/>
      <c r="UKL32" s="1551"/>
      <c r="UKM32" s="1551"/>
      <c r="UKN32" s="1551"/>
      <c r="UKO32" s="1551"/>
      <c r="UKP32" s="1551"/>
      <c r="UKQ32" s="1551"/>
      <c r="UKR32" s="1551"/>
      <c r="UKS32" s="1551"/>
      <c r="UKT32" s="1551"/>
      <c r="UKU32" s="1551"/>
      <c r="UKV32" s="1551"/>
      <c r="UKW32" s="1551"/>
      <c r="UKX32" s="1551"/>
      <c r="UKY32" s="1551"/>
      <c r="UKZ32" s="1551"/>
      <c r="ULA32" s="1551"/>
      <c r="ULB32" s="1551"/>
      <c r="ULC32" s="1551"/>
      <c r="ULD32" s="1551"/>
      <c r="ULE32" s="1551"/>
      <c r="ULF32" s="1551"/>
      <c r="ULG32" s="1551"/>
      <c r="ULH32" s="1551"/>
      <c r="ULI32" s="1551"/>
      <c r="ULJ32" s="1551"/>
      <c r="ULK32" s="1551"/>
      <c r="ULL32" s="1551"/>
      <c r="ULM32" s="1551"/>
      <c r="ULN32" s="1551"/>
      <c r="ULO32" s="1551"/>
      <c r="ULP32" s="1551"/>
      <c r="ULQ32" s="1551"/>
      <c r="ULR32" s="1551"/>
      <c r="ULS32" s="1551"/>
      <c r="ULT32" s="1551"/>
      <c r="ULU32" s="1551"/>
      <c r="ULV32" s="1551"/>
      <c r="ULW32" s="1551"/>
      <c r="ULX32" s="1551"/>
      <c r="ULY32" s="1551"/>
      <c r="ULZ32" s="1551"/>
      <c r="UMA32" s="1551"/>
      <c r="UMB32" s="1551"/>
      <c r="UMC32" s="1551"/>
      <c r="UMD32" s="1551"/>
      <c r="UME32" s="1551"/>
      <c r="UMF32" s="1551"/>
      <c r="UMG32" s="1551"/>
      <c r="UMH32" s="1551"/>
      <c r="UMI32" s="1551"/>
      <c r="UMJ32" s="1551"/>
      <c r="UMK32" s="1551"/>
      <c r="UML32" s="1551"/>
      <c r="UMM32" s="1551"/>
      <c r="UMN32" s="1551"/>
      <c r="UMO32" s="1551"/>
      <c r="UMP32" s="1551"/>
      <c r="UMQ32" s="1551"/>
      <c r="UMR32" s="1551"/>
      <c r="UMS32" s="1551"/>
      <c r="UMT32" s="1551"/>
      <c r="UMU32" s="1551"/>
      <c r="UMV32" s="1551"/>
      <c r="UMW32" s="1551"/>
      <c r="UMX32" s="1551"/>
      <c r="UMY32" s="1551"/>
      <c r="UMZ32" s="1551"/>
      <c r="UNA32" s="1551"/>
      <c r="UNB32" s="1551"/>
      <c r="UNC32" s="1551"/>
      <c r="UND32" s="1551"/>
      <c r="UNE32" s="1551"/>
      <c r="UNF32" s="1551"/>
      <c r="UNG32" s="1551"/>
      <c r="UNH32" s="1551"/>
      <c r="UNI32" s="1551"/>
      <c r="UNJ32" s="1551"/>
      <c r="UNK32" s="1551"/>
      <c r="UNL32" s="1551"/>
      <c r="UNM32" s="1551"/>
      <c r="UNN32" s="1551"/>
      <c r="UNO32" s="1551"/>
      <c r="UNP32" s="1551"/>
      <c r="UNQ32" s="1551"/>
      <c r="UNR32" s="1551"/>
      <c r="UNS32" s="1551"/>
      <c r="UNT32" s="1551"/>
      <c r="UNU32" s="1551"/>
      <c r="UNV32" s="1551"/>
      <c r="UNW32" s="1551"/>
      <c r="UNX32" s="1551"/>
      <c r="UNY32" s="1551"/>
      <c r="UNZ32" s="1551"/>
      <c r="UOA32" s="1551"/>
      <c r="UOB32" s="1551"/>
      <c r="UOC32" s="1551"/>
      <c r="UOD32" s="1551"/>
      <c r="UOE32" s="1551"/>
      <c r="UOF32" s="1551"/>
      <c r="UOG32" s="1551"/>
      <c r="UOH32" s="1551"/>
      <c r="UOI32" s="1551"/>
      <c r="UOJ32" s="1551"/>
      <c r="UOK32" s="1551"/>
      <c r="UOL32" s="1551"/>
      <c r="UOM32" s="1551"/>
      <c r="UON32" s="1551"/>
      <c r="UOO32" s="1551"/>
      <c r="UOP32" s="1551"/>
      <c r="UOQ32" s="1551"/>
      <c r="UOR32" s="1551"/>
      <c r="UOS32" s="1551"/>
      <c r="UOT32" s="1551"/>
      <c r="UOU32" s="1551"/>
      <c r="UOV32" s="1551"/>
      <c r="UOW32" s="1551"/>
      <c r="UOX32" s="1551"/>
      <c r="UOY32" s="1551"/>
      <c r="UOZ32" s="1551"/>
      <c r="UPA32" s="1551"/>
      <c r="UPB32" s="1551"/>
      <c r="UPC32" s="1551"/>
      <c r="UPD32" s="1551"/>
      <c r="UPE32" s="1551"/>
      <c r="UPF32" s="1551"/>
      <c r="UPG32" s="1551"/>
      <c r="UPH32" s="1551"/>
      <c r="UPI32" s="1551"/>
      <c r="UPJ32" s="1551"/>
      <c r="UPK32" s="1551"/>
      <c r="UPL32" s="1551"/>
      <c r="UPM32" s="1551"/>
      <c r="UPN32" s="1551"/>
      <c r="UPO32" s="1551"/>
      <c r="UPP32" s="1551"/>
      <c r="UPQ32" s="1551"/>
      <c r="UPR32" s="1551"/>
      <c r="UPS32" s="1551"/>
      <c r="UPT32" s="1551"/>
      <c r="UPU32" s="1551"/>
      <c r="UPV32" s="1551"/>
      <c r="UPW32" s="1551"/>
      <c r="UPX32" s="1551"/>
      <c r="UPY32" s="1551"/>
      <c r="UPZ32" s="1551"/>
      <c r="UQA32" s="1551"/>
      <c r="UQB32" s="1551"/>
      <c r="UQC32" s="1551"/>
      <c r="UQD32" s="1551"/>
      <c r="UQE32" s="1551"/>
      <c r="UQF32" s="1551"/>
      <c r="UQG32" s="1551"/>
      <c r="UQH32" s="1551"/>
      <c r="UQI32" s="1551"/>
      <c r="UQJ32" s="1551"/>
      <c r="UQK32" s="1551"/>
      <c r="UQL32" s="1551"/>
      <c r="UQM32" s="1551"/>
      <c r="UQN32" s="1551"/>
      <c r="UQO32" s="1551"/>
      <c r="UQP32" s="1551"/>
      <c r="UQQ32" s="1551"/>
      <c r="UQR32" s="1551"/>
      <c r="UQS32" s="1551"/>
      <c r="UQT32" s="1551"/>
      <c r="UQU32" s="1551"/>
      <c r="UQV32" s="1551"/>
      <c r="UQW32" s="1551"/>
      <c r="UQX32" s="1551"/>
      <c r="UQY32" s="1551"/>
      <c r="UQZ32" s="1551"/>
      <c r="URA32" s="1551"/>
      <c r="URB32" s="1551"/>
      <c r="URC32" s="1551"/>
      <c r="URD32" s="1551"/>
      <c r="URE32" s="1551"/>
      <c r="URF32" s="1551"/>
      <c r="URG32" s="1551"/>
      <c r="URH32" s="1551"/>
      <c r="URI32" s="1551"/>
      <c r="URJ32" s="1551"/>
      <c r="URK32" s="1551"/>
      <c r="URL32" s="1551"/>
      <c r="URM32" s="1551"/>
      <c r="URN32" s="1551"/>
      <c r="URO32" s="1551"/>
      <c r="URP32" s="1551"/>
      <c r="URQ32" s="1551"/>
      <c r="URR32" s="1551"/>
      <c r="URS32" s="1551"/>
      <c r="URT32" s="1551"/>
      <c r="URU32" s="1551"/>
      <c r="URV32" s="1551"/>
      <c r="URW32" s="1551"/>
      <c r="URX32" s="1551"/>
      <c r="URY32" s="1551"/>
      <c r="URZ32" s="1551"/>
      <c r="USA32" s="1551"/>
      <c r="USB32" s="1551"/>
      <c r="USC32" s="1551"/>
      <c r="USD32" s="1551"/>
      <c r="USE32" s="1551"/>
      <c r="USF32" s="1551"/>
      <c r="USG32" s="1551"/>
      <c r="USH32" s="1551"/>
      <c r="USI32" s="1551"/>
      <c r="USJ32" s="1551"/>
      <c r="USK32" s="1551"/>
      <c r="USL32" s="1551"/>
      <c r="USM32" s="1551"/>
      <c r="USN32" s="1551"/>
      <c r="USO32" s="1551"/>
      <c r="USP32" s="1551"/>
      <c r="USQ32" s="1551"/>
      <c r="USR32" s="1551"/>
      <c r="USS32" s="1551"/>
      <c r="UST32" s="1551"/>
      <c r="USU32" s="1551"/>
      <c r="USV32" s="1551"/>
      <c r="USW32" s="1551"/>
      <c r="USX32" s="1551"/>
      <c r="USY32" s="1551"/>
      <c r="USZ32" s="1551"/>
      <c r="UTA32" s="1551"/>
      <c r="UTB32" s="1551"/>
      <c r="UTC32" s="1551"/>
      <c r="UTD32" s="1551"/>
      <c r="UTE32" s="1551"/>
      <c r="UTF32" s="1551"/>
      <c r="UTG32" s="1551"/>
      <c r="UTH32" s="1551"/>
      <c r="UTI32" s="1551"/>
      <c r="UTJ32" s="1551"/>
      <c r="UTK32" s="1551"/>
      <c r="UTL32" s="1551"/>
      <c r="UTM32" s="1551"/>
      <c r="UTN32" s="1551"/>
      <c r="UTO32" s="1551"/>
      <c r="UTP32" s="1551"/>
      <c r="UTQ32" s="1551"/>
      <c r="UTR32" s="1551"/>
      <c r="UTS32" s="1551"/>
      <c r="UTT32" s="1551"/>
      <c r="UTU32" s="1551"/>
      <c r="UTV32" s="1551"/>
      <c r="UTW32" s="1551"/>
      <c r="UTX32" s="1551"/>
      <c r="UTY32" s="1551"/>
      <c r="UTZ32" s="1551"/>
      <c r="UUA32" s="1551"/>
      <c r="UUB32" s="1551"/>
      <c r="UUC32" s="1551"/>
      <c r="UUD32" s="1551"/>
      <c r="UUE32" s="1551"/>
      <c r="UUF32" s="1551"/>
      <c r="UUG32" s="1551"/>
      <c r="UUH32" s="1551"/>
      <c r="UUI32" s="1551"/>
      <c r="UUJ32" s="1551"/>
      <c r="UUK32" s="1551"/>
      <c r="UUL32" s="1551"/>
      <c r="UUM32" s="1551"/>
      <c r="UUN32" s="1551"/>
      <c r="UUO32" s="1551"/>
      <c r="UUP32" s="1551"/>
      <c r="UUQ32" s="1551"/>
      <c r="UUR32" s="1551"/>
      <c r="UUS32" s="1551"/>
      <c r="UUT32" s="1551"/>
      <c r="UUU32" s="1551"/>
      <c r="UUV32" s="1551"/>
      <c r="UUW32" s="1551"/>
      <c r="UUX32" s="1551"/>
      <c r="UUY32" s="1551"/>
      <c r="UUZ32" s="1551"/>
      <c r="UVA32" s="1551"/>
      <c r="UVB32" s="1551"/>
      <c r="UVC32" s="1551"/>
      <c r="UVD32" s="1551"/>
      <c r="UVE32" s="1551"/>
      <c r="UVF32" s="1551"/>
      <c r="UVG32" s="1551"/>
      <c r="UVH32" s="1551"/>
      <c r="UVI32" s="1551"/>
      <c r="UVJ32" s="1551"/>
      <c r="UVK32" s="1551"/>
      <c r="UVL32" s="1551"/>
      <c r="UVM32" s="1551"/>
      <c r="UVN32" s="1551"/>
      <c r="UVO32" s="1551"/>
      <c r="UVP32" s="1551"/>
      <c r="UVQ32" s="1551"/>
      <c r="UVR32" s="1551"/>
      <c r="UVS32" s="1551"/>
      <c r="UVT32" s="1551"/>
      <c r="UVU32" s="1551"/>
      <c r="UVV32" s="1551"/>
      <c r="UVW32" s="1551"/>
      <c r="UVX32" s="1551"/>
      <c r="UVY32" s="1551"/>
      <c r="UVZ32" s="1551"/>
      <c r="UWA32" s="1551"/>
      <c r="UWB32" s="1551"/>
      <c r="UWC32" s="1551"/>
      <c r="UWD32" s="1551"/>
      <c r="UWE32" s="1551"/>
      <c r="UWF32" s="1551"/>
      <c r="UWG32" s="1551"/>
      <c r="UWH32" s="1551"/>
      <c r="UWI32" s="1551"/>
      <c r="UWJ32" s="1551"/>
      <c r="UWK32" s="1551"/>
      <c r="UWL32" s="1551"/>
      <c r="UWM32" s="1551"/>
      <c r="UWN32" s="1551"/>
      <c r="UWO32" s="1551"/>
      <c r="UWP32" s="1551"/>
      <c r="UWQ32" s="1551"/>
      <c r="UWR32" s="1551"/>
      <c r="UWS32" s="1551"/>
      <c r="UWT32" s="1551"/>
      <c r="UWU32" s="1551"/>
      <c r="UWV32" s="1551"/>
      <c r="UWW32" s="1551"/>
      <c r="UWX32" s="1551"/>
      <c r="UWY32" s="1551"/>
      <c r="UWZ32" s="1551"/>
      <c r="UXA32" s="1551"/>
      <c r="UXB32" s="1551"/>
      <c r="UXC32" s="1551"/>
      <c r="UXD32" s="1551"/>
      <c r="UXE32" s="1551"/>
      <c r="UXF32" s="1551"/>
      <c r="UXG32" s="1551"/>
      <c r="UXH32" s="1551"/>
      <c r="UXI32" s="1551"/>
      <c r="UXJ32" s="1551"/>
      <c r="UXK32" s="1551"/>
      <c r="UXL32" s="1551"/>
      <c r="UXM32" s="1551"/>
      <c r="UXN32" s="1551"/>
      <c r="UXO32" s="1551"/>
      <c r="UXP32" s="1551"/>
      <c r="UXQ32" s="1551"/>
      <c r="UXR32" s="1551"/>
      <c r="UXS32" s="1551"/>
      <c r="UXT32" s="1551"/>
      <c r="UXU32" s="1551"/>
      <c r="UXV32" s="1551"/>
      <c r="UXW32" s="1551"/>
      <c r="UXX32" s="1551"/>
      <c r="UXY32" s="1551"/>
      <c r="UXZ32" s="1551"/>
      <c r="UYA32" s="1551"/>
      <c r="UYB32" s="1551"/>
      <c r="UYC32" s="1551"/>
      <c r="UYD32" s="1551"/>
      <c r="UYE32" s="1551"/>
      <c r="UYF32" s="1551"/>
      <c r="UYG32" s="1551"/>
      <c r="UYH32" s="1551"/>
      <c r="UYI32" s="1551"/>
      <c r="UYJ32" s="1551"/>
      <c r="UYK32" s="1551"/>
      <c r="UYL32" s="1551"/>
      <c r="UYM32" s="1551"/>
      <c r="UYN32" s="1551"/>
      <c r="UYO32" s="1551"/>
      <c r="UYP32" s="1551"/>
      <c r="UYQ32" s="1551"/>
      <c r="UYR32" s="1551"/>
      <c r="UYS32" s="1551"/>
      <c r="UYT32" s="1551"/>
      <c r="UYU32" s="1551"/>
      <c r="UYV32" s="1551"/>
      <c r="UYW32" s="1551"/>
      <c r="UYX32" s="1551"/>
      <c r="UYY32" s="1551"/>
      <c r="UYZ32" s="1551"/>
      <c r="UZA32" s="1551"/>
      <c r="UZB32" s="1551"/>
      <c r="UZC32" s="1551"/>
      <c r="UZD32" s="1551"/>
      <c r="UZE32" s="1551"/>
      <c r="UZF32" s="1551"/>
      <c r="UZG32" s="1551"/>
      <c r="UZH32" s="1551"/>
      <c r="UZI32" s="1551"/>
      <c r="UZJ32" s="1551"/>
      <c r="UZK32" s="1551"/>
      <c r="UZL32" s="1551"/>
      <c r="UZM32" s="1551"/>
      <c r="UZN32" s="1551"/>
      <c r="UZO32" s="1551"/>
      <c r="UZP32" s="1551"/>
      <c r="UZQ32" s="1551"/>
      <c r="UZR32" s="1551"/>
      <c r="UZS32" s="1551"/>
      <c r="UZT32" s="1551"/>
      <c r="UZU32" s="1551"/>
      <c r="UZV32" s="1551"/>
      <c r="UZW32" s="1551"/>
      <c r="UZX32" s="1551"/>
      <c r="UZY32" s="1551"/>
      <c r="UZZ32" s="1551"/>
      <c r="VAA32" s="1551"/>
      <c r="VAB32" s="1551"/>
      <c r="VAC32" s="1551"/>
      <c r="VAD32" s="1551"/>
      <c r="VAE32" s="1551"/>
      <c r="VAF32" s="1551"/>
      <c r="VAG32" s="1551"/>
      <c r="VAH32" s="1551"/>
      <c r="VAI32" s="1551"/>
      <c r="VAJ32" s="1551"/>
      <c r="VAK32" s="1551"/>
      <c r="VAL32" s="1551"/>
      <c r="VAM32" s="1551"/>
      <c r="VAN32" s="1551"/>
      <c r="VAO32" s="1551"/>
      <c r="VAP32" s="1551"/>
      <c r="VAQ32" s="1551"/>
      <c r="VAR32" s="1551"/>
      <c r="VAS32" s="1551"/>
      <c r="VAT32" s="1551"/>
      <c r="VAU32" s="1551"/>
      <c r="VAV32" s="1551"/>
      <c r="VAW32" s="1551"/>
      <c r="VAX32" s="1551"/>
      <c r="VAY32" s="1551"/>
      <c r="VAZ32" s="1551"/>
      <c r="VBA32" s="1551"/>
      <c r="VBB32" s="1551"/>
      <c r="VBC32" s="1551"/>
      <c r="VBD32" s="1551"/>
      <c r="VBE32" s="1551"/>
      <c r="VBF32" s="1551"/>
      <c r="VBG32" s="1551"/>
      <c r="VBH32" s="1551"/>
      <c r="VBI32" s="1551"/>
      <c r="VBJ32" s="1551"/>
      <c r="VBK32" s="1551"/>
      <c r="VBL32" s="1551"/>
      <c r="VBM32" s="1551"/>
      <c r="VBN32" s="1551"/>
      <c r="VBO32" s="1551"/>
      <c r="VBP32" s="1551"/>
      <c r="VBQ32" s="1551"/>
      <c r="VBR32" s="1551"/>
      <c r="VBS32" s="1551"/>
      <c r="VBT32" s="1551"/>
      <c r="VBU32" s="1551"/>
      <c r="VBV32" s="1551"/>
      <c r="VBW32" s="1551"/>
      <c r="VBX32" s="1551"/>
      <c r="VBY32" s="1551"/>
      <c r="VBZ32" s="1551"/>
      <c r="VCA32" s="1551"/>
      <c r="VCB32" s="1551"/>
      <c r="VCC32" s="1551"/>
      <c r="VCD32" s="1551"/>
      <c r="VCE32" s="1551"/>
      <c r="VCF32" s="1551"/>
      <c r="VCG32" s="1551"/>
      <c r="VCH32" s="1551"/>
      <c r="VCI32" s="1551"/>
      <c r="VCJ32" s="1551"/>
      <c r="VCK32" s="1551"/>
      <c r="VCL32" s="1551"/>
      <c r="VCM32" s="1551"/>
      <c r="VCN32" s="1551"/>
      <c r="VCO32" s="1551"/>
      <c r="VCP32" s="1551"/>
      <c r="VCQ32" s="1551"/>
      <c r="VCR32" s="1551"/>
      <c r="VCS32" s="1551"/>
      <c r="VCT32" s="1551"/>
      <c r="VCU32" s="1551"/>
      <c r="VCV32" s="1551"/>
      <c r="VCW32" s="1551"/>
      <c r="VCX32" s="1551"/>
      <c r="VCY32" s="1551"/>
      <c r="VCZ32" s="1551"/>
      <c r="VDA32" s="1551"/>
      <c r="VDB32" s="1551"/>
      <c r="VDC32" s="1551"/>
      <c r="VDD32" s="1551"/>
      <c r="VDE32" s="1551"/>
      <c r="VDF32" s="1551"/>
      <c r="VDG32" s="1551"/>
      <c r="VDH32" s="1551"/>
      <c r="VDI32" s="1551"/>
      <c r="VDJ32" s="1551"/>
      <c r="VDK32" s="1551"/>
      <c r="VDL32" s="1551"/>
      <c r="VDM32" s="1551"/>
      <c r="VDN32" s="1551"/>
      <c r="VDO32" s="1551"/>
      <c r="VDP32" s="1551"/>
      <c r="VDQ32" s="1551"/>
      <c r="VDR32" s="1551"/>
      <c r="VDS32" s="1551"/>
      <c r="VDT32" s="1551"/>
      <c r="VDU32" s="1551"/>
      <c r="VDV32" s="1551"/>
      <c r="VDW32" s="1551"/>
      <c r="VDX32" s="1551"/>
      <c r="VDY32" s="1551"/>
      <c r="VDZ32" s="1551"/>
      <c r="VEA32" s="1551"/>
      <c r="VEB32" s="1551"/>
      <c r="VEC32" s="1551"/>
      <c r="VED32" s="1551"/>
      <c r="VEE32" s="1551"/>
      <c r="VEF32" s="1551"/>
      <c r="VEG32" s="1551"/>
      <c r="VEH32" s="1551"/>
      <c r="VEI32" s="1551"/>
      <c r="VEJ32" s="1551"/>
      <c r="VEK32" s="1551"/>
      <c r="VEL32" s="1551"/>
      <c r="VEM32" s="1551"/>
      <c r="VEN32" s="1551"/>
      <c r="VEO32" s="1551"/>
      <c r="VEP32" s="1551"/>
      <c r="VEQ32" s="1551"/>
      <c r="VER32" s="1551"/>
      <c r="VES32" s="1551"/>
      <c r="VET32" s="1551"/>
      <c r="VEU32" s="1551"/>
      <c r="VEV32" s="1551"/>
      <c r="VEW32" s="1551"/>
      <c r="VEX32" s="1551"/>
      <c r="VEY32" s="1551"/>
      <c r="VEZ32" s="1551"/>
      <c r="VFA32" s="1551"/>
      <c r="VFB32" s="1551"/>
      <c r="VFC32" s="1551"/>
      <c r="VFD32" s="1551"/>
      <c r="VFE32" s="1551"/>
      <c r="VFF32" s="1551"/>
      <c r="VFG32" s="1551"/>
      <c r="VFH32" s="1551"/>
      <c r="VFI32" s="1551"/>
      <c r="VFJ32" s="1551"/>
      <c r="VFK32" s="1551"/>
      <c r="VFL32" s="1551"/>
      <c r="VFM32" s="1551"/>
      <c r="VFN32" s="1551"/>
      <c r="VFO32" s="1551"/>
      <c r="VFP32" s="1551"/>
      <c r="VFQ32" s="1551"/>
      <c r="VFR32" s="1551"/>
      <c r="VFS32" s="1551"/>
      <c r="VFT32" s="1551"/>
      <c r="VFU32" s="1551"/>
      <c r="VFV32" s="1551"/>
      <c r="VFW32" s="1551"/>
      <c r="VFX32" s="1551"/>
      <c r="VFY32" s="1551"/>
      <c r="VFZ32" s="1551"/>
      <c r="VGA32" s="1551"/>
      <c r="VGB32" s="1551"/>
      <c r="VGC32" s="1551"/>
      <c r="VGD32" s="1551"/>
      <c r="VGE32" s="1551"/>
      <c r="VGF32" s="1551"/>
      <c r="VGG32" s="1551"/>
      <c r="VGH32" s="1551"/>
      <c r="VGI32" s="1551"/>
      <c r="VGJ32" s="1551"/>
      <c r="VGK32" s="1551"/>
      <c r="VGL32" s="1551"/>
      <c r="VGM32" s="1551"/>
      <c r="VGN32" s="1551"/>
      <c r="VGO32" s="1551"/>
      <c r="VGP32" s="1551"/>
      <c r="VGQ32" s="1551"/>
      <c r="VGR32" s="1551"/>
      <c r="VGS32" s="1551"/>
      <c r="VGT32" s="1551"/>
      <c r="VGU32" s="1551"/>
      <c r="VGV32" s="1551"/>
      <c r="VGW32" s="1551"/>
      <c r="VGX32" s="1551"/>
      <c r="VGY32" s="1551"/>
      <c r="VGZ32" s="1551"/>
      <c r="VHA32" s="1551"/>
      <c r="VHB32" s="1551"/>
      <c r="VHC32" s="1551"/>
      <c r="VHD32" s="1551"/>
      <c r="VHE32" s="1551"/>
      <c r="VHF32" s="1551"/>
      <c r="VHG32" s="1551"/>
      <c r="VHH32" s="1551"/>
      <c r="VHI32" s="1551"/>
      <c r="VHJ32" s="1551"/>
      <c r="VHK32" s="1551"/>
      <c r="VHL32" s="1551"/>
      <c r="VHM32" s="1551"/>
      <c r="VHN32" s="1551"/>
      <c r="VHO32" s="1551"/>
      <c r="VHP32" s="1551"/>
      <c r="VHQ32" s="1551"/>
      <c r="VHR32" s="1551"/>
      <c r="VHS32" s="1551"/>
      <c r="VHT32" s="1551"/>
      <c r="VHU32" s="1551"/>
      <c r="VHV32" s="1551"/>
      <c r="VHW32" s="1551"/>
      <c r="VHX32" s="1551"/>
      <c r="VHY32" s="1551"/>
      <c r="VHZ32" s="1551"/>
      <c r="VIA32" s="1551"/>
      <c r="VIB32" s="1551"/>
      <c r="VIC32" s="1551"/>
      <c r="VID32" s="1551"/>
      <c r="VIE32" s="1551"/>
      <c r="VIF32" s="1551"/>
      <c r="VIG32" s="1551"/>
      <c r="VIH32" s="1551"/>
      <c r="VII32" s="1551"/>
      <c r="VIJ32" s="1551"/>
      <c r="VIK32" s="1551"/>
      <c r="VIL32" s="1551"/>
      <c r="VIM32" s="1551"/>
      <c r="VIN32" s="1551"/>
      <c r="VIO32" s="1551"/>
      <c r="VIP32" s="1551"/>
      <c r="VIQ32" s="1551"/>
      <c r="VIR32" s="1551"/>
      <c r="VIS32" s="1551"/>
      <c r="VIT32" s="1551"/>
      <c r="VIU32" s="1551"/>
      <c r="VIV32" s="1551"/>
      <c r="VIW32" s="1551"/>
      <c r="VIX32" s="1551"/>
      <c r="VIY32" s="1551"/>
      <c r="VIZ32" s="1551"/>
      <c r="VJA32" s="1551"/>
      <c r="VJB32" s="1551"/>
      <c r="VJC32" s="1551"/>
      <c r="VJD32" s="1551"/>
      <c r="VJE32" s="1551"/>
      <c r="VJF32" s="1551"/>
      <c r="VJG32" s="1551"/>
      <c r="VJH32" s="1551"/>
      <c r="VJI32" s="1551"/>
      <c r="VJJ32" s="1551"/>
      <c r="VJK32" s="1551"/>
      <c r="VJL32" s="1551"/>
      <c r="VJM32" s="1551"/>
      <c r="VJN32" s="1551"/>
      <c r="VJO32" s="1551"/>
      <c r="VJP32" s="1551"/>
      <c r="VJQ32" s="1551"/>
      <c r="VJR32" s="1551"/>
      <c r="VJS32" s="1551"/>
      <c r="VJT32" s="1551"/>
      <c r="VJU32" s="1551"/>
      <c r="VJV32" s="1551"/>
      <c r="VJW32" s="1551"/>
      <c r="VJX32" s="1551"/>
      <c r="VJY32" s="1551"/>
      <c r="VJZ32" s="1551"/>
      <c r="VKA32" s="1551"/>
      <c r="VKB32" s="1551"/>
      <c r="VKC32" s="1551"/>
      <c r="VKD32" s="1551"/>
      <c r="VKE32" s="1551"/>
      <c r="VKF32" s="1551"/>
      <c r="VKG32" s="1551"/>
      <c r="VKH32" s="1551"/>
      <c r="VKI32" s="1551"/>
      <c r="VKJ32" s="1551"/>
      <c r="VKK32" s="1551"/>
      <c r="VKL32" s="1551"/>
      <c r="VKM32" s="1551"/>
      <c r="VKN32" s="1551"/>
      <c r="VKO32" s="1551"/>
      <c r="VKP32" s="1551"/>
      <c r="VKQ32" s="1551"/>
      <c r="VKR32" s="1551"/>
      <c r="VKS32" s="1551"/>
      <c r="VKT32" s="1551"/>
      <c r="VKU32" s="1551"/>
      <c r="VKV32" s="1551"/>
      <c r="VKW32" s="1551"/>
      <c r="VKX32" s="1551"/>
      <c r="VKY32" s="1551"/>
      <c r="VKZ32" s="1551"/>
      <c r="VLA32" s="1551"/>
      <c r="VLB32" s="1551"/>
      <c r="VLC32" s="1551"/>
      <c r="VLD32" s="1551"/>
      <c r="VLE32" s="1551"/>
      <c r="VLF32" s="1551"/>
      <c r="VLG32" s="1551"/>
      <c r="VLH32" s="1551"/>
      <c r="VLI32" s="1551"/>
      <c r="VLJ32" s="1551"/>
      <c r="VLK32" s="1551"/>
      <c r="VLL32" s="1551"/>
      <c r="VLM32" s="1551"/>
      <c r="VLN32" s="1551"/>
      <c r="VLO32" s="1551"/>
      <c r="VLP32" s="1551"/>
      <c r="VLQ32" s="1551"/>
      <c r="VLR32" s="1551"/>
      <c r="VLS32" s="1551"/>
      <c r="VLT32" s="1551"/>
      <c r="VLU32" s="1551"/>
      <c r="VLV32" s="1551"/>
      <c r="VLW32" s="1551"/>
      <c r="VLX32" s="1551"/>
      <c r="VLY32" s="1551"/>
      <c r="VLZ32" s="1551"/>
      <c r="VMA32" s="1551"/>
      <c r="VMB32" s="1551"/>
      <c r="VMC32" s="1551"/>
      <c r="VMD32" s="1551"/>
      <c r="VME32" s="1551"/>
      <c r="VMF32" s="1551"/>
      <c r="VMG32" s="1551"/>
      <c r="VMH32" s="1551"/>
      <c r="VMI32" s="1551"/>
      <c r="VMJ32" s="1551"/>
      <c r="VMK32" s="1551"/>
      <c r="VML32" s="1551"/>
      <c r="VMM32" s="1551"/>
      <c r="VMN32" s="1551"/>
      <c r="VMO32" s="1551"/>
      <c r="VMP32" s="1551"/>
      <c r="VMQ32" s="1551"/>
      <c r="VMR32" s="1551"/>
      <c r="VMS32" s="1551"/>
      <c r="VMT32" s="1551"/>
      <c r="VMU32" s="1551"/>
      <c r="VMV32" s="1551"/>
      <c r="VMW32" s="1551"/>
      <c r="VMX32" s="1551"/>
      <c r="VMY32" s="1551"/>
      <c r="VMZ32" s="1551"/>
      <c r="VNA32" s="1551"/>
      <c r="VNB32" s="1551"/>
      <c r="VNC32" s="1551"/>
      <c r="VND32" s="1551"/>
      <c r="VNE32" s="1551"/>
      <c r="VNF32" s="1551"/>
      <c r="VNG32" s="1551"/>
      <c r="VNH32" s="1551"/>
      <c r="VNI32" s="1551"/>
      <c r="VNJ32" s="1551"/>
      <c r="VNK32" s="1551"/>
      <c r="VNL32" s="1551"/>
      <c r="VNM32" s="1551"/>
      <c r="VNN32" s="1551"/>
      <c r="VNO32" s="1551"/>
      <c r="VNP32" s="1551"/>
      <c r="VNQ32" s="1551"/>
      <c r="VNR32" s="1551"/>
      <c r="VNS32" s="1551"/>
      <c r="VNT32" s="1551"/>
      <c r="VNU32" s="1551"/>
      <c r="VNV32" s="1551"/>
      <c r="VNW32" s="1551"/>
      <c r="VNX32" s="1551"/>
      <c r="VNY32" s="1551"/>
      <c r="VNZ32" s="1551"/>
      <c r="VOA32" s="1551"/>
      <c r="VOB32" s="1551"/>
      <c r="VOC32" s="1551"/>
      <c r="VOD32" s="1551"/>
      <c r="VOE32" s="1551"/>
      <c r="VOF32" s="1551"/>
      <c r="VOG32" s="1551"/>
      <c r="VOH32" s="1551"/>
      <c r="VOI32" s="1551"/>
      <c r="VOJ32" s="1551"/>
      <c r="VOK32" s="1551"/>
      <c r="VOL32" s="1551"/>
      <c r="VOM32" s="1551"/>
      <c r="VON32" s="1551"/>
      <c r="VOO32" s="1551"/>
      <c r="VOP32" s="1551"/>
      <c r="VOQ32" s="1551"/>
      <c r="VOR32" s="1551"/>
      <c r="VOS32" s="1551"/>
      <c r="VOT32" s="1551"/>
      <c r="VOU32" s="1551"/>
      <c r="VOV32" s="1551"/>
      <c r="VOW32" s="1551"/>
      <c r="VOX32" s="1551"/>
      <c r="VOY32" s="1551"/>
      <c r="VOZ32" s="1551"/>
      <c r="VPA32" s="1551"/>
      <c r="VPB32" s="1551"/>
      <c r="VPC32" s="1551"/>
      <c r="VPD32" s="1551"/>
      <c r="VPE32" s="1551"/>
      <c r="VPF32" s="1551"/>
      <c r="VPG32" s="1551"/>
      <c r="VPH32" s="1551"/>
      <c r="VPI32" s="1551"/>
      <c r="VPJ32" s="1551"/>
      <c r="VPK32" s="1551"/>
      <c r="VPL32" s="1551"/>
      <c r="VPM32" s="1551"/>
      <c r="VPN32" s="1551"/>
      <c r="VPO32" s="1551"/>
      <c r="VPP32" s="1551"/>
      <c r="VPQ32" s="1551"/>
      <c r="VPR32" s="1551"/>
      <c r="VPS32" s="1551"/>
      <c r="VPT32" s="1551"/>
      <c r="VPU32" s="1551"/>
      <c r="VPV32" s="1551"/>
      <c r="VPW32" s="1551"/>
      <c r="VPX32" s="1551"/>
      <c r="VPY32" s="1551"/>
      <c r="VPZ32" s="1551"/>
      <c r="VQA32" s="1551"/>
      <c r="VQB32" s="1551"/>
      <c r="VQC32" s="1551"/>
      <c r="VQD32" s="1551"/>
      <c r="VQE32" s="1551"/>
      <c r="VQF32" s="1551"/>
      <c r="VQG32" s="1551"/>
      <c r="VQH32" s="1551"/>
      <c r="VQI32" s="1551"/>
      <c r="VQJ32" s="1551"/>
      <c r="VQK32" s="1551"/>
      <c r="VQL32" s="1551"/>
      <c r="VQM32" s="1551"/>
      <c r="VQN32" s="1551"/>
      <c r="VQO32" s="1551"/>
      <c r="VQP32" s="1551"/>
      <c r="VQQ32" s="1551"/>
      <c r="VQR32" s="1551"/>
      <c r="VQS32" s="1551"/>
      <c r="VQT32" s="1551"/>
      <c r="VQU32" s="1551"/>
      <c r="VQV32" s="1551"/>
      <c r="VQW32" s="1551"/>
      <c r="VQX32" s="1551"/>
      <c r="VQY32" s="1551"/>
      <c r="VQZ32" s="1551"/>
      <c r="VRA32" s="1551"/>
      <c r="VRB32" s="1551"/>
      <c r="VRC32" s="1551"/>
      <c r="VRD32" s="1551"/>
      <c r="VRE32" s="1551"/>
      <c r="VRF32" s="1551"/>
      <c r="VRG32" s="1551"/>
      <c r="VRH32" s="1551"/>
      <c r="VRI32" s="1551"/>
      <c r="VRJ32" s="1551"/>
      <c r="VRK32" s="1551"/>
      <c r="VRL32" s="1551"/>
      <c r="VRM32" s="1551"/>
      <c r="VRN32" s="1551"/>
      <c r="VRO32" s="1551"/>
      <c r="VRP32" s="1551"/>
      <c r="VRQ32" s="1551"/>
      <c r="VRR32" s="1551"/>
      <c r="VRS32" s="1551"/>
      <c r="VRT32" s="1551"/>
      <c r="VRU32" s="1551"/>
      <c r="VRV32" s="1551"/>
      <c r="VRW32" s="1551"/>
      <c r="VRX32" s="1551"/>
      <c r="VRY32" s="1551"/>
      <c r="VRZ32" s="1551"/>
      <c r="VSA32" s="1551"/>
      <c r="VSB32" s="1551"/>
      <c r="VSC32" s="1551"/>
      <c r="VSD32" s="1551"/>
      <c r="VSE32" s="1551"/>
      <c r="VSF32" s="1551"/>
      <c r="VSG32" s="1551"/>
      <c r="VSH32" s="1551"/>
      <c r="VSI32" s="1551"/>
      <c r="VSJ32" s="1551"/>
      <c r="VSK32" s="1551"/>
      <c r="VSL32" s="1551"/>
      <c r="VSM32" s="1551"/>
      <c r="VSN32" s="1551"/>
      <c r="VSO32" s="1551"/>
      <c r="VSP32" s="1551"/>
      <c r="VSQ32" s="1551"/>
      <c r="VSR32" s="1551"/>
      <c r="VSS32" s="1551"/>
      <c r="VST32" s="1551"/>
      <c r="VSU32" s="1551"/>
      <c r="VSV32" s="1551"/>
      <c r="VSW32" s="1551"/>
      <c r="VSX32" s="1551"/>
      <c r="VSY32" s="1551"/>
      <c r="VSZ32" s="1551"/>
      <c r="VTA32" s="1551"/>
      <c r="VTB32" s="1551"/>
      <c r="VTC32" s="1551"/>
      <c r="VTD32" s="1551"/>
      <c r="VTE32" s="1551"/>
      <c r="VTF32" s="1551"/>
      <c r="VTG32" s="1551"/>
      <c r="VTH32" s="1551"/>
      <c r="VTI32" s="1551"/>
      <c r="VTJ32" s="1551"/>
      <c r="VTK32" s="1551"/>
      <c r="VTL32" s="1551"/>
      <c r="VTM32" s="1551"/>
      <c r="VTN32" s="1551"/>
      <c r="VTO32" s="1551"/>
      <c r="VTP32" s="1551"/>
      <c r="VTQ32" s="1551"/>
      <c r="VTR32" s="1551"/>
      <c r="VTS32" s="1551"/>
      <c r="VTT32" s="1551"/>
      <c r="VTU32" s="1551"/>
      <c r="VTV32" s="1551"/>
      <c r="VTW32" s="1551"/>
      <c r="VTX32" s="1551"/>
      <c r="VTY32" s="1551"/>
      <c r="VTZ32" s="1551"/>
      <c r="VUA32" s="1551"/>
      <c r="VUB32" s="1551"/>
      <c r="VUC32" s="1551"/>
      <c r="VUD32" s="1551"/>
      <c r="VUE32" s="1551"/>
      <c r="VUF32" s="1551"/>
      <c r="VUG32" s="1551"/>
      <c r="VUH32" s="1551"/>
      <c r="VUI32" s="1551"/>
      <c r="VUJ32" s="1551"/>
      <c r="VUK32" s="1551"/>
      <c r="VUL32" s="1551"/>
      <c r="VUM32" s="1551"/>
      <c r="VUN32" s="1551"/>
      <c r="VUO32" s="1551"/>
      <c r="VUP32" s="1551"/>
      <c r="VUQ32" s="1551"/>
      <c r="VUR32" s="1551"/>
      <c r="VUS32" s="1551"/>
      <c r="VUT32" s="1551"/>
      <c r="VUU32" s="1551"/>
      <c r="VUV32" s="1551"/>
      <c r="VUW32" s="1551"/>
      <c r="VUX32" s="1551"/>
      <c r="VUY32" s="1551"/>
      <c r="VUZ32" s="1551"/>
      <c r="VVA32" s="1551"/>
      <c r="VVB32" s="1551"/>
      <c r="VVC32" s="1551"/>
      <c r="VVD32" s="1551"/>
      <c r="VVE32" s="1551"/>
      <c r="VVF32" s="1551"/>
      <c r="VVG32" s="1551"/>
      <c r="VVH32" s="1551"/>
      <c r="VVI32" s="1551"/>
      <c r="VVJ32" s="1551"/>
      <c r="VVK32" s="1551"/>
      <c r="VVL32" s="1551"/>
      <c r="VVM32" s="1551"/>
      <c r="VVN32" s="1551"/>
      <c r="VVO32" s="1551"/>
      <c r="VVP32" s="1551"/>
      <c r="VVQ32" s="1551"/>
      <c r="VVR32" s="1551"/>
      <c r="VVS32" s="1551"/>
      <c r="VVT32" s="1551"/>
      <c r="VVU32" s="1551"/>
      <c r="VVV32" s="1551"/>
      <c r="VVW32" s="1551"/>
      <c r="VVX32" s="1551"/>
      <c r="VVY32" s="1551"/>
      <c r="VVZ32" s="1551"/>
      <c r="VWA32" s="1551"/>
      <c r="VWB32" s="1551"/>
      <c r="VWC32" s="1551"/>
      <c r="VWD32" s="1551"/>
      <c r="VWE32" s="1551"/>
      <c r="VWF32" s="1551"/>
      <c r="VWG32" s="1551"/>
      <c r="VWH32" s="1551"/>
      <c r="VWI32" s="1551"/>
      <c r="VWJ32" s="1551"/>
      <c r="VWK32" s="1551"/>
      <c r="VWL32" s="1551"/>
      <c r="VWM32" s="1551"/>
      <c r="VWN32" s="1551"/>
      <c r="VWO32" s="1551"/>
      <c r="VWP32" s="1551"/>
      <c r="VWQ32" s="1551"/>
      <c r="VWR32" s="1551"/>
      <c r="VWS32" s="1551"/>
      <c r="VWT32" s="1551"/>
      <c r="VWU32" s="1551"/>
      <c r="VWV32" s="1551"/>
      <c r="VWW32" s="1551"/>
      <c r="VWX32" s="1551"/>
      <c r="VWY32" s="1551"/>
      <c r="VWZ32" s="1551"/>
      <c r="VXA32" s="1551"/>
      <c r="VXB32" s="1551"/>
      <c r="VXC32" s="1551"/>
      <c r="VXD32" s="1551"/>
      <c r="VXE32" s="1551"/>
      <c r="VXF32" s="1551"/>
      <c r="VXG32" s="1551"/>
      <c r="VXH32" s="1551"/>
      <c r="VXI32" s="1551"/>
      <c r="VXJ32" s="1551"/>
      <c r="VXK32" s="1551"/>
      <c r="VXL32" s="1551"/>
      <c r="VXM32" s="1551"/>
      <c r="VXN32" s="1551"/>
      <c r="VXO32" s="1551"/>
      <c r="VXP32" s="1551"/>
      <c r="VXQ32" s="1551"/>
      <c r="VXR32" s="1551"/>
      <c r="VXS32" s="1551"/>
      <c r="VXT32" s="1551"/>
      <c r="VXU32" s="1551"/>
      <c r="VXV32" s="1551"/>
      <c r="VXW32" s="1551"/>
      <c r="VXX32" s="1551"/>
      <c r="VXY32" s="1551"/>
      <c r="VXZ32" s="1551"/>
      <c r="VYA32" s="1551"/>
      <c r="VYB32" s="1551"/>
      <c r="VYC32" s="1551"/>
      <c r="VYD32" s="1551"/>
      <c r="VYE32" s="1551"/>
      <c r="VYF32" s="1551"/>
      <c r="VYG32" s="1551"/>
      <c r="VYH32" s="1551"/>
      <c r="VYI32" s="1551"/>
      <c r="VYJ32" s="1551"/>
      <c r="VYK32" s="1551"/>
      <c r="VYL32" s="1551"/>
      <c r="VYM32" s="1551"/>
      <c r="VYN32" s="1551"/>
      <c r="VYO32" s="1551"/>
      <c r="VYP32" s="1551"/>
      <c r="VYQ32" s="1551"/>
      <c r="VYR32" s="1551"/>
      <c r="VYS32" s="1551"/>
      <c r="VYT32" s="1551"/>
      <c r="VYU32" s="1551"/>
      <c r="VYV32" s="1551"/>
      <c r="VYW32" s="1551"/>
      <c r="VYX32" s="1551"/>
      <c r="VYY32" s="1551"/>
      <c r="VYZ32" s="1551"/>
      <c r="VZA32" s="1551"/>
      <c r="VZB32" s="1551"/>
      <c r="VZC32" s="1551"/>
      <c r="VZD32" s="1551"/>
      <c r="VZE32" s="1551"/>
      <c r="VZF32" s="1551"/>
      <c r="VZG32" s="1551"/>
      <c r="VZH32" s="1551"/>
      <c r="VZI32" s="1551"/>
      <c r="VZJ32" s="1551"/>
      <c r="VZK32" s="1551"/>
      <c r="VZL32" s="1551"/>
      <c r="VZM32" s="1551"/>
      <c r="VZN32" s="1551"/>
      <c r="VZO32" s="1551"/>
      <c r="VZP32" s="1551"/>
      <c r="VZQ32" s="1551"/>
      <c r="VZR32" s="1551"/>
      <c r="VZS32" s="1551"/>
      <c r="VZT32" s="1551"/>
      <c r="VZU32" s="1551"/>
      <c r="VZV32" s="1551"/>
      <c r="VZW32" s="1551"/>
      <c r="VZX32" s="1551"/>
      <c r="VZY32" s="1551"/>
      <c r="VZZ32" s="1551"/>
      <c r="WAA32" s="1551"/>
      <c r="WAB32" s="1551"/>
      <c r="WAC32" s="1551"/>
      <c r="WAD32" s="1551"/>
      <c r="WAE32" s="1551"/>
      <c r="WAF32" s="1551"/>
      <c r="WAG32" s="1551"/>
      <c r="WAH32" s="1551"/>
      <c r="WAI32" s="1551"/>
      <c r="WAJ32" s="1551"/>
      <c r="WAK32" s="1551"/>
      <c r="WAL32" s="1551"/>
      <c r="WAM32" s="1551"/>
      <c r="WAN32" s="1551"/>
      <c r="WAO32" s="1551"/>
      <c r="WAP32" s="1551"/>
      <c r="WAQ32" s="1551"/>
      <c r="WAR32" s="1551"/>
      <c r="WAS32" s="1551"/>
      <c r="WAT32" s="1551"/>
      <c r="WAU32" s="1551"/>
      <c r="WAV32" s="1551"/>
      <c r="WAW32" s="1551"/>
      <c r="WAX32" s="1551"/>
      <c r="WAY32" s="1551"/>
      <c r="WAZ32" s="1551"/>
      <c r="WBA32" s="1551"/>
      <c r="WBB32" s="1551"/>
      <c r="WBC32" s="1551"/>
      <c r="WBD32" s="1551"/>
      <c r="WBE32" s="1551"/>
      <c r="WBF32" s="1551"/>
      <c r="WBG32" s="1551"/>
      <c r="WBH32" s="1551"/>
      <c r="WBI32" s="1551"/>
      <c r="WBJ32" s="1551"/>
      <c r="WBK32" s="1551"/>
      <c r="WBL32" s="1551"/>
      <c r="WBM32" s="1551"/>
      <c r="WBN32" s="1551"/>
      <c r="WBO32" s="1551"/>
      <c r="WBP32" s="1551"/>
      <c r="WBQ32" s="1551"/>
      <c r="WBR32" s="1551"/>
      <c r="WBS32" s="1551"/>
      <c r="WBT32" s="1551"/>
      <c r="WBU32" s="1551"/>
      <c r="WBV32" s="1551"/>
      <c r="WBW32" s="1551"/>
      <c r="WBX32" s="1551"/>
      <c r="WBY32" s="1551"/>
      <c r="WBZ32" s="1551"/>
      <c r="WCA32" s="1551"/>
      <c r="WCB32" s="1551"/>
      <c r="WCC32" s="1551"/>
      <c r="WCD32" s="1551"/>
      <c r="WCE32" s="1551"/>
      <c r="WCF32" s="1551"/>
      <c r="WCG32" s="1551"/>
      <c r="WCH32" s="1551"/>
      <c r="WCI32" s="1551"/>
      <c r="WCJ32" s="1551"/>
      <c r="WCK32" s="1551"/>
      <c r="WCL32" s="1551"/>
      <c r="WCM32" s="1551"/>
      <c r="WCN32" s="1551"/>
      <c r="WCO32" s="1551"/>
      <c r="WCP32" s="1551"/>
      <c r="WCQ32" s="1551"/>
      <c r="WCR32" s="1551"/>
      <c r="WCS32" s="1551"/>
      <c r="WCT32" s="1551"/>
      <c r="WCU32" s="1551"/>
      <c r="WCV32" s="1551"/>
      <c r="WCW32" s="1551"/>
      <c r="WCX32" s="1551"/>
      <c r="WCY32" s="1551"/>
      <c r="WCZ32" s="1551"/>
      <c r="WDA32" s="1551"/>
      <c r="WDB32" s="1551"/>
      <c r="WDC32" s="1551"/>
      <c r="WDD32" s="1551"/>
      <c r="WDE32" s="1551"/>
      <c r="WDF32" s="1551"/>
      <c r="WDG32" s="1551"/>
      <c r="WDH32" s="1551"/>
      <c r="WDI32" s="1551"/>
      <c r="WDJ32" s="1551"/>
      <c r="WDK32" s="1551"/>
      <c r="WDL32" s="1551"/>
      <c r="WDM32" s="1551"/>
      <c r="WDN32" s="1551"/>
      <c r="WDO32" s="1551"/>
      <c r="WDP32" s="1551"/>
      <c r="WDQ32" s="1551"/>
      <c r="WDR32" s="1551"/>
      <c r="WDS32" s="1551"/>
      <c r="WDT32" s="1551"/>
      <c r="WDU32" s="1551"/>
      <c r="WDV32" s="1551"/>
      <c r="WDW32" s="1551"/>
      <c r="WDX32" s="1551"/>
      <c r="WDY32" s="1551"/>
      <c r="WDZ32" s="1551"/>
      <c r="WEA32" s="1551"/>
      <c r="WEB32" s="1551"/>
      <c r="WEC32" s="1551"/>
      <c r="WED32" s="1551"/>
      <c r="WEE32" s="1551"/>
      <c r="WEF32" s="1551"/>
      <c r="WEG32" s="1551"/>
      <c r="WEH32" s="1551"/>
      <c r="WEI32" s="1551"/>
      <c r="WEJ32" s="1551"/>
      <c r="WEK32" s="1551"/>
      <c r="WEL32" s="1551"/>
      <c r="WEM32" s="1551"/>
      <c r="WEN32" s="1551"/>
      <c r="WEO32" s="1551"/>
      <c r="WEP32" s="1551"/>
      <c r="WEQ32" s="1551"/>
      <c r="WER32" s="1551"/>
      <c r="WES32" s="1551"/>
      <c r="WET32" s="1551"/>
      <c r="WEU32" s="1551"/>
      <c r="WEV32" s="1551"/>
      <c r="WEW32" s="1551"/>
      <c r="WEX32" s="1551"/>
      <c r="WEY32" s="1551"/>
      <c r="WEZ32" s="1551"/>
      <c r="WFA32" s="1551"/>
      <c r="WFB32" s="1551"/>
      <c r="WFC32" s="1551"/>
      <c r="WFD32" s="1551"/>
      <c r="WFE32" s="1551"/>
      <c r="WFF32" s="1551"/>
      <c r="WFG32" s="1551"/>
      <c r="WFH32" s="1551"/>
      <c r="WFI32" s="1551"/>
      <c r="WFJ32" s="1551"/>
      <c r="WFK32" s="1551"/>
      <c r="WFL32" s="1551"/>
      <c r="WFM32" s="1551"/>
      <c r="WFN32" s="1551"/>
      <c r="WFO32" s="1551"/>
      <c r="WFP32" s="1551"/>
      <c r="WFQ32" s="1551"/>
      <c r="WFR32" s="1551"/>
      <c r="WFS32" s="1551"/>
      <c r="WFT32" s="1551"/>
      <c r="WFU32" s="1551"/>
      <c r="WFV32" s="1551"/>
      <c r="WFW32" s="1551"/>
      <c r="WFX32" s="1551"/>
      <c r="WFY32" s="1551"/>
      <c r="WFZ32" s="1551"/>
      <c r="WGA32" s="1551"/>
      <c r="WGB32" s="1551"/>
      <c r="WGC32" s="1551"/>
      <c r="WGD32" s="1551"/>
      <c r="WGE32" s="1551"/>
      <c r="WGF32" s="1551"/>
      <c r="WGG32" s="1551"/>
      <c r="WGH32" s="1551"/>
      <c r="WGI32" s="1551"/>
      <c r="WGJ32" s="1551"/>
      <c r="WGK32" s="1551"/>
      <c r="WGL32" s="1551"/>
      <c r="WGM32" s="1551"/>
      <c r="WGN32" s="1551"/>
      <c r="WGO32" s="1551"/>
      <c r="WGP32" s="1551"/>
      <c r="WGQ32" s="1551"/>
      <c r="WGR32" s="1551"/>
      <c r="WGS32" s="1551"/>
      <c r="WGT32" s="1551"/>
      <c r="WGU32" s="1551"/>
      <c r="WGV32" s="1551"/>
      <c r="WGW32" s="1551"/>
      <c r="WGX32" s="1551"/>
      <c r="WGY32" s="1551"/>
      <c r="WGZ32" s="1551"/>
      <c r="WHA32" s="1551"/>
      <c r="WHB32" s="1551"/>
      <c r="WHC32" s="1551"/>
      <c r="WHD32" s="1551"/>
      <c r="WHE32" s="1551"/>
      <c r="WHF32" s="1551"/>
      <c r="WHG32" s="1551"/>
      <c r="WHH32" s="1551"/>
      <c r="WHI32" s="1551"/>
      <c r="WHJ32" s="1551"/>
      <c r="WHK32" s="1551"/>
      <c r="WHL32" s="1551"/>
      <c r="WHM32" s="1551"/>
      <c r="WHN32" s="1551"/>
      <c r="WHO32" s="1551"/>
      <c r="WHP32" s="1551"/>
      <c r="WHQ32" s="1551"/>
      <c r="WHR32" s="1551"/>
      <c r="WHS32" s="1551"/>
      <c r="WHT32" s="1551"/>
      <c r="WHU32" s="1551"/>
      <c r="WHV32" s="1551"/>
      <c r="WHW32" s="1551"/>
      <c r="WHX32" s="1551"/>
      <c r="WHY32" s="1551"/>
      <c r="WHZ32" s="1551"/>
      <c r="WIA32" s="1551"/>
      <c r="WIB32" s="1551"/>
      <c r="WIC32" s="1551"/>
      <c r="WID32" s="1551"/>
      <c r="WIE32" s="1551"/>
      <c r="WIF32" s="1551"/>
      <c r="WIG32" s="1551"/>
      <c r="WIH32" s="1551"/>
      <c r="WII32" s="1551"/>
      <c r="WIJ32" s="1551"/>
      <c r="WIK32" s="1551"/>
      <c r="WIL32" s="1551"/>
      <c r="WIM32" s="1551"/>
      <c r="WIN32" s="1551"/>
      <c r="WIO32" s="1551"/>
      <c r="WIP32" s="1551"/>
      <c r="WIQ32" s="1551"/>
      <c r="WIR32" s="1551"/>
      <c r="WIS32" s="1551"/>
      <c r="WIT32" s="1551"/>
      <c r="WIU32" s="1551"/>
      <c r="WIV32" s="1551"/>
      <c r="WIW32" s="1551"/>
      <c r="WIX32" s="1551"/>
      <c r="WIY32" s="1551"/>
      <c r="WIZ32" s="1551"/>
      <c r="WJA32" s="1551"/>
      <c r="WJB32" s="1551"/>
      <c r="WJC32" s="1551"/>
      <c r="WJD32" s="1551"/>
      <c r="WJE32" s="1551"/>
      <c r="WJF32" s="1551"/>
      <c r="WJG32" s="1551"/>
      <c r="WJH32" s="1551"/>
      <c r="WJI32" s="1551"/>
      <c r="WJJ32" s="1551"/>
      <c r="WJK32" s="1551"/>
      <c r="WJL32" s="1551"/>
      <c r="WJM32" s="1551"/>
      <c r="WJN32" s="1551"/>
      <c r="WJO32" s="1551"/>
      <c r="WJP32" s="1551"/>
      <c r="WJQ32" s="1551"/>
      <c r="WJR32" s="1551"/>
      <c r="WJS32" s="1551"/>
      <c r="WJT32" s="1551"/>
      <c r="WJU32" s="1551"/>
      <c r="WJV32" s="1551"/>
      <c r="WJW32" s="1551"/>
      <c r="WJX32" s="1551"/>
      <c r="WJY32" s="1551"/>
      <c r="WJZ32" s="1551"/>
      <c r="WKA32" s="1551"/>
      <c r="WKB32" s="1551"/>
      <c r="WKC32" s="1551"/>
      <c r="WKD32" s="1551"/>
      <c r="WKE32" s="1551"/>
      <c r="WKF32" s="1551"/>
      <c r="WKG32" s="1551"/>
      <c r="WKH32" s="1551"/>
      <c r="WKI32" s="1551"/>
      <c r="WKJ32" s="1551"/>
      <c r="WKK32" s="1551"/>
      <c r="WKL32" s="1551"/>
      <c r="WKM32" s="1551"/>
      <c r="WKN32" s="1551"/>
      <c r="WKO32" s="1551"/>
      <c r="WKP32" s="1551"/>
      <c r="WKQ32" s="1551"/>
      <c r="WKR32" s="1551"/>
      <c r="WKS32" s="1551"/>
      <c r="WKT32" s="1551"/>
      <c r="WKU32" s="1551"/>
      <c r="WKV32" s="1551"/>
      <c r="WKW32" s="1551"/>
      <c r="WKX32" s="1551"/>
      <c r="WKY32" s="1551"/>
      <c r="WKZ32" s="1551"/>
      <c r="WLA32" s="1551"/>
      <c r="WLB32" s="1551"/>
      <c r="WLC32" s="1551"/>
      <c r="WLD32" s="1551"/>
      <c r="WLE32" s="1551"/>
      <c r="WLF32" s="1551"/>
      <c r="WLG32" s="1551"/>
      <c r="WLH32" s="1551"/>
      <c r="WLI32" s="1551"/>
      <c r="WLJ32" s="1551"/>
      <c r="WLK32" s="1551"/>
      <c r="WLL32" s="1551"/>
      <c r="WLM32" s="1551"/>
      <c r="WLN32" s="1551"/>
      <c r="WLO32" s="1551"/>
      <c r="WLP32" s="1551"/>
      <c r="WLQ32" s="1551"/>
      <c r="WLR32" s="1551"/>
      <c r="WLS32" s="1551"/>
      <c r="WLT32" s="1551"/>
      <c r="WLU32" s="1551"/>
      <c r="WLV32" s="1551"/>
      <c r="WLW32" s="1551"/>
      <c r="WLX32" s="1551"/>
      <c r="WLY32" s="1551"/>
      <c r="WLZ32" s="1551"/>
      <c r="WMA32" s="1551"/>
      <c r="WMB32" s="1551"/>
      <c r="WMC32" s="1551"/>
      <c r="WMD32" s="1551"/>
      <c r="WME32" s="1551"/>
      <c r="WMF32" s="1551"/>
      <c r="WMG32" s="1551"/>
      <c r="WMH32" s="1551"/>
      <c r="WMI32" s="1551"/>
      <c r="WMJ32" s="1551"/>
      <c r="WMK32" s="1551"/>
      <c r="WML32" s="1551"/>
      <c r="WMM32" s="1551"/>
      <c r="WMN32" s="1551"/>
      <c r="WMO32" s="1551"/>
      <c r="WMP32" s="1551"/>
      <c r="WMQ32" s="1551"/>
      <c r="WMR32" s="1551"/>
      <c r="WMS32" s="1551"/>
      <c r="WMT32" s="1551"/>
      <c r="WMU32" s="1551"/>
      <c r="WMV32" s="1551"/>
      <c r="WMW32" s="1551"/>
      <c r="WMX32" s="1551"/>
      <c r="WMY32" s="1551"/>
      <c r="WMZ32" s="1551"/>
      <c r="WNA32" s="1551"/>
      <c r="WNB32" s="1551"/>
      <c r="WNC32" s="1551"/>
      <c r="WND32" s="1551"/>
      <c r="WNE32" s="1551"/>
      <c r="WNF32" s="1551"/>
      <c r="WNG32" s="1551"/>
      <c r="WNH32" s="1551"/>
      <c r="WNI32" s="1551"/>
      <c r="WNJ32" s="1551"/>
      <c r="WNK32" s="1551"/>
      <c r="WNL32" s="1551"/>
      <c r="WNM32" s="1551"/>
      <c r="WNN32" s="1551"/>
      <c r="WNO32" s="1551"/>
      <c r="WNP32" s="1551"/>
      <c r="WNQ32" s="1551"/>
      <c r="WNR32" s="1551"/>
      <c r="WNS32" s="1551"/>
      <c r="WNT32" s="1551"/>
      <c r="WNU32" s="1551"/>
      <c r="WNV32" s="1551"/>
      <c r="WNW32" s="1551"/>
      <c r="WNX32" s="1551"/>
      <c r="WNY32" s="1551"/>
      <c r="WNZ32" s="1551"/>
      <c r="WOA32" s="1551"/>
      <c r="WOB32" s="1551"/>
      <c r="WOC32" s="1551"/>
      <c r="WOD32" s="1551"/>
      <c r="WOE32" s="1551"/>
      <c r="WOF32" s="1551"/>
      <c r="WOG32" s="1551"/>
      <c r="WOH32" s="1551"/>
      <c r="WOI32" s="1551"/>
      <c r="WOJ32" s="1551"/>
      <c r="WOK32" s="1551"/>
      <c r="WOL32" s="1551"/>
      <c r="WOM32" s="1551"/>
      <c r="WON32" s="1551"/>
      <c r="WOO32" s="1551"/>
      <c r="WOP32" s="1551"/>
      <c r="WOQ32" s="1551"/>
      <c r="WOR32" s="1551"/>
      <c r="WOS32" s="1551"/>
      <c r="WOT32" s="1551"/>
      <c r="WOU32" s="1551"/>
      <c r="WOV32" s="1551"/>
      <c r="WOW32" s="1551"/>
      <c r="WOX32" s="1551"/>
      <c r="WOY32" s="1551"/>
      <c r="WOZ32" s="1551"/>
      <c r="WPA32" s="1551"/>
      <c r="WPB32" s="1551"/>
      <c r="WPC32" s="1551"/>
      <c r="WPD32" s="1551"/>
      <c r="WPE32" s="1551"/>
      <c r="WPF32" s="1551"/>
      <c r="WPG32" s="1551"/>
      <c r="WPH32" s="1551"/>
      <c r="WPI32" s="1551"/>
      <c r="WPJ32" s="1551"/>
      <c r="WPK32" s="1551"/>
      <c r="WPL32" s="1551"/>
      <c r="WPM32" s="1551"/>
      <c r="WPN32" s="1551"/>
      <c r="WPO32" s="1551"/>
      <c r="WPP32" s="1551"/>
      <c r="WPQ32" s="1551"/>
      <c r="WPR32" s="1551"/>
      <c r="WPS32" s="1551"/>
      <c r="WPT32" s="1551"/>
      <c r="WPU32" s="1551"/>
      <c r="WPV32" s="1551"/>
      <c r="WPW32" s="1551"/>
      <c r="WPX32" s="1551"/>
      <c r="WPY32" s="1551"/>
      <c r="WPZ32" s="1551"/>
      <c r="WQA32" s="1551"/>
      <c r="WQB32" s="1551"/>
      <c r="WQC32" s="1551"/>
      <c r="WQD32" s="1551"/>
      <c r="WQE32" s="1551"/>
      <c r="WQF32" s="1551"/>
      <c r="WQG32" s="1551"/>
      <c r="WQH32" s="1551"/>
      <c r="WQI32" s="1551"/>
      <c r="WQJ32" s="1551"/>
      <c r="WQK32" s="1551"/>
      <c r="WQL32" s="1551"/>
      <c r="WQM32" s="1551"/>
      <c r="WQN32" s="1551"/>
      <c r="WQO32" s="1551"/>
      <c r="WQP32" s="1551"/>
      <c r="WQQ32" s="1551"/>
      <c r="WQR32" s="1551"/>
      <c r="WQS32" s="1551"/>
      <c r="WQT32" s="1551"/>
      <c r="WQU32" s="1551"/>
      <c r="WQV32" s="1551"/>
      <c r="WQW32" s="1551"/>
      <c r="WQX32" s="1551"/>
      <c r="WQY32" s="1551"/>
      <c r="WQZ32" s="1551"/>
      <c r="WRA32" s="1551"/>
      <c r="WRB32" s="1551"/>
      <c r="WRC32" s="1551"/>
      <c r="WRD32" s="1551"/>
      <c r="WRE32" s="1551"/>
      <c r="WRF32" s="1551"/>
      <c r="WRG32" s="1551"/>
      <c r="WRH32" s="1551"/>
      <c r="WRI32" s="1551"/>
      <c r="WRJ32" s="1551"/>
      <c r="WRK32" s="1551"/>
      <c r="WRL32" s="1551"/>
      <c r="WRM32" s="1551"/>
      <c r="WRN32" s="1551"/>
      <c r="WRO32" s="1551"/>
      <c r="WRP32" s="1551"/>
      <c r="WRQ32" s="1551"/>
      <c r="WRR32" s="1551"/>
      <c r="WRS32" s="1551"/>
      <c r="WRT32" s="1551"/>
      <c r="WRU32" s="1551"/>
      <c r="WRV32" s="1551"/>
      <c r="WRW32" s="1551"/>
      <c r="WRX32" s="1551"/>
      <c r="WRY32" s="1551"/>
      <c r="WRZ32" s="1551"/>
      <c r="WSA32" s="1551"/>
      <c r="WSB32" s="1551"/>
      <c r="WSC32" s="1551"/>
      <c r="WSD32" s="1551"/>
      <c r="WSE32" s="1551"/>
      <c r="WSF32" s="1551"/>
      <c r="WSG32" s="1551"/>
      <c r="WSH32" s="1551"/>
      <c r="WSI32" s="1551"/>
      <c r="WSJ32" s="1551"/>
      <c r="WSK32" s="1551"/>
      <c r="WSL32" s="1551"/>
      <c r="WSM32" s="1551"/>
      <c r="WSN32" s="1551"/>
      <c r="WSO32" s="1551"/>
      <c r="WSP32" s="1551"/>
      <c r="WSQ32" s="1551"/>
      <c r="WSR32" s="1551"/>
      <c r="WSS32" s="1551"/>
      <c r="WST32" s="1551"/>
      <c r="WSU32" s="1551"/>
      <c r="WSV32" s="1551"/>
      <c r="WSW32" s="1551"/>
      <c r="WSX32" s="1551"/>
      <c r="WSY32" s="1551"/>
      <c r="WSZ32" s="1551"/>
      <c r="WTA32" s="1551"/>
      <c r="WTB32" s="1551"/>
      <c r="WTC32" s="1551"/>
      <c r="WTD32" s="1551"/>
      <c r="WTE32" s="1551"/>
      <c r="WTF32" s="1551"/>
      <c r="WTG32" s="1551"/>
      <c r="WTH32" s="1551"/>
      <c r="WTI32" s="1551"/>
      <c r="WTJ32" s="1551"/>
      <c r="WTK32" s="1551"/>
      <c r="WTL32" s="1551"/>
      <c r="WTM32" s="1551"/>
      <c r="WTN32" s="1551"/>
      <c r="WTO32" s="1551"/>
      <c r="WTP32" s="1551"/>
      <c r="WTQ32" s="1551"/>
      <c r="WTR32" s="1551"/>
      <c r="WTS32" s="1551"/>
      <c r="WTT32" s="1551"/>
      <c r="WTU32" s="1551"/>
      <c r="WTV32" s="1551"/>
      <c r="WTW32" s="1551"/>
      <c r="WTX32" s="1551"/>
      <c r="WTY32" s="1551"/>
      <c r="WTZ32" s="1551"/>
      <c r="WUA32" s="1551"/>
      <c r="WUB32" s="1551"/>
      <c r="WUC32" s="1551"/>
      <c r="WUD32" s="1551"/>
      <c r="WUE32" s="1551"/>
      <c r="WUF32" s="1551"/>
      <c r="WUG32" s="1551"/>
      <c r="WUH32" s="1551"/>
      <c r="WUI32" s="1551"/>
      <c r="WUJ32" s="1551"/>
      <c r="WUK32" s="1551"/>
      <c r="WUL32" s="1551"/>
      <c r="WUM32" s="1551"/>
      <c r="WUN32" s="1551"/>
      <c r="WUO32" s="1551"/>
      <c r="WUP32" s="1551"/>
      <c r="WUQ32" s="1551"/>
      <c r="WUR32" s="1551"/>
      <c r="WUS32" s="1551"/>
      <c r="WUT32" s="1551"/>
      <c r="WUU32" s="1551"/>
      <c r="WUV32" s="1551"/>
      <c r="WUW32" s="1551"/>
      <c r="WUX32" s="1551"/>
      <c r="WUY32" s="1551"/>
      <c r="WUZ32" s="1551"/>
      <c r="WVA32" s="1551"/>
      <c r="WVB32" s="1551"/>
      <c r="WVC32" s="1551"/>
      <c r="WVD32" s="1551"/>
      <c r="WVE32" s="1551"/>
      <c r="WVF32" s="1551"/>
      <c r="WVG32" s="1551"/>
      <c r="WVH32" s="1551"/>
      <c r="WVI32" s="1551"/>
      <c r="WVJ32" s="1551"/>
      <c r="WVK32" s="1551"/>
      <c r="WVL32" s="1551"/>
      <c r="WVM32" s="1551"/>
      <c r="WVN32" s="1551"/>
      <c r="WVO32" s="1551"/>
      <c r="WVP32" s="1551"/>
      <c r="WVQ32" s="1551"/>
      <c r="WVR32" s="1551"/>
      <c r="WVS32" s="1551"/>
      <c r="WVT32" s="1551"/>
      <c r="WVU32" s="1551"/>
      <c r="WVV32" s="1551"/>
      <c r="WVW32" s="1551"/>
      <c r="WVX32" s="1551"/>
      <c r="WVY32" s="1551"/>
      <c r="WVZ32" s="1551"/>
      <c r="WWA32" s="1551"/>
      <c r="WWB32" s="1551"/>
      <c r="WWC32" s="1551"/>
      <c r="WWD32" s="1551"/>
      <c r="WWE32" s="1551"/>
      <c r="WWF32" s="1551"/>
      <c r="WWG32" s="1551"/>
      <c r="WWH32" s="1551"/>
      <c r="WWI32" s="1551"/>
      <c r="WWJ32" s="1551"/>
      <c r="WWK32" s="1551"/>
      <c r="WWL32" s="1551"/>
      <c r="WWM32" s="1551"/>
      <c r="WWN32" s="1551"/>
      <c r="WWO32" s="1551"/>
      <c r="WWP32" s="1551"/>
      <c r="WWQ32" s="1551"/>
      <c r="WWR32" s="1551"/>
      <c r="WWS32" s="1551"/>
      <c r="WWT32" s="1551"/>
      <c r="WWU32" s="1551"/>
      <c r="WWV32" s="1551"/>
      <c r="WWW32" s="1551"/>
      <c r="WWX32" s="1551"/>
      <c r="WWY32" s="1551"/>
      <c r="WWZ32" s="1551"/>
      <c r="WXA32" s="1551"/>
      <c r="WXB32" s="1551"/>
      <c r="WXC32" s="1551"/>
      <c r="WXD32" s="1551"/>
      <c r="WXE32" s="1551"/>
      <c r="WXF32" s="1551"/>
      <c r="WXG32" s="1551"/>
      <c r="WXH32" s="1551"/>
      <c r="WXI32" s="1551"/>
      <c r="WXJ32" s="1551"/>
      <c r="WXK32" s="1551"/>
      <c r="WXL32" s="1551"/>
      <c r="WXM32" s="1551"/>
      <c r="WXN32" s="1551"/>
      <c r="WXO32" s="1551"/>
      <c r="WXP32" s="1551"/>
      <c r="WXQ32" s="1551"/>
      <c r="WXR32" s="1551"/>
      <c r="WXS32" s="1551"/>
      <c r="WXT32" s="1551"/>
      <c r="WXU32" s="1551"/>
      <c r="WXV32" s="1551"/>
      <c r="WXW32" s="1551"/>
      <c r="WXX32" s="1551"/>
      <c r="WXY32" s="1551"/>
      <c r="WXZ32" s="1551"/>
      <c r="WYA32" s="1551"/>
      <c r="WYB32" s="1551"/>
      <c r="WYC32" s="1551"/>
      <c r="WYD32" s="1551"/>
      <c r="WYE32" s="1551"/>
      <c r="WYF32" s="1551"/>
      <c r="WYG32" s="1551"/>
      <c r="WYH32" s="1551"/>
      <c r="WYI32" s="1551"/>
      <c r="WYJ32" s="1551"/>
      <c r="WYK32" s="1551"/>
      <c r="WYL32" s="1551"/>
      <c r="WYM32" s="1551"/>
      <c r="WYN32" s="1551"/>
      <c r="WYO32" s="1551"/>
      <c r="WYP32" s="1551"/>
      <c r="WYQ32" s="1551"/>
      <c r="WYR32" s="1551"/>
      <c r="WYS32" s="1551"/>
      <c r="WYT32" s="1551"/>
      <c r="WYU32" s="1551"/>
      <c r="WYV32" s="1551"/>
      <c r="WYW32" s="1551"/>
      <c r="WYX32" s="1551"/>
      <c r="WYY32" s="1551"/>
      <c r="WYZ32" s="1551"/>
      <c r="WZA32" s="1551"/>
      <c r="WZB32" s="1551"/>
      <c r="WZC32" s="1551"/>
      <c r="WZD32" s="1551"/>
      <c r="WZE32" s="1551"/>
      <c r="WZF32" s="1551"/>
      <c r="WZG32" s="1551"/>
      <c r="WZH32" s="1551"/>
      <c r="WZI32" s="1551"/>
      <c r="WZJ32" s="1551"/>
      <c r="WZK32" s="1551"/>
      <c r="WZL32" s="1551"/>
      <c r="WZM32" s="1551"/>
      <c r="WZN32" s="1551"/>
      <c r="WZO32" s="1551"/>
      <c r="WZP32" s="1551"/>
      <c r="WZQ32" s="1551"/>
      <c r="WZR32" s="1551"/>
      <c r="WZS32" s="1551"/>
      <c r="WZT32" s="1551"/>
      <c r="WZU32" s="1551"/>
      <c r="WZV32" s="1551"/>
      <c r="WZW32" s="1551"/>
      <c r="WZX32" s="1551"/>
      <c r="WZY32" s="1551"/>
      <c r="WZZ32" s="1551"/>
      <c r="XAA32" s="1551"/>
      <c r="XAB32" s="1551"/>
      <c r="XAC32" s="1551"/>
      <c r="XAD32" s="1551"/>
      <c r="XAE32" s="1551"/>
      <c r="XAF32" s="1551"/>
      <c r="XAG32" s="1551"/>
      <c r="XAH32" s="1551"/>
      <c r="XAI32" s="1551"/>
      <c r="XAJ32" s="1551"/>
      <c r="XAK32" s="1551"/>
      <c r="XAL32" s="1551"/>
      <c r="XAM32" s="1551"/>
      <c r="XAN32" s="1551"/>
      <c r="XAO32" s="1551"/>
      <c r="XAP32" s="1551"/>
      <c r="XAQ32" s="1551"/>
      <c r="XAR32" s="1551"/>
      <c r="XAS32" s="1551"/>
      <c r="XAT32" s="1551"/>
      <c r="XAU32" s="1551"/>
      <c r="XAV32" s="1551"/>
      <c r="XAW32" s="1551"/>
      <c r="XAX32" s="1551"/>
      <c r="XAY32" s="1551"/>
      <c r="XAZ32" s="1551"/>
      <c r="XBA32" s="1551"/>
      <c r="XBB32" s="1551"/>
      <c r="XBC32" s="1551"/>
      <c r="XBD32" s="1551"/>
      <c r="XBE32" s="1551"/>
      <c r="XBF32" s="1551"/>
      <c r="XBG32" s="1551"/>
      <c r="XBH32" s="1551"/>
      <c r="XBI32" s="1551"/>
      <c r="XBJ32" s="1551"/>
      <c r="XBK32" s="1551"/>
      <c r="XBL32" s="1551"/>
      <c r="XBM32" s="1551"/>
      <c r="XBN32" s="1551"/>
      <c r="XBO32" s="1551"/>
      <c r="XBP32" s="1551"/>
      <c r="XBQ32" s="1551"/>
      <c r="XBR32" s="1551"/>
      <c r="XBS32" s="1551"/>
      <c r="XBT32" s="1551"/>
      <c r="XBU32" s="1551"/>
      <c r="XBV32" s="1551"/>
      <c r="XBW32" s="1551"/>
      <c r="XBX32" s="1551"/>
      <c r="XBY32" s="1551"/>
      <c r="XBZ32" s="1551"/>
      <c r="XCA32" s="1551"/>
      <c r="XCB32" s="1551"/>
      <c r="XCC32" s="1551"/>
      <c r="XCD32" s="1551"/>
      <c r="XCE32" s="1551"/>
      <c r="XCF32" s="1551"/>
      <c r="XCG32" s="1551"/>
      <c r="XCH32" s="1551"/>
      <c r="XCI32" s="1551"/>
      <c r="XCJ32" s="1551"/>
      <c r="XCK32" s="1551"/>
      <c r="XCL32" s="1551"/>
      <c r="XCM32" s="1551"/>
      <c r="XCN32" s="1551"/>
      <c r="XCO32" s="1551"/>
      <c r="XCP32" s="1551"/>
      <c r="XCQ32" s="1551"/>
      <c r="XCR32" s="1551"/>
      <c r="XCS32" s="1551"/>
      <c r="XCT32" s="1551"/>
      <c r="XCU32" s="1551"/>
      <c r="XCV32" s="1551"/>
      <c r="XCW32" s="1551"/>
      <c r="XCX32" s="1551"/>
      <c r="XCY32" s="1551"/>
      <c r="XCZ32" s="1551"/>
      <c r="XDA32" s="1551"/>
      <c r="XDB32" s="1551"/>
      <c r="XDC32" s="1551"/>
      <c r="XDD32" s="1551"/>
      <c r="XDE32" s="1551"/>
      <c r="XDF32" s="1551"/>
      <c r="XDG32" s="1551"/>
      <c r="XDH32" s="1551"/>
      <c r="XDI32" s="1551"/>
      <c r="XDJ32" s="1551"/>
      <c r="XDK32" s="1551"/>
      <c r="XDL32" s="1551"/>
      <c r="XDM32" s="1551"/>
      <c r="XDN32" s="1551"/>
      <c r="XDO32" s="1551"/>
      <c r="XDP32" s="1551"/>
      <c r="XDQ32" s="1551"/>
      <c r="XDR32" s="1551"/>
      <c r="XDS32" s="1551"/>
      <c r="XDT32" s="1551"/>
      <c r="XDU32" s="1551"/>
      <c r="XDV32" s="1551"/>
      <c r="XDW32" s="1551"/>
      <c r="XDX32" s="1551"/>
      <c r="XDY32" s="1551"/>
      <c r="XDZ32" s="1551"/>
      <c r="XEA32" s="1551"/>
      <c r="XEB32" s="1551"/>
      <c r="XEC32" s="1551"/>
      <c r="XED32" s="1551"/>
      <c r="XEE32" s="1551"/>
      <c r="XEF32" s="1551"/>
      <c r="XEG32" s="1551"/>
      <c r="XEH32" s="1551"/>
      <c r="XEI32" s="1551"/>
      <c r="XEJ32" s="1551"/>
      <c r="XEK32" s="1551"/>
      <c r="XEL32" s="1551"/>
      <c r="XEM32" s="1551"/>
      <c r="XEN32" s="1551"/>
      <c r="XEO32" s="1551"/>
      <c r="XEP32" s="1551"/>
      <c r="XEQ32" s="1551"/>
      <c r="XER32" s="1551"/>
      <c r="XES32" s="1551"/>
      <c r="XET32" s="1551"/>
      <c r="XEU32" s="1551"/>
      <c r="XEV32" s="1551"/>
      <c r="XEW32" s="1551"/>
      <c r="XEX32" s="1551"/>
      <c r="XEY32" s="1551"/>
      <c r="XEZ32" s="1551"/>
      <c r="XFA32" s="1551"/>
      <c r="XFB32" s="1551"/>
      <c r="XFC32" s="1551"/>
      <c r="XFD32" s="1551"/>
    </row>
    <row r="33" spans="1:16384" ht="15.75" customHeight="1">
      <c r="A33" s="961"/>
      <c r="B33" s="1551" t="s">
        <v>2764</v>
      </c>
      <c r="C33" s="1551"/>
      <c r="D33" s="1551"/>
      <c r="E33" s="1551"/>
      <c r="F33" s="1551"/>
      <c r="G33" s="1551"/>
      <c r="H33" s="1551"/>
      <c r="I33" s="1551"/>
      <c r="J33" s="1551"/>
      <c r="K33" s="1551"/>
      <c r="L33" s="1551"/>
      <c r="M33" s="1551"/>
      <c r="N33" s="1551"/>
      <c r="O33" s="1551"/>
      <c r="P33" s="1551"/>
      <c r="Q33" s="1551"/>
      <c r="R33" s="1551"/>
      <c r="S33" s="1551"/>
      <c r="T33" s="1551"/>
      <c r="U33" s="1551"/>
      <c r="V33" s="1551"/>
      <c r="W33" s="1551"/>
      <c r="X33" s="1551"/>
      <c r="Y33" s="1551"/>
      <c r="Z33" s="1551"/>
      <c r="AA33" s="1551"/>
      <c r="AB33" s="1551"/>
      <c r="AC33" s="1551"/>
      <c r="AD33" s="1551"/>
      <c r="AE33" s="1551"/>
      <c r="AF33" s="1551"/>
      <c r="AG33" s="1551"/>
      <c r="AH33" s="1551"/>
      <c r="AI33" s="1551"/>
      <c r="AJ33" s="1551"/>
      <c r="AK33" s="1551"/>
      <c r="AL33" s="1551"/>
      <c r="AM33" s="1551"/>
      <c r="AN33" s="1551"/>
      <c r="AO33" s="1551"/>
      <c r="AP33" s="1551"/>
      <c r="AQ33" s="1551"/>
      <c r="AR33" s="1551"/>
      <c r="AS33" s="1551"/>
      <c r="AT33" s="1551"/>
      <c r="AU33" s="1551"/>
      <c r="AV33" s="1551"/>
      <c r="AW33" s="1551"/>
      <c r="AX33" s="1551"/>
      <c r="AY33" s="1551"/>
      <c r="AZ33" s="1551"/>
      <c r="BA33" s="1551"/>
      <c r="BB33" s="1551"/>
      <c r="BC33" s="1551"/>
      <c r="BD33" s="1551"/>
      <c r="BE33" s="1551"/>
      <c r="BF33" s="1551"/>
      <c r="BG33" s="1551"/>
      <c r="BH33" s="1551"/>
      <c r="BI33" s="1551"/>
      <c r="BJ33" s="1551"/>
      <c r="BK33" s="1551"/>
      <c r="BL33" s="1551"/>
      <c r="BM33" s="1551"/>
      <c r="BN33" s="1551"/>
      <c r="BO33" s="1551"/>
      <c r="BP33" s="1551"/>
      <c r="BQ33" s="1551"/>
      <c r="BR33" s="1551"/>
      <c r="BS33" s="1551"/>
      <c r="BT33" s="1551"/>
      <c r="BU33" s="1551"/>
      <c r="BV33" s="1551"/>
      <c r="BW33" s="1551"/>
      <c r="BX33" s="1551"/>
      <c r="BY33" s="1551"/>
      <c r="BZ33" s="1551"/>
      <c r="CA33" s="1551"/>
      <c r="CB33" s="1551"/>
      <c r="CC33" s="1551"/>
      <c r="CD33" s="1551"/>
      <c r="CE33" s="1551"/>
      <c r="CF33" s="1551"/>
      <c r="CG33" s="1551"/>
      <c r="CH33" s="1551"/>
      <c r="CI33" s="1551"/>
      <c r="CJ33" s="1551"/>
      <c r="CK33" s="1551"/>
      <c r="CL33" s="1551"/>
      <c r="CM33" s="1551"/>
      <c r="CN33" s="1551"/>
      <c r="CO33" s="1551"/>
      <c r="CP33" s="1551"/>
      <c r="CQ33" s="1551"/>
      <c r="CR33" s="1551"/>
      <c r="CS33" s="1551"/>
      <c r="CT33" s="1551"/>
      <c r="CU33" s="1551"/>
      <c r="CV33" s="1551"/>
      <c r="CW33" s="1551"/>
      <c r="CX33" s="1551"/>
      <c r="CY33" s="1551"/>
      <c r="CZ33" s="1551"/>
      <c r="DA33" s="1551"/>
      <c r="DB33" s="1551"/>
      <c r="DC33" s="1551"/>
      <c r="DD33" s="1551"/>
      <c r="DE33" s="1551"/>
      <c r="DF33" s="1551"/>
      <c r="DG33" s="1551"/>
      <c r="DH33" s="1551"/>
      <c r="DI33" s="1551"/>
      <c r="DJ33" s="1551"/>
      <c r="DK33" s="1551"/>
      <c r="DL33" s="1551"/>
      <c r="DM33" s="1551"/>
      <c r="DN33" s="1551"/>
      <c r="DO33" s="1551"/>
      <c r="DP33" s="1551"/>
      <c r="DQ33" s="1551"/>
      <c r="DR33" s="1551"/>
      <c r="DS33" s="1551"/>
      <c r="DT33" s="1551"/>
      <c r="DU33" s="1551"/>
      <c r="DV33" s="1551"/>
      <c r="DW33" s="1551"/>
      <c r="DX33" s="1551"/>
      <c r="DY33" s="1551"/>
      <c r="DZ33" s="1551"/>
      <c r="EA33" s="1551"/>
      <c r="EB33" s="1551"/>
      <c r="EC33" s="1551"/>
      <c r="ED33" s="1551"/>
      <c r="EE33" s="1551"/>
      <c r="EF33" s="1551"/>
      <c r="EG33" s="1551"/>
      <c r="EH33" s="1551"/>
      <c r="EI33" s="1551"/>
      <c r="EJ33" s="1551"/>
      <c r="EK33" s="1551"/>
      <c r="EL33" s="1551"/>
      <c r="EM33" s="1551"/>
      <c r="EN33" s="1551"/>
      <c r="EO33" s="1551"/>
      <c r="EP33" s="1551"/>
      <c r="EQ33" s="1551"/>
      <c r="ER33" s="1551"/>
      <c r="ES33" s="1551"/>
      <c r="ET33" s="1551"/>
      <c r="EU33" s="1551"/>
      <c r="EV33" s="1551"/>
      <c r="EW33" s="1551"/>
      <c r="EX33" s="1551"/>
      <c r="EY33" s="1551"/>
      <c r="EZ33" s="1551"/>
      <c r="FA33" s="1551"/>
      <c r="FB33" s="1551"/>
      <c r="FC33" s="1551"/>
      <c r="FD33" s="1551"/>
      <c r="FE33" s="1551"/>
      <c r="FF33" s="1551"/>
      <c r="FG33" s="1551"/>
      <c r="FH33" s="1551"/>
      <c r="FI33" s="1551"/>
      <c r="FJ33" s="1551"/>
      <c r="FK33" s="1551"/>
      <c r="FL33" s="1551"/>
      <c r="FM33" s="1551"/>
      <c r="FN33" s="1551"/>
      <c r="FO33" s="1551"/>
      <c r="FP33" s="1551"/>
      <c r="FQ33" s="1551"/>
      <c r="FR33" s="1551"/>
      <c r="FS33" s="1551"/>
      <c r="FT33" s="1551"/>
      <c r="FU33" s="1551"/>
      <c r="FV33" s="1551"/>
      <c r="FW33" s="1551"/>
      <c r="FX33" s="1551"/>
      <c r="FY33" s="1551"/>
      <c r="FZ33" s="1551"/>
      <c r="GA33" s="1551"/>
      <c r="GB33" s="1551"/>
      <c r="GC33" s="1551"/>
      <c r="GD33" s="1551"/>
      <c r="GE33" s="1551"/>
      <c r="GF33" s="1551"/>
      <c r="GG33" s="1551"/>
      <c r="GH33" s="1551"/>
      <c r="GI33" s="1551"/>
      <c r="GJ33" s="1551"/>
      <c r="GK33" s="1551"/>
      <c r="GL33" s="1551"/>
      <c r="GM33" s="1551"/>
      <c r="GN33" s="1551"/>
      <c r="GO33" s="1551"/>
      <c r="GP33" s="1551"/>
      <c r="GQ33" s="1551"/>
      <c r="GR33" s="1551"/>
      <c r="GS33" s="1551"/>
      <c r="GT33" s="1551"/>
      <c r="GU33" s="1551"/>
      <c r="GV33" s="1551"/>
      <c r="GW33" s="1551"/>
      <c r="GX33" s="1551"/>
      <c r="GY33" s="1551"/>
      <c r="GZ33" s="1551"/>
      <c r="HA33" s="1551"/>
      <c r="HB33" s="1551"/>
      <c r="HC33" s="1551"/>
      <c r="HD33" s="1551"/>
      <c r="HE33" s="1551"/>
      <c r="HF33" s="1551"/>
      <c r="HG33" s="1551"/>
      <c r="HH33" s="1551"/>
      <c r="HI33" s="1551"/>
      <c r="HJ33" s="1551"/>
      <c r="HK33" s="1551"/>
      <c r="HL33" s="1551"/>
      <c r="HM33" s="1551"/>
      <c r="HN33" s="1551"/>
      <c r="HO33" s="1551"/>
      <c r="HP33" s="1551"/>
      <c r="HQ33" s="1551"/>
      <c r="HR33" s="1551"/>
      <c r="HS33" s="1551"/>
      <c r="HT33" s="1551"/>
      <c r="HU33" s="1551"/>
      <c r="HV33" s="1551"/>
      <c r="HW33" s="1551"/>
      <c r="HX33" s="1551"/>
      <c r="HY33" s="1551"/>
      <c r="HZ33" s="1551"/>
      <c r="IA33" s="1551"/>
      <c r="IB33" s="1551"/>
      <c r="IC33" s="1551"/>
      <c r="ID33" s="1551"/>
      <c r="IE33" s="1551"/>
      <c r="IF33" s="1551"/>
      <c r="IG33" s="1551"/>
      <c r="IH33" s="1551"/>
      <c r="II33" s="1551"/>
      <c r="IJ33" s="1551"/>
      <c r="IK33" s="1551"/>
      <c r="IL33" s="1551"/>
      <c r="IM33" s="1551"/>
      <c r="IN33" s="1551"/>
      <c r="IO33" s="1551"/>
      <c r="IP33" s="1551"/>
      <c r="IQ33" s="1551"/>
      <c r="IR33" s="1551"/>
      <c r="IS33" s="1551"/>
      <c r="IT33" s="1551"/>
      <c r="IU33" s="1551"/>
      <c r="IV33" s="1551"/>
      <c r="IW33" s="1551"/>
      <c r="IX33" s="1551"/>
      <c r="IY33" s="1551"/>
      <c r="IZ33" s="1551"/>
      <c r="JA33" s="1551"/>
      <c r="JB33" s="1551"/>
      <c r="JC33" s="1551"/>
      <c r="JD33" s="1551"/>
      <c r="JE33" s="1551"/>
      <c r="JF33" s="1551"/>
      <c r="JG33" s="1551"/>
      <c r="JH33" s="1551"/>
      <c r="JI33" s="1551"/>
      <c r="JJ33" s="1551"/>
      <c r="JK33" s="1551"/>
      <c r="JL33" s="1551"/>
      <c r="JM33" s="1551"/>
      <c r="JN33" s="1551"/>
      <c r="JO33" s="1551"/>
      <c r="JP33" s="1551"/>
      <c r="JQ33" s="1551"/>
      <c r="JR33" s="1551"/>
      <c r="JS33" s="1551"/>
      <c r="JT33" s="1551"/>
      <c r="JU33" s="1551"/>
      <c r="JV33" s="1551"/>
      <c r="JW33" s="1551"/>
      <c r="JX33" s="1551"/>
      <c r="JY33" s="1551"/>
      <c r="JZ33" s="1551"/>
      <c r="KA33" s="1551"/>
      <c r="KB33" s="1551"/>
      <c r="KC33" s="1551"/>
      <c r="KD33" s="1551"/>
      <c r="KE33" s="1551"/>
      <c r="KF33" s="1551"/>
      <c r="KG33" s="1551"/>
      <c r="KH33" s="1551"/>
      <c r="KI33" s="1551"/>
      <c r="KJ33" s="1551"/>
      <c r="KK33" s="1551"/>
      <c r="KL33" s="1551"/>
      <c r="KM33" s="1551"/>
      <c r="KN33" s="1551"/>
      <c r="KO33" s="1551"/>
      <c r="KP33" s="1551"/>
      <c r="KQ33" s="1551"/>
      <c r="KR33" s="1551"/>
      <c r="KS33" s="1551"/>
      <c r="KT33" s="1551"/>
      <c r="KU33" s="1551"/>
      <c r="KV33" s="1551"/>
      <c r="KW33" s="1551"/>
      <c r="KX33" s="1551"/>
      <c r="KY33" s="1551"/>
      <c r="KZ33" s="1551"/>
      <c r="LA33" s="1551"/>
      <c r="LB33" s="1551"/>
      <c r="LC33" s="1551"/>
      <c r="LD33" s="1551"/>
      <c r="LE33" s="1551"/>
      <c r="LF33" s="1551"/>
      <c r="LG33" s="1551"/>
      <c r="LH33" s="1551"/>
      <c r="LI33" s="1551"/>
      <c r="LJ33" s="1551"/>
      <c r="LK33" s="1551"/>
      <c r="LL33" s="1551"/>
      <c r="LM33" s="1551"/>
      <c r="LN33" s="1551"/>
      <c r="LO33" s="1551"/>
      <c r="LP33" s="1551"/>
      <c r="LQ33" s="1551"/>
      <c r="LR33" s="1551"/>
      <c r="LS33" s="1551"/>
      <c r="LT33" s="1551"/>
      <c r="LU33" s="1551"/>
      <c r="LV33" s="1551"/>
      <c r="LW33" s="1551"/>
      <c r="LX33" s="1551"/>
      <c r="LY33" s="1551"/>
      <c r="LZ33" s="1551"/>
      <c r="MA33" s="1551"/>
      <c r="MB33" s="1551"/>
      <c r="MC33" s="1551"/>
      <c r="MD33" s="1551"/>
      <c r="ME33" s="1551"/>
      <c r="MF33" s="1551"/>
      <c r="MG33" s="1551"/>
      <c r="MH33" s="1551"/>
      <c r="MI33" s="1551"/>
      <c r="MJ33" s="1551"/>
      <c r="MK33" s="1551"/>
      <c r="ML33" s="1551"/>
      <c r="MM33" s="1551"/>
      <c r="MN33" s="1551"/>
      <c r="MO33" s="1551"/>
      <c r="MP33" s="1551"/>
      <c r="MQ33" s="1551"/>
      <c r="MR33" s="1551"/>
      <c r="MS33" s="1551"/>
      <c r="MT33" s="1551"/>
      <c r="MU33" s="1551"/>
      <c r="MV33" s="1551"/>
      <c r="MW33" s="1551"/>
      <c r="MX33" s="1551"/>
      <c r="MY33" s="1551"/>
      <c r="MZ33" s="1551"/>
      <c r="NA33" s="1551"/>
      <c r="NB33" s="1551"/>
      <c r="NC33" s="1551"/>
      <c r="ND33" s="1551"/>
      <c r="NE33" s="1551"/>
      <c r="NF33" s="1551"/>
      <c r="NG33" s="1551"/>
      <c r="NH33" s="1551"/>
      <c r="NI33" s="1551"/>
      <c r="NJ33" s="1551"/>
      <c r="NK33" s="1551"/>
      <c r="NL33" s="1551"/>
      <c r="NM33" s="1551"/>
      <c r="NN33" s="1551"/>
      <c r="NO33" s="1551"/>
      <c r="NP33" s="1551"/>
      <c r="NQ33" s="1551"/>
      <c r="NR33" s="1551"/>
      <c r="NS33" s="1551"/>
      <c r="NT33" s="1551"/>
      <c r="NU33" s="1551"/>
      <c r="NV33" s="1551"/>
      <c r="NW33" s="1551"/>
      <c r="NX33" s="1551"/>
      <c r="NY33" s="1551"/>
      <c r="NZ33" s="1551"/>
      <c r="OA33" s="1551"/>
      <c r="OB33" s="1551"/>
      <c r="OC33" s="1551"/>
      <c r="OD33" s="1551"/>
      <c r="OE33" s="1551"/>
      <c r="OF33" s="1551"/>
      <c r="OG33" s="1551"/>
      <c r="OH33" s="1551"/>
      <c r="OI33" s="1551"/>
      <c r="OJ33" s="1551"/>
      <c r="OK33" s="1551"/>
      <c r="OL33" s="1551"/>
      <c r="OM33" s="1551"/>
      <c r="ON33" s="1551"/>
      <c r="OO33" s="1551"/>
      <c r="OP33" s="1551"/>
      <c r="OQ33" s="1551"/>
      <c r="OR33" s="1551"/>
      <c r="OS33" s="1551"/>
      <c r="OT33" s="1551"/>
      <c r="OU33" s="1551"/>
      <c r="OV33" s="1551"/>
      <c r="OW33" s="1551"/>
      <c r="OX33" s="1551"/>
      <c r="OY33" s="1551"/>
      <c r="OZ33" s="1551"/>
      <c r="PA33" s="1551"/>
      <c r="PB33" s="1551"/>
      <c r="PC33" s="1551"/>
      <c r="PD33" s="1551"/>
      <c r="PE33" s="1551"/>
      <c r="PF33" s="1551"/>
      <c r="PG33" s="1551"/>
      <c r="PH33" s="1551"/>
      <c r="PI33" s="1551"/>
      <c r="PJ33" s="1551"/>
      <c r="PK33" s="1551"/>
      <c r="PL33" s="1551"/>
      <c r="PM33" s="1551"/>
      <c r="PN33" s="1551"/>
      <c r="PO33" s="1551"/>
      <c r="PP33" s="1551"/>
      <c r="PQ33" s="1551"/>
      <c r="PR33" s="1551"/>
      <c r="PS33" s="1551"/>
      <c r="PT33" s="1551"/>
      <c r="PU33" s="1551"/>
      <c r="PV33" s="1551"/>
      <c r="PW33" s="1551"/>
      <c r="PX33" s="1551"/>
      <c r="PY33" s="1551"/>
      <c r="PZ33" s="1551"/>
      <c r="QA33" s="1551"/>
      <c r="QB33" s="1551"/>
      <c r="QC33" s="1551"/>
      <c r="QD33" s="1551"/>
      <c r="QE33" s="1551"/>
      <c r="QF33" s="1551"/>
      <c r="QG33" s="1551"/>
      <c r="QH33" s="1551"/>
      <c r="QI33" s="1551"/>
      <c r="QJ33" s="1551"/>
      <c r="QK33" s="1551"/>
      <c r="QL33" s="1551"/>
      <c r="QM33" s="1551"/>
      <c r="QN33" s="1551"/>
      <c r="QO33" s="1551"/>
      <c r="QP33" s="1551"/>
      <c r="QQ33" s="1551"/>
      <c r="QR33" s="1551"/>
      <c r="QS33" s="1551"/>
      <c r="QT33" s="1551"/>
      <c r="QU33" s="1551"/>
      <c r="QV33" s="1551"/>
      <c r="QW33" s="1551"/>
      <c r="QX33" s="1551"/>
      <c r="QY33" s="1551"/>
      <c r="QZ33" s="1551"/>
      <c r="RA33" s="1551"/>
      <c r="RB33" s="1551"/>
      <c r="RC33" s="1551"/>
      <c r="RD33" s="1551"/>
      <c r="RE33" s="1551"/>
      <c r="RF33" s="1551"/>
      <c r="RG33" s="1551"/>
      <c r="RH33" s="1551"/>
      <c r="RI33" s="1551"/>
      <c r="RJ33" s="1551"/>
      <c r="RK33" s="1551"/>
      <c r="RL33" s="1551"/>
      <c r="RM33" s="1551"/>
      <c r="RN33" s="1551"/>
      <c r="RO33" s="1551"/>
      <c r="RP33" s="1551"/>
      <c r="RQ33" s="1551"/>
      <c r="RR33" s="1551"/>
      <c r="RS33" s="1551"/>
      <c r="RT33" s="1551"/>
      <c r="RU33" s="1551"/>
      <c r="RV33" s="1551"/>
      <c r="RW33" s="1551"/>
      <c r="RX33" s="1551"/>
      <c r="RY33" s="1551"/>
      <c r="RZ33" s="1551"/>
      <c r="SA33" s="1551"/>
      <c r="SB33" s="1551"/>
      <c r="SC33" s="1551"/>
      <c r="SD33" s="1551"/>
      <c r="SE33" s="1551"/>
      <c r="SF33" s="1551"/>
      <c r="SG33" s="1551"/>
      <c r="SH33" s="1551"/>
      <c r="SI33" s="1551"/>
      <c r="SJ33" s="1551"/>
      <c r="SK33" s="1551"/>
      <c r="SL33" s="1551"/>
      <c r="SM33" s="1551"/>
      <c r="SN33" s="1551"/>
      <c r="SO33" s="1551"/>
      <c r="SP33" s="1551"/>
      <c r="SQ33" s="1551"/>
      <c r="SR33" s="1551"/>
      <c r="SS33" s="1551"/>
      <c r="ST33" s="1551"/>
      <c r="SU33" s="1551"/>
      <c r="SV33" s="1551"/>
      <c r="SW33" s="1551"/>
      <c r="SX33" s="1551"/>
      <c r="SY33" s="1551"/>
      <c r="SZ33" s="1551"/>
      <c r="TA33" s="1551"/>
      <c r="TB33" s="1551"/>
      <c r="TC33" s="1551"/>
      <c r="TD33" s="1551"/>
      <c r="TE33" s="1551"/>
      <c r="TF33" s="1551"/>
      <c r="TG33" s="1551"/>
      <c r="TH33" s="1551"/>
      <c r="TI33" s="1551"/>
      <c r="TJ33" s="1551"/>
      <c r="TK33" s="1551"/>
      <c r="TL33" s="1551"/>
      <c r="TM33" s="1551"/>
      <c r="TN33" s="1551"/>
      <c r="TO33" s="1551"/>
      <c r="TP33" s="1551"/>
      <c r="TQ33" s="1551"/>
      <c r="TR33" s="1551"/>
      <c r="TS33" s="1551"/>
      <c r="TT33" s="1551"/>
      <c r="TU33" s="1551"/>
      <c r="TV33" s="1551"/>
      <c r="TW33" s="1551"/>
      <c r="TX33" s="1551"/>
      <c r="TY33" s="1551"/>
      <c r="TZ33" s="1551"/>
      <c r="UA33" s="1551"/>
      <c r="UB33" s="1551"/>
      <c r="UC33" s="1551"/>
      <c r="UD33" s="1551"/>
      <c r="UE33" s="1551"/>
      <c r="UF33" s="1551"/>
      <c r="UG33" s="1551"/>
      <c r="UH33" s="1551"/>
      <c r="UI33" s="1551"/>
      <c r="UJ33" s="1551"/>
      <c r="UK33" s="1551"/>
      <c r="UL33" s="1551"/>
      <c r="UM33" s="1551"/>
      <c r="UN33" s="1551"/>
      <c r="UO33" s="1551"/>
      <c r="UP33" s="1551"/>
      <c r="UQ33" s="1551"/>
      <c r="UR33" s="1551"/>
      <c r="US33" s="1551"/>
      <c r="UT33" s="1551"/>
      <c r="UU33" s="1551"/>
      <c r="UV33" s="1551"/>
      <c r="UW33" s="1551"/>
      <c r="UX33" s="1551"/>
      <c r="UY33" s="1551"/>
      <c r="UZ33" s="1551"/>
      <c r="VA33" s="1551"/>
      <c r="VB33" s="1551"/>
      <c r="VC33" s="1551"/>
      <c r="VD33" s="1551"/>
      <c r="VE33" s="1551"/>
      <c r="VF33" s="1551"/>
      <c r="VG33" s="1551"/>
      <c r="VH33" s="1551"/>
      <c r="VI33" s="1551"/>
      <c r="VJ33" s="1551"/>
      <c r="VK33" s="1551"/>
      <c r="VL33" s="1551"/>
      <c r="VM33" s="1551"/>
      <c r="VN33" s="1551"/>
      <c r="VO33" s="1551"/>
      <c r="VP33" s="1551"/>
      <c r="VQ33" s="1551"/>
      <c r="VR33" s="1551"/>
      <c r="VS33" s="1551"/>
      <c r="VT33" s="1551"/>
      <c r="VU33" s="1551"/>
      <c r="VV33" s="1551"/>
      <c r="VW33" s="1551"/>
      <c r="VX33" s="1551"/>
      <c r="VY33" s="1551"/>
      <c r="VZ33" s="1551"/>
      <c r="WA33" s="1551"/>
      <c r="WB33" s="1551"/>
      <c r="WC33" s="1551"/>
      <c r="WD33" s="1551"/>
      <c r="WE33" s="1551"/>
      <c r="WF33" s="1551"/>
      <c r="WG33" s="1551"/>
      <c r="WH33" s="1551"/>
      <c r="WI33" s="1551"/>
      <c r="WJ33" s="1551"/>
      <c r="WK33" s="1551"/>
      <c r="WL33" s="1551"/>
      <c r="WM33" s="1551"/>
      <c r="WN33" s="1551"/>
      <c r="WO33" s="1551"/>
      <c r="WP33" s="1551"/>
      <c r="WQ33" s="1551"/>
      <c r="WR33" s="1551"/>
      <c r="WS33" s="1551"/>
      <c r="WT33" s="1551"/>
      <c r="WU33" s="1551"/>
      <c r="WV33" s="1551"/>
      <c r="WW33" s="1551"/>
      <c r="WX33" s="1551"/>
      <c r="WY33" s="1551"/>
      <c r="WZ33" s="1551"/>
      <c r="XA33" s="1551"/>
      <c r="XB33" s="1551"/>
      <c r="XC33" s="1551"/>
      <c r="XD33" s="1551"/>
      <c r="XE33" s="1551"/>
      <c r="XF33" s="1551"/>
      <c r="XG33" s="1551"/>
      <c r="XH33" s="1551"/>
      <c r="XI33" s="1551"/>
      <c r="XJ33" s="1551"/>
      <c r="XK33" s="1551"/>
      <c r="XL33" s="1551"/>
      <c r="XM33" s="1551"/>
      <c r="XN33" s="1551"/>
      <c r="XO33" s="1551"/>
      <c r="XP33" s="1551"/>
      <c r="XQ33" s="1551"/>
      <c r="XR33" s="1551"/>
      <c r="XS33" s="1551"/>
      <c r="XT33" s="1551"/>
      <c r="XU33" s="1551"/>
      <c r="XV33" s="1551"/>
      <c r="XW33" s="1551"/>
      <c r="XX33" s="1551"/>
      <c r="XY33" s="1551"/>
      <c r="XZ33" s="1551"/>
      <c r="YA33" s="1551"/>
      <c r="YB33" s="1551"/>
      <c r="YC33" s="1551"/>
      <c r="YD33" s="1551"/>
      <c r="YE33" s="1551"/>
      <c r="YF33" s="1551"/>
      <c r="YG33" s="1551"/>
      <c r="YH33" s="1551"/>
      <c r="YI33" s="1551"/>
      <c r="YJ33" s="1551"/>
      <c r="YK33" s="1551"/>
      <c r="YL33" s="1551"/>
      <c r="YM33" s="1551"/>
      <c r="YN33" s="1551"/>
      <c r="YO33" s="1551"/>
      <c r="YP33" s="1551"/>
      <c r="YQ33" s="1551"/>
      <c r="YR33" s="1551"/>
      <c r="YS33" s="1551"/>
      <c r="YT33" s="1551"/>
      <c r="YU33" s="1551"/>
      <c r="YV33" s="1551"/>
      <c r="YW33" s="1551"/>
      <c r="YX33" s="1551"/>
      <c r="YY33" s="1551"/>
      <c r="YZ33" s="1551"/>
      <c r="ZA33" s="1551"/>
      <c r="ZB33" s="1551"/>
      <c r="ZC33" s="1551"/>
      <c r="ZD33" s="1551"/>
      <c r="ZE33" s="1551"/>
      <c r="ZF33" s="1551"/>
      <c r="ZG33" s="1551"/>
      <c r="ZH33" s="1551"/>
      <c r="ZI33" s="1551"/>
      <c r="ZJ33" s="1551"/>
      <c r="ZK33" s="1551"/>
      <c r="ZL33" s="1551"/>
      <c r="ZM33" s="1551"/>
      <c r="ZN33" s="1551"/>
      <c r="ZO33" s="1551"/>
      <c r="ZP33" s="1551"/>
      <c r="ZQ33" s="1551"/>
      <c r="ZR33" s="1551"/>
      <c r="ZS33" s="1551"/>
      <c r="ZT33" s="1551"/>
      <c r="ZU33" s="1551"/>
      <c r="ZV33" s="1551"/>
      <c r="ZW33" s="1551"/>
      <c r="ZX33" s="1551"/>
      <c r="ZY33" s="1551"/>
      <c r="ZZ33" s="1551"/>
      <c r="AAA33" s="1551"/>
      <c r="AAB33" s="1551"/>
      <c r="AAC33" s="1551"/>
      <c r="AAD33" s="1551"/>
      <c r="AAE33" s="1551"/>
      <c r="AAF33" s="1551"/>
      <c r="AAG33" s="1551"/>
      <c r="AAH33" s="1551"/>
      <c r="AAI33" s="1551"/>
      <c r="AAJ33" s="1551"/>
      <c r="AAK33" s="1551"/>
      <c r="AAL33" s="1551"/>
      <c r="AAM33" s="1551"/>
      <c r="AAN33" s="1551"/>
      <c r="AAO33" s="1551"/>
      <c r="AAP33" s="1551"/>
      <c r="AAQ33" s="1551"/>
      <c r="AAR33" s="1551"/>
      <c r="AAS33" s="1551"/>
      <c r="AAT33" s="1551"/>
      <c r="AAU33" s="1551"/>
      <c r="AAV33" s="1551"/>
      <c r="AAW33" s="1551"/>
      <c r="AAX33" s="1551"/>
      <c r="AAY33" s="1551"/>
      <c r="AAZ33" s="1551"/>
      <c r="ABA33" s="1551"/>
      <c r="ABB33" s="1551"/>
      <c r="ABC33" s="1551"/>
      <c r="ABD33" s="1551"/>
      <c r="ABE33" s="1551"/>
      <c r="ABF33" s="1551"/>
      <c r="ABG33" s="1551"/>
      <c r="ABH33" s="1551"/>
      <c r="ABI33" s="1551"/>
      <c r="ABJ33" s="1551"/>
      <c r="ABK33" s="1551"/>
      <c r="ABL33" s="1551"/>
      <c r="ABM33" s="1551"/>
      <c r="ABN33" s="1551"/>
      <c r="ABO33" s="1551"/>
      <c r="ABP33" s="1551"/>
      <c r="ABQ33" s="1551"/>
      <c r="ABR33" s="1551"/>
      <c r="ABS33" s="1551"/>
      <c r="ABT33" s="1551"/>
      <c r="ABU33" s="1551"/>
      <c r="ABV33" s="1551"/>
      <c r="ABW33" s="1551"/>
      <c r="ABX33" s="1551"/>
      <c r="ABY33" s="1551"/>
      <c r="ABZ33" s="1551"/>
      <c r="ACA33" s="1551"/>
      <c r="ACB33" s="1551"/>
      <c r="ACC33" s="1551"/>
      <c r="ACD33" s="1551"/>
      <c r="ACE33" s="1551"/>
      <c r="ACF33" s="1551"/>
      <c r="ACG33" s="1551"/>
      <c r="ACH33" s="1551"/>
      <c r="ACI33" s="1551"/>
      <c r="ACJ33" s="1551"/>
      <c r="ACK33" s="1551"/>
      <c r="ACL33" s="1551"/>
      <c r="ACM33" s="1551"/>
      <c r="ACN33" s="1551"/>
      <c r="ACO33" s="1551"/>
      <c r="ACP33" s="1551"/>
      <c r="ACQ33" s="1551"/>
      <c r="ACR33" s="1551"/>
      <c r="ACS33" s="1551"/>
      <c r="ACT33" s="1551"/>
      <c r="ACU33" s="1551"/>
      <c r="ACV33" s="1551"/>
      <c r="ACW33" s="1551"/>
      <c r="ACX33" s="1551"/>
      <c r="ACY33" s="1551"/>
      <c r="ACZ33" s="1551"/>
      <c r="ADA33" s="1551"/>
      <c r="ADB33" s="1551"/>
      <c r="ADC33" s="1551"/>
      <c r="ADD33" s="1551"/>
      <c r="ADE33" s="1551"/>
      <c r="ADF33" s="1551"/>
      <c r="ADG33" s="1551"/>
      <c r="ADH33" s="1551"/>
      <c r="ADI33" s="1551"/>
      <c r="ADJ33" s="1551"/>
      <c r="ADK33" s="1551"/>
      <c r="ADL33" s="1551"/>
      <c r="ADM33" s="1551"/>
      <c r="ADN33" s="1551"/>
      <c r="ADO33" s="1551"/>
      <c r="ADP33" s="1551"/>
      <c r="ADQ33" s="1551"/>
      <c r="ADR33" s="1551"/>
      <c r="ADS33" s="1551"/>
      <c r="ADT33" s="1551"/>
      <c r="ADU33" s="1551"/>
      <c r="ADV33" s="1551"/>
      <c r="ADW33" s="1551"/>
      <c r="ADX33" s="1551"/>
      <c r="ADY33" s="1551"/>
      <c r="ADZ33" s="1551"/>
      <c r="AEA33" s="1551"/>
      <c r="AEB33" s="1551"/>
      <c r="AEC33" s="1551"/>
      <c r="AED33" s="1551"/>
      <c r="AEE33" s="1551"/>
      <c r="AEF33" s="1551"/>
      <c r="AEG33" s="1551"/>
      <c r="AEH33" s="1551"/>
      <c r="AEI33" s="1551"/>
      <c r="AEJ33" s="1551"/>
      <c r="AEK33" s="1551"/>
      <c r="AEL33" s="1551"/>
      <c r="AEM33" s="1551"/>
      <c r="AEN33" s="1551"/>
      <c r="AEO33" s="1551"/>
      <c r="AEP33" s="1551"/>
      <c r="AEQ33" s="1551"/>
      <c r="AER33" s="1551"/>
      <c r="AES33" s="1551"/>
      <c r="AET33" s="1551"/>
      <c r="AEU33" s="1551"/>
      <c r="AEV33" s="1551"/>
      <c r="AEW33" s="1551"/>
      <c r="AEX33" s="1551"/>
      <c r="AEY33" s="1551"/>
      <c r="AEZ33" s="1551"/>
      <c r="AFA33" s="1551"/>
      <c r="AFB33" s="1551"/>
      <c r="AFC33" s="1551"/>
      <c r="AFD33" s="1551"/>
      <c r="AFE33" s="1551"/>
      <c r="AFF33" s="1551"/>
      <c r="AFG33" s="1551"/>
      <c r="AFH33" s="1551"/>
      <c r="AFI33" s="1551"/>
      <c r="AFJ33" s="1551"/>
      <c r="AFK33" s="1551"/>
      <c r="AFL33" s="1551"/>
      <c r="AFM33" s="1551"/>
      <c r="AFN33" s="1551"/>
      <c r="AFO33" s="1551"/>
      <c r="AFP33" s="1551"/>
      <c r="AFQ33" s="1551"/>
      <c r="AFR33" s="1551"/>
      <c r="AFS33" s="1551"/>
      <c r="AFT33" s="1551"/>
      <c r="AFU33" s="1551"/>
      <c r="AFV33" s="1551"/>
      <c r="AFW33" s="1551"/>
      <c r="AFX33" s="1551"/>
      <c r="AFY33" s="1551"/>
      <c r="AFZ33" s="1551"/>
      <c r="AGA33" s="1551"/>
      <c r="AGB33" s="1551"/>
      <c r="AGC33" s="1551"/>
      <c r="AGD33" s="1551"/>
      <c r="AGE33" s="1551"/>
      <c r="AGF33" s="1551"/>
      <c r="AGG33" s="1551"/>
      <c r="AGH33" s="1551"/>
      <c r="AGI33" s="1551"/>
      <c r="AGJ33" s="1551"/>
      <c r="AGK33" s="1551"/>
      <c r="AGL33" s="1551"/>
      <c r="AGM33" s="1551"/>
      <c r="AGN33" s="1551"/>
      <c r="AGO33" s="1551"/>
      <c r="AGP33" s="1551"/>
      <c r="AGQ33" s="1551"/>
      <c r="AGR33" s="1551"/>
      <c r="AGS33" s="1551"/>
      <c r="AGT33" s="1551"/>
      <c r="AGU33" s="1551"/>
      <c r="AGV33" s="1551"/>
      <c r="AGW33" s="1551"/>
      <c r="AGX33" s="1551"/>
      <c r="AGY33" s="1551"/>
      <c r="AGZ33" s="1551"/>
      <c r="AHA33" s="1551"/>
      <c r="AHB33" s="1551"/>
      <c r="AHC33" s="1551"/>
      <c r="AHD33" s="1551"/>
      <c r="AHE33" s="1551"/>
      <c r="AHF33" s="1551"/>
      <c r="AHG33" s="1551"/>
      <c r="AHH33" s="1551"/>
      <c r="AHI33" s="1551"/>
      <c r="AHJ33" s="1551"/>
      <c r="AHK33" s="1551"/>
      <c r="AHL33" s="1551"/>
      <c r="AHM33" s="1551"/>
      <c r="AHN33" s="1551"/>
      <c r="AHO33" s="1551"/>
      <c r="AHP33" s="1551"/>
      <c r="AHQ33" s="1551"/>
      <c r="AHR33" s="1551"/>
      <c r="AHS33" s="1551"/>
      <c r="AHT33" s="1551"/>
      <c r="AHU33" s="1551"/>
      <c r="AHV33" s="1551"/>
      <c r="AHW33" s="1551"/>
      <c r="AHX33" s="1551"/>
      <c r="AHY33" s="1551"/>
      <c r="AHZ33" s="1551"/>
      <c r="AIA33" s="1551"/>
      <c r="AIB33" s="1551"/>
      <c r="AIC33" s="1551"/>
      <c r="AID33" s="1551"/>
      <c r="AIE33" s="1551"/>
      <c r="AIF33" s="1551"/>
      <c r="AIG33" s="1551"/>
      <c r="AIH33" s="1551"/>
      <c r="AII33" s="1551"/>
      <c r="AIJ33" s="1551"/>
      <c r="AIK33" s="1551"/>
      <c r="AIL33" s="1551"/>
      <c r="AIM33" s="1551"/>
      <c r="AIN33" s="1551"/>
      <c r="AIO33" s="1551"/>
      <c r="AIP33" s="1551"/>
      <c r="AIQ33" s="1551"/>
      <c r="AIR33" s="1551"/>
      <c r="AIS33" s="1551"/>
      <c r="AIT33" s="1551"/>
      <c r="AIU33" s="1551"/>
      <c r="AIV33" s="1551"/>
      <c r="AIW33" s="1551"/>
      <c r="AIX33" s="1551"/>
      <c r="AIY33" s="1551"/>
      <c r="AIZ33" s="1551"/>
      <c r="AJA33" s="1551"/>
      <c r="AJB33" s="1551"/>
      <c r="AJC33" s="1551"/>
      <c r="AJD33" s="1551"/>
      <c r="AJE33" s="1551"/>
      <c r="AJF33" s="1551"/>
      <c r="AJG33" s="1551"/>
      <c r="AJH33" s="1551"/>
      <c r="AJI33" s="1551"/>
      <c r="AJJ33" s="1551"/>
      <c r="AJK33" s="1551"/>
      <c r="AJL33" s="1551"/>
      <c r="AJM33" s="1551"/>
      <c r="AJN33" s="1551"/>
      <c r="AJO33" s="1551"/>
      <c r="AJP33" s="1551"/>
      <c r="AJQ33" s="1551"/>
      <c r="AJR33" s="1551"/>
      <c r="AJS33" s="1551"/>
      <c r="AJT33" s="1551"/>
      <c r="AJU33" s="1551"/>
      <c r="AJV33" s="1551"/>
      <c r="AJW33" s="1551"/>
      <c r="AJX33" s="1551"/>
      <c r="AJY33" s="1551"/>
      <c r="AJZ33" s="1551"/>
      <c r="AKA33" s="1551"/>
      <c r="AKB33" s="1551"/>
      <c r="AKC33" s="1551"/>
      <c r="AKD33" s="1551"/>
      <c r="AKE33" s="1551"/>
      <c r="AKF33" s="1551"/>
      <c r="AKG33" s="1551"/>
      <c r="AKH33" s="1551"/>
      <c r="AKI33" s="1551"/>
      <c r="AKJ33" s="1551"/>
      <c r="AKK33" s="1551"/>
      <c r="AKL33" s="1551"/>
      <c r="AKM33" s="1551"/>
      <c r="AKN33" s="1551"/>
      <c r="AKO33" s="1551"/>
      <c r="AKP33" s="1551"/>
      <c r="AKQ33" s="1551"/>
      <c r="AKR33" s="1551"/>
      <c r="AKS33" s="1551"/>
      <c r="AKT33" s="1551"/>
      <c r="AKU33" s="1551"/>
      <c r="AKV33" s="1551"/>
      <c r="AKW33" s="1551"/>
      <c r="AKX33" s="1551"/>
      <c r="AKY33" s="1551"/>
      <c r="AKZ33" s="1551"/>
      <c r="ALA33" s="1551"/>
      <c r="ALB33" s="1551"/>
      <c r="ALC33" s="1551"/>
      <c r="ALD33" s="1551"/>
      <c r="ALE33" s="1551"/>
      <c r="ALF33" s="1551"/>
      <c r="ALG33" s="1551"/>
      <c r="ALH33" s="1551"/>
      <c r="ALI33" s="1551"/>
      <c r="ALJ33" s="1551"/>
      <c r="ALK33" s="1551"/>
      <c r="ALL33" s="1551"/>
      <c r="ALM33" s="1551"/>
      <c r="ALN33" s="1551"/>
      <c r="ALO33" s="1551"/>
      <c r="ALP33" s="1551"/>
      <c r="ALQ33" s="1551"/>
      <c r="ALR33" s="1551"/>
      <c r="ALS33" s="1551"/>
      <c r="ALT33" s="1551"/>
      <c r="ALU33" s="1551"/>
      <c r="ALV33" s="1551"/>
      <c r="ALW33" s="1551"/>
      <c r="ALX33" s="1551"/>
      <c r="ALY33" s="1551"/>
      <c r="ALZ33" s="1551"/>
      <c r="AMA33" s="1551"/>
      <c r="AMB33" s="1551"/>
      <c r="AMC33" s="1551"/>
      <c r="AMD33" s="1551"/>
      <c r="AME33" s="1551"/>
      <c r="AMF33" s="1551"/>
      <c r="AMG33" s="1551"/>
      <c r="AMH33" s="1551"/>
      <c r="AMI33" s="1551"/>
      <c r="AMJ33" s="1551"/>
      <c r="AMK33" s="1551"/>
      <c r="AML33" s="1551"/>
      <c r="AMM33" s="1551"/>
      <c r="AMN33" s="1551"/>
      <c r="AMO33" s="1551"/>
      <c r="AMP33" s="1551"/>
      <c r="AMQ33" s="1551"/>
      <c r="AMR33" s="1551"/>
      <c r="AMS33" s="1551"/>
      <c r="AMT33" s="1551"/>
      <c r="AMU33" s="1551"/>
      <c r="AMV33" s="1551"/>
      <c r="AMW33" s="1551"/>
      <c r="AMX33" s="1551"/>
      <c r="AMY33" s="1551"/>
      <c r="AMZ33" s="1551"/>
      <c r="ANA33" s="1551"/>
      <c r="ANB33" s="1551"/>
      <c r="ANC33" s="1551"/>
      <c r="AND33" s="1551"/>
      <c r="ANE33" s="1551"/>
      <c r="ANF33" s="1551"/>
      <c r="ANG33" s="1551"/>
      <c r="ANH33" s="1551"/>
      <c r="ANI33" s="1551"/>
      <c r="ANJ33" s="1551"/>
      <c r="ANK33" s="1551"/>
      <c r="ANL33" s="1551"/>
      <c r="ANM33" s="1551"/>
      <c r="ANN33" s="1551"/>
      <c r="ANO33" s="1551"/>
      <c r="ANP33" s="1551"/>
      <c r="ANQ33" s="1551"/>
      <c r="ANR33" s="1551"/>
      <c r="ANS33" s="1551"/>
      <c r="ANT33" s="1551"/>
      <c r="ANU33" s="1551"/>
      <c r="ANV33" s="1551"/>
      <c r="ANW33" s="1551"/>
      <c r="ANX33" s="1551"/>
      <c r="ANY33" s="1551"/>
      <c r="ANZ33" s="1551"/>
      <c r="AOA33" s="1551"/>
      <c r="AOB33" s="1551"/>
      <c r="AOC33" s="1551"/>
      <c r="AOD33" s="1551"/>
      <c r="AOE33" s="1551"/>
      <c r="AOF33" s="1551"/>
      <c r="AOG33" s="1551"/>
      <c r="AOH33" s="1551"/>
      <c r="AOI33" s="1551"/>
      <c r="AOJ33" s="1551"/>
      <c r="AOK33" s="1551"/>
      <c r="AOL33" s="1551"/>
      <c r="AOM33" s="1551"/>
      <c r="AON33" s="1551"/>
      <c r="AOO33" s="1551"/>
      <c r="AOP33" s="1551"/>
      <c r="AOQ33" s="1551"/>
      <c r="AOR33" s="1551"/>
      <c r="AOS33" s="1551"/>
      <c r="AOT33" s="1551"/>
      <c r="AOU33" s="1551"/>
      <c r="AOV33" s="1551"/>
      <c r="AOW33" s="1551"/>
      <c r="AOX33" s="1551"/>
      <c r="AOY33" s="1551"/>
      <c r="AOZ33" s="1551"/>
      <c r="APA33" s="1551"/>
      <c r="APB33" s="1551"/>
      <c r="APC33" s="1551"/>
      <c r="APD33" s="1551"/>
      <c r="APE33" s="1551"/>
      <c r="APF33" s="1551"/>
      <c r="APG33" s="1551"/>
      <c r="APH33" s="1551"/>
      <c r="API33" s="1551"/>
      <c r="APJ33" s="1551"/>
      <c r="APK33" s="1551"/>
      <c r="APL33" s="1551"/>
      <c r="APM33" s="1551"/>
      <c r="APN33" s="1551"/>
      <c r="APO33" s="1551"/>
      <c r="APP33" s="1551"/>
      <c r="APQ33" s="1551"/>
      <c r="APR33" s="1551"/>
      <c r="APS33" s="1551"/>
      <c r="APT33" s="1551"/>
      <c r="APU33" s="1551"/>
      <c r="APV33" s="1551"/>
      <c r="APW33" s="1551"/>
      <c r="APX33" s="1551"/>
      <c r="APY33" s="1551"/>
      <c r="APZ33" s="1551"/>
      <c r="AQA33" s="1551"/>
      <c r="AQB33" s="1551"/>
      <c r="AQC33" s="1551"/>
      <c r="AQD33" s="1551"/>
      <c r="AQE33" s="1551"/>
      <c r="AQF33" s="1551"/>
      <c r="AQG33" s="1551"/>
      <c r="AQH33" s="1551"/>
      <c r="AQI33" s="1551"/>
      <c r="AQJ33" s="1551"/>
      <c r="AQK33" s="1551"/>
      <c r="AQL33" s="1551"/>
      <c r="AQM33" s="1551"/>
      <c r="AQN33" s="1551"/>
      <c r="AQO33" s="1551"/>
      <c r="AQP33" s="1551"/>
      <c r="AQQ33" s="1551"/>
      <c r="AQR33" s="1551"/>
      <c r="AQS33" s="1551"/>
      <c r="AQT33" s="1551"/>
      <c r="AQU33" s="1551"/>
      <c r="AQV33" s="1551"/>
      <c r="AQW33" s="1551"/>
      <c r="AQX33" s="1551"/>
      <c r="AQY33" s="1551"/>
      <c r="AQZ33" s="1551"/>
      <c r="ARA33" s="1551"/>
      <c r="ARB33" s="1551"/>
      <c r="ARC33" s="1551"/>
      <c r="ARD33" s="1551"/>
      <c r="ARE33" s="1551"/>
      <c r="ARF33" s="1551"/>
      <c r="ARG33" s="1551"/>
      <c r="ARH33" s="1551"/>
      <c r="ARI33" s="1551"/>
      <c r="ARJ33" s="1551"/>
      <c r="ARK33" s="1551"/>
      <c r="ARL33" s="1551"/>
      <c r="ARM33" s="1551"/>
      <c r="ARN33" s="1551"/>
      <c r="ARO33" s="1551"/>
      <c r="ARP33" s="1551"/>
      <c r="ARQ33" s="1551"/>
      <c r="ARR33" s="1551"/>
      <c r="ARS33" s="1551"/>
      <c r="ART33" s="1551"/>
      <c r="ARU33" s="1551"/>
      <c r="ARV33" s="1551"/>
      <c r="ARW33" s="1551"/>
      <c r="ARX33" s="1551"/>
      <c r="ARY33" s="1551"/>
      <c r="ARZ33" s="1551"/>
      <c r="ASA33" s="1551"/>
      <c r="ASB33" s="1551"/>
      <c r="ASC33" s="1551"/>
      <c r="ASD33" s="1551"/>
      <c r="ASE33" s="1551"/>
      <c r="ASF33" s="1551"/>
      <c r="ASG33" s="1551"/>
      <c r="ASH33" s="1551"/>
      <c r="ASI33" s="1551"/>
      <c r="ASJ33" s="1551"/>
      <c r="ASK33" s="1551"/>
      <c r="ASL33" s="1551"/>
      <c r="ASM33" s="1551"/>
      <c r="ASN33" s="1551"/>
      <c r="ASO33" s="1551"/>
      <c r="ASP33" s="1551"/>
      <c r="ASQ33" s="1551"/>
      <c r="ASR33" s="1551"/>
      <c r="ASS33" s="1551"/>
      <c r="AST33" s="1551"/>
      <c r="ASU33" s="1551"/>
      <c r="ASV33" s="1551"/>
      <c r="ASW33" s="1551"/>
      <c r="ASX33" s="1551"/>
      <c r="ASY33" s="1551"/>
      <c r="ASZ33" s="1551"/>
      <c r="ATA33" s="1551"/>
      <c r="ATB33" s="1551"/>
      <c r="ATC33" s="1551"/>
      <c r="ATD33" s="1551"/>
      <c r="ATE33" s="1551"/>
      <c r="ATF33" s="1551"/>
      <c r="ATG33" s="1551"/>
      <c r="ATH33" s="1551"/>
      <c r="ATI33" s="1551"/>
      <c r="ATJ33" s="1551"/>
      <c r="ATK33" s="1551"/>
      <c r="ATL33" s="1551"/>
      <c r="ATM33" s="1551"/>
      <c r="ATN33" s="1551"/>
      <c r="ATO33" s="1551"/>
      <c r="ATP33" s="1551"/>
      <c r="ATQ33" s="1551"/>
      <c r="ATR33" s="1551"/>
      <c r="ATS33" s="1551"/>
      <c r="ATT33" s="1551"/>
      <c r="ATU33" s="1551"/>
      <c r="ATV33" s="1551"/>
      <c r="ATW33" s="1551"/>
      <c r="ATX33" s="1551"/>
      <c r="ATY33" s="1551"/>
      <c r="ATZ33" s="1551"/>
      <c r="AUA33" s="1551"/>
      <c r="AUB33" s="1551"/>
      <c r="AUC33" s="1551"/>
      <c r="AUD33" s="1551"/>
      <c r="AUE33" s="1551"/>
      <c r="AUF33" s="1551"/>
      <c r="AUG33" s="1551"/>
      <c r="AUH33" s="1551"/>
      <c r="AUI33" s="1551"/>
      <c r="AUJ33" s="1551"/>
      <c r="AUK33" s="1551"/>
      <c r="AUL33" s="1551"/>
      <c r="AUM33" s="1551"/>
      <c r="AUN33" s="1551"/>
      <c r="AUO33" s="1551"/>
      <c r="AUP33" s="1551"/>
      <c r="AUQ33" s="1551"/>
      <c r="AUR33" s="1551"/>
      <c r="AUS33" s="1551"/>
      <c r="AUT33" s="1551"/>
      <c r="AUU33" s="1551"/>
      <c r="AUV33" s="1551"/>
      <c r="AUW33" s="1551"/>
      <c r="AUX33" s="1551"/>
      <c r="AUY33" s="1551"/>
      <c r="AUZ33" s="1551"/>
      <c r="AVA33" s="1551"/>
      <c r="AVB33" s="1551"/>
      <c r="AVC33" s="1551"/>
      <c r="AVD33" s="1551"/>
      <c r="AVE33" s="1551"/>
      <c r="AVF33" s="1551"/>
      <c r="AVG33" s="1551"/>
      <c r="AVH33" s="1551"/>
      <c r="AVI33" s="1551"/>
      <c r="AVJ33" s="1551"/>
      <c r="AVK33" s="1551"/>
      <c r="AVL33" s="1551"/>
      <c r="AVM33" s="1551"/>
      <c r="AVN33" s="1551"/>
      <c r="AVO33" s="1551"/>
      <c r="AVP33" s="1551"/>
      <c r="AVQ33" s="1551"/>
      <c r="AVR33" s="1551"/>
      <c r="AVS33" s="1551"/>
      <c r="AVT33" s="1551"/>
      <c r="AVU33" s="1551"/>
      <c r="AVV33" s="1551"/>
      <c r="AVW33" s="1551"/>
      <c r="AVX33" s="1551"/>
      <c r="AVY33" s="1551"/>
      <c r="AVZ33" s="1551"/>
      <c r="AWA33" s="1551"/>
      <c r="AWB33" s="1551"/>
      <c r="AWC33" s="1551"/>
      <c r="AWD33" s="1551"/>
      <c r="AWE33" s="1551"/>
      <c r="AWF33" s="1551"/>
      <c r="AWG33" s="1551"/>
      <c r="AWH33" s="1551"/>
      <c r="AWI33" s="1551"/>
      <c r="AWJ33" s="1551"/>
      <c r="AWK33" s="1551"/>
      <c r="AWL33" s="1551"/>
      <c r="AWM33" s="1551"/>
      <c r="AWN33" s="1551"/>
      <c r="AWO33" s="1551"/>
      <c r="AWP33" s="1551"/>
      <c r="AWQ33" s="1551"/>
      <c r="AWR33" s="1551"/>
      <c r="AWS33" s="1551"/>
      <c r="AWT33" s="1551"/>
      <c r="AWU33" s="1551"/>
      <c r="AWV33" s="1551"/>
      <c r="AWW33" s="1551"/>
      <c r="AWX33" s="1551"/>
      <c r="AWY33" s="1551"/>
      <c r="AWZ33" s="1551"/>
      <c r="AXA33" s="1551"/>
      <c r="AXB33" s="1551"/>
      <c r="AXC33" s="1551"/>
      <c r="AXD33" s="1551"/>
      <c r="AXE33" s="1551"/>
      <c r="AXF33" s="1551"/>
      <c r="AXG33" s="1551"/>
      <c r="AXH33" s="1551"/>
      <c r="AXI33" s="1551"/>
      <c r="AXJ33" s="1551"/>
      <c r="AXK33" s="1551"/>
      <c r="AXL33" s="1551"/>
      <c r="AXM33" s="1551"/>
      <c r="AXN33" s="1551"/>
      <c r="AXO33" s="1551"/>
      <c r="AXP33" s="1551"/>
      <c r="AXQ33" s="1551"/>
      <c r="AXR33" s="1551"/>
      <c r="AXS33" s="1551"/>
      <c r="AXT33" s="1551"/>
      <c r="AXU33" s="1551"/>
      <c r="AXV33" s="1551"/>
      <c r="AXW33" s="1551"/>
      <c r="AXX33" s="1551"/>
      <c r="AXY33" s="1551"/>
      <c r="AXZ33" s="1551"/>
      <c r="AYA33" s="1551"/>
      <c r="AYB33" s="1551"/>
      <c r="AYC33" s="1551"/>
      <c r="AYD33" s="1551"/>
      <c r="AYE33" s="1551"/>
      <c r="AYF33" s="1551"/>
      <c r="AYG33" s="1551"/>
      <c r="AYH33" s="1551"/>
      <c r="AYI33" s="1551"/>
      <c r="AYJ33" s="1551"/>
      <c r="AYK33" s="1551"/>
      <c r="AYL33" s="1551"/>
      <c r="AYM33" s="1551"/>
      <c r="AYN33" s="1551"/>
      <c r="AYO33" s="1551"/>
      <c r="AYP33" s="1551"/>
      <c r="AYQ33" s="1551"/>
      <c r="AYR33" s="1551"/>
      <c r="AYS33" s="1551"/>
      <c r="AYT33" s="1551"/>
      <c r="AYU33" s="1551"/>
      <c r="AYV33" s="1551"/>
      <c r="AYW33" s="1551"/>
      <c r="AYX33" s="1551"/>
      <c r="AYY33" s="1551"/>
      <c r="AYZ33" s="1551"/>
      <c r="AZA33" s="1551"/>
      <c r="AZB33" s="1551"/>
      <c r="AZC33" s="1551"/>
      <c r="AZD33" s="1551"/>
      <c r="AZE33" s="1551"/>
      <c r="AZF33" s="1551"/>
      <c r="AZG33" s="1551"/>
      <c r="AZH33" s="1551"/>
      <c r="AZI33" s="1551"/>
      <c r="AZJ33" s="1551"/>
      <c r="AZK33" s="1551"/>
      <c r="AZL33" s="1551"/>
      <c r="AZM33" s="1551"/>
      <c r="AZN33" s="1551"/>
      <c r="AZO33" s="1551"/>
      <c r="AZP33" s="1551"/>
      <c r="AZQ33" s="1551"/>
      <c r="AZR33" s="1551"/>
      <c r="AZS33" s="1551"/>
      <c r="AZT33" s="1551"/>
      <c r="AZU33" s="1551"/>
      <c r="AZV33" s="1551"/>
      <c r="AZW33" s="1551"/>
      <c r="AZX33" s="1551"/>
      <c r="AZY33" s="1551"/>
      <c r="AZZ33" s="1551"/>
      <c r="BAA33" s="1551"/>
      <c r="BAB33" s="1551"/>
      <c r="BAC33" s="1551"/>
      <c r="BAD33" s="1551"/>
      <c r="BAE33" s="1551"/>
      <c r="BAF33" s="1551"/>
      <c r="BAG33" s="1551"/>
      <c r="BAH33" s="1551"/>
      <c r="BAI33" s="1551"/>
      <c r="BAJ33" s="1551"/>
      <c r="BAK33" s="1551"/>
      <c r="BAL33" s="1551"/>
      <c r="BAM33" s="1551"/>
      <c r="BAN33" s="1551"/>
      <c r="BAO33" s="1551"/>
      <c r="BAP33" s="1551"/>
      <c r="BAQ33" s="1551"/>
      <c r="BAR33" s="1551"/>
      <c r="BAS33" s="1551"/>
      <c r="BAT33" s="1551"/>
      <c r="BAU33" s="1551"/>
      <c r="BAV33" s="1551"/>
      <c r="BAW33" s="1551"/>
      <c r="BAX33" s="1551"/>
      <c r="BAY33" s="1551"/>
      <c r="BAZ33" s="1551"/>
      <c r="BBA33" s="1551"/>
      <c r="BBB33" s="1551"/>
      <c r="BBC33" s="1551"/>
      <c r="BBD33" s="1551"/>
      <c r="BBE33" s="1551"/>
      <c r="BBF33" s="1551"/>
      <c r="BBG33" s="1551"/>
      <c r="BBH33" s="1551"/>
      <c r="BBI33" s="1551"/>
      <c r="BBJ33" s="1551"/>
      <c r="BBK33" s="1551"/>
      <c r="BBL33" s="1551"/>
      <c r="BBM33" s="1551"/>
      <c r="BBN33" s="1551"/>
      <c r="BBO33" s="1551"/>
      <c r="BBP33" s="1551"/>
      <c r="BBQ33" s="1551"/>
      <c r="BBR33" s="1551"/>
      <c r="BBS33" s="1551"/>
      <c r="BBT33" s="1551"/>
      <c r="BBU33" s="1551"/>
      <c r="BBV33" s="1551"/>
      <c r="BBW33" s="1551"/>
      <c r="BBX33" s="1551"/>
      <c r="BBY33" s="1551"/>
      <c r="BBZ33" s="1551"/>
      <c r="BCA33" s="1551"/>
      <c r="BCB33" s="1551"/>
      <c r="BCC33" s="1551"/>
      <c r="BCD33" s="1551"/>
      <c r="BCE33" s="1551"/>
      <c r="BCF33" s="1551"/>
      <c r="BCG33" s="1551"/>
      <c r="BCH33" s="1551"/>
      <c r="BCI33" s="1551"/>
      <c r="BCJ33" s="1551"/>
      <c r="BCK33" s="1551"/>
      <c r="BCL33" s="1551"/>
      <c r="BCM33" s="1551"/>
      <c r="BCN33" s="1551"/>
      <c r="BCO33" s="1551"/>
      <c r="BCP33" s="1551"/>
      <c r="BCQ33" s="1551"/>
      <c r="BCR33" s="1551"/>
      <c r="BCS33" s="1551"/>
      <c r="BCT33" s="1551"/>
      <c r="BCU33" s="1551"/>
      <c r="BCV33" s="1551"/>
      <c r="BCW33" s="1551"/>
      <c r="BCX33" s="1551"/>
      <c r="BCY33" s="1551"/>
      <c r="BCZ33" s="1551"/>
      <c r="BDA33" s="1551"/>
      <c r="BDB33" s="1551"/>
      <c r="BDC33" s="1551"/>
      <c r="BDD33" s="1551"/>
      <c r="BDE33" s="1551"/>
      <c r="BDF33" s="1551"/>
      <c r="BDG33" s="1551"/>
      <c r="BDH33" s="1551"/>
      <c r="BDI33" s="1551"/>
      <c r="BDJ33" s="1551"/>
      <c r="BDK33" s="1551"/>
      <c r="BDL33" s="1551"/>
      <c r="BDM33" s="1551"/>
      <c r="BDN33" s="1551"/>
      <c r="BDO33" s="1551"/>
      <c r="BDP33" s="1551"/>
      <c r="BDQ33" s="1551"/>
      <c r="BDR33" s="1551"/>
      <c r="BDS33" s="1551"/>
      <c r="BDT33" s="1551"/>
      <c r="BDU33" s="1551"/>
      <c r="BDV33" s="1551"/>
      <c r="BDW33" s="1551"/>
      <c r="BDX33" s="1551"/>
      <c r="BDY33" s="1551"/>
      <c r="BDZ33" s="1551"/>
      <c r="BEA33" s="1551"/>
      <c r="BEB33" s="1551"/>
      <c r="BEC33" s="1551"/>
      <c r="BED33" s="1551"/>
      <c r="BEE33" s="1551"/>
      <c r="BEF33" s="1551"/>
      <c r="BEG33" s="1551"/>
      <c r="BEH33" s="1551"/>
      <c r="BEI33" s="1551"/>
      <c r="BEJ33" s="1551"/>
      <c r="BEK33" s="1551"/>
      <c r="BEL33" s="1551"/>
      <c r="BEM33" s="1551"/>
      <c r="BEN33" s="1551"/>
      <c r="BEO33" s="1551"/>
      <c r="BEP33" s="1551"/>
      <c r="BEQ33" s="1551"/>
      <c r="BER33" s="1551"/>
      <c r="BES33" s="1551"/>
      <c r="BET33" s="1551"/>
      <c r="BEU33" s="1551"/>
      <c r="BEV33" s="1551"/>
      <c r="BEW33" s="1551"/>
      <c r="BEX33" s="1551"/>
      <c r="BEY33" s="1551"/>
      <c r="BEZ33" s="1551"/>
      <c r="BFA33" s="1551"/>
      <c r="BFB33" s="1551"/>
      <c r="BFC33" s="1551"/>
      <c r="BFD33" s="1551"/>
      <c r="BFE33" s="1551"/>
      <c r="BFF33" s="1551"/>
      <c r="BFG33" s="1551"/>
      <c r="BFH33" s="1551"/>
      <c r="BFI33" s="1551"/>
      <c r="BFJ33" s="1551"/>
      <c r="BFK33" s="1551"/>
      <c r="BFL33" s="1551"/>
      <c r="BFM33" s="1551"/>
      <c r="BFN33" s="1551"/>
      <c r="BFO33" s="1551"/>
      <c r="BFP33" s="1551"/>
      <c r="BFQ33" s="1551"/>
      <c r="BFR33" s="1551"/>
      <c r="BFS33" s="1551"/>
      <c r="BFT33" s="1551"/>
      <c r="BFU33" s="1551"/>
      <c r="BFV33" s="1551"/>
      <c r="BFW33" s="1551"/>
      <c r="BFX33" s="1551"/>
      <c r="BFY33" s="1551"/>
      <c r="BFZ33" s="1551"/>
      <c r="BGA33" s="1551"/>
      <c r="BGB33" s="1551"/>
      <c r="BGC33" s="1551"/>
      <c r="BGD33" s="1551"/>
      <c r="BGE33" s="1551"/>
      <c r="BGF33" s="1551"/>
      <c r="BGG33" s="1551"/>
      <c r="BGH33" s="1551"/>
      <c r="BGI33" s="1551"/>
      <c r="BGJ33" s="1551"/>
      <c r="BGK33" s="1551"/>
      <c r="BGL33" s="1551"/>
      <c r="BGM33" s="1551"/>
      <c r="BGN33" s="1551"/>
      <c r="BGO33" s="1551"/>
      <c r="BGP33" s="1551"/>
      <c r="BGQ33" s="1551"/>
      <c r="BGR33" s="1551"/>
      <c r="BGS33" s="1551"/>
      <c r="BGT33" s="1551"/>
      <c r="BGU33" s="1551"/>
      <c r="BGV33" s="1551"/>
      <c r="BGW33" s="1551"/>
      <c r="BGX33" s="1551"/>
      <c r="BGY33" s="1551"/>
      <c r="BGZ33" s="1551"/>
      <c r="BHA33" s="1551"/>
      <c r="BHB33" s="1551"/>
      <c r="BHC33" s="1551"/>
      <c r="BHD33" s="1551"/>
      <c r="BHE33" s="1551"/>
      <c r="BHF33" s="1551"/>
      <c r="BHG33" s="1551"/>
      <c r="BHH33" s="1551"/>
      <c r="BHI33" s="1551"/>
      <c r="BHJ33" s="1551"/>
      <c r="BHK33" s="1551"/>
      <c r="BHL33" s="1551"/>
      <c r="BHM33" s="1551"/>
      <c r="BHN33" s="1551"/>
      <c r="BHO33" s="1551"/>
      <c r="BHP33" s="1551"/>
      <c r="BHQ33" s="1551"/>
      <c r="BHR33" s="1551"/>
      <c r="BHS33" s="1551"/>
      <c r="BHT33" s="1551"/>
      <c r="BHU33" s="1551"/>
      <c r="BHV33" s="1551"/>
      <c r="BHW33" s="1551"/>
      <c r="BHX33" s="1551"/>
      <c r="BHY33" s="1551"/>
      <c r="BHZ33" s="1551"/>
      <c r="BIA33" s="1551"/>
      <c r="BIB33" s="1551"/>
      <c r="BIC33" s="1551"/>
      <c r="BID33" s="1551"/>
      <c r="BIE33" s="1551"/>
      <c r="BIF33" s="1551"/>
      <c r="BIG33" s="1551"/>
      <c r="BIH33" s="1551"/>
      <c r="BII33" s="1551"/>
      <c r="BIJ33" s="1551"/>
      <c r="BIK33" s="1551"/>
      <c r="BIL33" s="1551"/>
      <c r="BIM33" s="1551"/>
      <c r="BIN33" s="1551"/>
      <c r="BIO33" s="1551"/>
      <c r="BIP33" s="1551"/>
      <c r="BIQ33" s="1551"/>
      <c r="BIR33" s="1551"/>
      <c r="BIS33" s="1551"/>
      <c r="BIT33" s="1551"/>
      <c r="BIU33" s="1551"/>
      <c r="BIV33" s="1551"/>
      <c r="BIW33" s="1551"/>
      <c r="BIX33" s="1551"/>
      <c r="BIY33" s="1551"/>
      <c r="BIZ33" s="1551"/>
      <c r="BJA33" s="1551"/>
      <c r="BJB33" s="1551"/>
      <c r="BJC33" s="1551"/>
      <c r="BJD33" s="1551"/>
      <c r="BJE33" s="1551"/>
      <c r="BJF33" s="1551"/>
      <c r="BJG33" s="1551"/>
      <c r="BJH33" s="1551"/>
      <c r="BJI33" s="1551"/>
      <c r="BJJ33" s="1551"/>
      <c r="BJK33" s="1551"/>
      <c r="BJL33" s="1551"/>
      <c r="BJM33" s="1551"/>
      <c r="BJN33" s="1551"/>
      <c r="BJO33" s="1551"/>
      <c r="BJP33" s="1551"/>
      <c r="BJQ33" s="1551"/>
      <c r="BJR33" s="1551"/>
      <c r="BJS33" s="1551"/>
      <c r="BJT33" s="1551"/>
      <c r="BJU33" s="1551"/>
      <c r="BJV33" s="1551"/>
      <c r="BJW33" s="1551"/>
      <c r="BJX33" s="1551"/>
      <c r="BJY33" s="1551"/>
      <c r="BJZ33" s="1551"/>
      <c r="BKA33" s="1551"/>
      <c r="BKB33" s="1551"/>
      <c r="BKC33" s="1551"/>
      <c r="BKD33" s="1551"/>
      <c r="BKE33" s="1551"/>
      <c r="BKF33" s="1551"/>
      <c r="BKG33" s="1551"/>
      <c r="BKH33" s="1551"/>
      <c r="BKI33" s="1551"/>
      <c r="BKJ33" s="1551"/>
      <c r="BKK33" s="1551"/>
      <c r="BKL33" s="1551"/>
      <c r="BKM33" s="1551"/>
      <c r="BKN33" s="1551"/>
      <c r="BKO33" s="1551"/>
      <c r="BKP33" s="1551"/>
      <c r="BKQ33" s="1551"/>
      <c r="BKR33" s="1551"/>
      <c r="BKS33" s="1551"/>
      <c r="BKT33" s="1551"/>
      <c r="BKU33" s="1551"/>
      <c r="BKV33" s="1551"/>
      <c r="BKW33" s="1551"/>
      <c r="BKX33" s="1551"/>
      <c r="BKY33" s="1551"/>
      <c r="BKZ33" s="1551"/>
      <c r="BLA33" s="1551"/>
      <c r="BLB33" s="1551"/>
      <c r="BLC33" s="1551"/>
      <c r="BLD33" s="1551"/>
      <c r="BLE33" s="1551"/>
      <c r="BLF33" s="1551"/>
      <c r="BLG33" s="1551"/>
      <c r="BLH33" s="1551"/>
      <c r="BLI33" s="1551"/>
      <c r="BLJ33" s="1551"/>
      <c r="BLK33" s="1551"/>
      <c r="BLL33" s="1551"/>
      <c r="BLM33" s="1551"/>
      <c r="BLN33" s="1551"/>
      <c r="BLO33" s="1551"/>
      <c r="BLP33" s="1551"/>
      <c r="BLQ33" s="1551"/>
      <c r="BLR33" s="1551"/>
      <c r="BLS33" s="1551"/>
      <c r="BLT33" s="1551"/>
      <c r="BLU33" s="1551"/>
      <c r="BLV33" s="1551"/>
      <c r="BLW33" s="1551"/>
      <c r="BLX33" s="1551"/>
      <c r="BLY33" s="1551"/>
      <c r="BLZ33" s="1551"/>
      <c r="BMA33" s="1551"/>
      <c r="BMB33" s="1551"/>
      <c r="BMC33" s="1551"/>
      <c r="BMD33" s="1551"/>
      <c r="BME33" s="1551"/>
      <c r="BMF33" s="1551"/>
      <c r="BMG33" s="1551"/>
      <c r="BMH33" s="1551"/>
      <c r="BMI33" s="1551"/>
      <c r="BMJ33" s="1551"/>
      <c r="BMK33" s="1551"/>
      <c r="BML33" s="1551"/>
      <c r="BMM33" s="1551"/>
      <c r="BMN33" s="1551"/>
      <c r="BMO33" s="1551"/>
      <c r="BMP33" s="1551"/>
      <c r="BMQ33" s="1551"/>
      <c r="BMR33" s="1551"/>
      <c r="BMS33" s="1551"/>
      <c r="BMT33" s="1551"/>
      <c r="BMU33" s="1551"/>
      <c r="BMV33" s="1551"/>
      <c r="BMW33" s="1551"/>
      <c r="BMX33" s="1551"/>
      <c r="BMY33" s="1551"/>
      <c r="BMZ33" s="1551"/>
      <c r="BNA33" s="1551"/>
      <c r="BNB33" s="1551"/>
      <c r="BNC33" s="1551"/>
      <c r="BND33" s="1551"/>
      <c r="BNE33" s="1551"/>
      <c r="BNF33" s="1551"/>
      <c r="BNG33" s="1551"/>
      <c r="BNH33" s="1551"/>
      <c r="BNI33" s="1551"/>
      <c r="BNJ33" s="1551"/>
      <c r="BNK33" s="1551"/>
      <c r="BNL33" s="1551"/>
      <c r="BNM33" s="1551"/>
      <c r="BNN33" s="1551"/>
      <c r="BNO33" s="1551"/>
      <c r="BNP33" s="1551"/>
      <c r="BNQ33" s="1551"/>
      <c r="BNR33" s="1551"/>
      <c r="BNS33" s="1551"/>
      <c r="BNT33" s="1551"/>
      <c r="BNU33" s="1551"/>
      <c r="BNV33" s="1551"/>
      <c r="BNW33" s="1551"/>
      <c r="BNX33" s="1551"/>
      <c r="BNY33" s="1551"/>
      <c r="BNZ33" s="1551"/>
      <c r="BOA33" s="1551"/>
      <c r="BOB33" s="1551"/>
      <c r="BOC33" s="1551"/>
      <c r="BOD33" s="1551"/>
      <c r="BOE33" s="1551"/>
      <c r="BOF33" s="1551"/>
      <c r="BOG33" s="1551"/>
      <c r="BOH33" s="1551"/>
      <c r="BOI33" s="1551"/>
      <c r="BOJ33" s="1551"/>
      <c r="BOK33" s="1551"/>
      <c r="BOL33" s="1551"/>
      <c r="BOM33" s="1551"/>
      <c r="BON33" s="1551"/>
      <c r="BOO33" s="1551"/>
      <c r="BOP33" s="1551"/>
      <c r="BOQ33" s="1551"/>
      <c r="BOR33" s="1551"/>
      <c r="BOS33" s="1551"/>
      <c r="BOT33" s="1551"/>
      <c r="BOU33" s="1551"/>
      <c r="BOV33" s="1551"/>
      <c r="BOW33" s="1551"/>
      <c r="BOX33" s="1551"/>
      <c r="BOY33" s="1551"/>
      <c r="BOZ33" s="1551"/>
      <c r="BPA33" s="1551"/>
      <c r="BPB33" s="1551"/>
      <c r="BPC33" s="1551"/>
      <c r="BPD33" s="1551"/>
      <c r="BPE33" s="1551"/>
      <c r="BPF33" s="1551"/>
      <c r="BPG33" s="1551"/>
      <c r="BPH33" s="1551"/>
      <c r="BPI33" s="1551"/>
      <c r="BPJ33" s="1551"/>
      <c r="BPK33" s="1551"/>
      <c r="BPL33" s="1551"/>
      <c r="BPM33" s="1551"/>
      <c r="BPN33" s="1551"/>
      <c r="BPO33" s="1551"/>
      <c r="BPP33" s="1551"/>
      <c r="BPQ33" s="1551"/>
      <c r="BPR33" s="1551"/>
      <c r="BPS33" s="1551"/>
      <c r="BPT33" s="1551"/>
      <c r="BPU33" s="1551"/>
      <c r="BPV33" s="1551"/>
      <c r="BPW33" s="1551"/>
      <c r="BPX33" s="1551"/>
      <c r="BPY33" s="1551"/>
      <c r="BPZ33" s="1551"/>
      <c r="BQA33" s="1551"/>
      <c r="BQB33" s="1551"/>
      <c r="BQC33" s="1551"/>
      <c r="BQD33" s="1551"/>
      <c r="BQE33" s="1551"/>
      <c r="BQF33" s="1551"/>
      <c r="BQG33" s="1551"/>
      <c r="BQH33" s="1551"/>
      <c r="BQI33" s="1551"/>
      <c r="BQJ33" s="1551"/>
      <c r="BQK33" s="1551"/>
      <c r="BQL33" s="1551"/>
      <c r="BQM33" s="1551"/>
      <c r="BQN33" s="1551"/>
      <c r="BQO33" s="1551"/>
      <c r="BQP33" s="1551"/>
      <c r="BQQ33" s="1551"/>
      <c r="BQR33" s="1551"/>
      <c r="BQS33" s="1551"/>
      <c r="BQT33" s="1551"/>
      <c r="BQU33" s="1551"/>
      <c r="BQV33" s="1551"/>
      <c r="BQW33" s="1551"/>
      <c r="BQX33" s="1551"/>
      <c r="BQY33" s="1551"/>
      <c r="BQZ33" s="1551"/>
      <c r="BRA33" s="1551"/>
      <c r="BRB33" s="1551"/>
      <c r="BRC33" s="1551"/>
      <c r="BRD33" s="1551"/>
      <c r="BRE33" s="1551"/>
      <c r="BRF33" s="1551"/>
      <c r="BRG33" s="1551"/>
      <c r="BRH33" s="1551"/>
      <c r="BRI33" s="1551"/>
      <c r="BRJ33" s="1551"/>
      <c r="BRK33" s="1551"/>
      <c r="BRL33" s="1551"/>
      <c r="BRM33" s="1551"/>
      <c r="BRN33" s="1551"/>
      <c r="BRO33" s="1551"/>
      <c r="BRP33" s="1551"/>
      <c r="BRQ33" s="1551"/>
      <c r="BRR33" s="1551"/>
      <c r="BRS33" s="1551"/>
      <c r="BRT33" s="1551"/>
      <c r="BRU33" s="1551"/>
      <c r="BRV33" s="1551"/>
      <c r="BRW33" s="1551"/>
      <c r="BRX33" s="1551"/>
      <c r="BRY33" s="1551"/>
      <c r="BRZ33" s="1551"/>
      <c r="BSA33" s="1551"/>
      <c r="BSB33" s="1551"/>
      <c r="BSC33" s="1551"/>
      <c r="BSD33" s="1551"/>
      <c r="BSE33" s="1551"/>
      <c r="BSF33" s="1551"/>
      <c r="BSG33" s="1551"/>
      <c r="BSH33" s="1551"/>
      <c r="BSI33" s="1551"/>
      <c r="BSJ33" s="1551"/>
      <c r="BSK33" s="1551"/>
      <c r="BSL33" s="1551"/>
      <c r="BSM33" s="1551"/>
      <c r="BSN33" s="1551"/>
      <c r="BSO33" s="1551"/>
      <c r="BSP33" s="1551"/>
      <c r="BSQ33" s="1551"/>
      <c r="BSR33" s="1551"/>
      <c r="BSS33" s="1551"/>
      <c r="BST33" s="1551"/>
      <c r="BSU33" s="1551"/>
      <c r="BSV33" s="1551"/>
      <c r="BSW33" s="1551"/>
      <c r="BSX33" s="1551"/>
      <c r="BSY33" s="1551"/>
      <c r="BSZ33" s="1551"/>
      <c r="BTA33" s="1551"/>
      <c r="BTB33" s="1551"/>
      <c r="BTC33" s="1551"/>
      <c r="BTD33" s="1551"/>
      <c r="BTE33" s="1551"/>
      <c r="BTF33" s="1551"/>
      <c r="BTG33" s="1551"/>
      <c r="BTH33" s="1551"/>
      <c r="BTI33" s="1551"/>
      <c r="BTJ33" s="1551"/>
      <c r="BTK33" s="1551"/>
      <c r="BTL33" s="1551"/>
      <c r="BTM33" s="1551"/>
      <c r="BTN33" s="1551"/>
      <c r="BTO33" s="1551"/>
      <c r="BTP33" s="1551"/>
      <c r="BTQ33" s="1551"/>
      <c r="BTR33" s="1551"/>
      <c r="BTS33" s="1551"/>
      <c r="BTT33" s="1551"/>
      <c r="BTU33" s="1551"/>
      <c r="BTV33" s="1551"/>
      <c r="BTW33" s="1551"/>
      <c r="BTX33" s="1551"/>
      <c r="BTY33" s="1551"/>
      <c r="BTZ33" s="1551"/>
      <c r="BUA33" s="1551"/>
      <c r="BUB33" s="1551"/>
      <c r="BUC33" s="1551"/>
      <c r="BUD33" s="1551"/>
      <c r="BUE33" s="1551"/>
      <c r="BUF33" s="1551"/>
      <c r="BUG33" s="1551"/>
      <c r="BUH33" s="1551"/>
      <c r="BUI33" s="1551"/>
      <c r="BUJ33" s="1551"/>
      <c r="BUK33" s="1551"/>
      <c r="BUL33" s="1551"/>
      <c r="BUM33" s="1551"/>
      <c r="BUN33" s="1551"/>
      <c r="BUO33" s="1551"/>
      <c r="BUP33" s="1551"/>
      <c r="BUQ33" s="1551"/>
      <c r="BUR33" s="1551"/>
      <c r="BUS33" s="1551"/>
      <c r="BUT33" s="1551"/>
      <c r="BUU33" s="1551"/>
      <c r="BUV33" s="1551"/>
      <c r="BUW33" s="1551"/>
      <c r="BUX33" s="1551"/>
      <c r="BUY33" s="1551"/>
      <c r="BUZ33" s="1551"/>
      <c r="BVA33" s="1551"/>
      <c r="BVB33" s="1551"/>
      <c r="BVC33" s="1551"/>
      <c r="BVD33" s="1551"/>
      <c r="BVE33" s="1551"/>
      <c r="BVF33" s="1551"/>
      <c r="BVG33" s="1551"/>
      <c r="BVH33" s="1551"/>
      <c r="BVI33" s="1551"/>
      <c r="BVJ33" s="1551"/>
      <c r="BVK33" s="1551"/>
      <c r="BVL33" s="1551"/>
      <c r="BVM33" s="1551"/>
      <c r="BVN33" s="1551"/>
      <c r="BVO33" s="1551"/>
      <c r="BVP33" s="1551"/>
      <c r="BVQ33" s="1551"/>
      <c r="BVR33" s="1551"/>
      <c r="BVS33" s="1551"/>
      <c r="BVT33" s="1551"/>
      <c r="BVU33" s="1551"/>
      <c r="BVV33" s="1551"/>
      <c r="BVW33" s="1551"/>
      <c r="BVX33" s="1551"/>
      <c r="BVY33" s="1551"/>
      <c r="BVZ33" s="1551"/>
      <c r="BWA33" s="1551"/>
      <c r="BWB33" s="1551"/>
      <c r="BWC33" s="1551"/>
      <c r="BWD33" s="1551"/>
      <c r="BWE33" s="1551"/>
      <c r="BWF33" s="1551"/>
      <c r="BWG33" s="1551"/>
      <c r="BWH33" s="1551"/>
      <c r="BWI33" s="1551"/>
      <c r="BWJ33" s="1551"/>
      <c r="BWK33" s="1551"/>
      <c r="BWL33" s="1551"/>
      <c r="BWM33" s="1551"/>
      <c r="BWN33" s="1551"/>
      <c r="BWO33" s="1551"/>
      <c r="BWP33" s="1551"/>
      <c r="BWQ33" s="1551"/>
      <c r="BWR33" s="1551"/>
      <c r="BWS33" s="1551"/>
      <c r="BWT33" s="1551"/>
      <c r="BWU33" s="1551"/>
      <c r="BWV33" s="1551"/>
      <c r="BWW33" s="1551"/>
      <c r="BWX33" s="1551"/>
      <c r="BWY33" s="1551"/>
      <c r="BWZ33" s="1551"/>
      <c r="BXA33" s="1551"/>
      <c r="BXB33" s="1551"/>
      <c r="BXC33" s="1551"/>
      <c r="BXD33" s="1551"/>
      <c r="BXE33" s="1551"/>
      <c r="BXF33" s="1551"/>
      <c r="BXG33" s="1551"/>
      <c r="BXH33" s="1551"/>
      <c r="BXI33" s="1551"/>
      <c r="BXJ33" s="1551"/>
      <c r="BXK33" s="1551"/>
      <c r="BXL33" s="1551"/>
      <c r="BXM33" s="1551"/>
      <c r="BXN33" s="1551"/>
      <c r="BXO33" s="1551"/>
      <c r="BXP33" s="1551"/>
      <c r="BXQ33" s="1551"/>
      <c r="BXR33" s="1551"/>
      <c r="BXS33" s="1551"/>
      <c r="BXT33" s="1551"/>
      <c r="BXU33" s="1551"/>
      <c r="BXV33" s="1551"/>
      <c r="BXW33" s="1551"/>
      <c r="BXX33" s="1551"/>
      <c r="BXY33" s="1551"/>
      <c r="BXZ33" s="1551"/>
      <c r="BYA33" s="1551"/>
      <c r="BYB33" s="1551"/>
      <c r="BYC33" s="1551"/>
      <c r="BYD33" s="1551"/>
      <c r="BYE33" s="1551"/>
      <c r="BYF33" s="1551"/>
      <c r="BYG33" s="1551"/>
      <c r="BYH33" s="1551"/>
      <c r="BYI33" s="1551"/>
      <c r="BYJ33" s="1551"/>
      <c r="BYK33" s="1551"/>
      <c r="BYL33" s="1551"/>
      <c r="BYM33" s="1551"/>
      <c r="BYN33" s="1551"/>
      <c r="BYO33" s="1551"/>
      <c r="BYP33" s="1551"/>
      <c r="BYQ33" s="1551"/>
      <c r="BYR33" s="1551"/>
      <c r="BYS33" s="1551"/>
      <c r="BYT33" s="1551"/>
      <c r="BYU33" s="1551"/>
      <c r="BYV33" s="1551"/>
      <c r="BYW33" s="1551"/>
      <c r="BYX33" s="1551"/>
      <c r="BYY33" s="1551"/>
      <c r="BYZ33" s="1551"/>
      <c r="BZA33" s="1551"/>
      <c r="BZB33" s="1551"/>
      <c r="BZC33" s="1551"/>
      <c r="BZD33" s="1551"/>
      <c r="BZE33" s="1551"/>
      <c r="BZF33" s="1551"/>
      <c r="BZG33" s="1551"/>
      <c r="BZH33" s="1551"/>
      <c r="BZI33" s="1551"/>
      <c r="BZJ33" s="1551"/>
      <c r="BZK33" s="1551"/>
      <c r="BZL33" s="1551"/>
      <c r="BZM33" s="1551"/>
      <c r="BZN33" s="1551"/>
      <c r="BZO33" s="1551"/>
      <c r="BZP33" s="1551"/>
      <c r="BZQ33" s="1551"/>
      <c r="BZR33" s="1551"/>
      <c r="BZS33" s="1551"/>
      <c r="BZT33" s="1551"/>
      <c r="BZU33" s="1551"/>
      <c r="BZV33" s="1551"/>
      <c r="BZW33" s="1551"/>
      <c r="BZX33" s="1551"/>
      <c r="BZY33" s="1551"/>
      <c r="BZZ33" s="1551"/>
      <c r="CAA33" s="1551"/>
      <c r="CAB33" s="1551"/>
      <c r="CAC33" s="1551"/>
      <c r="CAD33" s="1551"/>
      <c r="CAE33" s="1551"/>
      <c r="CAF33" s="1551"/>
      <c r="CAG33" s="1551"/>
      <c r="CAH33" s="1551"/>
      <c r="CAI33" s="1551"/>
      <c r="CAJ33" s="1551"/>
      <c r="CAK33" s="1551"/>
      <c r="CAL33" s="1551"/>
      <c r="CAM33" s="1551"/>
      <c r="CAN33" s="1551"/>
      <c r="CAO33" s="1551"/>
      <c r="CAP33" s="1551"/>
      <c r="CAQ33" s="1551"/>
      <c r="CAR33" s="1551"/>
      <c r="CAS33" s="1551"/>
      <c r="CAT33" s="1551"/>
      <c r="CAU33" s="1551"/>
      <c r="CAV33" s="1551"/>
      <c r="CAW33" s="1551"/>
      <c r="CAX33" s="1551"/>
      <c r="CAY33" s="1551"/>
      <c r="CAZ33" s="1551"/>
      <c r="CBA33" s="1551"/>
      <c r="CBB33" s="1551"/>
      <c r="CBC33" s="1551"/>
      <c r="CBD33" s="1551"/>
      <c r="CBE33" s="1551"/>
      <c r="CBF33" s="1551"/>
      <c r="CBG33" s="1551"/>
      <c r="CBH33" s="1551"/>
      <c r="CBI33" s="1551"/>
      <c r="CBJ33" s="1551"/>
      <c r="CBK33" s="1551"/>
      <c r="CBL33" s="1551"/>
      <c r="CBM33" s="1551"/>
      <c r="CBN33" s="1551"/>
      <c r="CBO33" s="1551"/>
      <c r="CBP33" s="1551"/>
      <c r="CBQ33" s="1551"/>
      <c r="CBR33" s="1551"/>
      <c r="CBS33" s="1551"/>
      <c r="CBT33" s="1551"/>
      <c r="CBU33" s="1551"/>
      <c r="CBV33" s="1551"/>
      <c r="CBW33" s="1551"/>
      <c r="CBX33" s="1551"/>
      <c r="CBY33" s="1551"/>
      <c r="CBZ33" s="1551"/>
      <c r="CCA33" s="1551"/>
      <c r="CCB33" s="1551"/>
      <c r="CCC33" s="1551"/>
      <c r="CCD33" s="1551"/>
      <c r="CCE33" s="1551"/>
      <c r="CCF33" s="1551"/>
      <c r="CCG33" s="1551"/>
      <c r="CCH33" s="1551"/>
      <c r="CCI33" s="1551"/>
      <c r="CCJ33" s="1551"/>
      <c r="CCK33" s="1551"/>
      <c r="CCL33" s="1551"/>
      <c r="CCM33" s="1551"/>
      <c r="CCN33" s="1551"/>
      <c r="CCO33" s="1551"/>
      <c r="CCP33" s="1551"/>
      <c r="CCQ33" s="1551"/>
      <c r="CCR33" s="1551"/>
      <c r="CCS33" s="1551"/>
      <c r="CCT33" s="1551"/>
      <c r="CCU33" s="1551"/>
      <c r="CCV33" s="1551"/>
      <c r="CCW33" s="1551"/>
      <c r="CCX33" s="1551"/>
      <c r="CCY33" s="1551"/>
      <c r="CCZ33" s="1551"/>
      <c r="CDA33" s="1551"/>
      <c r="CDB33" s="1551"/>
      <c r="CDC33" s="1551"/>
      <c r="CDD33" s="1551"/>
      <c r="CDE33" s="1551"/>
      <c r="CDF33" s="1551"/>
      <c r="CDG33" s="1551"/>
      <c r="CDH33" s="1551"/>
      <c r="CDI33" s="1551"/>
      <c r="CDJ33" s="1551"/>
      <c r="CDK33" s="1551"/>
      <c r="CDL33" s="1551"/>
      <c r="CDM33" s="1551"/>
      <c r="CDN33" s="1551"/>
      <c r="CDO33" s="1551"/>
      <c r="CDP33" s="1551"/>
      <c r="CDQ33" s="1551"/>
      <c r="CDR33" s="1551"/>
      <c r="CDS33" s="1551"/>
      <c r="CDT33" s="1551"/>
      <c r="CDU33" s="1551"/>
      <c r="CDV33" s="1551"/>
      <c r="CDW33" s="1551"/>
      <c r="CDX33" s="1551"/>
      <c r="CDY33" s="1551"/>
      <c r="CDZ33" s="1551"/>
      <c r="CEA33" s="1551"/>
      <c r="CEB33" s="1551"/>
      <c r="CEC33" s="1551"/>
      <c r="CED33" s="1551"/>
      <c r="CEE33" s="1551"/>
      <c r="CEF33" s="1551"/>
      <c r="CEG33" s="1551"/>
      <c r="CEH33" s="1551"/>
      <c r="CEI33" s="1551"/>
      <c r="CEJ33" s="1551"/>
      <c r="CEK33" s="1551"/>
      <c r="CEL33" s="1551"/>
      <c r="CEM33" s="1551"/>
      <c r="CEN33" s="1551"/>
      <c r="CEO33" s="1551"/>
      <c r="CEP33" s="1551"/>
      <c r="CEQ33" s="1551"/>
      <c r="CER33" s="1551"/>
      <c r="CES33" s="1551"/>
      <c r="CET33" s="1551"/>
      <c r="CEU33" s="1551"/>
      <c r="CEV33" s="1551"/>
      <c r="CEW33" s="1551"/>
      <c r="CEX33" s="1551"/>
      <c r="CEY33" s="1551"/>
      <c r="CEZ33" s="1551"/>
      <c r="CFA33" s="1551"/>
      <c r="CFB33" s="1551"/>
      <c r="CFC33" s="1551"/>
      <c r="CFD33" s="1551"/>
      <c r="CFE33" s="1551"/>
      <c r="CFF33" s="1551"/>
      <c r="CFG33" s="1551"/>
      <c r="CFH33" s="1551"/>
      <c r="CFI33" s="1551"/>
      <c r="CFJ33" s="1551"/>
      <c r="CFK33" s="1551"/>
      <c r="CFL33" s="1551"/>
      <c r="CFM33" s="1551"/>
      <c r="CFN33" s="1551"/>
      <c r="CFO33" s="1551"/>
      <c r="CFP33" s="1551"/>
      <c r="CFQ33" s="1551"/>
      <c r="CFR33" s="1551"/>
      <c r="CFS33" s="1551"/>
      <c r="CFT33" s="1551"/>
      <c r="CFU33" s="1551"/>
      <c r="CFV33" s="1551"/>
      <c r="CFW33" s="1551"/>
      <c r="CFX33" s="1551"/>
      <c r="CFY33" s="1551"/>
      <c r="CFZ33" s="1551"/>
      <c r="CGA33" s="1551"/>
      <c r="CGB33" s="1551"/>
      <c r="CGC33" s="1551"/>
      <c r="CGD33" s="1551"/>
      <c r="CGE33" s="1551"/>
      <c r="CGF33" s="1551"/>
      <c r="CGG33" s="1551"/>
      <c r="CGH33" s="1551"/>
      <c r="CGI33" s="1551"/>
      <c r="CGJ33" s="1551"/>
      <c r="CGK33" s="1551"/>
      <c r="CGL33" s="1551"/>
      <c r="CGM33" s="1551"/>
      <c r="CGN33" s="1551"/>
      <c r="CGO33" s="1551"/>
      <c r="CGP33" s="1551"/>
      <c r="CGQ33" s="1551"/>
      <c r="CGR33" s="1551"/>
      <c r="CGS33" s="1551"/>
      <c r="CGT33" s="1551"/>
      <c r="CGU33" s="1551"/>
      <c r="CGV33" s="1551"/>
      <c r="CGW33" s="1551"/>
      <c r="CGX33" s="1551"/>
      <c r="CGY33" s="1551"/>
      <c r="CGZ33" s="1551"/>
      <c r="CHA33" s="1551"/>
      <c r="CHB33" s="1551"/>
      <c r="CHC33" s="1551"/>
      <c r="CHD33" s="1551"/>
      <c r="CHE33" s="1551"/>
      <c r="CHF33" s="1551"/>
      <c r="CHG33" s="1551"/>
      <c r="CHH33" s="1551"/>
      <c r="CHI33" s="1551"/>
      <c r="CHJ33" s="1551"/>
      <c r="CHK33" s="1551"/>
      <c r="CHL33" s="1551"/>
      <c r="CHM33" s="1551"/>
      <c r="CHN33" s="1551"/>
      <c r="CHO33" s="1551"/>
      <c r="CHP33" s="1551"/>
      <c r="CHQ33" s="1551"/>
      <c r="CHR33" s="1551"/>
      <c r="CHS33" s="1551"/>
      <c r="CHT33" s="1551"/>
      <c r="CHU33" s="1551"/>
      <c r="CHV33" s="1551"/>
      <c r="CHW33" s="1551"/>
      <c r="CHX33" s="1551"/>
      <c r="CHY33" s="1551"/>
      <c r="CHZ33" s="1551"/>
      <c r="CIA33" s="1551"/>
      <c r="CIB33" s="1551"/>
      <c r="CIC33" s="1551"/>
      <c r="CID33" s="1551"/>
      <c r="CIE33" s="1551"/>
      <c r="CIF33" s="1551"/>
      <c r="CIG33" s="1551"/>
      <c r="CIH33" s="1551"/>
      <c r="CII33" s="1551"/>
      <c r="CIJ33" s="1551"/>
      <c r="CIK33" s="1551"/>
      <c r="CIL33" s="1551"/>
      <c r="CIM33" s="1551"/>
      <c r="CIN33" s="1551"/>
      <c r="CIO33" s="1551"/>
      <c r="CIP33" s="1551"/>
      <c r="CIQ33" s="1551"/>
      <c r="CIR33" s="1551"/>
      <c r="CIS33" s="1551"/>
      <c r="CIT33" s="1551"/>
      <c r="CIU33" s="1551"/>
      <c r="CIV33" s="1551"/>
      <c r="CIW33" s="1551"/>
      <c r="CIX33" s="1551"/>
      <c r="CIY33" s="1551"/>
      <c r="CIZ33" s="1551"/>
      <c r="CJA33" s="1551"/>
      <c r="CJB33" s="1551"/>
      <c r="CJC33" s="1551"/>
      <c r="CJD33" s="1551"/>
      <c r="CJE33" s="1551"/>
      <c r="CJF33" s="1551"/>
      <c r="CJG33" s="1551"/>
      <c r="CJH33" s="1551"/>
      <c r="CJI33" s="1551"/>
      <c r="CJJ33" s="1551"/>
      <c r="CJK33" s="1551"/>
      <c r="CJL33" s="1551"/>
      <c r="CJM33" s="1551"/>
      <c r="CJN33" s="1551"/>
      <c r="CJO33" s="1551"/>
      <c r="CJP33" s="1551"/>
      <c r="CJQ33" s="1551"/>
      <c r="CJR33" s="1551"/>
      <c r="CJS33" s="1551"/>
      <c r="CJT33" s="1551"/>
      <c r="CJU33" s="1551"/>
      <c r="CJV33" s="1551"/>
      <c r="CJW33" s="1551"/>
      <c r="CJX33" s="1551"/>
      <c r="CJY33" s="1551"/>
      <c r="CJZ33" s="1551"/>
      <c r="CKA33" s="1551"/>
      <c r="CKB33" s="1551"/>
      <c r="CKC33" s="1551"/>
      <c r="CKD33" s="1551"/>
      <c r="CKE33" s="1551"/>
      <c r="CKF33" s="1551"/>
      <c r="CKG33" s="1551"/>
      <c r="CKH33" s="1551"/>
      <c r="CKI33" s="1551"/>
      <c r="CKJ33" s="1551"/>
      <c r="CKK33" s="1551"/>
      <c r="CKL33" s="1551"/>
      <c r="CKM33" s="1551"/>
      <c r="CKN33" s="1551"/>
      <c r="CKO33" s="1551"/>
      <c r="CKP33" s="1551"/>
      <c r="CKQ33" s="1551"/>
      <c r="CKR33" s="1551"/>
      <c r="CKS33" s="1551"/>
      <c r="CKT33" s="1551"/>
      <c r="CKU33" s="1551"/>
      <c r="CKV33" s="1551"/>
      <c r="CKW33" s="1551"/>
      <c r="CKX33" s="1551"/>
      <c r="CKY33" s="1551"/>
      <c r="CKZ33" s="1551"/>
      <c r="CLA33" s="1551"/>
      <c r="CLB33" s="1551"/>
      <c r="CLC33" s="1551"/>
      <c r="CLD33" s="1551"/>
      <c r="CLE33" s="1551"/>
      <c r="CLF33" s="1551"/>
      <c r="CLG33" s="1551"/>
      <c r="CLH33" s="1551"/>
      <c r="CLI33" s="1551"/>
      <c r="CLJ33" s="1551"/>
      <c r="CLK33" s="1551"/>
      <c r="CLL33" s="1551"/>
      <c r="CLM33" s="1551"/>
      <c r="CLN33" s="1551"/>
      <c r="CLO33" s="1551"/>
      <c r="CLP33" s="1551"/>
      <c r="CLQ33" s="1551"/>
      <c r="CLR33" s="1551"/>
      <c r="CLS33" s="1551"/>
      <c r="CLT33" s="1551"/>
      <c r="CLU33" s="1551"/>
      <c r="CLV33" s="1551"/>
      <c r="CLW33" s="1551"/>
      <c r="CLX33" s="1551"/>
      <c r="CLY33" s="1551"/>
      <c r="CLZ33" s="1551"/>
      <c r="CMA33" s="1551"/>
      <c r="CMB33" s="1551"/>
      <c r="CMC33" s="1551"/>
      <c r="CMD33" s="1551"/>
      <c r="CME33" s="1551"/>
      <c r="CMF33" s="1551"/>
      <c r="CMG33" s="1551"/>
      <c r="CMH33" s="1551"/>
      <c r="CMI33" s="1551"/>
      <c r="CMJ33" s="1551"/>
      <c r="CMK33" s="1551"/>
      <c r="CML33" s="1551"/>
      <c r="CMM33" s="1551"/>
      <c r="CMN33" s="1551"/>
      <c r="CMO33" s="1551"/>
      <c r="CMP33" s="1551"/>
      <c r="CMQ33" s="1551"/>
      <c r="CMR33" s="1551"/>
      <c r="CMS33" s="1551"/>
      <c r="CMT33" s="1551"/>
      <c r="CMU33" s="1551"/>
      <c r="CMV33" s="1551"/>
      <c r="CMW33" s="1551"/>
      <c r="CMX33" s="1551"/>
      <c r="CMY33" s="1551"/>
      <c r="CMZ33" s="1551"/>
      <c r="CNA33" s="1551"/>
      <c r="CNB33" s="1551"/>
      <c r="CNC33" s="1551"/>
      <c r="CND33" s="1551"/>
      <c r="CNE33" s="1551"/>
      <c r="CNF33" s="1551"/>
      <c r="CNG33" s="1551"/>
      <c r="CNH33" s="1551"/>
      <c r="CNI33" s="1551"/>
      <c r="CNJ33" s="1551"/>
      <c r="CNK33" s="1551"/>
      <c r="CNL33" s="1551"/>
      <c r="CNM33" s="1551"/>
      <c r="CNN33" s="1551"/>
      <c r="CNO33" s="1551"/>
      <c r="CNP33" s="1551"/>
      <c r="CNQ33" s="1551"/>
      <c r="CNR33" s="1551"/>
      <c r="CNS33" s="1551"/>
      <c r="CNT33" s="1551"/>
      <c r="CNU33" s="1551"/>
      <c r="CNV33" s="1551"/>
      <c r="CNW33" s="1551"/>
      <c r="CNX33" s="1551"/>
      <c r="CNY33" s="1551"/>
      <c r="CNZ33" s="1551"/>
      <c r="COA33" s="1551"/>
      <c r="COB33" s="1551"/>
      <c r="COC33" s="1551"/>
      <c r="COD33" s="1551"/>
      <c r="COE33" s="1551"/>
      <c r="COF33" s="1551"/>
      <c r="COG33" s="1551"/>
      <c r="COH33" s="1551"/>
      <c r="COI33" s="1551"/>
      <c r="COJ33" s="1551"/>
      <c r="COK33" s="1551"/>
      <c r="COL33" s="1551"/>
      <c r="COM33" s="1551"/>
      <c r="CON33" s="1551"/>
      <c r="COO33" s="1551"/>
      <c r="COP33" s="1551"/>
      <c r="COQ33" s="1551"/>
      <c r="COR33" s="1551"/>
      <c r="COS33" s="1551"/>
      <c r="COT33" s="1551"/>
      <c r="COU33" s="1551"/>
      <c r="COV33" s="1551"/>
      <c r="COW33" s="1551"/>
      <c r="COX33" s="1551"/>
      <c r="COY33" s="1551"/>
      <c r="COZ33" s="1551"/>
      <c r="CPA33" s="1551"/>
      <c r="CPB33" s="1551"/>
      <c r="CPC33" s="1551"/>
      <c r="CPD33" s="1551"/>
      <c r="CPE33" s="1551"/>
      <c r="CPF33" s="1551"/>
      <c r="CPG33" s="1551"/>
      <c r="CPH33" s="1551"/>
      <c r="CPI33" s="1551"/>
      <c r="CPJ33" s="1551"/>
      <c r="CPK33" s="1551"/>
      <c r="CPL33" s="1551"/>
      <c r="CPM33" s="1551"/>
      <c r="CPN33" s="1551"/>
      <c r="CPO33" s="1551"/>
      <c r="CPP33" s="1551"/>
      <c r="CPQ33" s="1551"/>
      <c r="CPR33" s="1551"/>
      <c r="CPS33" s="1551"/>
      <c r="CPT33" s="1551"/>
      <c r="CPU33" s="1551"/>
      <c r="CPV33" s="1551"/>
      <c r="CPW33" s="1551"/>
      <c r="CPX33" s="1551"/>
      <c r="CPY33" s="1551"/>
      <c r="CPZ33" s="1551"/>
      <c r="CQA33" s="1551"/>
      <c r="CQB33" s="1551"/>
      <c r="CQC33" s="1551"/>
      <c r="CQD33" s="1551"/>
      <c r="CQE33" s="1551"/>
      <c r="CQF33" s="1551"/>
      <c r="CQG33" s="1551"/>
      <c r="CQH33" s="1551"/>
      <c r="CQI33" s="1551"/>
      <c r="CQJ33" s="1551"/>
      <c r="CQK33" s="1551"/>
      <c r="CQL33" s="1551"/>
      <c r="CQM33" s="1551"/>
      <c r="CQN33" s="1551"/>
      <c r="CQO33" s="1551"/>
      <c r="CQP33" s="1551"/>
      <c r="CQQ33" s="1551"/>
      <c r="CQR33" s="1551"/>
      <c r="CQS33" s="1551"/>
      <c r="CQT33" s="1551"/>
      <c r="CQU33" s="1551"/>
      <c r="CQV33" s="1551"/>
      <c r="CQW33" s="1551"/>
      <c r="CQX33" s="1551"/>
      <c r="CQY33" s="1551"/>
      <c r="CQZ33" s="1551"/>
      <c r="CRA33" s="1551"/>
      <c r="CRB33" s="1551"/>
      <c r="CRC33" s="1551"/>
      <c r="CRD33" s="1551"/>
      <c r="CRE33" s="1551"/>
      <c r="CRF33" s="1551"/>
      <c r="CRG33" s="1551"/>
      <c r="CRH33" s="1551"/>
      <c r="CRI33" s="1551"/>
      <c r="CRJ33" s="1551"/>
      <c r="CRK33" s="1551"/>
      <c r="CRL33" s="1551"/>
      <c r="CRM33" s="1551"/>
      <c r="CRN33" s="1551"/>
      <c r="CRO33" s="1551"/>
      <c r="CRP33" s="1551"/>
      <c r="CRQ33" s="1551"/>
      <c r="CRR33" s="1551"/>
      <c r="CRS33" s="1551"/>
      <c r="CRT33" s="1551"/>
      <c r="CRU33" s="1551"/>
      <c r="CRV33" s="1551"/>
      <c r="CRW33" s="1551"/>
      <c r="CRX33" s="1551"/>
      <c r="CRY33" s="1551"/>
      <c r="CRZ33" s="1551"/>
      <c r="CSA33" s="1551"/>
      <c r="CSB33" s="1551"/>
      <c r="CSC33" s="1551"/>
      <c r="CSD33" s="1551"/>
      <c r="CSE33" s="1551"/>
      <c r="CSF33" s="1551"/>
      <c r="CSG33" s="1551"/>
      <c r="CSH33" s="1551"/>
      <c r="CSI33" s="1551"/>
      <c r="CSJ33" s="1551"/>
      <c r="CSK33" s="1551"/>
      <c r="CSL33" s="1551"/>
      <c r="CSM33" s="1551"/>
      <c r="CSN33" s="1551"/>
      <c r="CSO33" s="1551"/>
      <c r="CSP33" s="1551"/>
      <c r="CSQ33" s="1551"/>
      <c r="CSR33" s="1551"/>
      <c r="CSS33" s="1551"/>
      <c r="CST33" s="1551"/>
      <c r="CSU33" s="1551"/>
      <c r="CSV33" s="1551"/>
      <c r="CSW33" s="1551"/>
      <c r="CSX33" s="1551"/>
      <c r="CSY33" s="1551"/>
      <c r="CSZ33" s="1551"/>
      <c r="CTA33" s="1551"/>
      <c r="CTB33" s="1551"/>
      <c r="CTC33" s="1551"/>
      <c r="CTD33" s="1551"/>
      <c r="CTE33" s="1551"/>
      <c r="CTF33" s="1551"/>
      <c r="CTG33" s="1551"/>
      <c r="CTH33" s="1551"/>
      <c r="CTI33" s="1551"/>
      <c r="CTJ33" s="1551"/>
      <c r="CTK33" s="1551"/>
      <c r="CTL33" s="1551"/>
      <c r="CTM33" s="1551"/>
      <c r="CTN33" s="1551"/>
      <c r="CTO33" s="1551"/>
      <c r="CTP33" s="1551"/>
      <c r="CTQ33" s="1551"/>
      <c r="CTR33" s="1551"/>
      <c r="CTS33" s="1551"/>
      <c r="CTT33" s="1551"/>
      <c r="CTU33" s="1551"/>
      <c r="CTV33" s="1551"/>
      <c r="CTW33" s="1551"/>
      <c r="CTX33" s="1551"/>
      <c r="CTY33" s="1551"/>
      <c r="CTZ33" s="1551"/>
      <c r="CUA33" s="1551"/>
      <c r="CUB33" s="1551"/>
      <c r="CUC33" s="1551"/>
      <c r="CUD33" s="1551"/>
      <c r="CUE33" s="1551"/>
      <c r="CUF33" s="1551"/>
      <c r="CUG33" s="1551"/>
      <c r="CUH33" s="1551"/>
      <c r="CUI33" s="1551"/>
      <c r="CUJ33" s="1551"/>
      <c r="CUK33" s="1551"/>
      <c r="CUL33" s="1551"/>
      <c r="CUM33" s="1551"/>
      <c r="CUN33" s="1551"/>
      <c r="CUO33" s="1551"/>
      <c r="CUP33" s="1551"/>
      <c r="CUQ33" s="1551"/>
      <c r="CUR33" s="1551"/>
      <c r="CUS33" s="1551"/>
      <c r="CUT33" s="1551"/>
      <c r="CUU33" s="1551"/>
      <c r="CUV33" s="1551"/>
      <c r="CUW33" s="1551"/>
      <c r="CUX33" s="1551"/>
      <c r="CUY33" s="1551"/>
      <c r="CUZ33" s="1551"/>
      <c r="CVA33" s="1551"/>
      <c r="CVB33" s="1551"/>
      <c r="CVC33" s="1551"/>
      <c r="CVD33" s="1551"/>
      <c r="CVE33" s="1551"/>
      <c r="CVF33" s="1551"/>
      <c r="CVG33" s="1551"/>
      <c r="CVH33" s="1551"/>
      <c r="CVI33" s="1551"/>
      <c r="CVJ33" s="1551"/>
      <c r="CVK33" s="1551"/>
      <c r="CVL33" s="1551"/>
      <c r="CVM33" s="1551"/>
      <c r="CVN33" s="1551"/>
      <c r="CVO33" s="1551"/>
      <c r="CVP33" s="1551"/>
      <c r="CVQ33" s="1551"/>
      <c r="CVR33" s="1551"/>
      <c r="CVS33" s="1551"/>
      <c r="CVT33" s="1551"/>
      <c r="CVU33" s="1551"/>
      <c r="CVV33" s="1551"/>
      <c r="CVW33" s="1551"/>
      <c r="CVX33" s="1551"/>
      <c r="CVY33" s="1551"/>
      <c r="CVZ33" s="1551"/>
      <c r="CWA33" s="1551"/>
      <c r="CWB33" s="1551"/>
      <c r="CWC33" s="1551"/>
      <c r="CWD33" s="1551"/>
      <c r="CWE33" s="1551"/>
      <c r="CWF33" s="1551"/>
      <c r="CWG33" s="1551"/>
      <c r="CWH33" s="1551"/>
      <c r="CWI33" s="1551"/>
      <c r="CWJ33" s="1551"/>
      <c r="CWK33" s="1551"/>
      <c r="CWL33" s="1551"/>
      <c r="CWM33" s="1551"/>
      <c r="CWN33" s="1551"/>
      <c r="CWO33" s="1551"/>
      <c r="CWP33" s="1551"/>
      <c r="CWQ33" s="1551"/>
      <c r="CWR33" s="1551"/>
      <c r="CWS33" s="1551"/>
      <c r="CWT33" s="1551"/>
      <c r="CWU33" s="1551"/>
      <c r="CWV33" s="1551"/>
      <c r="CWW33" s="1551"/>
      <c r="CWX33" s="1551"/>
      <c r="CWY33" s="1551"/>
      <c r="CWZ33" s="1551"/>
      <c r="CXA33" s="1551"/>
      <c r="CXB33" s="1551"/>
      <c r="CXC33" s="1551"/>
      <c r="CXD33" s="1551"/>
      <c r="CXE33" s="1551"/>
      <c r="CXF33" s="1551"/>
      <c r="CXG33" s="1551"/>
      <c r="CXH33" s="1551"/>
      <c r="CXI33" s="1551"/>
      <c r="CXJ33" s="1551"/>
      <c r="CXK33" s="1551"/>
      <c r="CXL33" s="1551"/>
      <c r="CXM33" s="1551"/>
      <c r="CXN33" s="1551"/>
      <c r="CXO33" s="1551"/>
      <c r="CXP33" s="1551"/>
      <c r="CXQ33" s="1551"/>
      <c r="CXR33" s="1551"/>
      <c r="CXS33" s="1551"/>
      <c r="CXT33" s="1551"/>
      <c r="CXU33" s="1551"/>
      <c r="CXV33" s="1551"/>
      <c r="CXW33" s="1551"/>
      <c r="CXX33" s="1551"/>
      <c r="CXY33" s="1551"/>
      <c r="CXZ33" s="1551"/>
      <c r="CYA33" s="1551"/>
      <c r="CYB33" s="1551"/>
      <c r="CYC33" s="1551"/>
      <c r="CYD33" s="1551"/>
      <c r="CYE33" s="1551"/>
      <c r="CYF33" s="1551"/>
      <c r="CYG33" s="1551"/>
      <c r="CYH33" s="1551"/>
      <c r="CYI33" s="1551"/>
      <c r="CYJ33" s="1551"/>
      <c r="CYK33" s="1551"/>
      <c r="CYL33" s="1551"/>
      <c r="CYM33" s="1551"/>
      <c r="CYN33" s="1551"/>
      <c r="CYO33" s="1551"/>
      <c r="CYP33" s="1551"/>
      <c r="CYQ33" s="1551"/>
      <c r="CYR33" s="1551"/>
      <c r="CYS33" s="1551"/>
      <c r="CYT33" s="1551"/>
      <c r="CYU33" s="1551"/>
      <c r="CYV33" s="1551"/>
      <c r="CYW33" s="1551"/>
      <c r="CYX33" s="1551"/>
      <c r="CYY33" s="1551"/>
      <c r="CYZ33" s="1551"/>
      <c r="CZA33" s="1551"/>
      <c r="CZB33" s="1551"/>
      <c r="CZC33" s="1551"/>
      <c r="CZD33" s="1551"/>
      <c r="CZE33" s="1551"/>
      <c r="CZF33" s="1551"/>
      <c r="CZG33" s="1551"/>
      <c r="CZH33" s="1551"/>
      <c r="CZI33" s="1551"/>
      <c r="CZJ33" s="1551"/>
      <c r="CZK33" s="1551"/>
      <c r="CZL33" s="1551"/>
      <c r="CZM33" s="1551"/>
      <c r="CZN33" s="1551"/>
      <c r="CZO33" s="1551"/>
      <c r="CZP33" s="1551"/>
      <c r="CZQ33" s="1551"/>
      <c r="CZR33" s="1551"/>
      <c r="CZS33" s="1551"/>
      <c r="CZT33" s="1551"/>
      <c r="CZU33" s="1551"/>
      <c r="CZV33" s="1551"/>
      <c r="CZW33" s="1551"/>
      <c r="CZX33" s="1551"/>
      <c r="CZY33" s="1551"/>
      <c r="CZZ33" s="1551"/>
      <c r="DAA33" s="1551"/>
      <c r="DAB33" s="1551"/>
      <c r="DAC33" s="1551"/>
      <c r="DAD33" s="1551"/>
      <c r="DAE33" s="1551"/>
      <c r="DAF33" s="1551"/>
      <c r="DAG33" s="1551"/>
      <c r="DAH33" s="1551"/>
      <c r="DAI33" s="1551"/>
      <c r="DAJ33" s="1551"/>
      <c r="DAK33" s="1551"/>
      <c r="DAL33" s="1551"/>
      <c r="DAM33" s="1551"/>
      <c r="DAN33" s="1551"/>
      <c r="DAO33" s="1551"/>
      <c r="DAP33" s="1551"/>
      <c r="DAQ33" s="1551"/>
      <c r="DAR33" s="1551"/>
      <c r="DAS33" s="1551"/>
      <c r="DAT33" s="1551"/>
      <c r="DAU33" s="1551"/>
      <c r="DAV33" s="1551"/>
      <c r="DAW33" s="1551"/>
      <c r="DAX33" s="1551"/>
      <c r="DAY33" s="1551"/>
      <c r="DAZ33" s="1551"/>
      <c r="DBA33" s="1551"/>
      <c r="DBB33" s="1551"/>
      <c r="DBC33" s="1551"/>
      <c r="DBD33" s="1551"/>
      <c r="DBE33" s="1551"/>
      <c r="DBF33" s="1551"/>
      <c r="DBG33" s="1551"/>
      <c r="DBH33" s="1551"/>
      <c r="DBI33" s="1551"/>
      <c r="DBJ33" s="1551"/>
      <c r="DBK33" s="1551"/>
      <c r="DBL33" s="1551"/>
      <c r="DBM33" s="1551"/>
      <c r="DBN33" s="1551"/>
      <c r="DBO33" s="1551"/>
      <c r="DBP33" s="1551"/>
      <c r="DBQ33" s="1551"/>
      <c r="DBR33" s="1551"/>
      <c r="DBS33" s="1551"/>
      <c r="DBT33" s="1551"/>
      <c r="DBU33" s="1551"/>
      <c r="DBV33" s="1551"/>
      <c r="DBW33" s="1551"/>
      <c r="DBX33" s="1551"/>
      <c r="DBY33" s="1551"/>
      <c r="DBZ33" s="1551"/>
      <c r="DCA33" s="1551"/>
      <c r="DCB33" s="1551"/>
      <c r="DCC33" s="1551"/>
      <c r="DCD33" s="1551"/>
      <c r="DCE33" s="1551"/>
      <c r="DCF33" s="1551"/>
      <c r="DCG33" s="1551"/>
      <c r="DCH33" s="1551"/>
      <c r="DCI33" s="1551"/>
      <c r="DCJ33" s="1551"/>
      <c r="DCK33" s="1551"/>
      <c r="DCL33" s="1551"/>
      <c r="DCM33" s="1551"/>
      <c r="DCN33" s="1551"/>
      <c r="DCO33" s="1551"/>
      <c r="DCP33" s="1551"/>
      <c r="DCQ33" s="1551"/>
      <c r="DCR33" s="1551"/>
      <c r="DCS33" s="1551"/>
      <c r="DCT33" s="1551"/>
      <c r="DCU33" s="1551"/>
      <c r="DCV33" s="1551"/>
      <c r="DCW33" s="1551"/>
      <c r="DCX33" s="1551"/>
      <c r="DCY33" s="1551"/>
      <c r="DCZ33" s="1551"/>
      <c r="DDA33" s="1551"/>
      <c r="DDB33" s="1551"/>
      <c r="DDC33" s="1551"/>
      <c r="DDD33" s="1551"/>
      <c r="DDE33" s="1551"/>
      <c r="DDF33" s="1551"/>
      <c r="DDG33" s="1551"/>
      <c r="DDH33" s="1551"/>
      <c r="DDI33" s="1551"/>
      <c r="DDJ33" s="1551"/>
      <c r="DDK33" s="1551"/>
      <c r="DDL33" s="1551"/>
      <c r="DDM33" s="1551"/>
      <c r="DDN33" s="1551"/>
      <c r="DDO33" s="1551"/>
      <c r="DDP33" s="1551"/>
      <c r="DDQ33" s="1551"/>
      <c r="DDR33" s="1551"/>
      <c r="DDS33" s="1551"/>
      <c r="DDT33" s="1551"/>
      <c r="DDU33" s="1551"/>
      <c r="DDV33" s="1551"/>
      <c r="DDW33" s="1551"/>
      <c r="DDX33" s="1551"/>
      <c r="DDY33" s="1551"/>
      <c r="DDZ33" s="1551"/>
      <c r="DEA33" s="1551"/>
      <c r="DEB33" s="1551"/>
      <c r="DEC33" s="1551"/>
      <c r="DED33" s="1551"/>
      <c r="DEE33" s="1551"/>
      <c r="DEF33" s="1551"/>
      <c r="DEG33" s="1551"/>
      <c r="DEH33" s="1551"/>
      <c r="DEI33" s="1551"/>
      <c r="DEJ33" s="1551"/>
      <c r="DEK33" s="1551"/>
      <c r="DEL33" s="1551"/>
      <c r="DEM33" s="1551"/>
      <c r="DEN33" s="1551"/>
      <c r="DEO33" s="1551"/>
      <c r="DEP33" s="1551"/>
      <c r="DEQ33" s="1551"/>
      <c r="DER33" s="1551"/>
      <c r="DES33" s="1551"/>
      <c r="DET33" s="1551"/>
      <c r="DEU33" s="1551"/>
      <c r="DEV33" s="1551"/>
      <c r="DEW33" s="1551"/>
      <c r="DEX33" s="1551"/>
      <c r="DEY33" s="1551"/>
      <c r="DEZ33" s="1551"/>
      <c r="DFA33" s="1551"/>
      <c r="DFB33" s="1551"/>
      <c r="DFC33" s="1551"/>
      <c r="DFD33" s="1551"/>
      <c r="DFE33" s="1551"/>
      <c r="DFF33" s="1551"/>
      <c r="DFG33" s="1551"/>
      <c r="DFH33" s="1551"/>
      <c r="DFI33" s="1551"/>
      <c r="DFJ33" s="1551"/>
      <c r="DFK33" s="1551"/>
      <c r="DFL33" s="1551"/>
      <c r="DFM33" s="1551"/>
      <c r="DFN33" s="1551"/>
      <c r="DFO33" s="1551"/>
      <c r="DFP33" s="1551"/>
      <c r="DFQ33" s="1551"/>
      <c r="DFR33" s="1551"/>
      <c r="DFS33" s="1551"/>
      <c r="DFT33" s="1551"/>
      <c r="DFU33" s="1551"/>
      <c r="DFV33" s="1551"/>
      <c r="DFW33" s="1551"/>
      <c r="DFX33" s="1551"/>
      <c r="DFY33" s="1551"/>
      <c r="DFZ33" s="1551"/>
      <c r="DGA33" s="1551"/>
      <c r="DGB33" s="1551"/>
      <c r="DGC33" s="1551"/>
      <c r="DGD33" s="1551"/>
      <c r="DGE33" s="1551"/>
      <c r="DGF33" s="1551"/>
      <c r="DGG33" s="1551"/>
      <c r="DGH33" s="1551"/>
      <c r="DGI33" s="1551"/>
      <c r="DGJ33" s="1551"/>
      <c r="DGK33" s="1551"/>
      <c r="DGL33" s="1551"/>
      <c r="DGM33" s="1551"/>
      <c r="DGN33" s="1551"/>
      <c r="DGO33" s="1551"/>
      <c r="DGP33" s="1551"/>
      <c r="DGQ33" s="1551"/>
      <c r="DGR33" s="1551"/>
      <c r="DGS33" s="1551"/>
      <c r="DGT33" s="1551"/>
      <c r="DGU33" s="1551"/>
      <c r="DGV33" s="1551"/>
      <c r="DGW33" s="1551"/>
      <c r="DGX33" s="1551"/>
      <c r="DGY33" s="1551"/>
      <c r="DGZ33" s="1551"/>
      <c r="DHA33" s="1551"/>
      <c r="DHB33" s="1551"/>
      <c r="DHC33" s="1551"/>
      <c r="DHD33" s="1551"/>
      <c r="DHE33" s="1551"/>
      <c r="DHF33" s="1551"/>
      <c r="DHG33" s="1551"/>
      <c r="DHH33" s="1551"/>
      <c r="DHI33" s="1551"/>
      <c r="DHJ33" s="1551"/>
      <c r="DHK33" s="1551"/>
      <c r="DHL33" s="1551"/>
      <c r="DHM33" s="1551"/>
      <c r="DHN33" s="1551"/>
      <c r="DHO33" s="1551"/>
      <c r="DHP33" s="1551"/>
      <c r="DHQ33" s="1551"/>
      <c r="DHR33" s="1551"/>
      <c r="DHS33" s="1551"/>
      <c r="DHT33" s="1551"/>
      <c r="DHU33" s="1551"/>
      <c r="DHV33" s="1551"/>
      <c r="DHW33" s="1551"/>
      <c r="DHX33" s="1551"/>
      <c r="DHY33" s="1551"/>
      <c r="DHZ33" s="1551"/>
      <c r="DIA33" s="1551"/>
      <c r="DIB33" s="1551"/>
      <c r="DIC33" s="1551"/>
      <c r="DID33" s="1551"/>
      <c r="DIE33" s="1551"/>
      <c r="DIF33" s="1551"/>
      <c r="DIG33" s="1551"/>
      <c r="DIH33" s="1551"/>
      <c r="DII33" s="1551"/>
      <c r="DIJ33" s="1551"/>
      <c r="DIK33" s="1551"/>
      <c r="DIL33" s="1551"/>
      <c r="DIM33" s="1551"/>
      <c r="DIN33" s="1551"/>
      <c r="DIO33" s="1551"/>
      <c r="DIP33" s="1551"/>
      <c r="DIQ33" s="1551"/>
      <c r="DIR33" s="1551"/>
      <c r="DIS33" s="1551"/>
      <c r="DIT33" s="1551"/>
      <c r="DIU33" s="1551"/>
      <c r="DIV33" s="1551"/>
      <c r="DIW33" s="1551"/>
      <c r="DIX33" s="1551"/>
      <c r="DIY33" s="1551"/>
      <c r="DIZ33" s="1551"/>
      <c r="DJA33" s="1551"/>
      <c r="DJB33" s="1551"/>
      <c r="DJC33" s="1551"/>
      <c r="DJD33" s="1551"/>
      <c r="DJE33" s="1551"/>
      <c r="DJF33" s="1551"/>
      <c r="DJG33" s="1551"/>
      <c r="DJH33" s="1551"/>
      <c r="DJI33" s="1551"/>
      <c r="DJJ33" s="1551"/>
      <c r="DJK33" s="1551"/>
      <c r="DJL33" s="1551"/>
      <c r="DJM33" s="1551"/>
      <c r="DJN33" s="1551"/>
      <c r="DJO33" s="1551"/>
      <c r="DJP33" s="1551"/>
      <c r="DJQ33" s="1551"/>
      <c r="DJR33" s="1551"/>
      <c r="DJS33" s="1551"/>
      <c r="DJT33" s="1551"/>
      <c r="DJU33" s="1551"/>
      <c r="DJV33" s="1551"/>
      <c r="DJW33" s="1551"/>
      <c r="DJX33" s="1551"/>
      <c r="DJY33" s="1551"/>
      <c r="DJZ33" s="1551"/>
      <c r="DKA33" s="1551"/>
      <c r="DKB33" s="1551"/>
      <c r="DKC33" s="1551"/>
      <c r="DKD33" s="1551"/>
      <c r="DKE33" s="1551"/>
      <c r="DKF33" s="1551"/>
      <c r="DKG33" s="1551"/>
      <c r="DKH33" s="1551"/>
      <c r="DKI33" s="1551"/>
      <c r="DKJ33" s="1551"/>
      <c r="DKK33" s="1551"/>
      <c r="DKL33" s="1551"/>
      <c r="DKM33" s="1551"/>
      <c r="DKN33" s="1551"/>
      <c r="DKO33" s="1551"/>
      <c r="DKP33" s="1551"/>
      <c r="DKQ33" s="1551"/>
      <c r="DKR33" s="1551"/>
      <c r="DKS33" s="1551"/>
      <c r="DKT33" s="1551"/>
      <c r="DKU33" s="1551"/>
      <c r="DKV33" s="1551"/>
      <c r="DKW33" s="1551"/>
      <c r="DKX33" s="1551"/>
      <c r="DKY33" s="1551"/>
      <c r="DKZ33" s="1551"/>
      <c r="DLA33" s="1551"/>
      <c r="DLB33" s="1551"/>
      <c r="DLC33" s="1551"/>
      <c r="DLD33" s="1551"/>
      <c r="DLE33" s="1551"/>
      <c r="DLF33" s="1551"/>
      <c r="DLG33" s="1551"/>
      <c r="DLH33" s="1551"/>
      <c r="DLI33" s="1551"/>
      <c r="DLJ33" s="1551"/>
      <c r="DLK33" s="1551"/>
      <c r="DLL33" s="1551"/>
      <c r="DLM33" s="1551"/>
      <c r="DLN33" s="1551"/>
      <c r="DLO33" s="1551"/>
      <c r="DLP33" s="1551"/>
      <c r="DLQ33" s="1551"/>
      <c r="DLR33" s="1551"/>
      <c r="DLS33" s="1551"/>
      <c r="DLT33" s="1551"/>
      <c r="DLU33" s="1551"/>
      <c r="DLV33" s="1551"/>
      <c r="DLW33" s="1551"/>
      <c r="DLX33" s="1551"/>
      <c r="DLY33" s="1551"/>
      <c r="DLZ33" s="1551"/>
      <c r="DMA33" s="1551"/>
      <c r="DMB33" s="1551"/>
      <c r="DMC33" s="1551"/>
      <c r="DMD33" s="1551"/>
      <c r="DME33" s="1551"/>
      <c r="DMF33" s="1551"/>
      <c r="DMG33" s="1551"/>
      <c r="DMH33" s="1551"/>
      <c r="DMI33" s="1551"/>
      <c r="DMJ33" s="1551"/>
      <c r="DMK33" s="1551"/>
      <c r="DML33" s="1551"/>
      <c r="DMM33" s="1551"/>
      <c r="DMN33" s="1551"/>
      <c r="DMO33" s="1551"/>
      <c r="DMP33" s="1551"/>
      <c r="DMQ33" s="1551"/>
      <c r="DMR33" s="1551"/>
      <c r="DMS33" s="1551"/>
      <c r="DMT33" s="1551"/>
      <c r="DMU33" s="1551"/>
      <c r="DMV33" s="1551"/>
      <c r="DMW33" s="1551"/>
      <c r="DMX33" s="1551"/>
      <c r="DMY33" s="1551"/>
      <c r="DMZ33" s="1551"/>
      <c r="DNA33" s="1551"/>
      <c r="DNB33" s="1551"/>
      <c r="DNC33" s="1551"/>
      <c r="DND33" s="1551"/>
      <c r="DNE33" s="1551"/>
      <c r="DNF33" s="1551"/>
      <c r="DNG33" s="1551"/>
      <c r="DNH33" s="1551"/>
      <c r="DNI33" s="1551"/>
      <c r="DNJ33" s="1551"/>
      <c r="DNK33" s="1551"/>
      <c r="DNL33" s="1551"/>
      <c r="DNM33" s="1551"/>
      <c r="DNN33" s="1551"/>
      <c r="DNO33" s="1551"/>
      <c r="DNP33" s="1551"/>
      <c r="DNQ33" s="1551"/>
      <c r="DNR33" s="1551"/>
      <c r="DNS33" s="1551"/>
      <c r="DNT33" s="1551"/>
      <c r="DNU33" s="1551"/>
      <c r="DNV33" s="1551"/>
      <c r="DNW33" s="1551"/>
      <c r="DNX33" s="1551"/>
      <c r="DNY33" s="1551"/>
      <c r="DNZ33" s="1551"/>
      <c r="DOA33" s="1551"/>
      <c r="DOB33" s="1551"/>
      <c r="DOC33" s="1551"/>
      <c r="DOD33" s="1551"/>
      <c r="DOE33" s="1551"/>
      <c r="DOF33" s="1551"/>
      <c r="DOG33" s="1551"/>
      <c r="DOH33" s="1551"/>
      <c r="DOI33" s="1551"/>
      <c r="DOJ33" s="1551"/>
      <c r="DOK33" s="1551"/>
      <c r="DOL33" s="1551"/>
      <c r="DOM33" s="1551"/>
      <c r="DON33" s="1551"/>
      <c r="DOO33" s="1551"/>
      <c r="DOP33" s="1551"/>
      <c r="DOQ33" s="1551"/>
      <c r="DOR33" s="1551"/>
      <c r="DOS33" s="1551"/>
      <c r="DOT33" s="1551"/>
      <c r="DOU33" s="1551"/>
      <c r="DOV33" s="1551"/>
      <c r="DOW33" s="1551"/>
      <c r="DOX33" s="1551"/>
      <c r="DOY33" s="1551"/>
      <c r="DOZ33" s="1551"/>
      <c r="DPA33" s="1551"/>
      <c r="DPB33" s="1551"/>
      <c r="DPC33" s="1551"/>
      <c r="DPD33" s="1551"/>
      <c r="DPE33" s="1551"/>
      <c r="DPF33" s="1551"/>
      <c r="DPG33" s="1551"/>
      <c r="DPH33" s="1551"/>
      <c r="DPI33" s="1551"/>
      <c r="DPJ33" s="1551"/>
      <c r="DPK33" s="1551"/>
      <c r="DPL33" s="1551"/>
      <c r="DPM33" s="1551"/>
      <c r="DPN33" s="1551"/>
      <c r="DPO33" s="1551"/>
      <c r="DPP33" s="1551"/>
      <c r="DPQ33" s="1551"/>
      <c r="DPR33" s="1551"/>
      <c r="DPS33" s="1551"/>
      <c r="DPT33" s="1551"/>
      <c r="DPU33" s="1551"/>
      <c r="DPV33" s="1551"/>
      <c r="DPW33" s="1551"/>
      <c r="DPX33" s="1551"/>
      <c r="DPY33" s="1551"/>
      <c r="DPZ33" s="1551"/>
      <c r="DQA33" s="1551"/>
      <c r="DQB33" s="1551"/>
      <c r="DQC33" s="1551"/>
      <c r="DQD33" s="1551"/>
      <c r="DQE33" s="1551"/>
      <c r="DQF33" s="1551"/>
      <c r="DQG33" s="1551"/>
      <c r="DQH33" s="1551"/>
      <c r="DQI33" s="1551"/>
      <c r="DQJ33" s="1551"/>
      <c r="DQK33" s="1551"/>
      <c r="DQL33" s="1551"/>
      <c r="DQM33" s="1551"/>
      <c r="DQN33" s="1551"/>
      <c r="DQO33" s="1551"/>
      <c r="DQP33" s="1551"/>
      <c r="DQQ33" s="1551"/>
      <c r="DQR33" s="1551"/>
      <c r="DQS33" s="1551"/>
      <c r="DQT33" s="1551"/>
      <c r="DQU33" s="1551"/>
      <c r="DQV33" s="1551"/>
      <c r="DQW33" s="1551"/>
      <c r="DQX33" s="1551"/>
      <c r="DQY33" s="1551"/>
      <c r="DQZ33" s="1551"/>
      <c r="DRA33" s="1551"/>
      <c r="DRB33" s="1551"/>
      <c r="DRC33" s="1551"/>
      <c r="DRD33" s="1551"/>
      <c r="DRE33" s="1551"/>
      <c r="DRF33" s="1551"/>
      <c r="DRG33" s="1551"/>
      <c r="DRH33" s="1551"/>
      <c r="DRI33" s="1551"/>
      <c r="DRJ33" s="1551"/>
      <c r="DRK33" s="1551"/>
      <c r="DRL33" s="1551"/>
      <c r="DRM33" s="1551"/>
      <c r="DRN33" s="1551"/>
      <c r="DRO33" s="1551"/>
      <c r="DRP33" s="1551"/>
      <c r="DRQ33" s="1551"/>
      <c r="DRR33" s="1551"/>
      <c r="DRS33" s="1551"/>
      <c r="DRT33" s="1551"/>
      <c r="DRU33" s="1551"/>
      <c r="DRV33" s="1551"/>
      <c r="DRW33" s="1551"/>
      <c r="DRX33" s="1551"/>
      <c r="DRY33" s="1551"/>
      <c r="DRZ33" s="1551"/>
      <c r="DSA33" s="1551"/>
      <c r="DSB33" s="1551"/>
      <c r="DSC33" s="1551"/>
      <c r="DSD33" s="1551"/>
      <c r="DSE33" s="1551"/>
      <c r="DSF33" s="1551"/>
      <c r="DSG33" s="1551"/>
      <c r="DSH33" s="1551"/>
      <c r="DSI33" s="1551"/>
      <c r="DSJ33" s="1551"/>
      <c r="DSK33" s="1551"/>
      <c r="DSL33" s="1551"/>
      <c r="DSM33" s="1551"/>
      <c r="DSN33" s="1551"/>
      <c r="DSO33" s="1551"/>
      <c r="DSP33" s="1551"/>
      <c r="DSQ33" s="1551"/>
      <c r="DSR33" s="1551"/>
      <c r="DSS33" s="1551"/>
      <c r="DST33" s="1551"/>
      <c r="DSU33" s="1551"/>
      <c r="DSV33" s="1551"/>
      <c r="DSW33" s="1551"/>
      <c r="DSX33" s="1551"/>
      <c r="DSY33" s="1551"/>
      <c r="DSZ33" s="1551"/>
      <c r="DTA33" s="1551"/>
      <c r="DTB33" s="1551"/>
      <c r="DTC33" s="1551"/>
      <c r="DTD33" s="1551"/>
      <c r="DTE33" s="1551"/>
      <c r="DTF33" s="1551"/>
      <c r="DTG33" s="1551"/>
      <c r="DTH33" s="1551"/>
      <c r="DTI33" s="1551"/>
      <c r="DTJ33" s="1551"/>
      <c r="DTK33" s="1551"/>
      <c r="DTL33" s="1551"/>
      <c r="DTM33" s="1551"/>
      <c r="DTN33" s="1551"/>
      <c r="DTO33" s="1551"/>
      <c r="DTP33" s="1551"/>
      <c r="DTQ33" s="1551"/>
      <c r="DTR33" s="1551"/>
      <c r="DTS33" s="1551"/>
      <c r="DTT33" s="1551"/>
      <c r="DTU33" s="1551"/>
      <c r="DTV33" s="1551"/>
      <c r="DTW33" s="1551"/>
      <c r="DTX33" s="1551"/>
      <c r="DTY33" s="1551"/>
      <c r="DTZ33" s="1551"/>
      <c r="DUA33" s="1551"/>
      <c r="DUB33" s="1551"/>
      <c r="DUC33" s="1551"/>
      <c r="DUD33" s="1551"/>
      <c r="DUE33" s="1551"/>
      <c r="DUF33" s="1551"/>
      <c r="DUG33" s="1551"/>
      <c r="DUH33" s="1551"/>
      <c r="DUI33" s="1551"/>
      <c r="DUJ33" s="1551"/>
      <c r="DUK33" s="1551"/>
      <c r="DUL33" s="1551"/>
      <c r="DUM33" s="1551"/>
      <c r="DUN33" s="1551"/>
      <c r="DUO33" s="1551"/>
      <c r="DUP33" s="1551"/>
      <c r="DUQ33" s="1551"/>
      <c r="DUR33" s="1551"/>
      <c r="DUS33" s="1551"/>
      <c r="DUT33" s="1551"/>
      <c r="DUU33" s="1551"/>
      <c r="DUV33" s="1551"/>
      <c r="DUW33" s="1551"/>
      <c r="DUX33" s="1551"/>
      <c r="DUY33" s="1551"/>
      <c r="DUZ33" s="1551"/>
      <c r="DVA33" s="1551"/>
      <c r="DVB33" s="1551"/>
      <c r="DVC33" s="1551"/>
      <c r="DVD33" s="1551"/>
      <c r="DVE33" s="1551"/>
      <c r="DVF33" s="1551"/>
      <c r="DVG33" s="1551"/>
      <c r="DVH33" s="1551"/>
      <c r="DVI33" s="1551"/>
      <c r="DVJ33" s="1551"/>
      <c r="DVK33" s="1551"/>
      <c r="DVL33" s="1551"/>
      <c r="DVM33" s="1551"/>
      <c r="DVN33" s="1551"/>
      <c r="DVO33" s="1551"/>
      <c r="DVP33" s="1551"/>
      <c r="DVQ33" s="1551"/>
      <c r="DVR33" s="1551"/>
      <c r="DVS33" s="1551"/>
      <c r="DVT33" s="1551"/>
      <c r="DVU33" s="1551"/>
      <c r="DVV33" s="1551"/>
      <c r="DVW33" s="1551"/>
      <c r="DVX33" s="1551"/>
      <c r="DVY33" s="1551"/>
      <c r="DVZ33" s="1551"/>
      <c r="DWA33" s="1551"/>
      <c r="DWB33" s="1551"/>
      <c r="DWC33" s="1551"/>
      <c r="DWD33" s="1551"/>
      <c r="DWE33" s="1551"/>
      <c r="DWF33" s="1551"/>
      <c r="DWG33" s="1551"/>
      <c r="DWH33" s="1551"/>
      <c r="DWI33" s="1551"/>
      <c r="DWJ33" s="1551"/>
      <c r="DWK33" s="1551"/>
      <c r="DWL33" s="1551"/>
      <c r="DWM33" s="1551"/>
      <c r="DWN33" s="1551"/>
      <c r="DWO33" s="1551"/>
      <c r="DWP33" s="1551"/>
      <c r="DWQ33" s="1551"/>
      <c r="DWR33" s="1551"/>
      <c r="DWS33" s="1551"/>
      <c r="DWT33" s="1551"/>
      <c r="DWU33" s="1551"/>
      <c r="DWV33" s="1551"/>
      <c r="DWW33" s="1551"/>
      <c r="DWX33" s="1551"/>
      <c r="DWY33" s="1551"/>
      <c r="DWZ33" s="1551"/>
      <c r="DXA33" s="1551"/>
      <c r="DXB33" s="1551"/>
      <c r="DXC33" s="1551"/>
      <c r="DXD33" s="1551"/>
      <c r="DXE33" s="1551"/>
      <c r="DXF33" s="1551"/>
      <c r="DXG33" s="1551"/>
      <c r="DXH33" s="1551"/>
      <c r="DXI33" s="1551"/>
      <c r="DXJ33" s="1551"/>
      <c r="DXK33" s="1551"/>
      <c r="DXL33" s="1551"/>
      <c r="DXM33" s="1551"/>
      <c r="DXN33" s="1551"/>
      <c r="DXO33" s="1551"/>
      <c r="DXP33" s="1551"/>
      <c r="DXQ33" s="1551"/>
      <c r="DXR33" s="1551"/>
      <c r="DXS33" s="1551"/>
      <c r="DXT33" s="1551"/>
      <c r="DXU33" s="1551"/>
      <c r="DXV33" s="1551"/>
      <c r="DXW33" s="1551"/>
      <c r="DXX33" s="1551"/>
      <c r="DXY33" s="1551"/>
      <c r="DXZ33" s="1551"/>
      <c r="DYA33" s="1551"/>
      <c r="DYB33" s="1551"/>
      <c r="DYC33" s="1551"/>
      <c r="DYD33" s="1551"/>
      <c r="DYE33" s="1551"/>
      <c r="DYF33" s="1551"/>
      <c r="DYG33" s="1551"/>
      <c r="DYH33" s="1551"/>
      <c r="DYI33" s="1551"/>
      <c r="DYJ33" s="1551"/>
      <c r="DYK33" s="1551"/>
      <c r="DYL33" s="1551"/>
      <c r="DYM33" s="1551"/>
      <c r="DYN33" s="1551"/>
      <c r="DYO33" s="1551"/>
      <c r="DYP33" s="1551"/>
      <c r="DYQ33" s="1551"/>
      <c r="DYR33" s="1551"/>
      <c r="DYS33" s="1551"/>
      <c r="DYT33" s="1551"/>
      <c r="DYU33" s="1551"/>
      <c r="DYV33" s="1551"/>
      <c r="DYW33" s="1551"/>
      <c r="DYX33" s="1551"/>
      <c r="DYY33" s="1551"/>
      <c r="DYZ33" s="1551"/>
      <c r="DZA33" s="1551"/>
      <c r="DZB33" s="1551"/>
      <c r="DZC33" s="1551"/>
      <c r="DZD33" s="1551"/>
      <c r="DZE33" s="1551"/>
      <c r="DZF33" s="1551"/>
      <c r="DZG33" s="1551"/>
      <c r="DZH33" s="1551"/>
      <c r="DZI33" s="1551"/>
      <c r="DZJ33" s="1551"/>
      <c r="DZK33" s="1551"/>
      <c r="DZL33" s="1551"/>
      <c r="DZM33" s="1551"/>
      <c r="DZN33" s="1551"/>
      <c r="DZO33" s="1551"/>
      <c r="DZP33" s="1551"/>
      <c r="DZQ33" s="1551"/>
      <c r="DZR33" s="1551"/>
      <c r="DZS33" s="1551"/>
      <c r="DZT33" s="1551"/>
      <c r="DZU33" s="1551"/>
      <c r="DZV33" s="1551"/>
      <c r="DZW33" s="1551"/>
      <c r="DZX33" s="1551"/>
      <c r="DZY33" s="1551"/>
      <c r="DZZ33" s="1551"/>
      <c r="EAA33" s="1551"/>
      <c r="EAB33" s="1551"/>
      <c r="EAC33" s="1551"/>
      <c r="EAD33" s="1551"/>
      <c r="EAE33" s="1551"/>
      <c r="EAF33" s="1551"/>
      <c r="EAG33" s="1551"/>
      <c r="EAH33" s="1551"/>
      <c r="EAI33" s="1551"/>
      <c r="EAJ33" s="1551"/>
      <c r="EAK33" s="1551"/>
      <c r="EAL33" s="1551"/>
      <c r="EAM33" s="1551"/>
      <c r="EAN33" s="1551"/>
      <c r="EAO33" s="1551"/>
      <c r="EAP33" s="1551"/>
      <c r="EAQ33" s="1551"/>
      <c r="EAR33" s="1551"/>
      <c r="EAS33" s="1551"/>
      <c r="EAT33" s="1551"/>
      <c r="EAU33" s="1551"/>
      <c r="EAV33" s="1551"/>
      <c r="EAW33" s="1551"/>
      <c r="EAX33" s="1551"/>
      <c r="EAY33" s="1551"/>
      <c r="EAZ33" s="1551"/>
      <c r="EBA33" s="1551"/>
      <c r="EBB33" s="1551"/>
      <c r="EBC33" s="1551"/>
      <c r="EBD33" s="1551"/>
      <c r="EBE33" s="1551"/>
      <c r="EBF33" s="1551"/>
      <c r="EBG33" s="1551"/>
      <c r="EBH33" s="1551"/>
      <c r="EBI33" s="1551"/>
      <c r="EBJ33" s="1551"/>
      <c r="EBK33" s="1551"/>
      <c r="EBL33" s="1551"/>
      <c r="EBM33" s="1551"/>
      <c r="EBN33" s="1551"/>
      <c r="EBO33" s="1551"/>
      <c r="EBP33" s="1551"/>
      <c r="EBQ33" s="1551"/>
      <c r="EBR33" s="1551"/>
      <c r="EBS33" s="1551"/>
      <c r="EBT33" s="1551"/>
      <c r="EBU33" s="1551"/>
      <c r="EBV33" s="1551"/>
      <c r="EBW33" s="1551"/>
      <c r="EBX33" s="1551"/>
      <c r="EBY33" s="1551"/>
      <c r="EBZ33" s="1551"/>
      <c r="ECA33" s="1551"/>
      <c r="ECB33" s="1551"/>
      <c r="ECC33" s="1551"/>
      <c r="ECD33" s="1551"/>
      <c r="ECE33" s="1551"/>
      <c r="ECF33" s="1551"/>
      <c r="ECG33" s="1551"/>
      <c r="ECH33" s="1551"/>
      <c r="ECI33" s="1551"/>
      <c r="ECJ33" s="1551"/>
      <c r="ECK33" s="1551"/>
      <c r="ECL33" s="1551"/>
      <c r="ECM33" s="1551"/>
      <c r="ECN33" s="1551"/>
      <c r="ECO33" s="1551"/>
      <c r="ECP33" s="1551"/>
      <c r="ECQ33" s="1551"/>
      <c r="ECR33" s="1551"/>
      <c r="ECS33" s="1551"/>
      <c r="ECT33" s="1551"/>
      <c r="ECU33" s="1551"/>
      <c r="ECV33" s="1551"/>
      <c r="ECW33" s="1551"/>
      <c r="ECX33" s="1551"/>
      <c r="ECY33" s="1551"/>
      <c r="ECZ33" s="1551"/>
      <c r="EDA33" s="1551"/>
      <c r="EDB33" s="1551"/>
      <c r="EDC33" s="1551"/>
      <c r="EDD33" s="1551"/>
      <c r="EDE33" s="1551"/>
      <c r="EDF33" s="1551"/>
      <c r="EDG33" s="1551"/>
      <c r="EDH33" s="1551"/>
      <c r="EDI33" s="1551"/>
      <c r="EDJ33" s="1551"/>
      <c r="EDK33" s="1551"/>
      <c r="EDL33" s="1551"/>
      <c r="EDM33" s="1551"/>
      <c r="EDN33" s="1551"/>
      <c r="EDO33" s="1551"/>
      <c r="EDP33" s="1551"/>
      <c r="EDQ33" s="1551"/>
      <c r="EDR33" s="1551"/>
      <c r="EDS33" s="1551"/>
      <c r="EDT33" s="1551"/>
      <c r="EDU33" s="1551"/>
      <c r="EDV33" s="1551"/>
      <c r="EDW33" s="1551"/>
      <c r="EDX33" s="1551"/>
      <c r="EDY33" s="1551"/>
      <c r="EDZ33" s="1551"/>
      <c r="EEA33" s="1551"/>
      <c r="EEB33" s="1551"/>
      <c r="EEC33" s="1551"/>
      <c r="EED33" s="1551"/>
      <c r="EEE33" s="1551"/>
      <c r="EEF33" s="1551"/>
      <c r="EEG33" s="1551"/>
      <c r="EEH33" s="1551"/>
      <c r="EEI33" s="1551"/>
      <c r="EEJ33" s="1551"/>
      <c r="EEK33" s="1551"/>
      <c r="EEL33" s="1551"/>
      <c r="EEM33" s="1551"/>
      <c r="EEN33" s="1551"/>
      <c r="EEO33" s="1551"/>
      <c r="EEP33" s="1551"/>
      <c r="EEQ33" s="1551"/>
      <c r="EER33" s="1551"/>
      <c r="EES33" s="1551"/>
      <c r="EET33" s="1551"/>
      <c r="EEU33" s="1551"/>
      <c r="EEV33" s="1551"/>
      <c r="EEW33" s="1551"/>
      <c r="EEX33" s="1551"/>
      <c r="EEY33" s="1551"/>
      <c r="EEZ33" s="1551"/>
      <c r="EFA33" s="1551"/>
      <c r="EFB33" s="1551"/>
      <c r="EFC33" s="1551"/>
      <c r="EFD33" s="1551"/>
      <c r="EFE33" s="1551"/>
      <c r="EFF33" s="1551"/>
      <c r="EFG33" s="1551"/>
      <c r="EFH33" s="1551"/>
      <c r="EFI33" s="1551"/>
      <c r="EFJ33" s="1551"/>
      <c r="EFK33" s="1551"/>
      <c r="EFL33" s="1551"/>
      <c r="EFM33" s="1551"/>
      <c r="EFN33" s="1551"/>
      <c r="EFO33" s="1551"/>
      <c r="EFP33" s="1551"/>
      <c r="EFQ33" s="1551"/>
      <c r="EFR33" s="1551"/>
      <c r="EFS33" s="1551"/>
      <c r="EFT33" s="1551"/>
      <c r="EFU33" s="1551"/>
      <c r="EFV33" s="1551"/>
      <c r="EFW33" s="1551"/>
      <c r="EFX33" s="1551"/>
      <c r="EFY33" s="1551"/>
      <c r="EFZ33" s="1551"/>
      <c r="EGA33" s="1551"/>
      <c r="EGB33" s="1551"/>
      <c r="EGC33" s="1551"/>
      <c r="EGD33" s="1551"/>
      <c r="EGE33" s="1551"/>
      <c r="EGF33" s="1551"/>
      <c r="EGG33" s="1551"/>
      <c r="EGH33" s="1551"/>
      <c r="EGI33" s="1551"/>
      <c r="EGJ33" s="1551"/>
      <c r="EGK33" s="1551"/>
      <c r="EGL33" s="1551"/>
      <c r="EGM33" s="1551"/>
      <c r="EGN33" s="1551"/>
      <c r="EGO33" s="1551"/>
      <c r="EGP33" s="1551"/>
      <c r="EGQ33" s="1551"/>
      <c r="EGR33" s="1551"/>
      <c r="EGS33" s="1551"/>
      <c r="EGT33" s="1551"/>
      <c r="EGU33" s="1551"/>
      <c r="EGV33" s="1551"/>
      <c r="EGW33" s="1551"/>
      <c r="EGX33" s="1551"/>
      <c r="EGY33" s="1551"/>
      <c r="EGZ33" s="1551"/>
      <c r="EHA33" s="1551"/>
      <c r="EHB33" s="1551"/>
      <c r="EHC33" s="1551"/>
      <c r="EHD33" s="1551"/>
      <c r="EHE33" s="1551"/>
      <c r="EHF33" s="1551"/>
      <c r="EHG33" s="1551"/>
      <c r="EHH33" s="1551"/>
      <c r="EHI33" s="1551"/>
      <c r="EHJ33" s="1551"/>
      <c r="EHK33" s="1551"/>
      <c r="EHL33" s="1551"/>
      <c r="EHM33" s="1551"/>
      <c r="EHN33" s="1551"/>
      <c r="EHO33" s="1551"/>
      <c r="EHP33" s="1551"/>
      <c r="EHQ33" s="1551"/>
      <c r="EHR33" s="1551"/>
      <c r="EHS33" s="1551"/>
      <c r="EHT33" s="1551"/>
      <c r="EHU33" s="1551"/>
      <c r="EHV33" s="1551"/>
      <c r="EHW33" s="1551"/>
      <c r="EHX33" s="1551"/>
      <c r="EHY33" s="1551"/>
      <c r="EHZ33" s="1551"/>
      <c r="EIA33" s="1551"/>
      <c r="EIB33" s="1551"/>
      <c r="EIC33" s="1551"/>
      <c r="EID33" s="1551"/>
      <c r="EIE33" s="1551"/>
      <c r="EIF33" s="1551"/>
      <c r="EIG33" s="1551"/>
      <c r="EIH33" s="1551"/>
      <c r="EII33" s="1551"/>
      <c r="EIJ33" s="1551"/>
      <c r="EIK33" s="1551"/>
      <c r="EIL33" s="1551"/>
      <c r="EIM33" s="1551"/>
      <c r="EIN33" s="1551"/>
      <c r="EIO33" s="1551"/>
      <c r="EIP33" s="1551"/>
      <c r="EIQ33" s="1551"/>
      <c r="EIR33" s="1551"/>
      <c r="EIS33" s="1551"/>
      <c r="EIT33" s="1551"/>
      <c r="EIU33" s="1551"/>
      <c r="EIV33" s="1551"/>
      <c r="EIW33" s="1551"/>
      <c r="EIX33" s="1551"/>
      <c r="EIY33" s="1551"/>
      <c r="EIZ33" s="1551"/>
      <c r="EJA33" s="1551"/>
      <c r="EJB33" s="1551"/>
      <c r="EJC33" s="1551"/>
      <c r="EJD33" s="1551"/>
      <c r="EJE33" s="1551"/>
      <c r="EJF33" s="1551"/>
      <c r="EJG33" s="1551"/>
      <c r="EJH33" s="1551"/>
      <c r="EJI33" s="1551"/>
      <c r="EJJ33" s="1551"/>
      <c r="EJK33" s="1551"/>
      <c r="EJL33" s="1551"/>
      <c r="EJM33" s="1551"/>
      <c r="EJN33" s="1551"/>
      <c r="EJO33" s="1551"/>
      <c r="EJP33" s="1551"/>
      <c r="EJQ33" s="1551"/>
      <c r="EJR33" s="1551"/>
      <c r="EJS33" s="1551"/>
      <c r="EJT33" s="1551"/>
      <c r="EJU33" s="1551"/>
      <c r="EJV33" s="1551"/>
      <c r="EJW33" s="1551"/>
      <c r="EJX33" s="1551"/>
      <c r="EJY33" s="1551"/>
      <c r="EJZ33" s="1551"/>
      <c r="EKA33" s="1551"/>
      <c r="EKB33" s="1551"/>
      <c r="EKC33" s="1551"/>
      <c r="EKD33" s="1551"/>
      <c r="EKE33" s="1551"/>
      <c r="EKF33" s="1551"/>
      <c r="EKG33" s="1551"/>
      <c r="EKH33" s="1551"/>
      <c r="EKI33" s="1551"/>
      <c r="EKJ33" s="1551"/>
      <c r="EKK33" s="1551"/>
      <c r="EKL33" s="1551"/>
      <c r="EKM33" s="1551"/>
      <c r="EKN33" s="1551"/>
      <c r="EKO33" s="1551"/>
      <c r="EKP33" s="1551"/>
      <c r="EKQ33" s="1551"/>
      <c r="EKR33" s="1551"/>
      <c r="EKS33" s="1551"/>
      <c r="EKT33" s="1551"/>
      <c r="EKU33" s="1551"/>
      <c r="EKV33" s="1551"/>
      <c r="EKW33" s="1551"/>
      <c r="EKX33" s="1551"/>
      <c r="EKY33" s="1551"/>
      <c r="EKZ33" s="1551"/>
      <c r="ELA33" s="1551"/>
      <c r="ELB33" s="1551"/>
      <c r="ELC33" s="1551"/>
      <c r="ELD33" s="1551"/>
      <c r="ELE33" s="1551"/>
      <c r="ELF33" s="1551"/>
      <c r="ELG33" s="1551"/>
      <c r="ELH33" s="1551"/>
      <c r="ELI33" s="1551"/>
      <c r="ELJ33" s="1551"/>
      <c r="ELK33" s="1551"/>
      <c r="ELL33" s="1551"/>
      <c r="ELM33" s="1551"/>
      <c r="ELN33" s="1551"/>
      <c r="ELO33" s="1551"/>
      <c r="ELP33" s="1551"/>
      <c r="ELQ33" s="1551"/>
      <c r="ELR33" s="1551"/>
      <c r="ELS33" s="1551"/>
      <c r="ELT33" s="1551"/>
      <c r="ELU33" s="1551"/>
      <c r="ELV33" s="1551"/>
      <c r="ELW33" s="1551"/>
      <c r="ELX33" s="1551"/>
      <c r="ELY33" s="1551"/>
      <c r="ELZ33" s="1551"/>
      <c r="EMA33" s="1551"/>
      <c r="EMB33" s="1551"/>
      <c r="EMC33" s="1551"/>
      <c r="EMD33" s="1551"/>
      <c r="EME33" s="1551"/>
      <c r="EMF33" s="1551"/>
      <c r="EMG33" s="1551"/>
      <c r="EMH33" s="1551"/>
      <c r="EMI33" s="1551"/>
      <c r="EMJ33" s="1551"/>
      <c r="EMK33" s="1551"/>
      <c r="EML33" s="1551"/>
      <c r="EMM33" s="1551"/>
      <c r="EMN33" s="1551"/>
      <c r="EMO33" s="1551"/>
      <c r="EMP33" s="1551"/>
      <c r="EMQ33" s="1551"/>
      <c r="EMR33" s="1551"/>
      <c r="EMS33" s="1551"/>
      <c r="EMT33" s="1551"/>
      <c r="EMU33" s="1551"/>
      <c r="EMV33" s="1551"/>
      <c r="EMW33" s="1551"/>
      <c r="EMX33" s="1551"/>
      <c r="EMY33" s="1551"/>
      <c r="EMZ33" s="1551"/>
      <c r="ENA33" s="1551"/>
      <c r="ENB33" s="1551"/>
      <c r="ENC33" s="1551"/>
      <c r="END33" s="1551"/>
      <c r="ENE33" s="1551"/>
      <c r="ENF33" s="1551"/>
      <c r="ENG33" s="1551"/>
      <c r="ENH33" s="1551"/>
      <c r="ENI33" s="1551"/>
      <c r="ENJ33" s="1551"/>
      <c r="ENK33" s="1551"/>
      <c r="ENL33" s="1551"/>
      <c r="ENM33" s="1551"/>
      <c r="ENN33" s="1551"/>
      <c r="ENO33" s="1551"/>
      <c r="ENP33" s="1551"/>
      <c r="ENQ33" s="1551"/>
      <c r="ENR33" s="1551"/>
      <c r="ENS33" s="1551"/>
      <c r="ENT33" s="1551"/>
      <c r="ENU33" s="1551"/>
      <c r="ENV33" s="1551"/>
      <c r="ENW33" s="1551"/>
      <c r="ENX33" s="1551"/>
      <c r="ENY33" s="1551"/>
      <c r="ENZ33" s="1551"/>
      <c r="EOA33" s="1551"/>
      <c r="EOB33" s="1551"/>
      <c r="EOC33" s="1551"/>
      <c r="EOD33" s="1551"/>
      <c r="EOE33" s="1551"/>
      <c r="EOF33" s="1551"/>
      <c r="EOG33" s="1551"/>
      <c r="EOH33" s="1551"/>
      <c r="EOI33" s="1551"/>
      <c r="EOJ33" s="1551"/>
      <c r="EOK33" s="1551"/>
      <c r="EOL33" s="1551"/>
      <c r="EOM33" s="1551"/>
      <c r="EON33" s="1551"/>
      <c r="EOO33" s="1551"/>
      <c r="EOP33" s="1551"/>
      <c r="EOQ33" s="1551"/>
      <c r="EOR33" s="1551"/>
      <c r="EOS33" s="1551"/>
      <c r="EOT33" s="1551"/>
      <c r="EOU33" s="1551"/>
      <c r="EOV33" s="1551"/>
      <c r="EOW33" s="1551"/>
      <c r="EOX33" s="1551"/>
      <c r="EOY33" s="1551"/>
      <c r="EOZ33" s="1551"/>
      <c r="EPA33" s="1551"/>
      <c r="EPB33" s="1551"/>
      <c r="EPC33" s="1551"/>
      <c r="EPD33" s="1551"/>
      <c r="EPE33" s="1551"/>
      <c r="EPF33" s="1551"/>
      <c r="EPG33" s="1551"/>
      <c r="EPH33" s="1551"/>
      <c r="EPI33" s="1551"/>
      <c r="EPJ33" s="1551"/>
      <c r="EPK33" s="1551"/>
      <c r="EPL33" s="1551"/>
      <c r="EPM33" s="1551"/>
      <c r="EPN33" s="1551"/>
      <c r="EPO33" s="1551"/>
      <c r="EPP33" s="1551"/>
      <c r="EPQ33" s="1551"/>
      <c r="EPR33" s="1551"/>
      <c r="EPS33" s="1551"/>
      <c r="EPT33" s="1551"/>
      <c r="EPU33" s="1551"/>
      <c r="EPV33" s="1551"/>
      <c r="EPW33" s="1551"/>
      <c r="EPX33" s="1551"/>
      <c r="EPY33" s="1551"/>
      <c r="EPZ33" s="1551"/>
      <c r="EQA33" s="1551"/>
      <c r="EQB33" s="1551"/>
      <c r="EQC33" s="1551"/>
      <c r="EQD33" s="1551"/>
      <c r="EQE33" s="1551"/>
      <c r="EQF33" s="1551"/>
      <c r="EQG33" s="1551"/>
      <c r="EQH33" s="1551"/>
      <c r="EQI33" s="1551"/>
      <c r="EQJ33" s="1551"/>
      <c r="EQK33" s="1551"/>
      <c r="EQL33" s="1551"/>
      <c r="EQM33" s="1551"/>
      <c r="EQN33" s="1551"/>
      <c r="EQO33" s="1551"/>
      <c r="EQP33" s="1551"/>
      <c r="EQQ33" s="1551"/>
      <c r="EQR33" s="1551"/>
      <c r="EQS33" s="1551"/>
      <c r="EQT33" s="1551"/>
      <c r="EQU33" s="1551"/>
      <c r="EQV33" s="1551"/>
      <c r="EQW33" s="1551"/>
      <c r="EQX33" s="1551"/>
      <c r="EQY33" s="1551"/>
      <c r="EQZ33" s="1551"/>
      <c r="ERA33" s="1551"/>
      <c r="ERB33" s="1551"/>
      <c r="ERC33" s="1551"/>
      <c r="ERD33" s="1551"/>
      <c r="ERE33" s="1551"/>
      <c r="ERF33" s="1551"/>
      <c r="ERG33" s="1551"/>
      <c r="ERH33" s="1551"/>
      <c r="ERI33" s="1551"/>
      <c r="ERJ33" s="1551"/>
      <c r="ERK33" s="1551"/>
      <c r="ERL33" s="1551"/>
      <c r="ERM33" s="1551"/>
      <c r="ERN33" s="1551"/>
      <c r="ERO33" s="1551"/>
      <c r="ERP33" s="1551"/>
      <c r="ERQ33" s="1551"/>
      <c r="ERR33" s="1551"/>
      <c r="ERS33" s="1551"/>
      <c r="ERT33" s="1551"/>
      <c r="ERU33" s="1551"/>
      <c r="ERV33" s="1551"/>
      <c r="ERW33" s="1551"/>
      <c r="ERX33" s="1551"/>
      <c r="ERY33" s="1551"/>
      <c r="ERZ33" s="1551"/>
      <c r="ESA33" s="1551"/>
      <c r="ESB33" s="1551"/>
      <c r="ESC33" s="1551"/>
      <c r="ESD33" s="1551"/>
      <c r="ESE33" s="1551"/>
      <c r="ESF33" s="1551"/>
      <c r="ESG33" s="1551"/>
      <c r="ESH33" s="1551"/>
      <c r="ESI33" s="1551"/>
      <c r="ESJ33" s="1551"/>
      <c r="ESK33" s="1551"/>
      <c r="ESL33" s="1551"/>
      <c r="ESM33" s="1551"/>
      <c r="ESN33" s="1551"/>
      <c r="ESO33" s="1551"/>
      <c r="ESP33" s="1551"/>
      <c r="ESQ33" s="1551"/>
      <c r="ESR33" s="1551"/>
      <c r="ESS33" s="1551"/>
      <c r="EST33" s="1551"/>
      <c r="ESU33" s="1551"/>
      <c r="ESV33" s="1551"/>
      <c r="ESW33" s="1551"/>
      <c r="ESX33" s="1551"/>
      <c r="ESY33" s="1551"/>
      <c r="ESZ33" s="1551"/>
      <c r="ETA33" s="1551"/>
      <c r="ETB33" s="1551"/>
      <c r="ETC33" s="1551"/>
      <c r="ETD33" s="1551"/>
      <c r="ETE33" s="1551"/>
      <c r="ETF33" s="1551"/>
      <c r="ETG33" s="1551"/>
      <c r="ETH33" s="1551"/>
      <c r="ETI33" s="1551"/>
      <c r="ETJ33" s="1551"/>
      <c r="ETK33" s="1551"/>
      <c r="ETL33" s="1551"/>
      <c r="ETM33" s="1551"/>
      <c r="ETN33" s="1551"/>
      <c r="ETO33" s="1551"/>
      <c r="ETP33" s="1551"/>
      <c r="ETQ33" s="1551"/>
      <c r="ETR33" s="1551"/>
      <c r="ETS33" s="1551"/>
      <c r="ETT33" s="1551"/>
      <c r="ETU33" s="1551"/>
      <c r="ETV33" s="1551"/>
      <c r="ETW33" s="1551"/>
      <c r="ETX33" s="1551"/>
      <c r="ETY33" s="1551"/>
      <c r="ETZ33" s="1551"/>
      <c r="EUA33" s="1551"/>
      <c r="EUB33" s="1551"/>
      <c r="EUC33" s="1551"/>
      <c r="EUD33" s="1551"/>
      <c r="EUE33" s="1551"/>
      <c r="EUF33" s="1551"/>
      <c r="EUG33" s="1551"/>
      <c r="EUH33" s="1551"/>
      <c r="EUI33" s="1551"/>
      <c r="EUJ33" s="1551"/>
      <c r="EUK33" s="1551"/>
      <c r="EUL33" s="1551"/>
      <c r="EUM33" s="1551"/>
      <c r="EUN33" s="1551"/>
      <c r="EUO33" s="1551"/>
      <c r="EUP33" s="1551"/>
      <c r="EUQ33" s="1551"/>
      <c r="EUR33" s="1551"/>
      <c r="EUS33" s="1551"/>
      <c r="EUT33" s="1551"/>
      <c r="EUU33" s="1551"/>
      <c r="EUV33" s="1551"/>
      <c r="EUW33" s="1551"/>
      <c r="EUX33" s="1551"/>
      <c r="EUY33" s="1551"/>
      <c r="EUZ33" s="1551"/>
      <c r="EVA33" s="1551"/>
      <c r="EVB33" s="1551"/>
      <c r="EVC33" s="1551"/>
      <c r="EVD33" s="1551"/>
      <c r="EVE33" s="1551"/>
      <c r="EVF33" s="1551"/>
      <c r="EVG33" s="1551"/>
      <c r="EVH33" s="1551"/>
      <c r="EVI33" s="1551"/>
      <c r="EVJ33" s="1551"/>
      <c r="EVK33" s="1551"/>
      <c r="EVL33" s="1551"/>
      <c r="EVM33" s="1551"/>
      <c r="EVN33" s="1551"/>
      <c r="EVO33" s="1551"/>
      <c r="EVP33" s="1551"/>
      <c r="EVQ33" s="1551"/>
      <c r="EVR33" s="1551"/>
      <c r="EVS33" s="1551"/>
      <c r="EVT33" s="1551"/>
      <c r="EVU33" s="1551"/>
      <c r="EVV33" s="1551"/>
      <c r="EVW33" s="1551"/>
      <c r="EVX33" s="1551"/>
      <c r="EVY33" s="1551"/>
      <c r="EVZ33" s="1551"/>
      <c r="EWA33" s="1551"/>
      <c r="EWB33" s="1551"/>
      <c r="EWC33" s="1551"/>
      <c r="EWD33" s="1551"/>
      <c r="EWE33" s="1551"/>
      <c r="EWF33" s="1551"/>
      <c r="EWG33" s="1551"/>
      <c r="EWH33" s="1551"/>
      <c r="EWI33" s="1551"/>
      <c r="EWJ33" s="1551"/>
      <c r="EWK33" s="1551"/>
      <c r="EWL33" s="1551"/>
      <c r="EWM33" s="1551"/>
      <c r="EWN33" s="1551"/>
      <c r="EWO33" s="1551"/>
      <c r="EWP33" s="1551"/>
      <c r="EWQ33" s="1551"/>
      <c r="EWR33" s="1551"/>
      <c r="EWS33" s="1551"/>
      <c r="EWT33" s="1551"/>
      <c r="EWU33" s="1551"/>
      <c r="EWV33" s="1551"/>
      <c r="EWW33" s="1551"/>
      <c r="EWX33" s="1551"/>
      <c r="EWY33" s="1551"/>
      <c r="EWZ33" s="1551"/>
      <c r="EXA33" s="1551"/>
      <c r="EXB33" s="1551"/>
      <c r="EXC33" s="1551"/>
      <c r="EXD33" s="1551"/>
      <c r="EXE33" s="1551"/>
      <c r="EXF33" s="1551"/>
      <c r="EXG33" s="1551"/>
      <c r="EXH33" s="1551"/>
      <c r="EXI33" s="1551"/>
      <c r="EXJ33" s="1551"/>
      <c r="EXK33" s="1551"/>
      <c r="EXL33" s="1551"/>
      <c r="EXM33" s="1551"/>
      <c r="EXN33" s="1551"/>
      <c r="EXO33" s="1551"/>
      <c r="EXP33" s="1551"/>
      <c r="EXQ33" s="1551"/>
      <c r="EXR33" s="1551"/>
      <c r="EXS33" s="1551"/>
      <c r="EXT33" s="1551"/>
      <c r="EXU33" s="1551"/>
      <c r="EXV33" s="1551"/>
      <c r="EXW33" s="1551"/>
      <c r="EXX33" s="1551"/>
      <c r="EXY33" s="1551"/>
      <c r="EXZ33" s="1551"/>
      <c r="EYA33" s="1551"/>
      <c r="EYB33" s="1551"/>
      <c r="EYC33" s="1551"/>
      <c r="EYD33" s="1551"/>
      <c r="EYE33" s="1551"/>
      <c r="EYF33" s="1551"/>
      <c r="EYG33" s="1551"/>
      <c r="EYH33" s="1551"/>
      <c r="EYI33" s="1551"/>
      <c r="EYJ33" s="1551"/>
      <c r="EYK33" s="1551"/>
      <c r="EYL33" s="1551"/>
      <c r="EYM33" s="1551"/>
      <c r="EYN33" s="1551"/>
      <c r="EYO33" s="1551"/>
      <c r="EYP33" s="1551"/>
      <c r="EYQ33" s="1551"/>
      <c r="EYR33" s="1551"/>
      <c r="EYS33" s="1551"/>
      <c r="EYT33" s="1551"/>
      <c r="EYU33" s="1551"/>
      <c r="EYV33" s="1551"/>
      <c r="EYW33" s="1551"/>
      <c r="EYX33" s="1551"/>
      <c r="EYY33" s="1551"/>
      <c r="EYZ33" s="1551"/>
      <c r="EZA33" s="1551"/>
      <c r="EZB33" s="1551"/>
      <c r="EZC33" s="1551"/>
      <c r="EZD33" s="1551"/>
      <c r="EZE33" s="1551"/>
      <c r="EZF33" s="1551"/>
      <c r="EZG33" s="1551"/>
      <c r="EZH33" s="1551"/>
      <c r="EZI33" s="1551"/>
      <c r="EZJ33" s="1551"/>
      <c r="EZK33" s="1551"/>
      <c r="EZL33" s="1551"/>
      <c r="EZM33" s="1551"/>
      <c r="EZN33" s="1551"/>
      <c r="EZO33" s="1551"/>
      <c r="EZP33" s="1551"/>
      <c r="EZQ33" s="1551"/>
      <c r="EZR33" s="1551"/>
      <c r="EZS33" s="1551"/>
      <c r="EZT33" s="1551"/>
      <c r="EZU33" s="1551"/>
      <c r="EZV33" s="1551"/>
      <c r="EZW33" s="1551"/>
      <c r="EZX33" s="1551"/>
      <c r="EZY33" s="1551"/>
      <c r="EZZ33" s="1551"/>
      <c r="FAA33" s="1551"/>
      <c r="FAB33" s="1551"/>
      <c r="FAC33" s="1551"/>
      <c r="FAD33" s="1551"/>
      <c r="FAE33" s="1551"/>
      <c r="FAF33" s="1551"/>
      <c r="FAG33" s="1551"/>
      <c r="FAH33" s="1551"/>
      <c r="FAI33" s="1551"/>
      <c r="FAJ33" s="1551"/>
      <c r="FAK33" s="1551"/>
      <c r="FAL33" s="1551"/>
      <c r="FAM33" s="1551"/>
      <c r="FAN33" s="1551"/>
      <c r="FAO33" s="1551"/>
      <c r="FAP33" s="1551"/>
      <c r="FAQ33" s="1551"/>
      <c r="FAR33" s="1551"/>
      <c r="FAS33" s="1551"/>
      <c r="FAT33" s="1551"/>
      <c r="FAU33" s="1551"/>
      <c r="FAV33" s="1551"/>
      <c r="FAW33" s="1551"/>
      <c r="FAX33" s="1551"/>
      <c r="FAY33" s="1551"/>
      <c r="FAZ33" s="1551"/>
      <c r="FBA33" s="1551"/>
      <c r="FBB33" s="1551"/>
      <c r="FBC33" s="1551"/>
      <c r="FBD33" s="1551"/>
      <c r="FBE33" s="1551"/>
      <c r="FBF33" s="1551"/>
      <c r="FBG33" s="1551"/>
      <c r="FBH33" s="1551"/>
      <c r="FBI33" s="1551"/>
      <c r="FBJ33" s="1551"/>
      <c r="FBK33" s="1551"/>
      <c r="FBL33" s="1551"/>
      <c r="FBM33" s="1551"/>
      <c r="FBN33" s="1551"/>
      <c r="FBO33" s="1551"/>
      <c r="FBP33" s="1551"/>
      <c r="FBQ33" s="1551"/>
      <c r="FBR33" s="1551"/>
      <c r="FBS33" s="1551"/>
      <c r="FBT33" s="1551"/>
      <c r="FBU33" s="1551"/>
      <c r="FBV33" s="1551"/>
      <c r="FBW33" s="1551"/>
      <c r="FBX33" s="1551"/>
      <c r="FBY33" s="1551"/>
      <c r="FBZ33" s="1551"/>
      <c r="FCA33" s="1551"/>
      <c r="FCB33" s="1551"/>
      <c r="FCC33" s="1551"/>
      <c r="FCD33" s="1551"/>
      <c r="FCE33" s="1551"/>
      <c r="FCF33" s="1551"/>
      <c r="FCG33" s="1551"/>
      <c r="FCH33" s="1551"/>
      <c r="FCI33" s="1551"/>
      <c r="FCJ33" s="1551"/>
      <c r="FCK33" s="1551"/>
      <c r="FCL33" s="1551"/>
      <c r="FCM33" s="1551"/>
      <c r="FCN33" s="1551"/>
      <c r="FCO33" s="1551"/>
      <c r="FCP33" s="1551"/>
      <c r="FCQ33" s="1551"/>
      <c r="FCR33" s="1551"/>
      <c r="FCS33" s="1551"/>
      <c r="FCT33" s="1551"/>
      <c r="FCU33" s="1551"/>
      <c r="FCV33" s="1551"/>
      <c r="FCW33" s="1551"/>
      <c r="FCX33" s="1551"/>
      <c r="FCY33" s="1551"/>
      <c r="FCZ33" s="1551"/>
      <c r="FDA33" s="1551"/>
      <c r="FDB33" s="1551"/>
      <c r="FDC33" s="1551"/>
      <c r="FDD33" s="1551"/>
      <c r="FDE33" s="1551"/>
      <c r="FDF33" s="1551"/>
      <c r="FDG33" s="1551"/>
      <c r="FDH33" s="1551"/>
      <c r="FDI33" s="1551"/>
      <c r="FDJ33" s="1551"/>
      <c r="FDK33" s="1551"/>
      <c r="FDL33" s="1551"/>
      <c r="FDM33" s="1551"/>
      <c r="FDN33" s="1551"/>
      <c r="FDO33" s="1551"/>
      <c r="FDP33" s="1551"/>
      <c r="FDQ33" s="1551"/>
      <c r="FDR33" s="1551"/>
      <c r="FDS33" s="1551"/>
      <c r="FDT33" s="1551"/>
      <c r="FDU33" s="1551"/>
      <c r="FDV33" s="1551"/>
      <c r="FDW33" s="1551"/>
      <c r="FDX33" s="1551"/>
      <c r="FDY33" s="1551"/>
      <c r="FDZ33" s="1551"/>
      <c r="FEA33" s="1551"/>
      <c r="FEB33" s="1551"/>
      <c r="FEC33" s="1551"/>
      <c r="FED33" s="1551"/>
      <c r="FEE33" s="1551"/>
      <c r="FEF33" s="1551"/>
      <c r="FEG33" s="1551"/>
      <c r="FEH33" s="1551"/>
      <c r="FEI33" s="1551"/>
      <c r="FEJ33" s="1551"/>
      <c r="FEK33" s="1551"/>
      <c r="FEL33" s="1551"/>
      <c r="FEM33" s="1551"/>
      <c r="FEN33" s="1551"/>
      <c r="FEO33" s="1551"/>
      <c r="FEP33" s="1551"/>
      <c r="FEQ33" s="1551"/>
      <c r="FER33" s="1551"/>
      <c r="FES33" s="1551"/>
      <c r="FET33" s="1551"/>
      <c r="FEU33" s="1551"/>
      <c r="FEV33" s="1551"/>
      <c r="FEW33" s="1551"/>
      <c r="FEX33" s="1551"/>
      <c r="FEY33" s="1551"/>
      <c r="FEZ33" s="1551"/>
      <c r="FFA33" s="1551"/>
      <c r="FFB33" s="1551"/>
      <c r="FFC33" s="1551"/>
      <c r="FFD33" s="1551"/>
      <c r="FFE33" s="1551"/>
      <c r="FFF33" s="1551"/>
      <c r="FFG33" s="1551"/>
      <c r="FFH33" s="1551"/>
      <c r="FFI33" s="1551"/>
      <c r="FFJ33" s="1551"/>
      <c r="FFK33" s="1551"/>
      <c r="FFL33" s="1551"/>
      <c r="FFM33" s="1551"/>
      <c r="FFN33" s="1551"/>
      <c r="FFO33" s="1551"/>
      <c r="FFP33" s="1551"/>
      <c r="FFQ33" s="1551"/>
      <c r="FFR33" s="1551"/>
      <c r="FFS33" s="1551"/>
      <c r="FFT33" s="1551"/>
      <c r="FFU33" s="1551"/>
      <c r="FFV33" s="1551"/>
      <c r="FFW33" s="1551"/>
      <c r="FFX33" s="1551"/>
      <c r="FFY33" s="1551"/>
      <c r="FFZ33" s="1551"/>
      <c r="FGA33" s="1551"/>
      <c r="FGB33" s="1551"/>
      <c r="FGC33" s="1551"/>
      <c r="FGD33" s="1551"/>
      <c r="FGE33" s="1551"/>
      <c r="FGF33" s="1551"/>
      <c r="FGG33" s="1551"/>
      <c r="FGH33" s="1551"/>
      <c r="FGI33" s="1551"/>
      <c r="FGJ33" s="1551"/>
      <c r="FGK33" s="1551"/>
      <c r="FGL33" s="1551"/>
      <c r="FGM33" s="1551"/>
      <c r="FGN33" s="1551"/>
      <c r="FGO33" s="1551"/>
      <c r="FGP33" s="1551"/>
      <c r="FGQ33" s="1551"/>
      <c r="FGR33" s="1551"/>
      <c r="FGS33" s="1551"/>
      <c r="FGT33" s="1551"/>
      <c r="FGU33" s="1551"/>
      <c r="FGV33" s="1551"/>
      <c r="FGW33" s="1551"/>
      <c r="FGX33" s="1551"/>
      <c r="FGY33" s="1551"/>
      <c r="FGZ33" s="1551"/>
      <c r="FHA33" s="1551"/>
      <c r="FHB33" s="1551"/>
      <c r="FHC33" s="1551"/>
      <c r="FHD33" s="1551"/>
      <c r="FHE33" s="1551"/>
      <c r="FHF33" s="1551"/>
      <c r="FHG33" s="1551"/>
      <c r="FHH33" s="1551"/>
      <c r="FHI33" s="1551"/>
      <c r="FHJ33" s="1551"/>
      <c r="FHK33" s="1551"/>
      <c r="FHL33" s="1551"/>
      <c r="FHM33" s="1551"/>
      <c r="FHN33" s="1551"/>
      <c r="FHO33" s="1551"/>
      <c r="FHP33" s="1551"/>
      <c r="FHQ33" s="1551"/>
      <c r="FHR33" s="1551"/>
      <c r="FHS33" s="1551"/>
      <c r="FHT33" s="1551"/>
      <c r="FHU33" s="1551"/>
      <c r="FHV33" s="1551"/>
      <c r="FHW33" s="1551"/>
      <c r="FHX33" s="1551"/>
      <c r="FHY33" s="1551"/>
      <c r="FHZ33" s="1551"/>
      <c r="FIA33" s="1551"/>
      <c r="FIB33" s="1551"/>
      <c r="FIC33" s="1551"/>
      <c r="FID33" s="1551"/>
      <c r="FIE33" s="1551"/>
      <c r="FIF33" s="1551"/>
      <c r="FIG33" s="1551"/>
      <c r="FIH33" s="1551"/>
      <c r="FII33" s="1551"/>
      <c r="FIJ33" s="1551"/>
      <c r="FIK33" s="1551"/>
      <c r="FIL33" s="1551"/>
      <c r="FIM33" s="1551"/>
      <c r="FIN33" s="1551"/>
      <c r="FIO33" s="1551"/>
      <c r="FIP33" s="1551"/>
      <c r="FIQ33" s="1551"/>
      <c r="FIR33" s="1551"/>
      <c r="FIS33" s="1551"/>
      <c r="FIT33" s="1551"/>
      <c r="FIU33" s="1551"/>
      <c r="FIV33" s="1551"/>
      <c r="FIW33" s="1551"/>
      <c r="FIX33" s="1551"/>
      <c r="FIY33" s="1551"/>
      <c r="FIZ33" s="1551"/>
      <c r="FJA33" s="1551"/>
      <c r="FJB33" s="1551"/>
      <c r="FJC33" s="1551"/>
      <c r="FJD33" s="1551"/>
      <c r="FJE33" s="1551"/>
      <c r="FJF33" s="1551"/>
      <c r="FJG33" s="1551"/>
      <c r="FJH33" s="1551"/>
      <c r="FJI33" s="1551"/>
      <c r="FJJ33" s="1551"/>
      <c r="FJK33" s="1551"/>
      <c r="FJL33" s="1551"/>
      <c r="FJM33" s="1551"/>
      <c r="FJN33" s="1551"/>
      <c r="FJO33" s="1551"/>
      <c r="FJP33" s="1551"/>
      <c r="FJQ33" s="1551"/>
      <c r="FJR33" s="1551"/>
      <c r="FJS33" s="1551"/>
      <c r="FJT33" s="1551"/>
      <c r="FJU33" s="1551"/>
      <c r="FJV33" s="1551"/>
      <c r="FJW33" s="1551"/>
      <c r="FJX33" s="1551"/>
      <c r="FJY33" s="1551"/>
      <c r="FJZ33" s="1551"/>
      <c r="FKA33" s="1551"/>
      <c r="FKB33" s="1551"/>
      <c r="FKC33" s="1551"/>
      <c r="FKD33" s="1551"/>
      <c r="FKE33" s="1551"/>
      <c r="FKF33" s="1551"/>
      <c r="FKG33" s="1551"/>
      <c r="FKH33" s="1551"/>
      <c r="FKI33" s="1551"/>
      <c r="FKJ33" s="1551"/>
      <c r="FKK33" s="1551"/>
      <c r="FKL33" s="1551"/>
      <c r="FKM33" s="1551"/>
      <c r="FKN33" s="1551"/>
      <c r="FKO33" s="1551"/>
      <c r="FKP33" s="1551"/>
      <c r="FKQ33" s="1551"/>
      <c r="FKR33" s="1551"/>
      <c r="FKS33" s="1551"/>
      <c r="FKT33" s="1551"/>
      <c r="FKU33" s="1551"/>
      <c r="FKV33" s="1551"/>
      <c r="FKW33" s="1551"/>
      <c r="FKX33" s="1551"/>
      <c r="FKY33" s="1551"/>
      <c r="FKZ33" s="1551"/>
      <c r="FLA33" s="1551"/>
      <c r="FLB33" s="1551"/>
      <c r="FLC33" s="1551"/>
      <c r="FLD33" s="1551"/>
      <c r="FLE33" s="1551"/>
      <c r="FLF33" s="1551"/>
      <c r="FLG33" s="1551"/>
      <c r="FLH33" s="1551"/>
      <c r="FLI33" s="1551"/>
      <c r="FLJ33" s="1551"/>
      <c r="FLK33" s="1551"/>
      <c r="FLL33" s="1551"/>
      <c r="FLM33" s="1551"/>
      <c r="FLN33" s="1551"/>
      <c r="FLO33" s="1551"/>
      <c r="FLP33" s="1551"/>
      <c r="FLQ33" s="1551"/>
      <c r="FLR33" s="1551"/>
      <c r="FLS33" s="1551"/>
      <c r="FLT33" s="1551"/>
      <c r="FLU33" s="1551"/>
      <c r="FLV33" s="1551"/>
      <c r="FLW33" s="1551"/>
      <c r="FLX33" s="1551"/>
      <c r="FLY33" s="1551"/>
      <c r="FLZ33" s="1551"/>
      <c r="FMA33" s="1551"/>
      <c r="FMB33" s="1551"/>
      <c r="FMC33" s="1551"/>
      <c r="FMD33" s="1551"/>
      <c r="FME33" s="1551"/>
      <c r="FMF33" s="1551"/>
      <c r="FMG33" s="1551"/>
      <c r="FMH33" s="1551"/>
      <c r="FMI33" s="1551"/>
      <c r="FMJ33" s="1551"/>
      <c r="FMK33" s="1551"/>
      <c r="FML33" s="1551"/>
      <c r="FMM33" s="1551"/>
      <c r="FMN33" s="1551"/>
      <c r="FMO33" s="1551"/>
      <c r="FMP33" s="1551"/>
      <c r="FMQ33" s="1551"/>
      <c r="FMR33" s="1551"/>
      <c r="FMS33" s="1551"/>
      <c r="FMT33" s="1551"/>
      <c r="FMU33" s="1551"/>
      <c r="FMV33" s="1551"/>
      <c r="FMW33" s="1551"/>
      <c r="FMX33" s="1551"/>
      <c r="FMY33" s="1551"/>
      <c r="FMZ33" s="1551"/>
      <c r="FNA33" s="1551"/>
      <c r="FNB33" s="1551"/>
      <c r="FNC33" s="1551"/>
      <c r="FND33" s="1551"/>
      <c r="FNE33" s="1551"/>
      <c r="FNF33" s="1551"/>
      <c r="FNG33" s="1551"/>
      <c r="FNH33" s="1551"/>
      <c r="FNI33" s="1551"/>
      <c r="FNJ33" s="1551"/>
      <c r="FNK33" s="1551"/>
      <c r="FNL33" s="1551"/>
      <c r="FNM33" s="1551"/>
      <c r="FNN33" s="1551"/>
      <c r="FNO33" s="1551"/>
      <c r="FNP33" s="1551"/>
      <c r="FNQ33" s="1551"/>
      <c r="FNR33" s="1551"/>
      <c r="FNS33" s="1551"/>
      <c r="FNT33" s="1551"/>
      <c r="FNU33" s="1551"/>
      <c r="FNV33" s="1551"/>
      <c r="FNW33" s="1551"/>
      <c r="FNX33" s="1551"/>
      <c r="FNY33" s="1551"/>
      <c r="FNZ33" s="1551"/>
      <c r="FOA33" s="1551"/>
      <c r="FOB33" s="1551"/>
      <c r="FOC33" s="1551"/>
      <c r="FOD33" s="1551"/>
      <c r="FOE33" s="1551"/>
      <c r="FOF33" s="1551"/>
      <c r="FOG33" s="1551"/>
      <c r="FOH33" s="1551"/>
      <c r="FOI33" s="1551"/>
      <c r="FOJ33" s="1551"/>
      <c r="FOK33" s="1551"/>
      <c r="FOL33" s="1551"/>
      <c r="FOM33" s="1551"/>
      <c r="FON33" s="1551"/>
      <c r="FOO33" s="1551"/>
      <c r="FOP33" s="1551"/>
      <c r="FOQ33" s="1551"/>
      <c r="FOR33" s="1551"/>
      <c r="FOS33" s="1551"/>
      <c r="FOT33" s="1551"/>
      <c r="FOU33" s="1551"/>
      <c r="FOV33" s="1551"/>
      <c r="FOW33" s="1551"/>
      <c r="FOX33" s="1551"/>
      <c r="FOY33" s="1551"/>
      <c r="FOZ33" s="1551"/>
      <c r="FPA33" s="1551"/>
      <c r="FPB33" s="1551"/>
      <c r="FPC33" s="1551"/>
      <c r="FPD33" s="1551"/>
      <c r="FPE33" s="1551"/>
      <c r="FPF33" s="1551"/>
      <c r="FPG33" s="1551"/>
      <c r="FPH33" s="1551"/>
      <c r="FPI33" s="1551"/>
      <c r="FPJ33" s="1551"/>
      <c r="FPK33" s="1551"/>
      <c r="FPL33" s="1551"/>
      <c r="FPM33" s="1551"/>
      <c r="FPN33" s="1551"/>
      <c r="FPO33" s="1551"/>
      <c r="FPP33" s="1551"/>
      <c r="FPQ33" s="1551"/>
      <c r="FPR33" s="1551"/>
      <c r="FPS33" s="1551"/>
      <c r="FPT33" s="1551"/>
      <c r="FPU33" s="1551"/>
      <c r="FPV33" s="1551"/>
      <c r="FPW33" s="1551"/>
      <c r="FPX33" s="1551"/>
      <c r="FPY33" s="1551"/>
      <c r="FPZ33" s="1551"/>
      <c r="FQA33" s="1551"/>
      <c r="FQB33" s="1551"/>
      <c r="FQC33" s="1551"/>
      <c r="FQD33" s="1551"/>
      <c r="FQE33" s="1551"/>
      <c r="FQF33" s="1551"/>
      <c r="FQG33" s="1551"/>
      <c r="FQH33" s="1551"/>
      <c r="FQI33" s="1551"/>
      <c r="FQJ33" s="1551"/>
      <c r="FQK33" s="1551"/>
      <c r="FQL33" s="1551"/>
      <c r="FQM33" s="1551"/>
      <c r="FQN33" s="1551"/>
      <c r="FQO33" s="1551"/>
      <c r="FQP33" s="1551"/>
      <c r="FQQ33" s="1551"/>
      <c r="FQR33" s="1551"/>
      <c r="FQS33" s="1551"/>
      <c r="FQT33" s="1551"/>
      <c r="FQU33" s="1551"/>
      <c r="FQV33" s="1551"/>
      <c r="FQW33" s="1551"/>
      <c r="FQX33" s="1551"/>
      <c r="FQY33" s="1551"/>
      <c r="FQZ33" s="1551"/>
      <c r="FRA33" s="1551"/>
      <c r="FRB33" s="1551"/>
      <c r="FRC33" s="1551"/>
      <c r="FRD33" s="1551"/>
      <c r="FRE33" s="1551"/>
      <c r="FRF33" s="1551"/>
      <c r="FRG33" s="1551"/>
      <c r="FRH33" s="1551"/>
      <c r="FRI33" s="1551"/>
      <c r="FRJ33" s="1551"/>
      <c r="FRK33" s="1551"/>
      <c r="FRL33" s="1551"/>
      <c r="FRM33" s="1551"/>
      <c r="FRN33" s="1551"/>
      <c r="FRO33" s="1551"/>
      <c r="FRP33" s="1551"/>
      <c r="FRQ33" s="1551"/>
      <c r="FRR33" s="1551"/>
      <c r="FRS33" s="1551"/>
      <c r="FRT33" s="1551"/>
      <c r="FRU33" s="1551"/>
      <c r="FRV33" s="1551"/>
      <c r="FRW33" s="1551"/>
      <c r="FRX33" s="1551"/>
      <c r="FRY33" s="1551"/>
      <c r="FRZ33" s="1551"/>
      <c r="FSA33" s="1551"/>
      <c r="FSB33" s="1551"/>
      <c r="FSC33" s="1551"/>
      <c r="FSD33" s="1551"/>
      <c r="FSE33" s="1551"/>
      <c r="FSF33" s="1551"/>
      <c r="FSG33" s="1551"/>
      <c r="FSH33" s="1551"/>
      <c r="FSI33" s="1551"/>
      <c r="FSJ33" s="1551"/>
      <c r="FSK33" s="1551"/>
      <c r="FSL33" s="1551"/>
      <c r="FSM33" s="1551"/>
      <c r="FSN33" s="1551"/>
      <c r="FSO33" s="1551"/>
      <c r="FSP33" s="1551"/>
      <c r="FSQ33" s="1551"/>
      <c r="FSR33" s="1551"/>
      <c r="FSS33" s="1551"/>
      <c r="FST33" s="1551"/>
      <c r="FSU33" s="1551"/>
      <c r="FSV33" s="1551"/>
      <c r="FSW33" s="1551"/>
      <c r="FSX33" s="1551"/>
      <c r="FSY33" s="1551"/>
      <c r="FSZ33" s="1551"/>
      <c r="FTA33" s="1551"/>
      <c r="FTB33" s="1551"/>
      <c r="FTC33" s="1551"/>
      <c r="FTD33" s="1551"/>
      <c r="FTE33" s="1551"/>
      <c r="FTF33" s="1551"/>
      <c r="FTG33" s="1551"/>
      <c r="FTH33" s="1551"/>
      <c r="FTI33" s="1551"/>
      <c r="FTJ33" s="1551"/>
      <c r="FTK33" s="1551"/>
      <c r="FTL33" s="1551"/>
      <c r="FTM33" s="1551"/>
      <c r="FTN33" s="1551"/>
      <c r="FTO33" s="1551"/>
      <c r="FTP33" s="1551"/>
      <c r="FTQ33" s="1551"/>
      <c r="FTR33" s="1551"/>
      <c r="FTS33" s="1551"/>
      <c r="FTT33" s="1551"/>
      <c r="FTU33" s="1551"/>
      <c r="FTV33" s="1551"/>
      <c r="FTW33" s="1551"/>
      <c r="FTX33" s="1551"/>
      <c r="FTY33" s="1551"/>
      <c r="FTZ33" s="1551"/>
      <c r="FUA33" s="1551"/>
      <c r="FUB33" s="1551"/>
      <c r="FUC33" s="1551"/>
      <c r="FUD33" s="1551"/>
      <c r="FUE33" s="1551"/>
      <c r="FUF33" s="1551"/>
      <c r="FUG33" s="1551"/>
      <c r="FUH33" s="1551"/>
      <c r="FUI33" s="1551"/>
      <c r="FUJ33" s="1551"/>
      <c r="FUK33" s="1551"/>
      <c r="FUL33" s="1551"/>
      <c r="FUM33" s="1551"/>
      <c r="FUN33" s="1551"/>
      <c r="FUO33" s="1551"/>
      <c r="FUP33" s="1551"/>
      <c r="FUQ33" s="1551"/>
      <c r="FUR33" s="1551"/>
      <c r="FUS33" s="1551"/>
      <c r="FUT33" s="1551"/>
      <c r="FUU33" s="1551"/>
      <c r="FUV33" s="1551"/>
      <c r="FUW33" s="1551"/>
      <c r="FUX33" s="1551"/>
      <c r="FUY33" s="1551"/>
      <c r="FUZ33" s="1551"/>
      <c r="FVA33" s="1551"/>
      <c r="FVB33" s="1551"/>
      <c r="FVC33" s="1551"/>
      <c r="FVD33" s="1551"/>
      <c r="FVE33" s="1551"/>
      <c r="FVF33" s="1551"/>
      <c r="FVG33" s="1551"/>
      <c r="FVH33" s="1551"/>
      <c r="FVI33" s="1551"/>
      <c r="FVJ33" s="1551"/>
      <c r="FVK33" s="1551"/>
      <c r="FVL33" s="1551"/>
      <c r="FVM33" s="1551"/>
      <c r="FVN33" s="1551"/>
      <c r="FVO33" s="1551"/>
      <c r="FVP33" s="1551"/>
      <c r="FVQ33" s="1551"/>
      <c r="FVR33" s="1551"/>
      <c r="FVS33" s="1551"/>
      <c r="FVT33" s="1551"/>
      <c r="FVU33" s="1551"/>
      <c r="FVV33" s="1551"/>
      <c r="FVW33" s="1551"/>
      <c r="FVX33" s="1551"/>
      <c r="FVY33" s="1551"/>
      <c r="FVZ33" s="1551"/>
      <c r="FWA33" s="1551"/>
      <c r="FWB33" s="1551"/>
      <c r="FWC33" s="1551"/>
      <c r="FWD33" s="1551"/>
      <c r="FWE33" s="1551"/>
      <c r="FWF33" s="1551"/>
      <c r="FWG33" s="1551"/>
      <c r="FWH33" s="1551"/>
      <c r="FWI33" s="1551"/>
      <c r="FWJ33" s="1551"/>
      <c r="FWK33" s="1551"/>
      <c r="FWL33" s="1551"/>
      <c r="FWM33" s="1551"/>
      <c r="FWN33" s="1551"/>
      <c r="FWO33" s="1551"/>
      <c r="FWP33" s="1551"/>
      <c r="FWQ33" s="1551"/>
      <c r="FWR33" s="1551"/>
      <c r="FWS33" s="1551"/>
      <c r="FWT33" s="1551"/>
      <c r="FWU33" s="1551"/>
      <c r="FWV33" s="1551"/>
      <c r="FWW33" s="1551"/>
      <c r="FWX33" s="1551"/>
      <c r="FWY33" s="1551"/>
      <c r="FWZ33" s="1551"/>
      <c r="FXA33" s="1551"/>
      <c r="FXB33" s="1551"/>
      <c r="FXC33" s="1551"/>
      <c r="FXD33" s="1551"/>
      <c r="FXE33" s="1551"/>
      <c r="FXF33" s="1551"/>
      <c r="FXG33" s="1551"/>
      <c r="FXH33" s="1551"/>
      <c r="FXI33" s="1551"/>
      <c r="FXJ33" s="1551"/>
      <c r="FXK33" s="1551"/>
      <c r="FXL33" s="1551"/>
      <c r="FXM33" s="1551"/>
      <c r="FXN33" s="1551"/>
      <c r="FXO33" s="1551"/>
      <c r="FXP33" s="1551"/>
      <c r="FXQ33" s="1551"/>
      <c r="FXR33" s="1551"/>
      <c r="FXS33" s="1551"/>
      <c r="FXT33" s="1551"/>
      <c r="FXU33" s="1551"/>
      <c r="FXV33" s="1551"/>
      <c r="FXW33" s="1551"/>
      <c r="FXX33" s="1551"/>
      <c r="FXY33" s="1551"/>
      <c r="FXZ33" s="1551"/>
      <c r="FYA33" s="1551"/>
      <c r="FYB33" s="1551"/>
      <c r="FYC33" s="1551"/>
      <c r="FYD33" s="1551"/>
      <c r="FYE33" s="1551"/>
      <c r="FYF33" s="1551"/>
      <c r="FYG33" s="1551"/>
      <c r="FYH33" s="1551"/>
      <c r="FYI33" s="1551"/>
      <c r="FYJ33" s="1551"/>
      <c r="FYK33" s="1551"/>
      <c r="FYL33" s="1551"/>
      <c r="FYM33" s="1551"/>
      <c r="FYN33" s="1551"/>
      <c r="FYO33" s="1551"/>
      <c r="FYP33" s="1551"/>
      <c r="FYQ33" s="1551"/>
      <c r="FYR33" s="1551"/>
      <c r="FYS33" s="1551"/>
      <c r="FYT33" s="1551"/>
      <c r="FYU33" s="1551"/>
      <c r="FYV33" s="1551"/>
      <c r="FYW33" s="1551"/>
      <c r="FYX33" s="1551"/>
      <c r="FYY33" s="1551"/>
      <c r="FYZ33" s="1551"/>
      <c r="FZA33" s="1551"/>
      <c r="FZB33" s="1551"/>
      <c r="FZC33" s="1551"/>
      <c r="FZD33" s="1551"/>
      <c r="FZE33" s="1551"/>
      <c r="FZF33" s="1551"/>
      <c r="FZG33" s="1551"/>
      <c r="FZH33" s="1551"/>
      <c r="FZI33" s="1551"/>
      <c r="FZJ33" s="1551"/>
      <c r="FZK33" s="1551"/>
      <c r="FZL33" s="1551"/>
      <c r="FZM33" s="1551"/>
      <c r="FZN33" s="1551"/>
      <c r="FZO33" s="1551"/>
      <c r="FZP33" s="1551"/>
      <c r="FZQ33" s="1551"/>
      <c r="FZR33" s="1551"/>
      <c r="FZS33" s="1551"/>
      <c r="FZT33" s="1551"/>
      <c r="FZU33" s="1551"/>
      <c r="FZV33" s="1551"/>
      <c r="FZW33" s="1551"/>
      <c r="FZX33" s="1551"/>
      <c r="FZY33" s="1551"/>
      <c r="FZZ33" s="1551"/>
      <c r="GAA33" s="1551"/>
      <c r="GAB33" s="1551"/>
      <c r="GAC33" s="1551"/>
      <c r="GAD33" s="1551"/>
      <c r="GAE33" s="1551"/>
      <c r="GAF33" s="1551"/>
      <c r="GAG33" s="1551"/>
      <c r="GAH33" s="1551"/>
      <c r="GAI33" s="1551"/>
      <c r="GAJ33" s="1551"/>
      <c r="GAK33" s="1551"/>
      <c r="GAL33" s="1551"/>
      <c r="GAM33" s="1551"/>
      <c r="GAN33" s="1551"/>
      <c r="GAO33" s="1551"/>
      <c r="GAP33" s="1551"/>
      <c r="GAQ33" s="1551"/>
      <c r="GAR33" s="1551"/>
      <c r="GAS33" s="1551"/>
      <c r="GAT33" s="1551"/>
      <c r="GAU33" s="1551"/>
      <c r="GAV33" s="1551"/>
      <c r="GAW33" s="1551"/>
      <c r="GAX33" s="1551"/>
      <c r="GAY33" s="1551"/>
      <c r="GAZ33" s="1551"/>
      <c r="GBA33" s="1551"/>
      <c r="GBB33" s="1551"/>
      <c r="GBC33" s="1551"/>
      <c r="GBD33" s="1551"/>
      <c r="GBE33" s="1551"/>
      <c r="GBF33" s="1551"/>
      <c r="GBG33" s="1551"/>
      <c r="GBH33" s="1551"/>
      <c r="GBI33" s="1551"/>
      <c r="GBJ33" s="1551"/>
      <c r="GBK33" s="1551"/>
      <c r="GBL33" s="1551"/>
      <c r="GBM33" s="1551"/>
      <c r="GBN33" s="1551"/>
      <c r="GBO33" s="1551"/>
      <c r="GBP33" s="1551"/>
      <c r="GBQ33" s="1551"/>
      <c r="GBR33" s="1551"/>
      <c r="GBS33" s="1551"/>
      <c r="GBT33" s="1551"/>
      <c r="GBU33" s="1551"/>
      <c r="GBV33" s="1551"/>
      <c r="GBW33" s="1551"/>
      <c r="GBX33" s="1551"/>
      <c r="GBY33" s="1551"/>
      <c r="GBZ33" s="1551"/>
      <c r="GCA33" s="1551"/>
      <c r="GCB33" s="1551"/>
      <c r="GCC33" s="1551"/>
      <c r="GCD33" s="1551"/>
      <c r="GCE33" s="1551"/>
      <c r="GCF33" s="1551"/>
      <c r="GCG33" s="1551"/>
      <c r="GCH33" s="1551"/>
      <c r="GCI33" s="1551"/>
      <c r="GCJ33" s="1551"/>
      <c r="GCK33" s="1551"/>
      <c r="GCL33" s="1551"/>
      <c r="GCM33" s="1551"/>
      <c r="GCN33" s="1551"/>
      <c r="GCO33" s="1551"/>
      <c r="GCP33" s="1551"/>
      <c r="GCQ33" s="1551"/>
      <c r="GCR33" s="1551"/>
      <c r="GCS33" s="1551"/>
      <c r="GCT33" s="1551"/>
      <c r="GCU33" s="1551"/>
      <c r="GCV33" s="1551"/>
      <c r="GCW33" s="1551"/>
      <c r="GCX33" s="1551"/>
      <c r="GCY33" s="1551"/>
      <c r="GCZ33" s="1551"/>
      <c r="GDA33" s="1551"/>
      <c r="GDB33" s="1551"/>
      <c r="GDC33" s="1551"/>
      <c r="GDD33" s="1551"/>
      <c r="GDE33" s="1551"/>
      <c r="GDF33" s="1551"/>
      <c r="GDG33" s="1551"/>
      <c r="GDH33" s="1551"/>
      <c r="GDI33" s="1551"/>
      <c r="GDJ33" s="1551"/>
      <c r="GDK33" s="1551"/>
      <c r="GDL33" s="1551"/>
      <c r="GDM33" s="1551"/>
      <c r="GDN33" s="1551"/>
      <c r="GDO33" s="1551"/>
      <c r="GDP33" s="1551"/>
      <c r="GDQ33" s="1551"/>
      <c r="GDR33" s="1551"/>
      <c r="GDS33" s="1551"/>
      <c r="GDT33" s="1551"/>
      <c r="GDU33" s="1551"/>
      <c r="GDV33" s="1551"/>
      <c r="GDW33" s="1551"/>
      <c r="GDX33" s="1551"/>
      <c r="GDY33" s="1551"/>
      <c r="GDZ33" s="1551"/>
      <c r="GEA33" s="1551"/>
      <c r="GEB33" s="1551"/>
      <c r="GEC33" s="1551"/>
      <c r="GED33" s="1551"/>
      <c r="GEE33" s="1551"/>
      <c r="GEF33" s="1551"/>
      <c r="GEG33" s="1551"/>
      <c r="GEH33" s="1551"/>
      <c r="GEI33" s="1551"/>
      <c r="GEJ33" s="1551"/>
      <c r="GEK33" s="1551"/>
      <c r="GEL33" s="1551"/>
      <c r="GEM33" s="1551"/>
      <c r="GEN33" s="1551"/>
      <c r="GEO33" s="1551"/>
      <c r="GEP33" s="1551"/>
      <c r="GEQ33" s="1551"/>
      <c r="GER33" s="1551"/>
      <c r="GES33" s="1551"/>
      <c r="GET33" s="1551"/>
      <c r="GEU33" s="1551"/>
      <c r="GEV33" s="1551"/>
      <c r="GEW33" s="1551"/>
      <c r="GEX33" s="1551"/>
      <c r="GEY33" s="1551"/>
      <c r="GEZ33" s="1551"/>
      <c r="GFA33" s="1551"/>
      <c r="GFB33" s="1551"/>
      <c r="GFC33" s="1551"/>
      <c r="GFD33" s="1551"/>
      <c r="GFE33" s="1551"/>
      <c r="GFF33" s="1551"/>
      <c r="GFG33" s="1551"/>
      <c r="GFH33" s="1551"/>
      <c r="GFI33" s="1551"/>
      <c r="GFJ33" s="1551"/>
      <c r="GFK33" s="1551"/>
      <c r="GFL33" s="1551"/>
      <c r="GFM33" s="1551"/>
      <c r="GFN33" s="1551"/>
      <c r="GFO33" s="1551"/>
      <c r="GFP33" s="1551"/>
      <c r="GFQ33" s="1551"/>
      <c r="GFR33" s="1551"/>
      <c r="GFS33" s="1551"/>
      <c r="GFT33" s="1551"/>
      <c r="GFU33" s="1551"/>
      <c r="GFV33" s="1551"/>
      <c r="GFW33" s="1551"/>
      <c r="GFX33" s="1551"/>
      <c r="GFY33" s="1551"/>
      <c r="GFZ33" s="1551"/>
      <c r="GGA33" s="1551"/>
      <c r="GGB33" s="1551"/>
      <c r="GGC33" s="1551"/>
      <c r="GGD33" s="1551"/>
      <c r="GGE33" s="1551"/>
      <c r="GGF33" s="1551"/>
      <c r="GGG33" s="1551"/>
      <c r="GGH33" s="1551"/>
      <c r="GGI33" s="1551"/>
      <c r="GGJ33" s="1551"/>
      <c r="GGK33" s="1551"/>
      <c r="GGL33" s="1551"/>
      <c r="GGM33" s="1551"/>
      <c r="GGN33" s="1551"/>
      <c r="GGO33" s="1551"/>
      <c r="GGP33" s="1551"/>
      <c r="GGQ33" s="1551"/>
      <c r="GGR33" s="1551"/>
      <c r="GGS33" s="1551"/>
      <c r="GGT33" s="1551"/>
      <c r="GGU33" s="1551"/>
      <c r="GGV33" s="1551"/>
      <c r="GGW33" s="1551"/>
      <c r="GGX33" s="1551"/>
      <c r="GGY33" s="1551"/>
      <c r="GGZ33" s="1551"/>
      <c r="GHA33" s="1551"/>
      <c r="GHB33" s="1551"/>
      <c r="GHC33" s="1551"/>
      <c r="GHD33" s="1551"/>
      <c r="GHE33" s="1551"/>
      <c r="GHF33" s="1551"/>
      <c r="GHG33" s="1551"/>
      <c r="GHH33" s="1551"/>
      <c r="GHI33" s="1551"/>
      <c r="GHJ33" s="1551"/>
      <c r="GHK33" s="1551"/>
      <c r="GHL33" s="1551"/>
      <c r="GHM33" s="1551"/>
      <c r="GHN33" s="1551"/>
      <c r="GHO33" s="1551"/>
      <c r="GHP33" s="1551"/>
      <c r="GHQ33" s="1551"/>
      <c r="GHR33" s="1551"/>
      <c r="GHS33" s="1551"/>
      <c r="GHT33" s="1551"/>
      <c r="GHU33" s="1551"/>
      <c r="GHV33" s="1551"/>
      <c r="GHW33" s="1551"/>
      <c r="GHX33" s="1551"/>
      <c r="GHY33" s="1551"/>
      <c r="GHZ33" s="1551"/>
      <c r="GIA33" s="1551"/>
      <c r="GIB33" s="1551"/>
      <c r="GIC33" s="1551"/>
      <c r="GID33" s="1551"/>
      <c r="GIE33" s="1551"/>
      <c r="GIF33" s="1551"/>
      <c r="GIG33" s="1551"/>
      <c r="GIH33" s="1551"/>
      <c r="GII33" s="1551"/>
      <c r="GIJ33" s="1551"/>
      <c r="GIK33" s="1551"/>
      <c r="GIL33" s="1551"/>
      <c r="GIM33" s="1551"/>
      <c r="GIN33" s="1551"/>
      <c r="GIO33" s="1551"/>
      <c r="GIP33" s="1551"/>
      <c r="GIQ33" s="1551"/>
      <c r="GIR33" s="1551"/>
      <c r="GIS33" s="1551"/>
      <c r="GIT33" s="1551"/>
      <c r="GIU33" s="1551"/>
      <c r="GIV33" s="1551"/>
      <c r="GIW33" s="1551"/>
      <c r="GIX33" s="1551"/>
      <c r="GIY33" s="1551"/>
      <c r="GIZ33" s="1551"/>
      <c r="GJA33" s="1551"/>
      <c r="GJB33" s="1551"/>
      <c r="GJC33" s="1551"/>
      <c r="GJD33" s="1551"/>
      <c r="GJE33" s="1551"/>
      <c r="GJF33" s="1551"/>
      <c r="GJG33" s="1551"/>
      <c r="GJH33" s="1551"/>
      <c r="GJI33" s="1551"/>
      <c r="GJJ33" s="1551"/>
      <c r="GJK33" s="1551"/>
      <c r="GJL33" s="1551"/>
      <c r="GJM33" s="1551"/>
      <c r="GJN33" s="1551"/>
      <c r="GJO33" s="1551"/>
      <c r="GJP33" s="1551"/>
      <c r="GJQ33" s="1551"/>
      <c r="GJR33" s="1551"/>
      <c r="GJS33" s="1551"/>
      <c r="GJT33" s="1551"/>
      <c r="GJU33" s="1551"/>
      <c r="GJV33" s="1551"/>
      <c r="GJW33" s="1551"/>
      <c r="GJX33" s="1551"/>
      <c r="GJY33" s="1551"/>
      <c r="GJZ33" s="1551"/>
      <c r="GKA33" s="1551"/>
      <c r="GKB33" s="1551"/>
      <c r="GKC33" s="1551"/>
      <c r="GKD33" s="1551"/>
      <c r="GKE33" s="1551"/>
      <c r="GKF33" s="1551"/>
      <c r="GKG33" s="1551"/>
      <c r="GKH33" s="1551"/>
      <c r="GKI33" s="1551"/>
      <c r="GKJ33" s="1551"/>
      <c r="GKK33" s="1551"/>
      <c r="GKL33" s="1551"/>
      <c r="GKM33" s="1551"/>
      <c r="GKN33" s="1551"/>
      <c r="GKO33" s="1551"/>
      <c r="GKP33" s="1551"/>
      <c r="GKQ33" s="1551"/>
      <c r="GKR33" s="1551"/>
      <c r="GKS33" s="1551"/>
      <c r="GKT33" s="1551"/>
      <c r="GKU33" s="1551"/>
      <c r="GKV33" s="1551"/>
      <c r="GKW33" s="1551"/>
      <c r="GKX33" s="1551"/>
      <c r="GKY33" s="1551"/>
      <c r="GKZ33" s="1551"/>
      <c r="GLA33" s="1551"/>
      <c r="GLB33" s="1551"/>
      <c r="GLC33" s="1551"/>
      <c r="GLD33" s="1551"/>
      <c r="GLE33" s="1551"/>
      <c r="GLF33" s="1551"/>
      <c r="GLG33" s="1551"/>
      <c r="GLH33" s="1551"/>
      <c r="GLI33" s="1551"/>
      <c r="GLJ33" s="1551"/>
      <c r="GLK33" s="1551"/>
      <c r="GLL33" s="1551"/>
      <c r="GLM33" s="1551"/>
      <c r="GLN33" s="1551"/>
      <c r="GLO33" s="1551"/>
      <c r="GLP33" s="1551"/>
      <c r="GLQ33" s="1551"/>
      <c r="GLR33" s="1551"/>
      <c r="GLS33" s="1551"/>
      <c r="GLT33" s="1551"/>
      <c r="GLU33" s="1551"/>
      <c r="GLV33" s="1551"/>
      <c r="GLW33" s="1551"/>
      <c r="GLX33" s="1551"/>
      <c r="GLY33" s="1551"/>
      <c r="GLZ33" s="1551"/>
      <c r="GMA33" s="1551"/>
      <c r="GMB33" s="1551"/>
      <c r="GMC33" s="1551"/>
      <c r="GMD33" s="1551"/>
      <c r="GME33" s="1551"/>
      <c r="GMF33" s="1551"/>
      <c r="GMG33" s="1551"/>
      <c r="GMH33" s="1551"/>
      <c r="GMI33" s="1551"/>
      <c r="GMJ33" s="1551"/>
      <c r="GMK33" s="1551"/>
      <c r="GML33" s="1551"/>
      <c r="GMM33" s="1551"/>
      <c r="GMN33" s="1551"/>
      <c r="GMO33" s="1551"/>
      <c r="GMP33" s="1551"/>
      <c r="GMQ33" s="1551"/>
      <c r="GMR33" s="1551"/>
      <c r="GMS33" s="1551"/>
      <c r="GMT33" s="1551"/>
      <c r="GMU33" s="1551"/>
      <c r="GMV33" s="1551"/>
      <c r="GMW33" s="1551"/>
      <c r="GMX33" s="1551"/>
      <c r="GMY33" s="1551"/>
      <c r="GMZ33" s="1551"/>
      <c r="GNA33" s="1551"/>
      <c r="GNB33" s="1551"/>
      <c r="GNC33" s="1551"/>
      <c r="GND33" s="1551"/>
      <c r="GNE33" s="1551"/>
      <c r="GNF33" s="1551"/>
      <c r="GNG33" s="1551"/>
      <c r="GNH33" s="1551"/>
      <c r="GNI33" s="1551"/>
      <c r="GNJ33" s="1551"/>
      <c r="GNK33" s="1551"/>
      <c r="GNL33" s="1551"/>
      <c r="GNM33" s="1551"/>
      <c r="GNN33" s="1551"/>
      <c r="GNO33" s="1551"/>
      <c r="GNP33" s="1551"/>
      <c r="GNQ33" s="1551"/>
      <c r="GNR33" s="1551"/>
      <c r="GNS33" s="1551"/>
      <c r="GNT33" s="1551"/>
      <c r="GNU33" s="1551"/>
      <c r="GNV33" s="1551"/>
      <c r="GNW33" s="1551"/>
      <c r="GNX33" s="1551"/>
      <c r="GNY33" s="1551"/>
      <c r="GNZ33" s="1551"/>
      <c r="GOA33" s="1551"/>
      <c r="GOB33" s="1551"/>
      <c r="GOC33" s="1551"/>
      <c r="GOD33" s="1551"/>
      <c r="GOE33" s="1551"/>
      <c r="GOF33" s="1551"/>
      <c r="GOG33" s="1551"/>
      <c r="GOH33" s="1551"/>
      <c r="GOI33" s="1551"/>
      <c r="GOJ33" s="1551"/>
      <c r="GOK33" s="1551"/>
      <c r="GOL33" s="1551"/>
      <c r="GOM33" s="1551"/>
      <c r="GON33" s="1551"/>
      <c r="GOO33" s="1551"/>
      <c r="GOP33" s="1551"/>
      <c r="GOQ33" s="1551"/>
      <c r="GOR33" s="1551"/>
      <c r="GOS33" s="1551"/>
      <c r="GOT33" s="1551"/>
      <c r="GOU33" s="1551"/>
      <c r="GOV33" s="1551"/>
      <c r="GOW33" s="1551"/>
      <c r="GOX33" s="1551"/>
      <c r="GOY33" s="1551"/>
      <c r="GOZ33" s="1551"/>
      <c r="GPA33" s="1551"/>
      <c r="GPB33" s="1551"/>
      <c r="GPC33" s="1551"/>
      <c r="GPD33" s="1551"/>
      <c r="GPE33" s="1551"/>
      <c r="GPF33" s="1551"/>
      <c r="GPG33" s="1551"/>
      <c r="GPH33" s="1551"/>
      <c r="GPI33" s="1551"/>
      <c r="GPJ33" s="1551"/>
      <c r="GPK33" s="1551"/>
      <c r="GPL33" s="1551"/>
      <c r="GPM33" s="1551"/>
      <c r="GPN33" s="1551"/>
      <c r="GPO33" s="1551"/>
      <c r="GPP33" s="1551"/>
      <c r="GPQ33" s="1551"/>
      <c r="GPR33" s="1551"/>
      <c r="GPS33" s="1551"/>
      <c r="GPT33" s="1551"/>
      <c r="GPU33" s="1551"/>
      <c r="GPV33" s="1551"/>
      <c r="GPW33" s="1551"/>
      <c r="GPX33" s="1551"/>
      <c r="GPY33" s="1551"/>
      <c r="GPZ33" s="1551"/>
      <c r="GQA33" s="1551"/>
      <c r="GQB33" s="1551"/>
      <c r="GQC33" s="1551"/>
      <c r="GQD33" s="1551"/>
      <c r="GQE33" s="1551"/>
      <c r="GQF33" s="1551"/>
      <c r="GQG33" s="1551"/>
      <c r="GQH33" s="1551"/>
      <c r="GQI33" s="1551"/>
      <c r="GQJ33" s="1551"/>
      <c r="GQK33" s="1551"/>
      <c r="GQL33" s="1551"/>
      <c r="GQM33" s="1551"/>
      <c r="GQN33" s="1551"/>
      <c r="GQO33" s="1551"/>
      <c r="GQP33" s="1551"/>
      <c r="GQQ33" s="1551"/>
      <c r="GQR33" s="1551"/>
      <c r="GQS33" s="1551"/>
      <c r="GQT33" s="1551"/>
      <c r="GQU33" s="1551"/>
      <c r="GQV33" s="1551"/>
      <c r="GQW33" s="1551"/>
      <c r="GQX33" s="1551"/>
      <c r="GQY33" s="1551"/>
      <c r="GQZ33" s="1551"/>
      <c r="GRA33" s="1551"/>
      <c r="GRB33" s="1551"/>
      <c r="GRC33" s="1551"/>
      <c r="GRD33" s="1551"/>
      <c r="GRE33" s="1551"/>
      <c r="GRF33" s="1551"/>
      <c r="GRG33" s="1551"/>
      <c r="GRH33" s="1551"/>
      <c r="GRI33" s="1551"/>
      <c r="GRJ33" s="1551"/>
      <c r="GRK33" s="1551"/>
      <c r="GRL33" s="1551"/>
      <c r="GRM33" s="1551"/>
      <c r="GRN33" s="1551"/>
      <c r="GRO33" s="1551"/>
      <c r="GRP33" s="1551"/>
      <c r="GRQ33" s="1551"/>
      <c r="GRR33" s="1551"/>
      <c r="GRS33" s="1551"/>
      <c r="GRT33" s="1551"/>
      <c r="GRU33" s="1551"/>
      <c r="GRV33" s="1551"/>
      <c r="GRW33" s="1551"/>
      <c r="GRX33" s="1551"/>
      <c r="GRY33" s="1551"/>
      <c r="GRZ33" s="1551"/>
      <c r="GSA33" s="1551"/>
      <c r="GSB33" s="1551"/>
      <c r="GSC33" s="1551"/>
      <c r="GSD33" s="1551"/>
      <c r="GSE33" s="1551"/>
      <c r="GSF33" s="1551"/>
      <c r="GSG33" s="1551"/>
      <c r="GSH33" s="1551"/>
      <c r="GSI33" s="1551"/>
      <c r="GSJ33" s="1551"/>
      <c r="GSK33" s="1551"/>
      <c r="GSL33" s="1551"/>
      <c r="GSM33" s="1551"/>
      <c r="GSN33" s="1551"/>
      <c r="GSO33" s="1551"/>
      <c r="GSP33" s="1551"/>
      <c r="GSQ33" s="1551"/>
      <c r="GSR33" s="1551"/>
      <c r="GSS33" s="1551"/>
      <c r="GST33" s="1551"/>
      <c r="GSU33" s="1551"/>
      <c r="GSV33" s="1551"/>
      <c r="GSW33" s="1551"/>
      <c r="GSX33" s="1551"/>
      <c r="GSY33" s="1551"/>
      <c r="GSZ33" s="1551"/>
      <c r="GTA33" s="1551"/>
      <c r="GTB33" s="1551"/>
      <c r="GTC33" s="1551"/>
      <c r="GTD33" s="1551"/>
      <c r="GTE33" s="1551"/>
      <c r="GTF33" s="1551"/>
      <c r="GTG33" s="1551"/>
      <c r="GTH33" s="1551"/>
      <c r="GTI33" s="1551"/>
      <c r="GTJ33" s="1551"/>
      <c r="GTK33" s="1551"/>
      <c r="GTL33" s="1551"/>
      <c r="GTM33" s="1551"/>
      <c r="GTN33" s="1551"/>
      <c r="GTO33" s="1551"/>
      <c r="GTP33" s="1551"/>
      <c r="GTQ33" s="1551"/>
      <c r="GTR33" s="1551"/>
      <c r="GTS33" s="1551"/>
      <c r="GTT33" s="1551"/>
      <c r="GTU33" s="1551"/>
      <c r="GTV33" s="1551"/>
      <c r="GTW33" s="1551"/>
      <c r="GTX33" s="1551"/>
      <c r="GTY33" s="1551"/>
      <c r="GTZ33" s="1551"/>
      <c r="GUA33" s="1551"/>
      <c r="GUB33" s="1551"/>
      <c r="GUC33" s="1551"/>
      <c r="GUD33" s="1551"/>
      <c r="GUE33" s="1551"/>
      <c r="GUF33" s="1551"/>
      <c r="GUG33" s="1551"/>
      <c r="GUH33" s="1551"/>
      <c r="GUI33" s="1551"/>
      <c r="GUJ33" s="1551"/>
      <c r="GUK33" s="1551"/>
      <c r="GUL33" s="1551"/>
      <c r="GUM33" s="1551"/>
      <c r="GUN33" s="1551"/>
      <c r="GUO33" s="1551"/>
      <c r="GUP33" s="1551"/>
      <c r="GUQ33" s="1551"/>
      <c r="GUR33" s="1551"/>
      <c r="GUS33" s="1551"/>
      <c r="GUT33" s="1551"/>
      <c r="GUU33" s="1551"/>
      <c r="GUV33" s="1551"/>
      <c r="GUW33" s="1551"/>
      <c r="GUX33" s="1551"/>
      <c r="GUY33" s="1551"/>
      <c r="GUZ33" s="1551"/>
      <c r="GVA33" s="1551"/>
      <c r="GVB33" s="1551"/>
      <c r="GVC33" s="1551"/>
      <c r="GVD33" s="1551"/>
      <c r="GVE33" s="1551"/>
      <c r="GVF33" s="1551"/>
      <c r="GVG33" s="1551"/>
      <c r="GVH33" s="1551"/>
      <c r="GVI33" s="1551"/>
      <c r="GVJ33" s="1551"/>
      <c r="GVK33" s="1551"/>
      <c r="GVL33" s="1551"/>
      <c r="GVM33" s="1551"/>
      <c r="GVN33" s="1551"/>
      <c r="GVO33" s="1551"/>
      <c r="GVP33" s="1551"/>
      <c r="GVQ33" s="1551"/>
      <c r="GVR33" s="1551"/>
      <c r="GVS33" s="1551"/>
      <c r="GVT33" s="1551"/>
      <c r="GVU33" s="1551"/>
      <c r="GVV33" s="1551"/>
      <c r="GVW33" s="1551"/>
      <c r="GVX33" s="1551"/>
      <c r="GVY33" s="1551"/>
      <c r="GVZ33" s="1551"/>
      <c r="GWA33" s="1551"/>
      <c r="GWB33" s="1551"/>
      <c r="GWC33" s="1551"/>
      <c r="GWD33" s="1551"/>
      <c r="GWE33" s="1551"/>
      <c r="GWF33" s="1551"/>
      <c r="GWG33" s="1551"/>
      <c r="GWH33" s="1551"/>
      <c r="GWI33" s="1551"/>
      <c r="GWJ33" s="1551"/>
      <c r="GWK33" s="1551"/>
      <c r="GWL33" s="1551"/>
      <c r="GWM33" s="1551"/>
      <c r="GWN33" s="1551"/>
      <c r="GWO33" s="1551"/>
      <c r="GWP33" s="1551"/>
      <c r="GWQ33" s="1551"/>
      <c r="GWR33" s="1551"/>
      <c r="GWS33" s="1551"/>
      <c r="GWT33" s="1551"/>
      <c r="GWU33" s="1551"/>
      <c r="GWV33" s="1551"/>
      <c r="GWW33" s="1551"/>
      <c r="GWX33" s="1551"/>
      <c r="GWY33" s="1551"/>
      <c r="GWZ33" s="1551"/>
      <c r="GXA33" s="1551"/>
      <c r="GXB33" s="1551"/>
      <c r="GXC33" s="1551"/>
      <c r="GXD33" s="1551"/>
      <c r="GXE33" s="1551"/>
      <c r="GXF33" s="1551"/>
      <c r="GXG33" s="1551"/>
      <c r="GXH33" s="1551"/>
      <c r="GXI33" s="1551"/>
      <c r="GXJ33" s="1551"/>
      <c r="GXK33" s="1551"/>
      <c r="GXL33" s="1551"/>
      <c r="GXM33" s="1551"/>
      <c r="GXN33" s="1551"/>
      <c r="GXO33" s="1551"/>
      <c r="GXP33" s="1551"/>
      <c r="GXQ33" s="1551"/>
      <c r="GXR33" s="1551"/>
      <c r="GXS33" s="1551"/>
      <c r="GXT33" s="1551"/>
      <c r="GXU33" s="1551"/>
      <c r="GXV33" s="1551"/>
      <c r="GXW33" s="1551"/>
      <c r="GXX33" s="1551"/>
      <c r="GXY33" s="1551"/>
      <c r="GXZ33" s="1551"/>
      <c r="GYA33" s="1551"/>
      <c r="GYB33" s="1551"/>
      <c r="GYC33" s="1551"/>
      <c r="GYD33" s="1551"/>
      <c r="GYE33" s="1551"/>
      <c r="GYF33" s="1551"/>
      <c r="GYG33" s="1551"/>
      <c r="GYH33" s="1551"/>
      <c r="GYI33" s="1551"/>
      <c r="GYJ33" s="1551"/>
      <c r="GYK33" s="1551"/>
      <c r="GYL33" s="1551"/>
      <c r="GYM33" s="1551"/>
      <c r="GYN33" s="1551"/>
      <c r="GYO33" s="1551"/>
      <c r="GYP33" s="1551"/>
      <c r="GYQ33" s="1551"/>
      <c r="GYR33" s="1551"/>
      <c r="GYS33" s="1551"/>
      <c r="GYT33" s="1551"/>
      <c r="GYU33" s="1551"/>
      <c r="GYV33" s="1551"/>
      <c r="GYW33" s="1551"/>
      <c r="GYX33" s="1551"/>
      <c r="GYY33" s="1551"/>
      <c r="GYZ33" s="1551"/>
      <c r="GZA33" s="1551"/>
      <c r="GZB33" s="1551"/>
      <c r="GZC33" s="1551"/>
      <c r="GZD33" s="1551"/>
      <c r="GZE33" s="1551"/>
      <c r="GZF33" s="1551"/>
      <c r="GZG33" s="1551"/>
      <c r="GZH33" s="1551"/>
      <c r="GZI33" s="1551"/>
      <c r="GZJ33" s="1551"/>
      <c r="GZK33" s="1551"/>
      <c r="GZL33" s="1551"/>
      <c r="GZM33" s="1551"/>
      <c r="GZN33" s="1551"/>
      <c r="GZO33" s="1551"/>
      <c r="GZP33" s="1551"/>
      <c r="GZQ33" s="1551"/>
      <c r="GZR33" s="1551"/>
      <c r="GZS33" s="1551"/>
      <c r="GZT33" s="1551"/>
      <c r="GZU33" s="1551"/>
      <c r="GZV33" s="1551"/>
      <c r="GZW33" s="1551"/>
      <c r="GZX33" s="1551"/>
      <c r="GZY33" s="1551"/>
      <c r="GZZ33" s="1551"/>
      <c r="HAA33" s="1551"/>
      <c r="HAB33" s="1551"/>
      <c r="HAC33" s="1551"/>
      <c r="HAD33" s="1551"/>
      <c r="HAE33" s="1551"/>
      <c r="HAF33" s="1551"/>
      <c r="HAG33" s="1551"/>
      <c r="HAH33" s="1551"/>
      <c r="HAI33" s="1551"/>
      <c r="HAJ33" s="1551"/>
      <c r="HAK33" s="1551"/>
      <c r="HAL33" s="1551"/>
      <c r="HAM33" s="1551"/>
      <c r="HAN33" s="1551"/>
      <c r="HAO33" s="1551"/>
      <c r="HAP33" s="1551"/>
      <c r="HAQ33" s="1551"/>
      <c r="HAR33" s="1551"/>
      <c r="HAS33" s="1551"/>
      <c r="HAT33" s="1551"/>
      <c r="HAU33" s="1551"/>
      <c r="HAV33" s="1551"/>
      <c r="HAW33" s="1551"/>
      <c r="HAX33" s="1551"/>
      <c r="HAY33" s="1551"/>
      <c r="HAZ33" s="1551"/>
      <c r="HBA33" s="1551"/>
      <c r="HBB33" s="1551"/>
      <c r="HBC33" s="1551"/>
      <c r="HBD33" s="1551"/>
      <c r="HBE33" s="1551"/>
      <c r="HBF33" s="1551"/>
      <c r="HBG33" s="1551"/>
      <c r="HBH33" s="1551"/>
      <c r="HBI33" s="1551"/>
      <c r="HBJ33" s="1551"/>
      <c r="HBK33" s="1551"/>
      <c r="HBL33" s="1551"/>
      <c r="HBM33" s="1551"/>
      <c r="HBN33" s="1551"/>
      <c r="HBO33" s="1551"/>
      <c r="HBP33" s="1551"/>
      <c r="HBQ33" s="1551"/>
      <c r="HBR33" s="1551"/>
      <c r="HBS33" s="1551"/>
      <c r="HBT33" s="1551"/>
      <c r="HBU33" s="1551"/>
      <c r="HBV33" s="1551"/>
      <c r="HBW33" s="1551"/>
      <c r="HBX33" s="1551"/>
      <c r="HBY33" s="1551"/>
      <c r="HBZ33" s="1551"/>
      <c r="HCA33" s="1551"/>
      <c r="HCB33" s="1551"/>
      <c r="HCC33" s="1551"/>
      <c r="HCD33" s="1551"/>
      <c r="HCE33" s="1551"/>
      <c r="HCF33" s="1551"/>
      <c r="HCG33" s="1551"/>
      <c r="HCH33" s="1551"/>
      <c r="HCI33" s="1551"/>
      <c r="HCJ33" s="1551"/>
      <c r="HCK33" s="1551"/>
      <c r="HCL33" s="1551"/>
      <c r="HCM33" s="1551"/>
      <c r="HCN33" s="1551"/>
      <c r="HCO33" s="1551"/>
      <c r="HCP33" s="1551"/>
      <c r="HCQ33" s="1551"/>
      <c r="HCR33" s="1551"/>
      <c r="HCS33" s="1551"/>
      <c r="HCT33" s="1551"/>
      <c r="HCU33" s="1551"/>
      <c r="HCV33" s="1551"/>
      <c r="HCW33" s="1551"/>
      <c r="HCX33" s="1551"/>
      <c r="HCY33" s="1551"/>
      <c r="HCZ33" s="1551"/>
      <c r="HDA33" s="1551"/>
      <c r="HDB33" s="1551"/>
      <c r="HDC33" s="1551"/>
      <c r="HDD33" s="1551"/>
      <c r="HDE33" s="1551"/>
      <c r="HDF33" s="1551"/>
      <c r="HDG33" s="1551"/>
      <c r="HDH33" s="1551"/>
      <c r="HDI33" s="1551"/>
      <c r="HDJ33" s="1551"/>
      <c r="HDK33" s="1551"/>
      <c r="HDL33" s="1551"/>
      <c r="HDM33" s="1551"/>
      <c r="HDN33" s="1551"/>
      <c r="HDO33" s="1551"/>
      <c r="HDP33" s="1551"/>
      <c r="HDQ33" s="1551"/>
      <c r="HDR33" s="1551"/>
      <c r="HDS33" s="1551"/>
      <c r="HDT33" s="1551"/>
      <c r="HDU33" s="1551"/>
      <c r="HDV33" s="1551"/>
      <c r="HDW33" s="1551"/>
      <c r="HDX33" s="1551"/>
      <c r="HDY33" s="1551"/>
      <c r="HDZ33" s="1551"/>
      <c r="HEA33" s="1551"/>
      <c r="HEB33" s="1551"/>
      <c r="HEC33" s="1551"/>
      <c r="HED33" s="1551"/>
      <c r="HEE33" s="1551"/>
      <c r="HEF33" s="1551"/>
      <c r="HEG33" s="1551"/>
      <c r="HEH33" s="1551"/>
      <c r="HEI33" s="1551"/>
      <c r="HEJ33" s="1551"/>
      <c r="HEK33" s="1551"/>
      <c r="HEL33" s="1551"/>
      <c r="HEM33" s="1551"/>
      <c r="HEN33" s="1551"/>
      <c r="HEO33" s="1551"/>
      <c r="HEP33" s="1551"/>
      <c r="HEQ33" s="1551"/>
      <c r="HER33" s="1551"/>
      <c r="HES33" s="1551"/>
      <c r="HET33" s="1551"/>
      <c r="HEU33" s="1551"/>
      <c r="HEV33" s="1551"/>
      <c r="HEW33" s="1551"/>
      <c r="HEX33" s="1551"/>
      <c r="HEY33" s="1551"/>
      <c r="HEZ33" s="1551"/>
      <c r="HFA33" s="1551"/>
      <c r="HFB33" s="1551"/>
      <c r="HFC33" s="1551"/>
      <c r="HFD33" s="1551"/>
      <c r="HFE33" s="1551"/>
      <c r="HFF33" s="1551"/>
      <c r="HFG33" s="1551"/>
      <c r="HFH33" s="1551"/>
      <c r="HFI33" s="1551"/>
      <c r="HFJ33" s="1551"/>
      <c r="HFK33" s="1551"/>
      <c r="HFL33" s="1551"/>
      <c r="HFM33" s="1551"/>
      <c r="HFN33" s="1551"/>
      <c r="HFO33" s="1551"/>
      <c r="HFP33" s="1551"/>
      <c r="HFQ33" s="1551"/>
      <c r="HFR33" s="1551"/>
      <c r="HFS33" s="1551"/>
      <c r="HFT33" s="1551"/>
      <c r="HFU33" s="1551"/>
      <c r="HFV33" s="1551"/>
      <c r="HFW33" s="1551"/>
      <c r="HFX33" s="1551"/>
      <c r="HFY33" s="1551"/>
      <c r="HFZ33" s="1551"/>
      <c r="HGA33" s="1551"/>
      <c r="HGB33" s="1551"/>
      <c r="HGC33" s="1551"/>
      <c r="HGD33" s="1551"/>
      <c r="HGE33" s="1551"/>
      <c r="HGF33" s="1551"/>
      <c r="HGG33" s="1551"/>
      <c r="HGH33" s="1551"/>
      <c r="HGI33" s="1551"/>
      <c r="HGJ33" s="1551"/>
      <c r="HGK33" s="1551"/>
      <c r="HGL33" s="1551"/>
      <c r="HGM33" s="1551"/>
      <c r="HGN33" s="1551"/>
      <c r="HGO33" s="1551"/>
      <c r="HGP33" s="1551"/>
      <c r="HGQ33" s="1551"/>
      <c r="HGR33" s="1551"/>
      <c r="HGS33" s="1551"/>
      <c r="HGT33" s="1551"/>
      <c r="HGU33" s="1551"/>
      <c r="HGV33" s="1551"/>
      <c r="HGW33" s="1551"/>
      <c r="HGX33" s="1551"/>
      <c r="HGY33" s="1551"/>
      <c r="HGZ33" s="1551"/>
      <c r="HHA33" s="1551"/>
      <c r="HHB33" s="1551"/>
      <c r="HHC33" s="1551"/>
      <c r="HHD33" s="1551"/>
      <c r="HHE33" s="1551"/>
      <c r="HHF33" s="1551"/>
      <c r="HHG33" s="1551"/>
      <c r="HHH33" s="1551"/>
      <c r="HHI33" s="1551"/>
      <c r="HHJ33" s="1551"/>
      <c r="HHK33" s="1551"/>
      <c r="HHL33" s="1551"/>
      <c r="HHM33" s="1551"/>
      <c r="HHN33" s="1551"/>
      <c r="HHO33" s="1551"/>
      <c r="HHP33" s="1551"/>
      <c r="HHQ33" s="1551"/>
      <c r="HHR33" s="1551"/>
      <c r="HHS33" s="1551"/>
      <c r="HHT33" s="1551"/>
      <c r="HHU33" s="1551"/>
      <c r="HHV33" s="1551"/>
      <c r="HHW33" s="1551"/>
      <c r="HHX33" s="1551"/>
      <c r="HHY33" s="1551"/>
      <c r="HHZ33" s="1551"/>
      <c r="HIA33" s="1551"/>
      <c r="HIB33" s="1551"/>
      <c r="HIC33" s="1551"/>
      <c r="HID33" s="1551"/>
      <c r="HIE33" s="1551"/>
      <c r="HIF33" s="1551"/>
      <c r="HIG33" s="1551"/>
      <c r="HIH33" s="1551"/>
      <c r="HII33" s="1551"/>
      <c r="HIJ33" s="1551"/>
      <c r="HIK33" s="1551"/>
      <c r="HIL33" s="1551"/>
      <c r="HIM33" s="1551"/>
      <c r="HIN33" s="1551"/>
      <c r="HIO33" s="1551"/>
      <c r="HIP33" s="1551"/>
      <c r="HIQ33" s="1551"/>
      <c r="HIR33" s="1551"/>
      <c r="HIS33" s="1551"/>
      <c r="HIT33" s="1551"/>
      <c r="HIU33" s="1551"/>
      <c r="HIV33" s="1551"/>
      <c r="HIW33" s="1551"/>
      <c r="HIX33" s="1551"/>
      <c r="HIY33" s="1551"/>
      <c r="HIZ33" s="1551"/>
      <c r="HJA33" s="1551"/>
      <c r="HJB33" s="1551"/>
      <c r="HJC33" s="1551"/>
      <c r="HJD33" s="1551"/>
      <c r="HJE33" s="1551"/>
      <c r="HJF33" s="1551"/>
      <c r="HJG33" s="1551"/>
      <c r="HJH33" s="1551"/>
      <c r="HJI33" s="1551"/>
      <c r="HJJ33" s="1551"/>
      <c r="HJK33" s="1551"/>
      <c r="HJL33" s="1551"/>
      <c r="HJM33" s="1551"/>
      <c r="HJN33" s="1551"/>
      <c r="HJO33" s="1551"/>
      <c r="HJP33" s="1551"/>
      <c r="HJQ33" s="1551"/>
      <c r="HJR33" s="1551"/>
      <c r="HJS33" s="1551"/>
      <c r="HJT33" s="1551"/>
      <c r="HJU33" s="1551"/>
      <c r="HJV33" s="1551"/>
      <c r="HJW33" s="1551"/>
      <c r="HJX33" s="1551"/>
      <c r="HJY33" s="1551"/>
      <c r="HJZ33" s="1551"/>
      <c r="HKA33" s="1551"/>
      <c r="HKB33" s="1551"/>
      <c r="HKC33" s="1551"/>
      <c r="HKD33" s="1551"/>
      <c r="HKE33" s="1551"/>
      <c r="HKF33" s="1551"/>
      <c r="HKG33" s="1551"/>
      <c r="HKH33" s="1551"/>
      <c r="HKI33" s="1551"/>
      <c r="HKJ33" s="1551"/>
      <c r="HKK33" s="1551"/>
      <c r="HKL33" s="1551"/>
      <c r="HKM33" s="1551"/>
      <c r="HKN33" s="1551"/>
      <c r="HKO33" s="1551"/>
      <c r="HKP33" s="1551"/>
      <c r="HKQ33" s="1551"/>
      <c r="HKR33" s="1551"/>
      <c r="HKS33" s="1551"/>
      <c r="HKT33" s="1551"/>
      <c r="HKU33" s="1551"/>
      <c r="HKV33" s="1551"/>
      <c r="HKW33" s="1551"/>
      <c r="HKX33" s="1551"/>
      <c r="HKY33" s="1551"/>
      <c r="HKZ33" s="1551"/>
      <c r="HLA33" s="1551"/>
      <c r="HLB33" s="1551"/>
      <c r="HLC33" s="1551"/>
      <c r="HLD33" s="1551"/>
      <c r="HLE33" s="1551"/>
      <c r="HLF33" s="1551"/>
      <c r="HLG33" s="1551"/>
      <c r="HLH33" s="1551"/>
      <c r="HLI33" s="1551"/>
      <c r="HLJ33" s="1551"/>
      <c r="HLK33" s="1551"/>
      <c r="HLL33" s="1551"/>
      <c r="HLM33" s="1551"/>
      <c r="HLN33" s="1551"/>
      <c r="HLO33" s="1551"/>
      <c r="HLP33" s="1551"/>
      <c r="HLQ33" s="1551"/>
      <c r="HLR33" s="1551"/>
      <c r="HLS33" s="1551"/>
      <c r="HLT33" s="1551"/>
      <c r="HLU33" s="1551"/>
      <c r="HLV33" s="1551"/>
      <c r="HLW33" s="1551"/>
      <c r="HLX33" s="1551"/>
      <c r="HLY33" s="1551"/>
      <c r="HLZ33" s="1551"/>
      <c r="HMA33" s="1551"/>
      <c r="HMB33" s="1551"/>
      <c r="HMC33" s="1551"/>
      <c r="HMD33" s="1551"/>
      <c r="HME33" s="1551"/>
      <c r="HMF33" s="1551"/>
      <c r="HMG33" s="1551"/>
      <c r="HMH33" s="1551"/>
      <c r="HMI33" s="1551"/>
      <c r="HMJ33" s="1551"/>
      <c r="HMK33" s="1551"/>
      <c r="HML33" s="1551"/>
      <c r="HMM33" s="1551"/>
      <c r="HMN33" s="1551"/>
      <c r="HMO33" s="1551"/>
      <c r="HMP33" s="1551"/>
      <c r="HMQ33" s="1551"/>
      <c r="HMR33" s="1551"/>
      <c r="HMS33" s="1551"/>
      <c r="HMT33" s="1551"/>
      <c r="HMU33" s="1551"/>
      <c r="HMV33" s="1551"/>
      <c r="HMW33" s="1551"/>
      <c r="HMX33" s="1551"/>
      <c r="HMY33" s="1551"/>
      <c r="HMZ33" s="1551"/>
      <c r="HNA33" s="1551"/>
      <c r="HNB33" s="1551"/>
      <c r="HNC33" s="1551"/>
      <c r="HND33" s="1551"/>
      <c r="HNE33" s="1551"/>
      <c r="HNF33" s="1551"/>
      <c r="HNG33" s="1551"/>
      <c r="HNH33" s="1551"/>
      <c r="HNI33" s="1551"/>
      <c r="HNJ33" s="1551"/>
      <c r="HNK33" s="1551"/>
      <c r="HNL33" s="1551"/>
      <c r="HNM33" s="1551"/>
      <c r="HNN33" s="1551"/>
      <c r="HNO33" s="1551"/>
      <c r="HNP33" s="1551"/>
      <c r="HNQ33" s="1551"/>
      <c r="HNR33" s="1551"/>
      <c r="HNS33" s="1551"/>
      <c r="HNT33" s="1551"/>
      <c r="HNU33" s="1551"/>
      <c r="HNV33" s="1551"/>
      <c r="HNW33" s="1551"/>
      <c r="HNX33" s="1551"/>
      <c r="HNY33" s="1551"/>
      <c r="HNZ33" s="1551"/>
      <c r="HOA33" s="1551"/>
      <c r="HOB33" s="1551"/>
      <c r="HOC33" s="1551"/>
      <c r="HOD33" s="1551"/>
      <c r="HOE33" s="1551"/>
      <c r="HOF33" s="1551"/>
      <c r="HOG33" s="1551"/>
      <c r="HOH33" s="1551"/>
      <c r="HOI33" s="1551"/>
      <c r="HOJ33" s="1551"/>
      <c r="HOK33" s="1551"/>
      <c r="HOL33" s="1551"/>
      <c r="HOM33" s="1551"/>
      <c r="HON33" s="1551"/>
      <c r="HOO33" s="1551"/>
      <c r="HOP33" s="1551"/>
      <c r="HOQ33" s="1551"/>
      <c r="HOR33" s="1551"/>
      <c r="HOS33" s="1551"/>
      <c r="HOT33" s="1551"/>
      <c r="HOU33" s="1551"/>
      <c r="HOV33" s="1551"/>
      <c r="HOW33" s="1551"/>
      <c r="HOX33" s="1551"/>
      <c r="HOY33" s="1551"/>
      <c r="HOZ33" s="1551"/>
      <c r="HPA33" s="1551"/>
      <c r="HPB33" s="1551"/>
      <c r="HPC33" s="1551"/>
      <c r="HPD33" s="1551"/>
      <c r="HPE33" s="1551"/>
      <c r="HPF33" s="1551"/>
      <c r="HPG33" s="1551"/>
      <c r="HPH33" s="1551"/>
      <c r="HPI33" s="1551"/>
      <c r="HPJ33" s="1551"/>
      <c r="HPK33" s="1551"/>
      <c r="HPL33" s="1551"/>
      <c r="HPM33" s="1551"/>
      <c r="HPN33" s="1551"/>
      <c r="HPO33" s="1551"/>
      <c r="HPP33" s="1551"/>
      <c r="HPQ33" s="1551"/>
      <c r="HPR33" s="1551"/>
      <c r="HPS33" s="1551"/>
      <c r="HPT33" s="1551"/>
      <c r="HPU33" s="1551"/>
      <c r="HPV33" s="1551"/>
      <c r="HPW33" s="1551"/>
      <c r="HPX33" s="1551"/>
      <c r="HPY33" s="1551"/>
      <c r="HPZ33" s="1551"/>
      <c r="HQA33" s="1551"/>
      <c r="HQB33" s="1551"/>
      <c r="HQC33" s="1551"/>
      <c r="HQD33" s="1551"/>
      <c r="HQE33" s="1551"/>
      <c r="HQF33" s="1551"/>
      <c r="HQG33" s="1551"/>
      <c r="HQH33" s="1551"/>
      <c r="HQI33" s="1551"/>
      <c r="HQJ33" s="1551"/>
      <c r="HQK33" s="1551"/>
      <c r="HQL33" s="1551"/>
      <c r="HQM33" s="1551"/>
      <c r="HQN33" s="1551"/>
      <c r="HQO33" s="1551"/>
      <c r="HQP33" s="1551"/>
      <c r="HQQ33" s="1551"/>
      <c r="HQR33" s="1551"/>
      <c r="HQS33" s="1551"/>
      <c r="HQT33" s="1551"/>
      <c r="HQU33" s="1551"/>
      <c r="HQV33" s="1551"/>
      <c r="HQW33" s="1551"/>
      <c r="HQX33" s="1551"/>
      <c r="HQY33" s="1551"/>
      <c r="HQZ33" s="1551"/>
      <c r="HRA33" s="1551"/>
      <c r="HRB33" s="1551"/>
      <c r="HRC33" s="1551"/>
      <c r="HRD33" s="1551"/>
      <c r="HRE33" s="1551"/>
      <c r="HRF33" s="1551"/>
      <c r="HRG33" s="1551"/>
      <c r="HRH33" s="1551"/>
      <c r="HRI33" s="1551"/>
      <c r="HRJ33" s="1551"/>
      <c r="HRK33" s="1551"/>
      <c r="HRL33" s="1551"/>
      <c r="HRM33" s="1551"/>
      <c r="HRN33" s="1551"/>
      <c r="HRO33" s="1551"/>
      <c r="HRP33" s="1551"/>
      <c r="HRQ33" s="1551"/>
      <c r="HRR33" s="1551"/>
      <c r="HRS33" s="1551"/>
      <c r="HRT33" s="1551"/>
      <c r="HRU33" s="1551"/>
      <c r="HRV33" s="1551"/>
      <c r="HRW33" s="1551"/>
      <c r="HRX33" s="1551"/>
      <c r="HRY33" s="1551"/>
      <c r="HRZ33" s="1551"/>
      <c r="HSA33" s="1551"/>
      <c r="HSB33" s="1551"/>
      <c r="HSC33" s="1551"/>
      <c r="HSD33" s="1551"/>
      <c r="HSE33" s="1551"/>
      <c r="HSF33" s="1551"/>
      <c r="HSG33" s="1551"/>
      <c r="HSH33" s="1551"/>
      <c r="HSI33" s="1551"/>
      <c r="HSJ33" s="1551"/>
      <c r="HSK33" s="1551"/>
      <c r="HSL33" s="1551"/>
      <c r="HSM33" s="1551"/>
      <c r="HSN33" s="1551"/>
      <c r="HSO33" s="1551"/>
      <c r="HSP33" s="1551"/>
      <c r="HSQ33" s="1551"/>
      <c r="HSR33" s="1551"/>
      <c r="HSS33" s="1551"/>
      <c r="HST33" s="1551"/>
      <c r="HSU33" s="1551"/>
      <c r="HSV33" s="1551"/>
      <c r="HSW33" s="1551"/>
      <c r="HSX33" s="1551"/>
      <c r="HSY33" s="1551"/>
      <c r="HSZ33" s="1551"/>
      <c r="HTA33" s="1551"/>
      <c r="HTB33" s="1551"/>
      <c r="HTC33" s="1551"/>
      <c r="HTD33" s="1551"/>
      <c r="HTE33" s="1551"/>
      <c r="HTF33" s="1551"/>
      <c r="HTG33" s="1551"/>
      <c r="HTH33" s="1551"/>
      <c r="HTI33" s="1551"/>
      <c r="HTJ33" s="1551"/>
      <c r="HTK33" s="1551"/>
      <c r="HTL33" s="1551"/>
      <c r="HTM33" s="1551"/>
      <c r="HTN33" s="1551"/>
      <c r="HTO33" s="1551"/>
      <c r="HTP33" s="1551"/>
      <c r="HTQ33" s="1551"/>
      <c r="HTR33" s="1551"/>
      <c r="HTS33" s="1551"/>
      <c r="HTT33" s="1551"/>
      <c r="HTU33" s="1551"/>
      <c r="HTV33" s="1551"/>
      <c r="HTW33" s="1551"/>
      <c r="HTX33" s="1551"/>
      <c r="HTY33" s="1551"/>
      <c r="HTZ33" s="1551"/>
      <c r="HUA33" s="1551"/>
      <c r="HUB33" s="1551"/>
      <c r="HUC33" s="1551"/>
      <c r="HUD33" s="1551"/>
      <c r="HUE33" s="1551"/>
      <c r="HUF33" s="1551"/>
      <c r="HUG33" s="1551"/>
      <c r="HUH33" s="1551"/>
      <c r="HUI33" s="1551"/>
      <c r="HUJ33" s="1551"/>
      <c r="HUK33" s="1551"/>
      <c r="HUL33" s="1551"/>
      <c r="HUM33" s="1551"/>
      <c r="HUN33" s="1551"/>
      <c r="HUO33" s="1551"/>
      <c r="HUP33" s="1551"/>
      <c r="HUQ33" s="1551"/>
      <c r="HUR33" s="1551"/>
      <c r="HUS33" s="1551"/>
      <c r="HUT33" s="1551"/>
      <c r="HUU33" s="1551"/>
      <c r="HUV33" s="1551"/>
      <c r="HUW33" s="1551"/>
      <c r="HUX33" s="1551"/>
      <c r="HUY33" s="1551"/>
      <c r="HUZ33" s="1551"/>
      <c r="HVA33" s="1551"/>
      <c r="HVB33" s="1551"/>
      <c r="HVC33" s="1551"/>
      <c r="HVD33" s="1551"/>
      <c r="HVE33" s="1551"/>
      <c r="HVF33" s="1551"/>
      <c r="HVG33" s="1551"/>
      <c r="HVH33" s="1551"/>
      <c r="HVI33" s="1551"/>
      <c r="HVJ33" s="1551"/>
      <c r="HVK33" s="1551"/>
      <c r="HVL33" s="1551"/>
      <c r="HVM33" s="1551"/>
      <c r="HVN33" s="1551"/>
      <c r="HVO33" s="1551"/>
      <c r="HVP33" s="1551"/>
      <c r="HVQ33" s="1551"/>
      <c r="HVR33" s="1551"/>
      <c r="HVS33" s="1551"/>
      <c r="HVT33" s="1551"/>
      <c r="HVU33" s="1551"/>
      <c r="HVV33" s="1551"/>
      <c r="HVW33" s="1551"/>
      <c r="HVX33" s="1551"/>
      <c r="HVY33" s="1551"/>
      <c r="HVZ33" s="1551"/>
      <c r="HWA33" s="1551"/>
      <c r="HWB33" s="1551"/>
      <c r="HWC33" s="1551"/>
      <c r="HWD33" s="1551"/>
      <c r="HWE33" s="1551"/>
      <c r="HWF33" s="1551"/>
      <c r="HWG33" s="1551"/>
      <c r="HWH33" s="1551"/>
      <c r="HWI33" s="1551"/>
      <c r="HWJ33" s="1551"/>
      <c r="HWK33" s="1551"/>
      <c r="HWL33" s="1551"/>
      <c r="HWM33" s="1551"/>
      <c r="HWN33" s="1551"/>
      <c r="HWO33" s="1551"/>
      <c r="HWP33" s="1551"/>
      <c r="HWQ33" s="1551"/>
      <c r="HWR33" s="1551"/>
      <c r="HWS33" s="1551"/>
      <c r="HWT33" s="1551"/>
      <c r="HWU33" s="1551"/>
      <c r="HWV33" s="1551"/>
      <c r="HWW33" s="1551"/>
      <c r="HWX33" s="1551"/>
      <c r="HWY33" s="1551"/>
      <c r="HWZ33" s="1551"/>
      <c r="HXA33" s="1551"/>
      <c r="HXB33" s="1551"/>
      <c r="HXC33" s="1551"/>
      <c r="HXD33" s="1551"/>
      <c r="HXE33" s="1551"/>
      <c r="HXF33" s="1551"/>
      <c r="HXG33" s="1551"/>
      <c r="HXH33" s="1551"/>
      <c r="HXI33" s="1551"/>
      <c r="HXJ33" s="1551"/>
      <c r="HXK33" s="1551"/>
      <c r="HXL33" s="1551"/>
      <c r="HXM33" s="1551"/>
      <c r="HXN33" s="1551"/>
      <c r="HXO33" s="1551"/>
      <c r="HXP33" s="1551"/>
      <c r="HXQ33" s="1551"/>
      <c r="HXR33" s="1551"/>
      <c r="HXS33" s="1551"/>
      <c r="HXT33" s="1551"/>
      <c r="HXU33" s="1551"/>
      <c r="HXV33" s="1551"/>
      <c r="HXW33" s="1551"/>
      <c r="HXX33" s="1551"/>
      <c r="HXY33" s="1551"/>
      <c r="HXZ33" s="1551"/>
      <c r="HYA33" s="1551"/>
      <c r="HYB33" s="1551"/>
      <c r="HYC33" s="1551"/>
      <c r="HYD33" s="1551"/>
      <c r="HYE33" s="1551"/>
      <c r="HYF33" s="1551"/>
      <c r="HYG33" s="1551"/>
      <c r="HYH33" s="1551"/>
      <c r="HYI33" s="1551"/>
      <c r="HYJ33" s="1551"/>
      <c r="HYK33" s="1551"/>
      <c r="HYL33" s="1551"/>
      <c r="HYM33" s="1551"/>
      <c r="HYN33" s="1551"/>
      <c r="HYO33" s="1551"/>
      <c r="HYP33" s="1551"/>
      <c r="HYQ33" s="1551"/>
      <c r="HYR33" s="1551"/>
      <c r="HYS33" s="1551"/>
      <c r="HYT33" s="1551"/>
      <c r="HYU33" s="1551"/>
      <c r="HYV33" s="1551"/>
      <c r="HYW33" s="1551"/>
      <c r="HYX33" s="1551"/>
      <c r="HYY33" s="1551"/>
      <c r="HYZ33" s="1551"/>
      <c r="HZA33" s="1551"/>
      <c r="HZB33" s="1551"/>
      <c r="HZC33" s="1551"/>
      <c r="HZD33" s="1551"/>
      <c r="HZE33" s="1551"/>
      <c r="HZF33" s="1551"/>
      <c r="HZG33" s="1551"/>
      <c r="HZH33" s="1551"/>
      <c r="HZI33" s="1551"/>
      <c r="HZJ33" s="1551"/>
      <c r="HZK33" s="1551"/>
      <c r="HZL33" s="1551"/>
      <c r="HZM33" s="1551"/>
      <c r="HZN33" s="1551"/>
      <c r="HZO33" s="1551"/>
      <c r="HZP33" s="1551"/>
      <c r="HZQ33" s="1551"/>
      <c r="HZR33" s="1551"/>
      <c r="HZS33" s="1551"/>
      <c r="HZT33" s="1551"/>
      <c r="HZU33" s="1551"/>
      <c r="HZV33" s="1551"/>
      <c r="HZW33" s="1551"/>
      <c r="HZX33" s="1551"/>
      <c r="HZY33" s="1551"/>
      <c r="HZZ33" s="1551"/>
      <c r="IAA33" s="1551"/>
      <c r="IAB33" s="1551"/>
      <c r="IAC33" s="1551"/>
      <c r="IAD33" s="1551"/>
      <c r="IAE33" s="1551"/>
      <c r="IAF33" s="1551"/>
      <c r="IAG33" s="1551"/>
      <c r="IAH33" s="1551"/>
      <c r="IAI33" s="1551"/>
      <c r="IAJ33" s="1551"/>
      <c r="IAK33" s="1551"/>
      <c r="IAL33" s="1551"/>
      <c r="IAM33" s="1551"/>
      <c r="IAN33" s="1551"/>
      <c r="IAO33" s="1551"/>
      <c r="IAP33" s="1551"/>
      <c r="IAQ33" s="1551"/>
      <c r="IAR33" s="1551"/>
      <c r="IAS33" s="1551"/>
      <c r="IAT33" s="1551"/>
      <c r="IAU33" s="1551"/>
      <c r="IAV33" s="1551"/>
      <c r="IAW33" s="1551"/>
      <c r="IAX33" s="1551"/>
      <c r="IAY33" s="1551"/>
      <c r="IAZ33" s="1551"/>
      <c r="IBA33" s="1551"/>
      <c r="IBB33" s="1551"/>
      <c r="IBC33" s="1551"/>
      <c r="IBD33" s="1551"/>
      <c r="IBE33" s="1551"/>
      <c r="IBF33" s="1551"/>
      <c r="IBG33" s="1551"/>
      <c r="IBH33" s="1551"/>
      <c r="IBI33" s="1551"/>
      <c r="IBJ33" s="1551"/>
      <c r="IBK33" s="1551"/>
      <c r="IBL33" s="1551"/>
      <c r="IBM33" s="1551"/>
      <c r="IBN33" s="1551"/>
      <c r="IBO33" s="1551"/>
      <c r="IBP33" s="1551"/>
      <c r="IBQ33" s="1551"/>
      <c r="IBR33" s="1551"/>
      <c r="IBS33" s="1551"/>
      <c r="IBT33" s="1551"/>
      <c r="IBU33" s="1551"/>
      <c r="IBV33" s="1551"/>
      <c r="IBW33" s="1551"/>
      <c r="IBX33" s="1551"/>
      <c r="IBY33" s="1551"/>
      <c r="IBZ33" s="1551"/>
      <c r="ICA33" s="1551"/>
      <c r="ICB33" s="1551"/>
      <c r="ICC33" s="1551"/>
      <c r="ICD33" s="1551"/>
      <c r="ICE33" s="1551"/>
      <c r="ICF33" s="1551"/>
      <c r="ICG33" s="1551"/>
      <c r="ICH33" s="1551"/>
      <c r="ICI33" s="1551"/>
      <c r="ICJ33" s="1551"/>
      <c r="ICK33" s="1551"/>
      <c r="ICL33" s="1551"/>
      <c r="ICM33" s="1551"/>
      <c r="ICN33" s="1551"/>
      <c r="ICO33" s="1551"/>
      <c r="ICP33" s="1551"/>
      <c r="ICQ33" s="1551"/>
      <c r="ICR33" s="1551"/>
      <c r="ICS33" s="1551"/>
      <c r="ICT33" s="1551"/>
      <c r="ICU33" s="1551"/>
      <c r="ICV33" s="1551"/>
      <c r="ICW33" s="1551"/>
      <c r="ICX33" s="1551"/>
      <c r="ICY33" s="1551"/>
      <c r="ICZ33" s="1551"/>
      <c r="IDA33" s="1551"/>
      <c r="IDB33" s="1551"/>
      <c r="IDC33" s="1551"/>
      <c r="IDD33" s="1551"/>
      <c r="IDE33" s="1551"/>
      <c r="IDF33" s="1551"/>
      <c r="IDG33" s="1551"/>
      <c r="IDH33" s="1551"/>
      <c r="IDI33" s="1551"/>
      <c r="IDJ33" s="1551"/>
      <c r="IDK33" s="1551"/>
      <c r="IDL33" s="1551"/>
      <c r="IDM33" s="1551"/>
      <c r="IDN33" s="1551"/>
      <c r="IDO33" s="1551"/>
      <c r="IDP33" s="1551"/>
      <c r="IDQ33" s="1551"/>
      <c r="IDR33" s="1551"/>
      <c r="IDS33" s="1551"/>
      <c r="IDT33" s="1551"/>
      <c r="IDU33" s="1551"/>
      <c r="IDV33" s="1551"/>
      <c r="IDW33" s="1551"/>
      <c r="IDX33" s="1551"/>
      <c r="IDY33" s="1551"/>
      <c r="IDZ33" s="1551"/>
      <c r="IEA33" s="1551"/>
      <c r="IEB33" s="1551"/>
      <c r="IEC33" s="1551"/>
      <c r="IED33" s="1551"/>
      <c r="IEE33" s="1551"/>
      <c r="IEF33" s="1551"/>
      <c r="IEG33" s="1551"/>
      <c r="IEH33" s="1551"/>
      <c r="IEI33" s="1551"/>
      <c r="IEJ33" s="1551"/>
      <c r="IEK33" s="1551"/>
      <c r="IEL33" s="1551"/>
      <c r="IEM33" s="1551"/>
      <c r="IEN33" s="1551"/>
      <c r="IEO33" s="1551"/>
      <c r="IEP33" s="1551"/>
      <c r="IEQ33" s="1551"/>
      <c r="IER33" s="1551"/>
      <c r="IES33" s="1551"/>
      <c r="IET33" s="1551"/>
      <c r="IEU33" s="1551"/>
      <c r="IEV33" s="1551"/>
      <c r="IEW33" s="1551"/>
      <c r="IEX33" s="1551"/>
      <c r="IEY33" s="1551"/>
      <c r="IEZ33" s="1551"/>
      <c r="IFA33" s="1551"/>
      <c r="IFB33" s="1551"/>
      <c r="IFC33" s="1551"/>
      <c r="IFD33" s="1551"/>
      <c r="IFE33" s="1551"/>
      <c r="IFF33" s="1551"/>
      <c r="IFG33" s="1551"/>
      <c r="IFH33" s="1551"/>
      <c r="IFI33" s="1551"/>
      <c r="IFJ33" s="1551"/>
      <c r="IFK33" s="1551"/>
      <c r="IFL33" s="1551"/>
      <c r="IFM33" s="1551"/>
      <c r="IFN33" s="1551"/>
      <c r="IFO33" s="1551"/>
      <c r="IFP33" s="1551"/>
      <c r="IFQ33" s="1551"/>
      <c r="IFR33" s="1551"/>
      <c r="IFS33" s="1551"/>
      <c r="IFT33" s="1551"/>
      <c r="IFU33" s="1551"/>
      <c r="IFV33" s="1551"/>
      <c r="IFW33" s="1551"/>
      <c r="IFX33" s="1551"/>
      <c r="IFY33" s="1551"/>
      <c r="IFZ33" s="1551"/>
      <c r="IGA33" s="1551"/>
      <c r="IGB33" s="1551"/>
      <c r="IGC33" s="1551"/>
      <c r="IGD33" s="1551"/>
      <c r="IGE33" s="1551"/>
      <c r="IGF33" s="1551"/>
      <c r="IGG33" s="1551"/>
      <c r="IGH33" s="1551"/>
      <c r="IGI33" s="1551"/>
      <c r="IGJ33" s="1551"/>
      <c r="IGK33" s="1551"/>
      <c r="IGL33" s="1551"/>
      <c r="IGM33" s="1551"/>
      <c r="IGN33" s="1551"/>
      <c r="IGO33" s="1551"/>
      <c r="IGP33" s="1551"/>
      <c r="IGQ33" s="1551"/>
      <c r="IGR33" s="1551"/>
      <c r="IGS33" s="1551"/>
      <c r="IGT33" s="1551"/>
      <c r="IGU33" s="1551"/>
      <c r="IGV33" s="1551"/>
      <c r="IGW33" s="1551"/>
      <c r="IGX33" s="1551"/>
      <c r="IGY33" s="1551"/>
      <c r="IGZ33" s="1551"/>
      <c r="IHA33" s="1551"/>
      <c r="IHB33" s="1551"/>
      <c r="IHC33" s="1551"/>
      <c r="IHD33" s="1551"/>
      <c r="IHE33" s="1551"/>
      <c r="IHF33" s="1551"/>
      <c r="IHG33" s="1551"/>
      <c r="IHH33" s="1551"/>
      <c r="IHI33" s="1551"/>
      <c r="IHJ33" s="1551"/>
      <c r="IHK33" s="1551"/>
      <c r="IHL33" s="1551"/>
      <c r="IHM33" s="1551"/>
      <c r="IHN33" s="1551"/>
      <c r="IHO33" s="1551"/>
      <c r="IHP33" s="1551"/>
      <c r="IHQ33" s="1551"/>
      <c r="IHR33" s="1551"/>
      <c r="IHS33" s="1551"/>
      <c r="IHT33" s="1551"/>
      <c r="IHU33" s="1551"/>
      <c r="IHV33" s="1551"/>
      <c r="IHW33" s="1551"/>
      <c r="IHX33" s="1551"/>
      <c r="IHY33" s="1551"/>
      <c r="IHZ33" s="1551"/>
      <c r="IIA33" s="1551"/>
      <c r="IIB33" s="1551"/>
      <c r="IIC33" s="1551"/>
      <c r="IID33" s="1551"/>
      <c r="IIE33" s="1551"/>
      <c r="IIF33" s="1551"/>
      <c r="IIG33" s="1551"/>
      <c r="IIH33" s="1551"/>
      <c r="III33" s="1551"/>
      <c r="IIJ33" s="1551"/>
      <c r="IIK33" s="1551"/>
      <c r="IIL33" s="1551"/>
      <c r="IIM33" s="1551"/>
      <c r="IIN33" s="1551"/>
      <c r="IIO33" s="1551"/>
      <c r="IIP33" s="1551"/>
      <c r="IIQ33" s="1551"/>
      <c r="IIR33" s="1551"/>
      <c r="IIS33" s="1551"/>
      <c r="IIT33" s="1551"/>
      <c r="IIU33" s="1551"/>
      <c r="IIV33" s="1551"/>
      <c r="IIW33" s="1551"/>
      <c r="IIX33" s="1551"/>
      <c r="IIY33" s="1551"/>
      <c r="IIZ33" s="1551"/>
      <c r="IJA33" s="1551"/>
      <c r="IJB33" s="1551"/>
      <c r="IJC33" s="1551"/>
      <c r="IJD33" s="1551"/>
      <c r="IJE33" s="1551"/>
      <c r="IJF33" s="1551"/>
      <c r="IJG33" s="1551"/>
      <c r="IJH33" s="1551"/>
      <c r="IJI33" s="1551"/>
      <c r="IJJ33" s="1551"/>
      <c r="IJK33" s="1551"/>
      <c r="IJL33" s="1551"/>
      <c r="IJM33" s="1551"/>
      <c r="IJN33" s="1551"/>
      <c r="IJO33" s="1551"/>
      <c r="IJP33" s="1551"/>
      <c r="IJQ33" s="1551"/>
      <c r="IJR33" s="1551"/>
      <c r="IJS33" s="1551"/>
      <c r="IJT33" s="1551"/>
      <c r="IJU33" s="1551"/>
      <c r="IJV33" s="1551"/>
      <c r="IJW33" s="1551"/>
      <c r="IJX33" s="1551"/>
      <c r="IJY33" s="1551"/>
      <c r="IJZ33" s="1551"/>
      <c r="IKA33" s="1551"/>
      <c r="IKB33" s="1551"/>
      <c r="IKC33" s="1551"/>
      <c r="IKD33" s="1551"/>
      <c r="IKE33" s="1551"/>
      <c r="IKF33" s="1551"/>
      <c r="IKG33" s="1551"/>
      <c r="IKH33" s="1551"/>
      <c r="IKI33" s="1551"/>
      <c r="IKJ33" s="1551"/>
      <c r="IKK33" s="1551"/>
      <c r="IKL33" s="1551"/>
      <c r="IKM33" s="1551"/>
      <c r="IKN33" s="1551"/>
      <c r="IKO33" s="1551"/>
      <c r="IKP33" s="1551"/>
      <c r="IKQ33" s="1551"/>
      <c r="IKR33" s="1551"/>
      <c r="IKS33" s="1551"/>
      <c r="IKT33" s="1551"/>
      <c r="IKU33" s="1551"/>
      <c r="IKV33" s="1551"/>
      <c r="IKW33" s="1551"/>
      <c r="IKX33" s="1551"/>
      <c r="IKY33" s="1551"/>
      <c r="IKZ33" s="1551"/>
      <c r="ILA33" s="1551"/>
      <c r="ILB33" s="1551"/>
      <c r="ILC33" s="1551"/>
      <c r="ILD33" s="1551"/>
      <c r="ILE33" s="1551"/>
      <c r="ILF33" s="1551"/>
      <c r="ILG33" s="1551"/>
      <c r="ILH33" s="1551"/>
      <c r="ILI33" s="1551"/>
      <c r="ILJ33" s="1551"/>
      <c r="ILK33" s="1551"/>
      <c r="ILL33" s="1551"/>
      <c r="ILM33" s="1551"/>
      <c r="ILN33" s="1551"/>
      <c r="ILO33" s="1551"/>
      <c r="ILP33" s="1551"/>
      <c r="ILQ33" s="1551"/>
      <c r="ILR33" s="1551"/>
      <c r="ILS33" s="1551"/>
      <c r="ILT33" s="1551"/>
      <c r="ILU33" s="1551"/>
      <c r="ILV33" s="1551"/>
      <c r="ILW33" s="1551"/>
      <c r="ILX33" s="1551"/>
      <c r="ILY33" s="1551"/>
      <c r="ILZ33" s="1551"/>
      <c r="IMA33" s="1551"/>
      <c r="IMB33" s="1551"/>
      <c r="IMC33" s="1551"/>
      <c r="IMD33" s="1551"/>
      <c r="IME33" s="1551"/>
      <c r="IMF33" s="1551"/>
      <c r="IMG33" s="1551"/>
      <c r="IMH33" s="1551"/>
      <c r="IMI33" s="1551"/>
      <c r="IMJ33" s="1551"/>
      <c r="IMK33" s="1551"/>
      <c r="IML33" s="1551"/>
      <c r="IMM33" s="1551"/>
      <c r="IMN33" s="1551"/>
      <c r="IMO33" s="1551"/>
      <c r="IMP33" s="1551"/>
      <c r="IMQ33" s="1551"/>
      <c r="IMR33" s="1551"/>
      <c r="IMS33" s="1551"/>
      <c r="IMT33" s="1551"/>
      <c r="IMU33" s="1551"/>
      <c r="IMV33" s="1551"/>
      <c r="IMW33" s="1551"/>
      <c r="IMX33" s="1551"/>
      <c r="IMY33" s="1551"/>
      <c r="IMZ33" s="1551"/>
      <c r="INA33" s="1551"/>
      <c r="INB33" s="1551"/>
      <c r="INC33" s="1551"/>
      <c r="IND33" s="1551"/>
      <c r="INE33" s="1551"/>
      <c r="INF33" s="1551"/>
      <c r="ING33" s="1551"/>
      <c r="INH33" s="1551"/>
      <c r="INI33" s="1551"/>
      <c r="INJ33" s="1551"/>
      <c r="INK33" s="1551"/>
      <c r="INL33" s="1551"/>
      <c r="INM33" s="1551"/>
      <c r="INN33" s="1551"/>
      <c r="INO33" s="1551"/>
      <c r="INP33" s="1551"/>
      <c r="INQ33" s="1551"/>
      <c r="INR33" s="1551"/>
      <c r="INS33" s="1551"/>
      <c r="INT33" s="1551"/>
      <c r="INU33" s="1551"/>
      <c r="INV33" s="1551"/>
      <c r="INW33" s="1551"/>
      <c r="INX33" s="1551"/>
      <c r="INY33" s="1551"/>
      <c r="INZ33" s="1551"/>
      <c r="IOA33" s="1551"/>
      <c r="IOB33" s="1551"/>
      <c r="IOC33" s="1551"/>
      <c r="IOD33" s="1551"/>
      <c r="IOE33" s="1551"/>
      <c r="IOF33" s="1551"/>
      <c r="IOG33" s="1551"/>
      <c r="IOH33" s="1551"/>
      <c r="IOI33" s="1551"/>
      <c r="IOJ33" s="1551"/>
      <c r="IOK33" s="1551"/>
      <c r="IOL33" s="1551"/>
      <c r="IOM33" s="1551"/>
      <c r="ION33" s="1551"/>
      <c r="IOO33" s="1551"/>
      <c r="IOP33" s="1551"/>
      <c r="IOQ33" s="1551"/>
      <c r="IOR33" s="1551"/>
      <c r="IOS33" s="1551"/>
      <c r="IOT33" s="1551"/>
      <c r="IOU33" s="1551"/>
      <c r="IOV33" s="1551"/>
      <c r="IOW33" s="1551"/>
      <c r="IOX33" s="1551"/>
      <c r="IOY33" s="1551"/>
      <c r="IOZ33" s="1551"/>
      <c r="IPA33" s="1551"/>
      <c r="IPB33" s="1551"/>
      <c r="IPC33" s="1551"/>
      <c r="IPD33" s="1551"/>
      <c r="IPE33" s="1551"/>
      <c r="IPF33" s="1551"/>
      <c r="IPG33" s="1551"/>
      <c r="IPH33" s="1551"/>
      <c r="IPI33" s="1551"/>
      <c r="IPJ33" s="1551"/>
      <c r="IPK33" s="1551"/>
      <c r="IPL33" s="1551"/>
      <c r="IPM33" s="1551"/>
      <c r="IPN33" s="1551"/>
      <c r="IPO33" s="1551"/>
      <c r="IPP33" s="1551"/>
      <c r="IPQ33" s="1551"/>
      <c r="IPR33" s="1551"/>
      <c r="IPS33" s="1551"/>
      <c r="IPT33" s="1551"/>
      <c r="IPU33" s="1551"/>
      <c r="IPV33" s="1551"/>
      <c r="IPW33" s="1551"/>
      <c r="IPX33" s="1551"/>
      <c r="IPY33" s="1551"/>
      <c r="IPZ33" s="1551"/>
      <c r="IQA33" s="1551"/>
      <c r="IQB33" s="1551"/>
      <c r="IQC33" s="1551"/>
      <c r="IQD33" s="1551"/>
      <c r="IQE33" s="1551"/>
      <c r="IQF33" s="1551"/>
      <c r="IQG33" s="1551"/>
      <c r="IQH33" s="1551"/>
      <c r="IQI33" s="1551"/>
      <c r="IQJ33" s="1551"/>
      <c r="IQK33" s="1551"/>
      <c r="IQL33" s="1551"/>
      <c r="IQM33" s="1551"/>
      <c r="IQN33" s="1551"/>
      <c r="IQO33" s="1551"/>
      <c r="IQP33" s="1551"/>
      <c r="IQQ33" s="1551"/>
      <c r="IQR33" s="1551"/>
      <c r="IQS33" s="1551"/>
      <c r="IQT33" s="1551"/>
      <c r="IQU33" s="1551"/>
      <c r="IQV33" s="1551"/>
      <c r="IQW33" s="1551"/>
      <c r="IQX33" s="1551"/>
      <c r="IQY33" s="1551"/>
      <c r="IQZ33" s="1551"/>
      <c r="IRA33" s="1551"/>
      <c r="IRB33" s="1551"/>
      <c r="IRC33" s="1551"/>
      <c r="IRD33" s="1551"/>
      <c r="IRE33" s="1551"/>
      <c r="IRF33" s="1551"/>
      <c r="IRG33" s="1551"/>
      <c r="IRH33" s="1551"/>
      <c r="IRI33" s="1551"/>
      <c r="IRJ33" s="1551"/>
      <c r="IRK33" s="1551"/>
      <c r="IRL33" s="1551"/>
      <c r="IRM33" s="1551"/>
      <c r="IRN33" s="1551"/>
      <c r="IRO33" s="1551"/>
      <c r="IRP33" s="1551"/>
      <c r="IRQ33" s="1551"/>
      <c r="IRR33" s="1551"/>
      <c r="IRS33" s="1551"/>
      <c r="IRT33" s="1551"/>
      <c r="IRU33" s="1551"/>
      <c r="IRV33" s="1551"/>
      <c r="IRW33" s="1551"/>
      <c r="IRX33" s="1551"/>
      <c r="IRY33" s="1551"/>
      <c r="IRZ33" s="1551"/>
      <c r="ISA33" s="1551"/>
      <c r="ISB33" s="1551"/>
      <c r="ISC33" s="1551"/>
      <c r="ISD33" s="1551"/>
      <c r="ISE33" s="1551"/>
      <c r="ISF33" s="1551"/>
      <c r="ISG33" s="1551"/>
      <c r="ISH33" s="1551"/>
      <c r="ISI33" s="1551"/>
      <c r="ISJ33" s="1551"/>
      <c r="ISK33" s="1551"/>
      <c r="ISL33" s="1551"/>
      <c r="ISM33" s="1551"/>
      <c r="ISN33" s="1551"/>
      <c r="ISO33" s="1551"/>
      <c r="ISP33" s="1551"/>
      <c r="ISQ33" s="1551"/>
      <c r="ISR33" s="1551"/>
      <c r="ISS33" s="1551"/>
      <c r="IST33" s="1551"/>
      <c r="ISU33" s="1551"/>
      <c r="ISV33" s="1551"/>
      <c r="ISW33" s="1551"/>
      <c r="ISX33" s="1551"/>
      <c r="ISY33" s="1551"/>
      <c r="ISZ33" s="1551"/>
      <c r="ITA33" s="1551"/>
      <c r="ITB33" s="1551"/>
      <c r="ITC33" s="1551"/>
      <c r="ITD33" s="1551"/>
      <c r="ITE33" s="1551"/>
      <c r="ITF33" s="1551"/>
      <c r="ITG33" s="1551"/>
      <c r="ITH33" s="1551"/>
      <c r="ITI33" s="1551"/>
      <c r="ITJ33" s="1551"/>
      <c r="ITK33" s="1551"/>
      <c r="ITL33" s="1551"/>
      <c r="ITM33" s="1551"/>
      <c r="ITN33" s="1551"/>
      <c r="ITO33" s="1551"/>
      <c r="ITP33" s="1551"/>
      <c r="ITQ33" s="1551"/>
      <c r="ITR33" s="1551"/>
      <c r="ITS33" s="1551"/>
      <c r="ITT33" s="1551"/>
      <c r="ITU33" s="1551"/>
      <c r="ITV33" s="1551"/>
      <c r="ITW33" s="1551"/>
      <c r="ITX33" s="1551"/>
      <c r="ITY33" s="1551"/>
      <c r="ITZ33" s="1551"/>
      <c r="IUA33" s="1551"/>
      <c r="IUB33" s="1551"/>
      <c r="IUC33" s="1551"/>
      <c r="IUD33" s="1551"/>
      <c r="IUE33" s="1551"/>
      <c r="IUF33" s="1551"/>
      <c r="IUG33" s="1551"/>
      <c r="IUH33" s="1551"/>
      <c r="IUI33" s="1551"/>
      <c r="IUJ33" s="1551"/>
      <c r="IUK33" s="1551"/>
      <c r="IUL33" s="1551"/>
      <c r="IUM33" s="1551"/>
      <c r="IUN33" s="1551"/>
      <c r="IUO33" s="1551"/>
      <c r="IUP33" s="1551"/>
      <c r="IUQ33" s="1551"/>
      <c r="IUR33" s="1551"/>
      <c r="IUS33" s="1551"/>
      <c r="IUT33" s="1551"/>
      <c r="IUU33" s="1551"/>
      <c r="IUV33" s="1551"/>
      <c r="IUW33" s="1551"/>
      <c r="IUX33" s="1551"/>
      <c r="IUY33" s="1551"/>
      <c r="IUZ33" s="1551"/>
      <c r="IVA33" s="1551"/>
      <c r="IVB33" s="1551"/>
      <c r="IVC33" s="1551"/>
      <c r="IVD33" s="1551"/>
      <c r="IVE33" s="1551"/>
      <c r="IVF33" s="1551"/>
      <c r="IVG33" s="1551"/>
      <c r="IVH33" s="1551"/>
      <c r="IVI33" s="1551"/>
      <c r="IVJ33" s="1551"/>
      <c r="IVK33" s="1551"/>
      <c r="IVL33" s="1551"/>
      <c r="IVM33" s="1551"/>
      <c r="IVN33" s="1551"/>
      <c r="IVO33" s="1551"/>
      <c r="IVP33" s="1551"/>
      <c r="IVQ33" s="1551"/>
      <c r="IVR33" s="1551"/>
      <c r="IVS33" s="1551"/>
      <c r="IVT33" s="1551"/>
      <c r="IVU33" s="1551"/>
      <c r="IVV33" s="1551"/>
      <c r="IVW33" s="1551"/>
      <c r="IVX33" s="1551"/>
      <c r="IVY33" s="1551"/>
      <c r="IVZ33" s="1551"/>
      <c r="IWA33" s="1551"/>
      <c r="IWB33" s="1551"/>
      <c r="IWC33" s="1551"/>
      <c r="IWD33" s="1551"/>
      <c r="IWE33" s="1551"/>
      <c r="IWF33" s="1551"/>
      <c r="IWG33" s="1551"/>
      <c r="IWH33" s="1551"/>
      <c r="IWI33" s="1551"/>
      <c r="IWJ33" s="1551"/>
      <c r="IWK33" s="1551"/>
      <c r="IWL33" s="1551"/>
      <c r="IWM33" s="1551"/>
      <c r="IWN33" s="1551"/>
      <c r="IWO33" s="1551"/>
      <c r="IWP33" s="1551"/>
      <c r="IWQ33" s="1551"/>
      <c r="IWR33" s="1551"/>
      <c r="IWS33" s="1551"/>
      <c r="IWT33" s="1551"/>
      <c r="IWU33" s="1551"/>
      <c r="IWV33" s="1551"/>
      <c r="IWW33" s="1551"/>
      <c r="IWX33" s="1551"/>
      <c r="IWY33" s="1551"/>
      <c r="IWZ33" s="1551"/>
      <c r="IXA33" s="1551"/>
      <c r="IXB33" s="1551"/>
      <c r="IXC33" s="1551"/>
      <c r="IXD33" s="1551"/>
      <c r="IXE33" s="1551"/>
      <c r="IXF33" s="1551"/>
      <c r="IXG33" s="1551"/>
      <c r="IXH33" s="1551"/>
      <c r="IXI33" s="1551"/>
      <c r="IXJ33" s="1551"/>
      <c r="IXK33" s="1551"/>
      <c r="IXL33" s="1551"/>
      <c r="IXM33" s="1551"/>
      <c r="IXN33" s="1551"/>
      <c r="IXO33" s="1551"/>
      <c r="IXP33" s="1551"/>
      <c r="IXQ33" s="1551"/>
      <c r="IXR33" s="1551"/>
      <c r="IXS33" s="1551"/>
      <c r="IXT33" s="1551"/>
      <c r="IXU33" s="1551"/>
      <c r="IXV33" s="1551"/>
      <c r="IXW33" s="1551"/>
      <c r="IXX33" s="1551"/>
      <c r="IXY33" s="1551"/>
      <c r="IXZ33" s="1551"/>
      <c r="IYA33" s="1551"/>
      <c r="IYB33" s="1551"/>
      <c r="IYC33" s="1551"/>
      <c r="IYD33" s="1551"/>
      <c r="IYE33" s="1551"/>
      <c r="IYF33" s="1551"/>
      <c r="IYG33" s="1551"/>
      <c r="IYH33" s="1551"/>
      <c r="IYI33" s="1551"/>
      <c r="IYJ33" s="1551"/>
      <c r="IYK33" s="1551"/>
      <c r="IYL33" s="1551"/>
      <c r="IYM33" s="1551"/>
      <c r="IYN33" s="1551"/>
      <c r="IYO33" s="1551"/>
      <c r="IYP33" s="1551"/>
      <c r="IYQ33" s="1551"/>
      <c r="IYR33" s="1551"/>
      <c r="IYS33" s="1551"/>
      <c r="IYT33" s="1551"/>
      <c r="IYU33" s="1551"/>
      <c r="IYV33" s="1551"/>
      <c r="IYW33" s="1551"/>
      <c r="IYX33" s="1551"/>
      <c r="IYY33" s="1551"/>
      <c r="IYZ33" s="1551"/>
      <c r="IZA33" s="1551"/>
      <c r="IZB33" s="1551"/>
      <c r="IZC33" s="1551"/>
      <c r="IZD33" s="1551"/>
      <c r="IZE33" s="1551"/>
      <c r="IZF33" s="1551"/>
      <c r="IZG33" s="1551"/>
      <c r="IZH33" s="1551"/>
      <c r="IZI33" s="1551"/>
      <c r="IZJ33" s="1551"/>
      <c r="IZK33" s="1551"/>
      <c r="IZL33" s="1551"/>
      <c r="IZM33" s="1551"/>
      <c r="IZN33" s="1551"/>
      <c r="IZO33" s="1551"/>
      <c r="IZP33" s="1551"/>
      <c r="IZQ33" s="1551"/>
      <c r="IZR33" s="1551"/>
      <c r="IZS33" s="1551"/>
      <c r="IZT33" s="1551"/>
      <c r="IZU33" s="1551"/>
      <c r="IZV33" s="1551"/>
      <c r="IZW33" s="1551"/>
      <c r="IZX33" s="1551"/>
      <c r="IZY33" s="1551"/>
      <c r="IZZ33" s="1551"/>
      <c r="JAA33" s="1551"/>
      <c r="JAB33" s="1551"/>
      <c r="JAC33" s="1551"/>
      <c r="JAD33" s="1551"/>
      <c r="JAE33" s="1551"/>
      <c r="JAF33" s="1551"/>
      <c r="JAG33" s="1551"/>
      <c r="JAH33" s="1551"/>
      <c r="JAI33" s="1551"/>
      <c r="JAJ33" s="1551"/>
      <c r="JAK33" s="1551"/>
      <c r="JAL33" s="1551"/>
      <c r="JAM33" s="1551"/>
      <c r="JAN33" s="1551"/>
      <c r="JAO33" s="1551"/>
      <c r="JAP33" s="1551"/>
      <c r="JAQ33" s="1551"/>
      <c r="JAR33" s="1551"/>
      <c r="JAS33" s="1551"/>
      <c r="JAT33" s="1551"/>
      <c r="JAU33" s="1551"/>
      <c r="JAV33" s="1551"/>
      <c r="JAW33" s="1551"/>
      <c r="JAX33" s="1551"/>
      <c r="JAY33" s="1551"/>
      <c r="JAZ33" s="1551"/>
      <c r="JBA33" s="1551"/>
      <c r="JBB33" s="1551"/>
      <c r="JBC33" s="1551"/>
      <c r="JBD33" s="1551"/>
      <c r="JBE33" s="1551"/>
      <c r="JBF33" s="1551"/>
      <c r="JBG33" s="1551"/>
      <c r="JBH33" s="1551"/>
      <c r="JBI33" s="1551"/>
      <c r="JBJ33" s="1551"/>
      <c r="JBK33" s="1551"/>
      <c r="JBL33" s="1551"/>
      <c r="JBM33" s="1551"/>
      <c r="JBN33" s="1551"/>
      <c r="JBO33" s="1551"/>
      <c r="JBP33" s="1551"/>
      <c r="JBQ33" s="1551"/>
      <c r="JBR33" s="1551"/>
      <c r="JBS33" s="1551"/>
      <c r="JBT33" s="1551"/>
      <c r="JBU33" s="1551"/>
      <c r="JBV33" s="1551"/>
      <c r="JBW33" s="1551"/>
      <c r="JBX33" s="1551"/>
      <c r="JBY33" s="1551"/>
      <c r="JBZ33" s="1551"/>
      <c r="JCA33" s="1551"/>
      <c r="JCB33" s="1551"/>
      <c r="JCC33" s="1551"/>
      <c r="JCD33" s="1551"/>
      <c r="JCE33" s="1551"/>
      <c r="JCF33" s="1551"/>
      <c r="JCG33" s="1551"/>
      <c r="JCH33" s="1551"/>
      <c r="JCI33" s="1551"/>
      <c r="JCJ33" s="1551"/>
      <c r="JCK33" s="1551"/>
      <c r="JCL33" s="1551"/>
      <c r="JCM33" s="1551"/>
      <c r="JCN33" s="1551"/>
      <c r="JCO33" s="1551"/>
      <c r="JCP33" s="1551"/>
      <c r="JCQ33" s="1551"/>
      <c r="JCR33" s="1551"/>
      <c r="JCS33" s="1551"/>
      <c r="JCT33" s="1551"/>
      <c r="JCU33" s="1551"/>
      <c r="JCV33" s="1551"/>
      <c r="JCW33" s="1551"/>
      <c r="JCX33" s="1551"/>
      <c r="JCY33" s="1551"/>
      <c r="JCZ33" s="1551"/>
      <c r="JDA33" s="1551"/>
      <c r="JDB33" s="1551"/>
      <c r="JDC33" s="1551"/>
      <c r="JDD33" s="1551"/>
      <c r="JDE33" s="1551"/>
      <c r="JDF33" s="1551"/>
      <c r="JDG33" s="1551"/>
      <c r="JDH33" s="1551"/>
      <c r="JDI33" s="1551"/>
      <c r="JDJ33" s="1551"/>
      <c r="JDK33" s="1551"/>
      <c r="JDL33" s="1551"/>
      <c r="JDM33" s="1551"/>
      <c r="JDN33" s="1551"/>
      <c r="JDO33" s="1551"/>
      <c r="JDP33" s="1551"/>
      <c r="JDQ33" s="1551"/>
      <c r="JDR33" s="1551"/>
      <c r="JDS33" s="1551"/>
      <c r="JDT33" s="1551"/>
      <c r="JDU33" s="1551"/>
      <c r="JDV33" s="1551"/>
      <c r="JDW33" s="1551"/>
      <c r="JDX33" s="1551"/>
      <c r="JDY33" s="1551"/>
      <c r="JDZ33" s="1551"/>
      <c r="JEA33" s="1551"/>
      <c r="JEB33" s="1551"/>
      <c r="JEC33" s="1551"/>
      <c r="JED33" s="1551"/>
      <c r="JEE33" s="1551"/>
      <c r="JEF33" s="1551"/>
      <c r="JEG33" s="1551"/>
      <c r="JEH33" s="1551"/>
      <c r="JEI33" s="1551"/>
      <c r="JEJ33" s="1551"/>
      <c r="JEK33" s="1551"/>
      <c r="JEL33" s="1551"/>
      <c r="JEM33" s="1551"/>
      <c r="JEN33" s="1551"/>
      <c r="JEO33" s="1551"/>
      <c r="JEP33" s="1551"/>
      <c r="JEQ33" s="1551"/>
      <c r="JER33" s="1551"/>
      <c r="JES33" s="1551"/>
      <c r="JET33" s="1551"/>
      <c r="JEU33" s="1551"/>
      <c r="JEV33" s="1551"/>
      <c r="JEW33" s="1551"/>
      <c r="JEX33" s="1551"/>
      <c r="JEY33" s="1551"/>
      <c r="JEZ33" s="1551"/>
      <c r="JFA33" s="1551"/>
      <c r="JFB33" s="1551"/>
      <c r="JFC33" s="1551"/>
      <c r="JFD33" s="1551"/>
      <c r="JFE33" s="1551"/>
      <c r="JFF33" s="1551"/>
      <c r="JFG33" s="1551"/>
      <c r="JFH33" s="1551"/>
      <c r="JFI33" s="1551"/>
      <c r="JFJ33" s="1551"/>
      <c r="JFK33" s="1551"/>
      <c r="JFL33" s="1551"/>
      <c r="JFM33" s="1551"/>
      <c r="JFN33" s="1551"/>
      <c r="JFO33" s="1551"/>
      <c r="JFP33" s="1551"/>
      <c r="JFQ33" s="1551"/>
      <c r="JFR33" s="1551"/>
      <c r="JFS33" s="1551"/>
      <c r="JFT33" s="1551"/>
      <c r="JFU33" s="1551"/>
      <c r="JFV33" s="1551"/>
      <c r="JFW33" s="1551"/>
      <c r="JFX33" s="1551"/>
      <c r="JFY33" s="1551"/>
      <c r="JFZ33" s="1551"/>
      <c r="JGA33" s="1551"/>
      <c r="JGB33" s="1551"/>
      <c r="JGC33" s="1551"/>
      <c r="JGD33" s="1551"/>
      <c r="JGE33" s="1551"/>
      <c r="JGF33" s="1551"/>
      <c r="JGG33" s="1551"/>
      <c r="JGH33" s="1551"/>
      <c r="JGI33" s="1551"/>
      <c r="JGJ33" s="1551"/>
      <c r="JGK33" s="1551"/>
      <c r="JGL33" s="1551"/>
      <c r="JGM33" s="1551"/>
      <c r="JGN33" s="1551"/>
      <c r="JGO33" s="1551"/>
      <c r="JGP33" s="1551"/>
      <c r="JGQ33" s="1551"/>
      <c r="JGR33" s="1551"/>
      <c r="JGS33" s="1551"/>
      <c r="JGT33" s="1551"/>
      <c r="JGU33" s="1551"/>
      <c r="JGV33" s="1551"/>
      <c r="JGW33" s="1551"/>
      <c r="JGX33" s="1551"/>
      <c r="JGY33" s="1551"/>
      <c r="JGZ33" s="1551"/>
      <c r="JHA33" s="1551"/>
      <c r="JHB33" s="1551"/>
      <c r="JHC33" s="1551"/>
      <c r="JHD33" s="1551"/>
      <c r="JHE33" s="1551"/>
      <c r="JHF33" s="1551"/>
      <c r="JHG33" s="1551"/>
      <c r="JHH33" s="1551"/>
      <c r="JHI33" s="1551"/>
      <c r="JHJ33" s="1551"/>
      <c r="JHK33" s="1551"/>
      <c r="JHL33" s="1551"/>
      <c r="JHM33" s="1551"/>
      <c r="JHN33" s="1551"/>
      <c r="JHO33" s="1551"/>
      <c r="JHP33" s="1551"/>
      <c r="JHQ33" s="1551"/>
      <c r="JHR33" s="1551"/>
      <c r="JHS33" s="1551"/>
      <c r="JHT33" s="1551"/>
      <c r="JHU33" s="1551"/>
      <c r="JHV33" s="1551"/>
      <c r="JHW33" s="1551"/>
      <c r="JHX33" s="1551"/>
      <c r="JHY33" s="1551"/>
      <c r="JHZ33" s="1551"/>
      <c r="JIA33" s="1551"/>
      <c r="JIB33" s="1551"/>
      <c r="JIC33" s="1551"/>
      <c r="JID33" s="1551"/>
      <c r="JIE33" s="1551"/>
      <c r="JIF33" s="1551"/>
      <c r="JIG33" s="1551"/>
      <c r="JIH33" s="1551"/>
      <c r="JII33" s="1551"/>
      <c r="JIJ33" s="1551"/>
      <c r="JIK33" s="1551"/>
      <c r="JIL33" s="1551"/>
      <c r="JIM33" s="1551"/>
      <c r="JIN33" s="1551"/>
      <c r="JIO33" s="1551"/>
      <c r="JIP33" s="1551"/>
      <c r="JIQ33" s="1551"/>
      <c r="JIR33" s="1551"/>
      <c r="JIS33" s="1551"/>
      <c r="JIT33" s="1551"/>
      <c r="JIU33" s="1551"/>
      <c r="JIV33" s="1551"/>
      <c r="JIW33" s="1551"/>
      <c r="JIX33" s="1551"/>
      <c r="JIY33" s="1551"/>
      <c r="JIZ33" s="1551"/>
      <c r="JJA33" s="1551"/>
      <c r="JJB33" s="1551"/>
      <c r="JJC33" s="1551"/>
      <c r="JJD33" s="1551"/>
      <c r="JJE33" s="1551"/>
      <c r="JJF33" s="1551"/>
      <c r="JJG33" s="1551"/>
      <c r="JJH33" s="1551"/>
      <c r="JJI33" s="1551"/>
      <c r="JJJ33" s="1551"/>
      <c r="JJK33" s="1551"/>
      <c r="JJL33" s="1551"/>
      <c r="JJM33" s="1551"/>
      <c r="JJN33" s="1551"/>
      <c r="JJO33" s="1551"/>
      <c r="JJP33" s="1551"/>
      <c r="JJQ33" s="1551"/>
      <c r="JJR33" s="1551"/>
      <c r="JJS33" s="1551"/>
      <c r="JJT33" s="1551"/>
      <c r="JJU33" s="1551"/>
      <c r="JJV33" s="1551"/>
      <c r="JJW33" s="1551"/>
      <c r="JJX33" s="1551"/>
      <c r="JJY33" s="1551"/>
      <c r="JJZ33" s="1551"/>
      <c r="JKA33" s="1551"/>
      <c r="JKB33" s="1551"/>
      <c r="JKC33" s="1551"/>
      <c r="JKD33" s="1551"/>
      <c r="JKE33" s="1551"/>
      <c r="JKF33" s="1551"/>
      <c r="JKG33" s="1551"/>
      <c r="JKH33" s="1551"/>
      <c r="JKI33" s="1551"/>
      <c r="JKJ33" s="1551"/>
      <c r="JKK33" s="1551"/>
      <c r="JKL33" s="1551"/>
      <c r="JKM33" s="1551"/>
      <c r="JKN33" s="1551"/>
      <c r="JKO33" s="1551"/>
      <c r="JKP33" s="1551"/>
      <c r="JKQ33" s="1551"/>
      <c r="JKR33" s="1551"/>
      <c r="JKS33" s="1551"/>
      <c r="JKT33" s="1551"/>
      <c r="JKU33" s="1551"/>
      <c r="JKV33" s="1551"/>
      <c r="JKW33" s="1551"/>
      <c r="JKX33" s="1551"/>
      <c r="JKY33" s="1551"/>
      <c r="JKZ33" s="1551"/>
      <c r="JLA33" s="1551"/>
      <c r="JLB33" s="1551"/>
      <c r="JLC33" s="1551"/>
      <c r="JLD33" s="1551"/>
      <c r="JLE33" s="1551"/>
      <c r="JLF33" s="1551"/>
      <c r="JLG33" s="1551"/>
      <c r="JLH33" s="1551"/>
      <c r="JLI33" s="1551"/>
      <c r="JLJ33" s="1551"/>
      <c r="JLK33" s="1551"/>
      <c r="JLL33" s="1551"/>
      <c r="JLM33" s="1551"/>
      <c r="JLN33" s="1551"/>
      <c r="JLO33" s="1551"/>
      <c r="JLP33" s="1551"/>
      <c r="JLQ33" s="1551"/>
      <c r="JLR33" s="1551"/>
      <c r="JLS33" s="1551"/>
      <c r="JLT33" s="1551"/>
      <c r="JLU33" s="1551"/>
      <c r="JLV33" s="1551"/>
      <c r="JLW33" s="1551"/>
      <c r="JLX33" s="1551"/>
      <c r="JLY33" s="1551"/>
      <c r="JLZ33" s="1551"/>
      <c r="JMA33" s="1551"/>
      <c r="JMB33" s="1551"/>
      <c r="JMC33" s="1551"/>
      <c r="JMD33" s="1551"/>
      <c r="JME33" s="1551"/>
      <c r="JMF33" s="1551"/>
      <c r="JMG33" s="1551"/>
      <c r="JMH33" s="1551"/>
      <c r="JMI33" s="1551"/>
      <c r="JMJ33" s="1551"/>
      <c r="JMK33" s="1551"/>
      <c r="JML33" s="1551"/>
      <c r="JMM33" s="1551"/>
      <c r="JMN33" s="1551"/>
      <c r="JMO33" s="1551"/>
      <c r="JMP33" s="1551"/>
      <c r="JMQ33" s="1551"/>
      <c r="JMR33" s="1551"/>
      <c r="JMS33" s="1551"/>
      <c r="JMT33" s="1551"/>
      <c r="JMU33" s="1551"/>
      <c r="JMV33" s="1551"/>
      <c r="JMW33" s="1551"/>
      <c r="JMX33" s="1551"/>
      <c r="JMY33" s="1551"/>
      <c r="JMZ33" s="1551"/>
      <c r="JNA33" s="1551"/>
      <c r="JNB33" s="1551"/>
      <c r="JNC33" s="1551"/>
      <c r="JND33" s="1551"/>
      <c r="JNE33" s="1551"/>
      <c r="JNF33" s="1551"/>
      <c r="JNG33" s="1551"/>
      <c r="JNH33" s="1551"/>
      <c r="JNI33" s="1551"/>
      <c r="JNJ33" s="1551"/>
      <c r="JNK33" s="1551"/>
      <c r="JNL33" s="1551"/>
      <c r="JNM33" s="1551"/>
      <c r="JNN33" s="1551"/>
      <c r="JNO33" s="1551"/>
      <c r="JNP33" s="1551"/>
      <c r="JNQ33" s="1551"/>
      <c r="JNR33" s="1551"/>
      <c r="JNS33" s="1551"/>
      <c r="JNT33" s="1551"/>
      <c r="JNU33" s="1551"/>
      <c r="JNV33" s="1551"/>
      <c r="JNW33" s="1551"/>
      <c r="JNX33" s="1551"/>
      <c r="JNY33" s="1551"/>
      <c r="JNZ33" s="1551"/>
      <c r="JOA33" s="1551"/>
      <c r="JOB33" s="1551"/>
      <c r="JOC33" s="1551"/>
      <c r="JOD33" s="1551"/>
      <c r="JOE33" s="1551"/>
      <c r="JOF33" s="1551"/>
      <c r="JOG33" s="1551"/>
      <c r="JOH33" s="1551"/>
      <c r="JOI33" s="1551"/>
      <c r="JOJ33" s="1551"/>
      <c r="JOK33" s="1551"/>
      <c r="JOL33" s="1551"/>
      <c r="JOM33" s="1551"/>
      <c r="JON33" s="1551"/>
      <c r="JOO33" s="1551"/>
      <c r="JOP33" s="1551"/>
      <c r="JOQ33" s="1551"/>
      <c r="JOR33" s="1551"/>
      <c r="JOS33" s="1551"/>
      <c r="JOT33" s="1551"/>
      <c r="JOU33" s="1551"/>
      <c r="JOV33" s="1551"/>
      <c r="JOW33" s="1551"/>
      <c r="JOX33" s="1551"/>
      <c r="JOY33" s="1551"/>
      <c r="JOZ33" s="1551"/>
      <c r="JPA33" s="1551"/>
      <c r="JPB33" s="1551"/>
      <c r="JPC33" s="1551"/>
      <c r="JPD33" s="1551"/>
      <c r="JPE33" s="1551"/>
      <c r="JPF33" s="1551"/>
      <c r="JPG33" s="1551"/>
      <c r="JPH33" s="1551"/>
      <c r="JPI33" s="1551"/>
      <c r="JPJ33" s="1551"/>
      <c r="JPK33" s="1551"/>
      <c r="JPL33" s="1551"/>
      <c r="JPM33" s="1551"/>
      <c r="JPN33" s="1551"/>
      <c r="JPO33" s="1551"/>
      <c r="JPP33" s="1551"/>
      <c r="JPQ33" s="1551"/>
      <c r="JPR33" s="1551"/>
      <c r="JPS33" s="1551"/>
      <c r="JPT33" s="1551"/>
      <c r="JPU33" s="1551"/>
      <c r="JPV33" s="1551"/>
      <c r="JPW33" s="1551"/>
      <c r="JPX33" s="1551"/>
      <c r="JPY33" s="1551"/>
      <c r="JPZ33" s="1551"/>
      <c r="JQA33" s="1551"/>
      <c r="JQB33" s="1551"/>
      <c r="JQC33" s="1551"/>
      <c r="JQD33" s="1551"/>
      <c r="JQE33" s="1551"/>
      <c r="JQF33" s="1551"/>
      <c r="JQG33" s="1551"/>
      <c r="JQH33" s="1551"/>
      <c r="JQI33" s="1551"/>
      <c r="JQJ33" s="1551"/>
      <c r="JQK33" s="1551"/>
      <c r="JQL33" s="1551"/>
      <c r="JQM33" s="1551"/>
      <c r="JQN33" s="1551"/>
      <c r="JQO33" s="1551"/>
      <c r="JQP33" s="1551"/>
      <c r="JQQ33" s="1551"/>
      <c r="JQR33" s="1551"/>
      <c r="JQS33" s="1551"/>
      <c r="JQT33" s="1551"/>
      <c r="JQU33" s="1551"/>
      <c r="JQV33" s="1551"/>
      <c r="JQW33" s="1551"/>
      <c r="JQX33" s="1551"/>
      <c r="JQY33" s="1551"/>
      <c r="JQZ33" s="1551"/>
      <c r="JRA33" s="1551"/>
      <c r="JRB33" s="1551"/>
      <c r="JRC33" s="1551"/>
      <c r="JRD33" s="1551"/>
      <c r="JRE33" s="1551"/>
      <c r="JRF33" s="1551"/>
      <c r="JRG33" s="1551"/>
      <c r="JRH33" s="1551"/>
      <c r="JRI33" s="1551"/>
      <c r="JRJ33" s="1551"/>
      <c r="JRK33" s="1551"/>
      <c r="JRL33" s="1551"/>
      <c r="JRM33" s="1551"/>
      <c r="JRN33" s="1551"/>
      <c r="JRO33" s="1551"/>
      <c r="JRP33" s="1551"/>
      <c r="JRQ33" s="1551"/>
      <c r="JRR33" s="1551"/>
      <c r="JRS33" s="1551"/>
      <c r="JRT33" s="1551"/>
      <c r="JRU33" s="1551"/>
      <c r="JRV33" s="1551"/>
      <c r="JRW33" s="1551"/>
      <c r="JRX33" s="1551"/>
      <c r="JRY33" s="1551"/>
      <c r="JRZ33" s="1551"/>
      <c r="JSA33" s="1551"/>
      <c r="JSB33" s="1551"/>
      <c r="JSC33" s="1551"/>
      <c r="JSD33" s="1551"/>
      <c r="JSE33" s="1551"/>
      <c r="JSF33" s="1551"/>
      <c r="JSG33" s="1551"/>
      <c r="JSH33" s="1551"/>
      <c r="JSI33" s="1551"/>
      <c r="JSJ33" s="1551"/>
      <c r="JSK33" s="1551"/>
      <c r="JSL33" s="1551"/>
      <c r="JSM33" s="1551"/>
      <c r="JSN33" s="1551"/>
      <c r="JSO33" s="1551"/>
      <c r="JSP33" s="1551"/>
      <c r="JSQ33" s="1551"/>
      <c r="JSR33" s="1551"/>
      <c r="JSS33" s="1551"/>
      <c r="JST33" s="1551"/>
      <c r="JSU33" s="1551"/>
      <c r="JSV33" s="1551"/>
      <c r="JSW33" s="1551"/>
      <c r="JSX33" s="1551"/>
      <c r="JSY33" s="1551"/>
      <c r="JSZ33" s="1551"/>
      <c r="JTA33" s="1551"/>
      <c r="JTB33" s="1551"/>
      <c r="JTC33" s="1551"/>
      <c r="JTD33" s="1551"/>
      <c r="JTE33" s="1551"/>
      <c r="JTF33" s="1551"/>
      <c r="JTG33" s="1551"/>
      <c r="JTH33" s="1551"/>
      <c r="JTI33" s="1551"/>
      <c r="JTJ33" s="1551"/>
      <c r="JTK33" s="1551"/>
      <c r="JTL33" s="1551"/>
      <c r="JTM33" s="1551"/>
      <c r="JTN33" s="1551"/>
      <c r="JTO33" s="1551"/>
      <c r="JTP33" s="1551"/>
      <c r="JTQ33" s="1551"/>
      <c r="JTR33" s="1551"/>
      <c r="JTS33" s="1551"/>
      <c r="JTT33" s="1551"/>
      <c r="JTU33" s="1551"/>
      <c r="JTV33" s="1551"/>
      <c r="JTW33" s="1551"/>
      <c r="JTX33" s="1551"/>
      <c r="JTY33" s="1551"/>
      <c r="JTZ33" s="1551"/>
      <c r="JUA33" s="1551"/>
      <c r="JUB33" s="1551"/>
      <c r="JUC33" s="1551"/>
      <c r="JUD33" s="1551"/>
      <c r="JUE33" s="1551"/>
      <c r="JUF33" s="1551"/>
      <c r="JUG33" s="1551"/>
      <c r="JUH33" s="1551"/>
      <c r="JUI33" s="1551"/>
      <c r="JUJ33" s="1551"/>
      <c r="JUK33" s="1551"/>
      <c r="JUL33" s="1551"/>
      <c r="JUM33" s="1551"/>
      <c r="JUN33" s="1551"/>
      <c r="JUO33" s="1551"/>
      <c r="JUP33" s="1551"/>
      <c r="JUQ33" s="1551"/>
      <c r="JUR33" s="1551"/>
      <c r="JUS33" s="1551"/>
      <c r="JUT33" s="1551"/>
      <c r="JUU33" s="1551"/>
      <c r="JUV33" s="1551"/>
      <c r="JUW33" s="1551"/>
      <c r="JUX33" s="1551"/>
      <c r="JUY33" s="1551"/>
      <c r="JUZ33" s="1551"/>
      <c r="JVA33" s="1551"/>
      <c r="JVB33" s="1551"/>
      <c r="JVC33" s="1551"/>
      <c r="JVD33" s="1551"/>
      <c r="JVE33" s="1551"/>
      <c r="JVF33" s="1551"/>
      <c r="JVG33" s="1551"/>
      <c r="JVH33" s="1551"/>
      <c r="JVI33" s="1551"/>
      <c r="JVJ33" s="1551"/>
      <c r="JVK33" s="1551"/>
      <c r="JVL33" s="1551"/>
      <c r="JVM33" s="1551"/>
      <c r="JVN33" s="1551"/>
      <c r="JVO33" s="1551"/>
      <c r="JVP33" s="1551"/>
      <c r="JVQ33" s="1551"/>
      <c r="JVR33" s="1551"/>
      <c r="JVS33" s="1551"/>
      <c r="JVT33" s="1551"/>
      <c r="JVU33" s="1551"/>
      <c r="JVV33" s="1551"/>
      <c r="JVW33" s="1551"/>
      <c r="JVX33" s="1551"/>
      <c r="JVY33" s="1551"/>
      <c r="JVZ33" s="1551"/>
      <c r="JWA33" s="1551"/>
      <c r="JWB33" s="1551"/>
      <c r="JWC33" s="1551"/>
      <c r="JWD33" s="1551"/>
      <c r="JWE33" s="1551"/>
      <c r="JWF33" s="1551"/>
      <c r="JWG33" s="1551"/>
      <c r="JWH33" s="1551"/>
      <c r="JWI33" s="1551"/>
      <c r="JWJ33" s="1551"/>
      <c r="JWK33" s="1551"/>
      <c r="JWL33" s="1551"/>
      <c r="JWM33" s="1551"/>
      <c r="JWN33" s="1551"/>
      <c r="JWO33" s="1551"/>
      <c r="JWP33" s="1551"/>
      <c r="JWQ33" s="1551"/>
      <c r="JWR33" s="1551"/>
      <c r="JWS33" s="1551"/>
      <c r="JWT33" s="1551"/>
      <c r="JWU33" s="1551"/>
      <c r="JWV33" s="1551"/>
      <c r="JWW33" s="1551"/>
      <c r="JWX33" s="1551"/>
      <c r="JWY33" s="1551"/>
      <c r="JWZ33" s="1551"/>
      <c r="JXA33" s="1551"/>
      <c r="JXB33" s="1551"/>
      <c r="JXC33" s="1551"/>
      <c r="JXD33" s="1551"/>
      <c r="JXE33" s="1551"/>
      <c r="JXF33" s="1551"/>
      <c r="JXG33" s="1551"/>
      <c r="JXH33" s="1551"/>
      <c r="JXI33" s="1551"/>
      <c r="JXJ33" s="1551"/>
      <c r="JXK33" s="1551"/>
      <c r="JXL33" s="1551"/>
      <c r="JXM33" s="1551"/>
      <c r="JXN33" s="1551"/>
      <c r="JXO33" s="1551"/>
      <c r="JXP33" s="1551"/>
      <c r="JXQ33" s="1551"/>
      <c r="JXR33" s="1551"/>
      <c r="JXS33" s="1551"/>
      <c r="JXT33" s="1551"/>
      <c r="JXU33" s="1551"/>
      <c r="JXV33" s="1551"/>
      <c r="JXW33" s="1551"/>
      <c r="JXX33" s="1551"/>
      <c r="JXY33" s="1551"/>
      <c r="JXZ33" s="1551"/>
      <c r="JYA33" s="1551"/>
      <c r="JYB33" s="1551"/>
      <c r="JYC33" s="1551"/>
      <c r="JYD33" s="1551"/>
      <c r="JYE33" s="1551"/>
      <c r="JYF33" s="1551"/>
      <c r="JYG33" s="1551"/>
      <c r="JYH33" s="1551"/>
      <c r="JYI33" s="1551"/>
      <c r="JYJ33" s="1551"/>
      <c r="JYK33" s="1551"/>
      <c r="JYL33" s="1551"/>
      <c r="JYM33" s="1551"/>
      <c r="JYN33" s="1551"/>
      <c r="JYO33" s="1551"/>
      <c r="JYP33" s="1551"/>
      <c r="JYQ33" s="1551"/>
      <c r="JYR33" s="1551"/>
      <c r="JYS33" s="1551"/>
      <c r="JYT33" s="1551"/>
      <c r="JYU33" s="1551"/>
      <c r="JYV33" s="1551"/>
      <c r="JYW33" s="1551"/>
      <c r="JYX33" s="1551"/>
      <c r="JYY33" s="1551"/>
      <c r="JYZ33" s="1551"/>
      <c r="JZA33" s="1551"/>
      <c r="JZB33" s="1551"/>
      <c r="JZC33" s="1551"/>
      <c r="JZD33" s="1551"/>
      <c r="JZE33" s="1551"/>
      <c r="JZF33" s="1551"/>
      <c r="JZG33" s="1551"/>
      <c r="JZH33" s="1551"/>
      <c r="JZI33" s="1551"/>
      <c r="JZJ33" s="1551"/>
      <c r="JZK33" s="1551"/>
      <c r="JZL33" s="1551"/>
      <c r="JZM33" s="1551"/>
      <c r="JZN33" s="1551"/>
      <c r="JZO33" s="1551"/>
      <c r="JZP33" s="1551"/>
      <c r="JZQ33" s="1551"/>
      <c r="JZR33" s="1551"/>
      <c r="JZS33" s="1551"/>
      <c r="JZT33" s="1551"/>
      <c r="JZU33" s="1551"/>
      <c r="JZV33" s="1551"/>
      <c r="JZW33" s="1551"/>
      <c r="JZX33" s="1551"/>
      <c r="JZY33" s="1551"/>
      <c r="JZZ33" s="1551"/>
      <c r="KAA33" s="1551"/>
      <c r="KAB33" s="1551"/>
      <c r="KAC33" s="1551"/>
      <c r="KAD33" s="1551"/>
      <c r="KAE33" s="1551"/>
      <c r="KAF33" s="1551"/>
      <c r="KAG33" s="1551"/>
      <c r="KAH33" s="1551"/>
      <c r="KAI33" s="1551"/>
      <c r="KAJ33" s="1551"/>
      <c r="KAK33" s="1551"/>
      <c r="KAL33" s="1551"/>
      <c r="KAM33" s="1551"/>
      <c r="KAN33" s="1551"/>
      <c r="KAO33" s="1551"/>
      <c r="KAP33" s="1551"/>
      <c r="KAQ33" s="1551"/>
      <c r="KAR33" s="1551"/>
      <c r="KAS33" s="1551"/>
      <c r="KAT33" s="1551"/>
      <c r="KAU33" s="1551"/>
      <c r="KAV33" s="1551"/>
      <c r="KAW33" s="1551"/>
      <c r="KAX33" s="1551"/>
      <c r="KAY33" s="1551"/>
      <c r="KAZ33" s="1551"/>
      <c r="KBA33" s="1551"/>
      <c r="KBB33" s="1551"/>
      <c r="KBC33" s="1551"/>
      <c r="KBD33" s="1551"/>
      <c r="KBE33" s="1551"/>
      <c r="KBF33" s="1551"/>
      <c r="KBG33" s="1551"/>
      <c r="KBH33" s="1551"/>
      <c r="KBI33" s="1551"/>
      <c r="KBJ33" s="1551"/>
      <c r="KBK33" s="1551"/>
      <c r="KBL33" s="1551"/>
      <c r="KBM33" s="1551"/>
      <c r="KBN33" s="1551"/>
      <c r="KBO33" s="1551"/>
      <c r="KBP33" s="1551"/>
      <c r="KBQ33" s="1551"/>
      <c r="KBR33" s="1551"/>
      <c r="KBS33" s="1551"/>
      <c r="KBT33" s="1551"/>
      <c r="KBU33" s="1551"/>
      <c r="KBV33" s="1551"/>
      <c r="KBW33" s="1551"/>
      <c r="KBX33" s="1551"/>
      <c r="KBY33" s="1551"/>
      <c r="KBZ33" s="1551"/>
      <c r="KCA33" s="1551"/>
      <c r="KCB33" s="1551"/>
      <c r="KCC33" s="1551"/>
      <c r="KCD33" s="1551"/>
      <c r="KCE33" s="1551"/>
      <c r="KCF33" s="1551"/>
      <c r="KCG33" s="1551"/>
      <c r="KCH33" s="1551"/>
      <c r="KCI33" s="1551"/>
      <c r="KCJ33" s="1551"/>
      <c r="KCK33" s="1551"/>
      <c r="KCL33" s="1551"/>
      <c r="KCM33" s="1551"/>
      <c r="KCN33" s="1551"/>
      <c r="KCO33" s="1551"/>
      <c r="KCP33" s="1551"/>
      <c r="KCQ33" s="1551"/>
      <c r="KCR33" s="1551"/>
      <c r="KCS33" s="1551"/>
      <c r="KCT33" s="1551"/>
      <c r="KCU33" s="1551"/>
      <c r="KCV33" s="1551"/>
      <c r="KCW33" s="1551"/>
      <c r="KCX33" s="1551"/>
      <c r="KCY33" s="1551"/>
      <c r="KCZ33" s="1551"/>
      <c r="KDA33" s="1551"/>
      <c r="KDB33" s="1551"/>
      <c r="KDC33" s="1551"/>
      <c r="KDD33" s="1551"/>
      <c r="KDE33" s="1551"/>
      <c r="KDF33" s="1551"/>
      <c r="KDG33" s="1551"/>
      <c r="KDH33" s="1551"/>
      <c r="KDI33" s="1551"/>
      <c r="KDJ33" s="1551"/>
      <c r="KDK33" s="1551"/>
      <c r="KDL33" s="1551"/>
      <c r="KDM33" s="1551"/>
      <c r="KDN33" s="1551"/>
      <c r="KDO33" s="1551"/>
      <c r="KDP33" s="1551"/>
      <c r="KDQ33" s="1551"/>
      <c r="KDR33" s="1551"/>
      <c r="KDS33" s="1551"/>
      <c r="KDT33" s="1551"/>
      <c r="KDU33" s="1551"/>
      <c r="KDV33" s="1551"/>
      <c r="KDW33" s="1551"/>
      <c r="KDX33" s="1551"/>
      <c r="KDY33" s="1551"/>
      <c r="KDZ33" s="1551"/>
      <c r="KEA33" s="1551"/>
      <c r="KEB33" s="1551"/>
      <c r="KEC33" s="1551"/>
      <c r="KED33" s="1551"/>
      <c r="KEE33" s="1551"/>
      <c r="KEF33" s="1551"/>
      <c r="KEG33" s="1551"/>
      <c r="KEH33" s="1551"/>
      <c r="KEI33" s="1551"/>
      <c r="KEJ33" s="1551"/>
      <c r="KEK33" s="1551"/>
      <c r="KEL33" s="1551"/>
      <c r="KEM33" s="1551"/>
      <c r="KEN33" s="1551"/>
      <c r="KEO33" s="1551"/>
      <c r="KEP33" s="1551"/>
      <c r="KEQ33" s="1551"/>
      <c r="KER33" s="1551"/>
      <c r="KES33" s="1551"/>
      <c r="KET33" s="1551"/>
      <c r="KEU33" s="1551"/>
      <c r="KEV33" s="1551"/>
      <c r="KEW33" s="1551"/>
      <c r="KEX33" s="1551"/>
      <c r="KEY33" s="1551"/>
      <c r="KEZ33" s="1551"/>
      <c r="KFA33" s="1551"/>
      <c r="KFB33" s="1551"/>
      <c r="KFC33" s="1551"/>
      <c r="KFD33" s="1551"/>
      <c r="KFE33" s="1551"/>
      <c r="KFF33" s="1551"/>
      <c r="KFG33" s="1551"/>
      <c r="KFH33" s="1551"/>
      <c r="KFI33" s="1551"/>
      <c r="KFJ33" s="1551"/>
      <c r="KFK33" s="1551"/>
      <c r="KFL33" s="1551"/>
      <c r="KFM33" s="1551"/>
      <c r="KFN33" s="1551"/>
      <c r="KFO33" s="1551"/>
      <c r="KFP33" s="1551"/>
      <c r="KFQ33" s="1551"/>
      <c r="KFR33" s="1551"/>
      <c r="KFS33" s="1551"/>
      <c r="KFT33" s="1551"/>
      <c r="KFU33" s="1551"/>
      <c r="KFV33" s="1551"/>
      <c r="KFW33" s="1551"/>
      <c r="KFX33" s="1551"/>
      <c r="KFY33" s="1551"/>
      <c r="KFZ33" s="1551"/>
      <c r="KGA33" s="1551"/>
      <c r="KGB33" s="1551"/>
      <c r="KGC33" s="1551"/>
      <c r="KGD33" s="1551"/>
      <c r="KGE33" s="1551"/>
      <c r="KGF33" s="1551"/>
      <c r="KGG33" s="1551"/>
      <c r="KGH33" s="1551"/>
      <c r="KGI33" s="1551"/>
      <c r="KGJ33" s="1551"/>
      <c r="KGK33" s="1551"/>
      <c r="KGL33" s="1551"/>
      <c r="KGM33" s="1551"/>
      <c r="KGN33" s="1551"/>
      <c r="KGO33" s="1551"/>
      <c r="KGP33" s="1551"/>
      <c r="KGQ33" s="1551"/>
      <c r="KGR33" s="1551"/>
      <c r="KGS33" s="1551"/>
      <c r="KGT33" s="1551"/>
      <c r="KGU33" s="1551"/>
      <c r="KGV33" s="1551"/>
      <c r="KGW33" s="1551"/>
      <c r="KGX33" s="1551"/>
      <c r="KGY33" s="1551"/>
      <c r="KGZ33" s="1551"/>
      <c r="KHA33" s="1551"/>
      <c r="KHB33" s="1551"/>
      <c r="KHC33" s="1551"/>
      <c r="KHD33" s="1551"/>
      <c r="KHE33" s="1551"/>
      <c r="KHF33" s="1551"/>
      <c r="KHG33" s="1551"/>
      <c r="KHH33" s="1551"/>
      <c r="KHI33" s="1551"/>
      <c r="KHJ33" s="1551"/>
      <c r="KHK33" s="1551"/>
      <c r="KHL33" s="1551"/>
      <c r="KHM33" s="1551"/>
      <c r="KHN33" s="1551"/>
      <c r="KHO33" s="1551"/>
      <c r="KHP33" s="1551"/>
      <c r="KHQ33" s="1551"/>
      <c r="KHR33" s="1551"/>
      <c r="KHS33" s="1551"/>
      <c r="KHT33" s="1551"/>
      <c r="KHU33" s="1551"/>
      <c r="KHV33" s="1551"/>
      <c r="KHW33" s="1551"/>
      <c r="KHX33" s="1551"/>
      <c r="KHY33" s="1551"/>
      <c r="KHZ33" s="1551"/>
      <c r="KIA33" s="1551"/>
      <c r="KIB33" s="1551"/>
      <c r="KIC33" s="1551"/>
      <c r="KID33" s="1551"/>
      <c r="KIE33" s="1551"/>
      <c r="KIF33" s="1551"/>
      <c r="KIG33" s="1551"/>
      <c r="KIH33" s="1551"/>
      <c r="KII33" s="1551"/>
      <c r="KIJ33" s="1551"/>
      <c r="KIK33" s="1551"/>
      <c r="KIL33" s="1551"/>
      <c r="KIM33" s="1551"/>
      <c r="KIN33" s="1551"/>
      <c r="KIO33" s="1551"/>
      <c r="KIP33" s="1551"/>
      <c r="KIQ33" s="1551"/>
      <c r="KIR33" s="1551"/>
      <c r="KIS33" s="1551"/>
      <c r="KIT33" s="1551"/>
      <c r="KIU33" s="1551"/>
      <c r="KIV33" s="1551"/>
      <c r="KIW33" s="1551"/>
      <c r="KIX33" s="1551"/>
      <c r="KIY33" s="1551"/>
      <c r="KIZ33" s="1551"/>
      <c r="KJA33" s="1551"/>
      <c r="KJB33" s="1551"/>
      <c r="KJC33" s="1551"/>
      <c r="KJD33" s="1551"/>
      <c r="KJE33" s="1551"/>
      <c r="KJF33" s="1551"/>
      <c r="KJG33" s="1551"/>
      <c r="KJH33" s="1551"/>
      <c r="KJI33" s="1551"/>
      <c r="KJJ33" s="1551"/>
      <c r="KJK33" s="1551"/>
      <c r="KJL33" s="1551"/>
      <c r="KJM33" s="1551"/>
      <c r="KJN33" s="1551"/>
      <c r="KJO33" s="1551"/>
      <c r="KJP33" s="1551"/>
      <c r="KJQ33" s="1551"/>
      <c r="KJR33" s="1551"/>
      <c r="KJS33" s="1551"/>
      <c r="KJT33" s="1551"/>
      <c r="KJU33" s="1551"/>
      <c r="KJV33" s="1551"/>
      <c r="KJW33" s="1551"/>
      <c r="KJX33" s="1551"/>
      <c r="KJY33" s="1551"/>
      <c r="KJZ33" s="1551"/>
      <c r="KKA33" s="1551"/>
      <c r="KKB33" s="1551"/>
      <c r="KKC33" s="1551"/>
      <c r="KKD33" s="1551"/>
      <c r="KKE33" s="1551"/>
      <c r="KKF33" s="1551"/>
      <c r="KKG33" s="1551"/>
      <c r="KKH33" s="1551"/>
      <c r="KKI33" s="1551"/>
      <c r="KKJ33" s="1551"/>
      <c r="KKK33" s="1551"/>
      <c r="KKL33" s="1551"/>
      <c r="KKM33" s="1551"/>
      <c r="KKN33" s="1551"/>
      <c r="KKO33" s="1551"/>
      <c r="KKP33" s="1551"/>
      <c r="KKQ33" s="1551"/>
      <c r="KKR33" s="1551"/>
      <c r="KKS33" s="1551"/>
      <c r="KKT33" s="1551"/>
      <c r="KKU33" s="1551"/>
      <c r="KKV33" s="1551"/>
      <c r="KKW33" s="1551"/>
      <c r="KKX33" s="1551"/>
      <c r="KKY33" s="1551"/>
      <c r="KKZ33" s="1551"/>
      <c r="KLA33" s="1551"/>
      <c r="KLB33" s="1551"/>
      <c r="KLC33" s="1551"/>
      <c r="KLD33" s="1551"/>
      <c r="KLE33" s="1551"/>
      <c r="KLF33" s="1551"/>
      <c r="KLG33" s="1551"/>
      <c r="KLH33" s="1551"/>
      <c r="KLI33" s="1551"/>
      <c r="KLJ33" s="1551"/>
      <c r="KLK33" s="1551"/>
      <c r="KLL33" s="1551"/>
      <c r="KLM33" s="1551"/>
      <c r="KLN33" s="1551"/>
      <c r="KLO33" s="1551"/>
      <c r="KLP33" s="1551"/>
      <c r="KLQ33" s="1551"/>
      <c r="KLR33" s="1551"/>
      <c r="KLS33" s="1551"/>
      <c r="KLT33" s="1551"/>
      <c r="KLU33" s="1551"/>
      <c r="KLV33" s="1551"/>
      <c r="KLW33" s="1551"/>
      <c r="KLX33" s="1551"/>
      <c r="KLY33" s="1551"/>
      <c r="KLZ33" s="1551"/>
      <c r="KMA33" s="1551"/>
      <c r="KMB33" s="1551"/>
      <c r="KMC33" s="1551"/>
      <c r="KMD33" s="1551"/>
      <c r="KME33" s="1551"/>
      <c r="KMF33" s="1551"/>
      <c r="KMG33" s="1551"/>
      <c r="KMH33" s="1551"/>
      <c r="KMI33" s="1551"/>
      <c r="KMJ33" s="1551"/>
      <c r="KMK33" s="1551"/>
      <c r="KML33" s="1551"/>
      <c r="KMM33" s="1551"/>
      <c r="KMN33" s="1551"/>
      <c r="KMO33" s="1551"/>
      <c r="KMP33" s="1551"/>
      <c r="KMQ33" s="1551"/>
      <c r="KMR33" s="1551"/>
      <c r="KMS33" s="1551"/>
      <c r="KMT33" s="1551"/>
      <c r="KMU33" s="1551"/>
      <c r="KMV33" s="1551"/>
      <c r="KMW33" s="1551"/>
      <c r="KMX33" s="1551"/>
      <c r="KMY33" s="1551"/>
      <c r="KMZ33" s="1551"/>
      <c r="KNA33" s="1551"/>
      <c r="KNB33" s="1551"/>
      <c r="KNC33" s="1551"/>
      <c r="KND33" s="1551"/>
      <c r="KNE33" s="1551"/>
      <c r="KNF33" s="1551"/>
      <c r="KNG33" s="1551"/>
      <c r="KNH33" s="1551"/>
      <c r="KNI33" s="1551"/>
      <c r="KNJ33" s="1551"/>
      <c r="KNK33" s="1551"/>
      <c r="KNL33" s="1551"/>
      <c r="KNM33" s="1551"/>
      <c r="KNN33" s="1551"/>
      <c r="KNO33" s="1551"/>
      <c r="KNP33" s="1551"/>
      <c r="KNQ33" s="1551"/>
      <c r="KNR33" s="1551"/>
      <c r="KNS33" s="1551"/>
      <c r="KNT33" s="1551"/>
      <c r="KNU33" s="1551"/>
      <c r="KNV33" s="1551"/>
      <c r="KNW33" s="1551"/>
      <c r="KNX33" s="1551"/>
      <c r="KNY33" s="1551"/>
      <c r="KNZ33" s="1551"/>
      <c r="KOA33" s="1551"/>
      <c r="KOB33" s="1551"/>
      <c r="KOC33" s="1551"/>
      <c r="KOD33" s="1551"/>
      <c r="KOE33" s="1551"/>
      <c r="KOF33" s="1551"/>
      <c r="KOG33" s="1551"/>
      <c r="KOH33" s="1551"/>
      <c r="KOI33" s="1551"/>
      <c r="KOJ33" s="1551"/>
      <c r="KOK33" s="1551"/>
      <c r="KOL33" s="1551"/>
      <c r="KOM33" s="1551"/>
      <c r="KON33" s="1551"/>
      <c r="KOO33" s="1551"/>
      <c r="KOP33" s="1551"/>
      <c r="KOQ33" s="1551"/>
      <c r="KOR33" s="1551"/>
      <c r="KOS33" s="1551"/>
      <c r="KOT33" s="1551"/>
      <c r="KOU33" s="1551"/>
      <c r="KOV33" s="1551"/>
      <c r="KOW33" s="1551"/>
      <c r="KOX33" s="1551"/>
      <c r="KOY33" s="1551"/>
      <c r="KOZ33" s="1551"/>
      <c r="KPA33" s="1551"/>
      <c r="KPB33" s="1551"/>
      <c r="KPC33" s="1551"/>
      <c r="KPD33" s="1551"/>
      <c r="KPE33" s="1551"/>
      <c r="KPF33" s="1551"/>
      <c r="KPG33" s="1551"/>
      <c r="KPH33" s="1551"/>
      <c r="KPI33" s="1551"/>
      <c r="KPJ33" s="1551"/>
      <c r="KPK33" s="1551"/>
      <c r="KPL33" s="1551"/>
      <c r="KPM33" s="1551"/>
      <c r="KPN33" s="1551"/>
      <c r="KPO33" s="1551"/>
      <c r="KPP33" s="1551"/>
      <c r="KPQ33" s="1551"/>
      <c r="KPR33" s="1551"/>
      <c r="KPS33" s="1551"/>
      <c r="KPT33" s="1551"/>
      <c r="KPU33" s="1551"/>
      <c r="KPV33" s="1551"/>
      <c r="KPW33" s="1551"/>
      <c r="KPX33" s="1551"/>
      <c r="KPY33" s="1551"/>
      <c r="KPZ33" s="1551"/>
      <c r="KQA33" s="1551"/>
      <c r="KQB33" s="1551"/>
      <c r="KQC33" s="1551"/>
      <c r="KQD33" s="1551"/>
      <c r="KQE33" s="1551"/>
      <c r="KQF33" s="1551"/>
      <c r="KQG33" s="1551"/>
      <c r="KQH33" s="1551"/>
      <c r="KQI33" s="1551"/>
      <c r="KQJ33" s="1551"/>
      <c r="KQK33" s="1551"/>
      <c r="KQL33" s="1551"/>
      <c r="KQM33" s="1551"/>
      <c r="KQN33" s="1551"/>
      <c r="KQO33" s="1551"/>
      <c r="KQP33" s="1551"/>
      <c r="KQQ33" s="1551"/>
      <c r="KQR33" s="1551"/>
      <c r="KQS33" s="1551"/>
      <c r="KQT33" s="1551"/>
      <c r="KQU33" s="1551"/>
      <c r="KQV33" s="1551"/>
      <c r="KQW33" s="1551"/>
      <c r="KQX33" s="1551"/>
      <c r="KQY33" s="1551"/>
      <c r="KQZ33" s="1551"/>
      <c r="KRA33" s="1551"/>
      <c r="KRB33" s="1551"/>
      <c r="KRC33" s="1551"/>
      <c r="KRD33" s="1551"/>
      <c r="KRE33" s="1551"/>
      <c r="KRF33" s="1551"/>
      <c r="KRG33" s="1551"/>
      <c r="KRH33" s="1551"/>
      <c r="KRI33" s="1551"/>
      <c r="KRJ33" s="1551"/>
      <c r="KRK33" s="1551"/>
      <c r="KRL33" s="1551"/>
      <c r="KRM33" s="1551"/>
      <c r="KRN33" s="1551"/>
      <c r="KRO33" s="1551"/>
      <c r="KRP33" s="1551"/>
      <c r="KRQ33" s="1551"/>
      <c r="KRR33" s="1551"/>
      <c r="KRS33" s="1551"/>
      <c r="KRT33" s="1551"/>
      <c r="KRU33" s="1551"/>
      <c r="KRV33" s="1551"/>
      <c r="KRW33" s="1551"/>
      <c r="KRX33" s="1551"/>
      <c r="KRY33" s="1551"/>
      <c r="KRZ33" s="1551"/>
      <c r="KSA33" s="1551"/>
      <c r="KSB33" s="1551"/>
      <c r="KSC33" s="1551"/>
      <c r="KSD33" s="1551"/>
      <c r="KSE33" s="1551"/>
      <c r="KSF33" s="1551"/>
      <c r="KSG33" s="1551"/>
      <c r="KSH33" s="1551"/>
      <c r="KSI33" s="1551"/>
      <c r="KSJ33" s="1551"/>
      <c r="KSK33" s="1551"/>
      <c r="KSL33" s="1551"/>
      <c r="KSM33" s="1551"/>
      <c r="KSN33" s="1551"/>
      <c r="KSO33" s="1551"/>
      <c r="KSP33" s="1551"/>
      <c r="KSQ33" s="1551"/>
      <c r="KSR33" s="1551"/>
      <c r="KSS33" s="1551"/>
      <c r="KST33" s="1551"/>
      <c r="KSU33" s="1551"/>
      <c r="KSV33" s="1551"/>
      <c r="KSW33" s="1551"/>
      <c r="KSX33" s="1551"/>
      <c r="KSY33" s="1551"/>
      <c r="KSZ33" s="1551"/>
      <c r="KTA33" s="1551"/>
      <c r="KTB33" s="1551"/>
      <c r="KTC33" s="1551"/>
      <c r="KTD33" s="1551"/>
      <c r="KTE33" s="1551"/>
      <c r="KTF33" s="1551"/>
      <c r="KTG33" s="1551"/>
      <c r="KTH33" s="1551"/>
      <c r="KTI33" s="1551"/>
      <c r="KTJ33" s="1551"/>
      <c r="KTK33" s="1551"/>
      <c r="KTL33" s="1551"/>
      <c r="KTM33" s="1551"/>
      <c r="KTN33" s="1551"/>
      <c r="KTO33" s="1551"/>
      <c r="KTP33" s="1551"/>
      <c r="KTQ33" s="1551"/>
      <c r="KTR33" s="1551"/>
      <c r="KTS33" s="1551"/>
      <c r="KTT33" s="1551"/>
      <c r="KTU33" s="1551"/>
      <c r="KTV33" s="1551"/>
      <c r="KTW33" s="1551"/>
      <c r="KTX33" s="1551"/>
      <c r="KTY33" s="1551"/>
      <c r="KTZ33" s="1551"/>
      <c r="KUA33" s="1551"/>
      <c r="KUB33" s="1551"/>
      <c r="KUC33" s="1551"/>
      <c r="KUD33" s="1551"/>
      <c r="KUE33" s="1551"/>
      <c r="KUF33" s="1551"/>
      <c r="KUG33" s="1551"/>
      <c r="KUH33" s="1551"/>
      <c r="KUI33" s="1551"/>
      <c r="KUJ33" s="1551"/>
      <c r="KUK33" s="1551"/>
      <c r="KUL33" s="1551"/>
      <c r="KUM33" s="1551"/>
      <c r="KUN33" s="1551"/>
      <c r="KUO33" s="1551"/>
      <c r="KUP33" s="1551"/>
      <c r="KUQ33" s="1551"/>
      <c r="KUR33" s="1551"/>
      <c r="KUS33" s="1551"/>
      <c r="KUT33" s="1551"/>
      <c r="KUU33" s="1551"/>
      <c r="KUV33" s="1551"/>
      <c r="KUW33" s="1551"/>
      <c r="KUX33" s="1551"/>
      <c r="KUY33" s="1551"/>
      <c r="KUZ33" s="1551"/>
      <c r="KVA33" s="1551"/>
      <c r="KVB33" s="1551"/>
      <c r="KVC33" s="1551"/>
      <c r="KVD33" s="1551"/>
      <c r="KVE33" s="1551"/>
      <c r="KVF33" s="1551"/>
      <c r="KVG33" s="1551"/>
      <c r="KVH33" s="1551"/>
      <c r="KVI33" s="1551"/>
      <c r="KVJ33" s="1551"/>
      <c r="KVK33" s="1551"/>
      <c r="KVL33" s="1551"/>
      <c r="KVM33" s="1551"/>
      <c r="KVN33" s="1551"/>
      <c r="KVO33" s="1551"/>
      <c r="KVP33" s="1551"/>
      <c r="KVQ33" s="1551"/>
      <c r="KVR33" s="1551"/>
      <c r="KVS33" s="1551"/>
      <c r="KVT33" s="1551"/>
      <c r="KVU33" s="1551"/>
      <c r="KVV33" s="1551"/>
      <c r="KVW33" s="1551"/>
      <c r="KVX33" s="1551"/>
      <c r="KVY33" s="1551"/>
      <c r="KVZ33" s="1551"/>
      <c r="KWA33" s="1551"/>
      <c r="KWB33" s="1551"/>
      <c r="KWC33" s="1551"/>
      <c r="KWD33" s="1551"/>
      <c r="KWE33" s="1551"/>
      <c r="KWF33" s="1551"/>
      <c r="KWG33" s="1551"/>
      <c r="KWH33" s="1551"/>
      <c r="KWI33" s="1551"/>
      <c r="KWJ33" s="1551"/>
      <c r="KWK33" s="1551"/>
      <c r="KWL33" s="1551"/>
      <c r="KWM33" s="1551"/>
      <c r="KWN33" s="1551"/>
      <c r="KWO33" s="1551"/>
      <c r="KWP33" s="1551"/>
      <c r="KWQ33" s="1551"/>
      <c r="KWR33" s="1551"/>
      <c r="KWS33" s="1551"/>
      <c r="KWT33" s="1551"/>
      <c r="KWU33" s="1551"/>
      <c r="KWV33" s="1551"/>
      <c r="KWW33" s="1551"/>
      <c r="KWX33" s="1551"/>
      <c r="KWY33" s="1551"/>
      <c r="KWZ33" s="1551"/>
      <c r="KXA33" s="1551"/>
      <c r="KXB33" s="1551"/>
      <c r="KXC33" s="1551"/>
      <c r="KXD33" s="1551"/>
      <c r="KXE33" s="1551"/>
      <c r="KXF33" s="1551"/>
      <c r="KXG33" s="1551"/>
      <c r="KXH33" s="1551"/>
      <c r="KXI33" s="1551"/>
      <c r="KXJ33" s="1551"/>
      <c r="KXK33" s="1551"/>
      <c r="KXL33" s="1551"/>
      <c r="KXM33" s="1551"/>
      <c r="KXN33" s="1551"/>
      <c r="KXO33" s="1551"/>
      <c r="KXP33" s="1551"/>
      <c r="KXQ33" s="1551"/>
      <c r="KXR33" s="1551"/>
      <c r="KXS33" s="1551"/>
      <c r="KXT33" s="1551"/>
      <c r="KXU33" s="1551"/>
      <c r="KXV33" s="1551"/>
      <c r="KXW33" s="1551"/>
      <c r="KXX33" s="1551"/>
      <c r="KXY33" s="1551"/>
      <c r="KXZ33" s="1551"/>
      <c r="KYA33" s="1551"/>
      <c r="KYB33" s="1551"/>
      <c r="KYC33" s="1551"/>
      <c r="KYD33" s="1551"/>
      <c r="KYE33" s="1551"/>
      <c r="KYF33" s="1551"/>
      <c r="KYG33" s="1551"/>
      <c r="KYH33" s="1551"/>
      <c r="KYI33" s="1551"/>
      <c r="KYJ33" s="1551"/>
      <c r="KYK33" s="1551"/>
      <c r="KYL33" s="1551"/>
      <c r="KYM33" s="1551"/>
      <c r="KYN33" s="1551"/>
      <c r="KYO33" s="1551"/>
      <c r="KYP33" s="1551"/>
      <c r="KYQ33" s="1551"/>
      <c r="KYR33" s="1551"/>
      <c r="KYS33" s="1551"/>
      <c r="KYT33" s="1551"/>
      <c r="KYU33" s="1551"/>
      <c r="KYV33" s="1551"/>
      <c r="KYW33" s="1551"/>
      <c r="KYX33" s="1551"/>
      <c r="KYY33" s="1551"/>
      <c r="KYZ33" s="1551"/>
      <c r="KZA33" s="1551"/>
      <c r="KZB33" s="1551"/>
      <c r="KZC33" s="1551"/>
      <c r="KZD33" s="1551"/>
      <c r="KZE33" s="1551"/>
      <c r="KZF33" s="1551"/>
      <c r="KZG33" s="1551"/>
      <c r="KZH33" s="1551"/>
      <c r="KZI33" s="1551"/>
      <c r="KZJ33" s="1551"/>
      <c r="KZK33" s="1551"/>
      <c r="KZL33" s="1551"/>
      <c r="KZM33" s="1551"/>
      <c r="KZN33" s="1551"/>
      <c r="KZO33" s="1551"/>
      <c r="KZP33" s="1551"/>
      <c r="KZQ33" s="1551"/>
      <c r="KZR33" s="1551"/>
      <c r="KZS33" s="1551"/>
      <c r="KZT33" s="1551"/>
      <c r="KZU33" s="1551"/>
      <c r="KZV33" s="1551"/>
      <c r="KZW33" s="1551"/>
      <c r="KZX33" s="1551"/>
      <c r="KZY33" s="1551"/>
      <c r="KZZ33" s="1551"/>
      <c r="LAA33" s="1551"/>
      <c r="LAB33" s="1551"/>
      <c r="LAC33" s="1551"/>
      <c r="LAD33" s="1551"/>
      <c r="LAE33" s="1551"/>
      <c r="LAF33" s="1551"/>
      <c r="LAG33" s="1551"/>
      <c r="LAH33" s="1551"/>
      <c r="LAI33" s="1551"/>
      <c r="LAJ33" s="1551"/>
      <c r="LAK33" s="1551"/>
      <c r="LAL33" s="1551"/>
      <c r="LAM33" s="1551"/>
      <c r="LAN33" s="1551"/>
      <c r="LAO33" s="1551"/>
      <c r="LAP33" s="1551"/>
      <c r="LAQ33" s="1551"/>
      <c r="LAR33" s="1551"/>
      <c r="LAS33" s="1551"/>
      <c r="LAT33" s="1551"/>
      <c r="LAU33" s="1551"/>
      <c r="LAV33" s="1551"/>
      <c r="LAW33" s="1551"/>
      <c r="LAX33" s="1551"/>
      <c r="LAY33" s="1551"/>
      <c r="LAZ33" s="1551"/>
      <c r="LBA33" s="1551"/>
      <c r="LBB33" s="1551"/>
      <c r="LBC33" s="1551"/>
      <c r="LBD33" s="1551"/>
      <c r="LBE33" s="1551"/>
      <c r="LBF33" s="1551"/>
      <c r="LBG33" s="1551"/>
      <c r="LBH33" s="1551"/>
      <c r="LBI33" s="1551"/>
      <c r="LBJ33" s="1551"/>
      <c r="LBK33" s="1551"/>
      <c r="LBL33" s="1551"/>
      <c r="LBM33" s="1551"/>
      <c r="LBN33" s="1551"/>
      <c r="LBO33" s="1551"/>
      <c r="LBP33" s="1551"/>
      <c r="LBQ33" s="1551"/>
      <c r="LBR33" s="1551"/>
      <c r="LBS33" s="1551"/>
      <c r="LBT33" s="1551"/>
      <c r="LBU33" s="1551"/>
      <c r="LBV33" s="1551"/>
      <c r="LBW33" s="1551"/>
      <c r="LBX33" s="1551"/>
      <c r="LBY33" s="1551"/>
      <c r="LBZ33" s="1551"/>
      <c r="LCA33" s="1551"/>
      <c r="LCB33" s="1551"/>
      <c r="LCC33" s="1551"/>
      <c r="LCD33" s="1551"/>
      <c r="LCE33" s="1551"/>
      <c r="LCF33" s="1551"/>
      <c r="LCG33" s="1551"/>
      <c r="LCH33" s="1551"/>
      <c r="LCI33" s="1551"/>
      <c r="LCJ33" s="1551"/>
      <c r="LCK33" s="1551"/>
      <c r="LCL33" s="1551"/>
      <c r="LCM33" s="1551"/>
      <c r="LCN33" s="1551"/>
      <c r="LCO33" s="1551"/>
      <c r="LCP33" s="1551"/>
      <c r="LCQ33" s="1551"/>
      <c r="LCR33" s="1551"/>
      <c r="LCS33" s="1551"/>
      <c r="LCT33" s="1551"/>
      <c r="LCU33" s="1551"/>
      <c r="LCV33" s="1551"/>
      <c r="LCW33" s="1551"/>
      <c r="LCX33" s="1551"/>
      <c r="LCY33" s="1551"/>
      <c r="LCZ33" s="1551"/>
      <c r="LDA33" s="1551"/>
      <c r="LDB33" s="1551"/>
      <c r="LDC33" s="1551"/>
      <c r="LDD33" s="1551"/>
      <c r="LDE33" s="1551"/>
      <c r="LDF33" s="1551"/>
      <c r="LDG33" s="1551"/>
      <c r="LDH33" s="1551"/>
      <c r="LDI33" s="1551"/>
      <c r="LDJ33" s="1551"/>
      <c r="LDK33" s="1551"/>
      <c r="LDL33" s="1551"/>
      <c r="LDM33" s="1551"/>
      <c r="LDN33" s="1551"/>
      <c r="LDO33" s="1551"/>
      <c r="LDP33" s="1551"/>
      <c r="LDQ33" s="1551"/>
      <c r="LDR33" s="1551"/>
      <c r="LDS33" s="1551"/>
      <c r="LDT33" s="1551"/>
      <c r="LDU33" s="1551"/>
      <c r="LDV33" s="1551"/>
      <c r="LDW33" s="1551"/>
      <c r="LDX33" s="1551"/>
      <c r="LDY33" s="1551"/>
      <c r="LDZ33" s="1551"/>
      <c r="LEA33" s="1551"/>
      <c r="LEB33" s="1551"/>
      <c r="LEC33" s="1551"/>
      <c r="LED33" s="1551"/>
      <c r="LEE33" s="1551"/>
      <c r="LEF33" s="1551"/>
      <c r="LEG33" s="1551"/>
      <c r="LEH33" s="1551"/>
      <c r="LEI33" s="1551"/>
      <c r="LEJ33" s="1551"/>
      <c r="LEK33" s="1551"/>
      <c r="LEL33" s="1551"/>
      <c r="LEM33" s="1551"/>
      <c r="LEN33" s="1551"/>
      <c r="LEO33" s="1551"/>
      <c r="LEP33" s="1551"/>
      <c r="LEQ33" s="1551"/>
      <c r="LER33" s="1551"/>
      <c r="LES33" s="1551"/>
      <c r="LET33" s="1551"/>
      <c r="LEU33" s="1551"/>
      <c r="LEV33" s="1551"/>
      <c r="LEW33" s="1551"/>
      <c r="LEX33" s="1551"/>
      <c r="LEY33" s="1551"/>
      <c r="LEZ33" s="1551"/>
      <c r="LFA33" s="1551"/>
      <c r="LFB33" s="1551"/>
      <c r="LFC33" s="1551"/>
      <c r="LFD33" s="1551"/>
      <c r="LFE33" s="1551"/>
      <c r="LFF33" s="1551"/>
      <c r="LFG33" s="1551"/>
      <c r="LFH33" s="1551"/>
      <c r="LFI33" s="1551"/>
      <c r="LFJ33" s="1551"/>
      <c r="LFK33" s="1551"/>
      <c r="LFL33" s="1551"/>
      <c r="LFM33" s="1551"/>
      <c r="LFN33" s="1551"/>
      <c r="LFO33" s="1551"/>
      <c r="LFP33" s="1551"/>
      <c r="LFQ33" s="1551"/>
      <c r="LFR33" s="1551"/>
      <c r="LFS33" s="1551"/>
      <c r="LFT33" s="1551"/>
      <c r="LFU33" s="1551"/>
      <c r="LFV33" s="1551"/>
      <c r="LFW33" s="1551"/>
      <c r="LFX33" s="1551"/>
      <c r="LFY33" s="1551"/>
      <c r="LFZ33" s="1551"/>
      <c r="LGA33" s="1551"/>
      <c r="LGB33" s="1551"/>
      <c r="LGC33" s="1551"/>
      <c r="LGD33" s="1551"/>
      <c r="LGE33" s="1551"/>
      <c r="LGF33" s="1551"/>
      <c r="LGG33" s="1551"/>
      <c r="LGH33" s="1551"/>
      <c r="LGI33" s="1551"/>
      <c r="LGJ33" s="1551"/>
      <c r="LGK33" s="1551"/>
      <c r="LGL33" s="1551"/>
      <c r="LGM33" s="1551"/>
      <c r="LGN33" s="1551"/>
      <c r="LGO33" s="1551"/>
      <c r="LGP33" s="1551"/>
      <c r="LGQ33" s="1551"/>
      <c r="LGR33" s="1551"/>
      <c r="LGS33" s="1551"/>
      <c r="LGT33" s="1551"/>
      <c r="LGU33" s="1551"/>
      <c r="LGV33" s="1551"/>
      <c r="LGW33" s="1551"/>
      <c r="LGX33" s="1551"/>
      <c r="LGY33" s="1551"/>
      <c r="LGZ33" s="1551"/>
      <c r="LHA33" s="1551"/>
      <c r="LHB33" s="1551"/>
      <c r="LHC33" s="1551"/>
      <c r="LHD33" s="1551"/>
      <c r="LHE33" s="1551"/>
      <c r="LHF33" s="1551"/>
      <c r="LHG33" s="1551"/>
      <c r="LHH33" s="1551"/>
      <c r="LHI33" s="1551"/>
      <c r="LHJ33" s="1551"/>
      <c r="LHK33" s="1551"/>
      <c r="LHL33" s="1551"/>
      <c r="LHM33" s="1551"/>
      <c r="LHN33" s="1551"/>
      <c r="LHO33" s="1551"/>
      <c r="LHP33" s="1551"/>
      <c r="LHQ33" s="1551"/>
      <c r="LHR33" s="1551"/>
      <c r="LHS33" s="1551"/>
      <c r="LHT33" s="1551"/>
      <c r="LHU33" s="1551"/>
      <c r="LHV33" s="1551"/>
      <c r="LHW33" s="1551"/>
      <c r="LHX33" s="1551"/>
      <c r="LHY33" s="1551"/>
      <c r="LHZ33" s="1551"/>
      <c r="LIA33" s="1551"/>
      <c r="LIB33" s="1551"/>
      <c r="LIC33" s="1551"/>
      <c r="LID33" s="1551"/>
      <c r="LIE33" s="1551"/>
      <c r="LIF33" s="1551"/>
      <c r="LIG33" s="1551"/>
      <c r="LIH33" s="1551"/>
      <c r="LII33" s="1551"/>
      <c r="LIJ33" s="1551"/>
      <c r="LIK33" s="1551"/>
      <c r="LIL33" s="1551"/>
      <c r="LIM33" s="1551"/>
      <c r="LIN33" s="1551"/>
      <c r="LIO33" s="1551"/>
      <c r="LIP33" s="1551"/>
      <c r="LIQ33" s="1551"/>
      <c r="LIR33" s="1551"/>
      <c r="LIS33" s="1551"/>
      <c r="LIT33" s="1551"/>
      <c r="LIU33" s="1551"/>
      <c r="LIV33" s="1551"/>
      <c r="LIW33" s="1551"/>
      <c r="LIX33" s="1551"/>
      <c r="LIY33" s="1551"/>
      <c r="LIZ33" s="1551"/>
      <c r="LJA33" s="1551"/>
      <c r="LJB33" s="1551"/>
      <c r="LJC33" s="1551"/>
      <c r="LJD33" s="1551"/>
      <c r="LJE33" s="1551"/>
      <c r="LJF33" s="1551"/>
      <c r="LJG33" s="1551"/>
      <c r="LJH33" s="1551"/>
      <c r="LJI33" s="1551"/>
      <c r="LJJ33" s="1551"/>
      <c r="LJK33" s="1551"/>
      <c r="LJL33" s="1551"/>
      <c r="LJM33" s="1551"/>
      <c r="LJN33" s="1551"/>
      <c r="LJO33" s="1551"/>
      <c r="LJP33" s="1551"/>
      <c r="LJQ33" s="1551"/>
      <c r="LJR33" s="1551"/>
      <c r="LJS33" s="1551"/>
      <c r="LJT33" s="1551"/>
      <c r="LJU33" s="1551"/>
      <c r="LJV33" s="1551"/>
      <c r="LJW33" s="1551"/>
      <c r="LJX33" s="1551"/>
      <c r="LJY33" s="1551"/>
      <c r="LJZ33" s="1551"/>
      <c r="LKA33" s="1551"/>
      <c r="LKB33" s="1551"/>
      <c r="LKC33" s="1551"/>
      <c r="LKD33" s="1551"/>
      <c r="LKE33" s="1551"/>
      <c r="LKF33" s="1551"/>
      <c r="LKG33" s="1551"/>
      <c r="LKH33" s="1551"/>
      <c r="LKI33" s="1551"/>
      <c r="LKJ33" s="1551"/>
      <c r="LKK33" s="1551"/>
      <c r="LKL33" s="1551"/>
      <c r="LKM33" s="1551"/>
      <c r="LKN33" s="1551"/>
      <c r="LKO33" s="1551"/>
      <c r="LKP33" s="1551"/>
      <c r="LKQ33" s="1551"/>
      <c r="LKR33" s="1551"/>
      <c r="LKS33" s="1551"/>
      <c r="LKT33" s="1551"/>
      <c r="LKU33" s="1551"/>
      <c r="LKV33" s="1551"/>
      <c r="LKW33" s="1551"/>
      <c r="LKX33" s="1551"/>
      <c r="LKY33" s="1551"/>
      <c r="LKZ33" s="1551"/>
      <c r="LLA33" s="1551"/>
      <c r="LLB33" s="1551"/>
      <c r="LLC33" s="1551"/>
      <c r="LLD33" s="1551"/>
      <c r="LLE33" s="1551"/>
      <c r="LLF33" s="1551"/>
      <c r="LLG33" s="1551"/>
      <c r="LLH33" s="1551"/>
      <c r="LLI33" s="1551"/>
      <c r="LLJ33" s="1551"/>
      <c r="LLK33" s="1551"/>
      <c r="LLL33" s="1551"/>
      <c r="LLM33" s="1551"/>
      <c r="LLN33" s="1551"/>
      <c r="LLO33" s="1551"/>
      <c r="LLP33" s="1551"/>
      <c r="LLQ33" s="1551"/>
      <c r="LLR33" s="1551"/>
      <c r="LLS33" s="1551"/>
      <c r="LLT33" s="1551"/>
      <c r="LLU33" s="1551"/>
      <c r="LLV33" s="1551"/>
      <c r="LLW33" s="1551"/>
      <c r="LLX33" s="1551"/>
      <c r="LLY33" s="1551"/>
      <c r="LLZ33" s="1551"/>
      <c r="LMA33" s="1551"/>
      <c r="LMB33" s="1551"/>
      <c r="LMC33" s="1551"/>
      <c r="LMD33" s="1551"/>
      <c r="LME33" s="1551"/>
      <c r="LMF33" s="1551"/>
      <c r="LMG33" s="1551"/>
      <c r="LMH33" s="1551"/>
      <c r="LMI33" s="1551"/>
      <c r="LMJ33" s="1551"/>
      <c r="LMK33" s="1551"/>
      <c r="LML33" s="1551"/>
      <c r="LMM33" s="1551"/>
      <c r="LMN33" s="1551"/>
      <c r="LMO33" s="1551"/>
      <c r="LMP33" s="1551"/>
      <c r="LMQ33" s="1551"/>
      <c r="LMR33" s="1551"/>
      <c r="LMS33" s="1551"/>
      <c r="LMT33" s="1551"/>
      <c r="LMU33" s="1551"/>
      <c r="LMV33" s="1551"/>
      <c r="LMW33" s="1551"/>
      <c r="LMX33" s="1551"/>
      <c r="LMY33" s="1551"/>
      <c r="LMZ33" s="1551"/>
      <c r="LNA33" s="1551"/>
      <c r="LNB33" s="1551"/>
      <c r="LNC33" s="1551"/>
      <c r="LND33" s="1551"/>
      <c r="LNE33" s="1551"/>
      <c r="LNF33" s="1551"/>
      <c r="LNG33" s="1551"/>
      <c r="LNH33" s="1551"/>
      <c r="LNI33" s="1551"/>
      <c r="LNJ33" s="1551"/>
      <c r="LNK33" s="1551"/>
      <c r="LNL33" s="1551"/>
      <c r="LNM33" s="1551"/>
      <c r="LNN33" s="1551"/>
      <c r="LNO33" s="1551"/>
      <c r="LNP33" s="1551"/>
      <c r="LNQ33" s="1551"/>
      <c r="LNR33" s="1551"/>
      <c r="LNS33" s="1551"/>
      <c r="LNT33" s="1551"/>
      <c r="LNU33" s="1551"/>
      <c r="LNV33" s="1551"/>
      <c r="LNW33" s="1551"/>
      <c r="LNX33" s="1551"/>
      <c r="LNY33" s="1551"/>
      <c r="LNZ33" s="1551"/>
      <c r="LOA33" s="1551"/>
      <c r="LOB33" s="1551"/>
      <c r="LOC33" s="1551"/>
      <c r="LOD33" s="1551"/>
      <c r="LOE33" s="1551"/>
      <c r="LOF33" s="1551"/>
      <c r="LOG33" s="1551"/>
      <c r="LOH33" s="1551"/>
      <c r="LOI33" s="1551"/>
      <c r="LOJ33" s="1551"/>
      <c r="LOK33" s="1551"/>
      <c r="LOL33" s="1551"/>
      <c r="LOM33" s="1551"/>
      <c r="LON33" s="1551"/>
      <c r="LOO33" s="1551"/>
      <c r="LOP33" s="1551"/>
      <c r="LOQ33" s="1551"/>
      <c r="LOR33" s="1551"/>
      <c r="LOS33" s="1551"/>
      <c r="LOT33" s="1551"/>
      <c r="LOU33" s="1551"/>
      <c r="LOV33" s="1551"/>
      <c r="LOW33" s="1551"/>
      <c r="LOX33" s="1551"/>
      <c r="LOY33" s="1551"/>
      <c r="LOZ33" s="1551"/>
      <c r="LPA33" s="1551"/>
      <c r="LPB33" s="1551"/>
      <c r="LPC33" s="1551"/>
      <c r="LPD33" s="1551"/>
      <c r="LPE33" s="1551"/>
      <c r="LPF33" s="1551"/>
      <c r="LPG33" s="1551"/>
      <c r="LPH33" s="1551"/>
      <c r="LPI33" s="1551"/>
      <c r="LPJ33" s="1551"/>
      <c r="LPK33" s="1551"/>
      <c r="LPL33" s="1551"/>
      <c r="LPM33" s="1551"/>
      <c r="LPN33" s="1551"/>
      <c r="LPO33" s="1551"/>
      <c r="LPP33" s="1551"/>
      <c r="LPQ33" s="1551"/>
      <c r="LPR33" s="1551"/>
      <c r="LPS33" s="1551"/>
      <c r="LPT33" s="1551"/>
      <c r="LPU33" s="1551"/>
      <c r="LPV33" s="1551"/>
      <c r="LPW33" s="1551"/>
      <c r="LPX33" s="1551"/>
      <c r="LPY33" s="1551"/>
      <c r="LPZ33" s="1551"/>
      <c r="LQA33" s="1551"/>
      <c r="LQB33" s="1551"/>
      <c r="LQC33" s="1551"/>
      <c r="LQD33" s="1551"/>
      <c r="LQE33" s="1551"/>
      <c r="LQF33" s="1551"/>
      <c r="LQG33" s="1551"/>
      <c r="LQH33" s="1551"/>
      <c r="LQI33" s="1551"/>
      <c r="LQJ33" s="1551"/>
      <c r="LQK33" s="1551"/>
      <c r="LQL33" s="1551"/>
      <c r="LQM33" s="1551"/>
      <c r="LQN33" s="1551"/>
      <c r="LQO33" s="1551"/>
      <c r="LQP33" s="1551"/>
      <c r="LQQ33" s="1551"/>
      <c r="LQR33" s="1551"/>
      <c r="LQS33" s="1551"/>
      <c r="LQT33" s="1551"/>
      <c r="LQU33" s="1551"/>
      <c r="LQV33" s="1551"/>
      <c r="LQW33" s="1551"/>
      <c r="LQX33" s="1551"/>
      <c r="LQY33" s="1551"/>
      <c r="LQZ33" s="1551"/>
      <c r="LRA33" s="1551"/>
      <c r="LRB33" s="1551"/>
      <c r="LRC33" s="1551"/>
      <c r="LRD33" s="1551"/>
      <c r="LRE33" s="1551"/>
      <c r="LRF33" s="1551"/>
      <c r="LRG33" s="1551"/>
      <c r="LRH33" s="1551"/>
      <c r="LRI33" s="1551"/>
      <c r="LRJ33" s="1551"/>
      <c r="LRK33" s="1551"/>
      <c r="LRL33" s="1551"/>
      <c r="LRM33" s="1551"/>
      <c r="LRN33" s="1551"/>
      <c r="LRO33" s="1551"/>
      <c r="LRP33" s="1551"/>
      <c r="LRQ33" s="1551"/>
      <c r="LRR33" s="1551"/>
      <c r="LRS33" s="1551"/>
      <c r="LRT33" s="1551"/>
      <c r="LRU33" s="1551"/>
      <c r="LRV33" s="1551"/>
      <c r="LRW33" s="1551"/>
      <c r="LRX33" s="1551"/>
      <c r="LRY33" s="1551"/>
      <c r="LRZ33" s="1551"/>
      <c r="LSA33" s="1551"/>
      <c r="LSB33" s="1551"/>
      <c r="LSC33" s="1551"/>
      <c r="LSD33" s="1551"/>
      <c r="LSE33" s="1551"/>
      <c r="LSF33" s="1551"/>
      <c r="LSG33" s="1551"/>
      <c r="LSH33" s="1551"/>
      <c r="LSI33" s="1551"/>
      <c r="LSJ33" s="1551"/>
      <c r="LSK33" s="1551"/>
      <c r="LSL33" s="1551"/>
      <c r="LSM33" s="1551"/>
      <c r="LSN33" s="1551"/>
      <c r="LSO33" s="1551"/>
      <c r="LSP33" s="1551"/>
      <c r="LSQ33" s="1551"/>
      <c r="LSR33" s="1551"/>
      <c r="LSS33" s="1551"/>
      <c r="LST33" s="1551"/>
      <c r="LSU33" s="1551"/>
      <c r="LSV33" s="1551"/>
      <c r="LSW33" s="1551"/>
      <c r="LSX33" s="1551"/>
      <c r="LSY33" s="1551"/>
      <c r="LSZ33" s="1551"/>
      <c r="LTA33" s="1551"/>
      <c r="LTB33" s="1551"/>
      <c r="LTC33" s="1551"/>
      <c r="LTD33" s="1551"/>
      <c r="LTE33" s="1551"/>
      <c r="LTF33" s="1551"/>
      <c r="LTG33" s="1551"/>
      <c r="LTH33" s="1551"/>
      <c r="LTI33" s="1551"/>
      <c r="LTJ33" s="1551"/>
      <c r="LTK33" s="1551"/>
      <c r="LTL33" s="1551"/>
      <c r="LTM33" s="1551"/>
      <c r="LTN33" s="1551"/>
      <c r="LTO33" s="1551"/>
      <c r="LTP33" s="1551"/>
      <c r="LTQ33" s="1551"/>
      <c r="LTR33" s="1551"/>
      <c r="LTS33" s="1551"/>
      <c r="LTT33" s="1551"/>
      <c r="LTU33" s="1551"/>
      <c r="LTV33" s="1551"/>
      <c r="LTW33" s="1551"/>
      <c r="LTX33" s="1551"/>
      <c r="LTY33" s="1551"/>
      <c r="LTZ33" s="1551"/>
      <c r="LUA33" s="1551"/>
      <c r="LUB33" s="1551"/>
      <c r="LUC33" s="1551"/>
      <c r="LUD33" s="1551"/>
      <c r="LUE33" s="1551"/>
      <c r="LUF33" s="1551"/>
      <c r="LUG33" s="1551"/>
      <c r="LUH33" s="1551"/>
      <c r="LUI33" s="1551"/>
      <c r="LUJ33" s="1551"/>
      <c r="LUK33" s="1551"/>
      <c r="LUL33" s="1551"/>
      <c r="LUM33" s="1551"/>
      <c r="LUN33" s="1551"/>
      <c r="LUO33" s="1551"/>
      <c r="LUP33" s="1551"/>
      <c r="LUQ33" s="1551"/>
      <c r="LUR33" s="1551"/>
      <c r="LUS33" s="1551"/>
      <c r="LUT33" s="1551"/>
      <c r="LUU33" s="1551"/>
      <c r="LUV33" s="1551"/>
      <c r="LUW33" s="1551"/>
      <c r="LUX33" s="1551"/>
      <c r="LUY33" s="1551"/>
      <c r="LUZ33" s="1551"/>
      <c r="LVA33" s="1551"/>
      <c r="LVB33" s="1551"/>
      <c r="LVC33" s="1551"/>
      <c r="LVD33" s="1551"/>
      <c r="LVE33" s="1551"/>
      <c r="LVF33" s="1551"/>
      <c r="LVG33" s="1551"/>
      <c r="LVH33" s="1551"/>
      <c r="LVI33" s="1551"/>
      <c r="LVJ33" s="1551"/>
      <c r="LVK33" s="1551"/>
      <c r="LVL33" s="1551"/>
      <c r="LVM33" s="1551"/>
      <c r="LVN33" s="1551"/>
      <c r="LVO33" s="1551"/>
      <c r="LVP33" s="1551"/>
      <c r="LVQ33" s="1551"/>
      <c r="LVR33" s="1551"/>
      <c r="LVS33" s="1551"/>
      <c r="LVT33" s="1551"/>
      <c r="LVU33" s="1551"/>
      <c r="LVV33" s="1551"/>
      <c r="LVW33" s="1551"/>
      <c r="LVX33" s="1551"/>
      <c r="LVY33" s="1551"/>
      <c r="LVZ33" s="1551"/>
      <c r="LWA33" s="1551"/>
      <c r="LWB33" s="1551"/>
      <c r="LWC33" s="1551"/>
      <c r="LWD33" s="1551"/>
      <c r="LWE33" s="1551"/>
      <c r="LWF33" s="1551"/>
      <c r="LWG33" s="1551"/>
      <c r="LWH33" s="1551"/>
      <c r="LWI33" s="1551"/>
      <c r="LWJ33" s="1551"/>
      <c r="LWK33" s="1551"/>
      <c r="LWL33" s="1551"/>
      <c r="LWM33" s="1551"/>
      <c r="LWN33" s="1551"/>
      <c r="LWO33" s="1551"/>
      <c r="LWP33" s="1551"/>
      <c r="LWQ33" s="1551"/>
      <c r="LWR33" s="1551"/>
      <c r="LWS33" s="1551"/>
      <c r="LWT33" s="1551"/>
      <c r="LWU33" s="1551"/>
      <c r="LWV33" s="1551"/>
      <c r="LWW33" s="1551"/>
      <c r="LWX33" s="1551"/>
      <c r="LWY33" s="1551"/>
      <c r="LWZ33" s="1551"/>
      <c r="LXA33" s="1551"/>
      <c r="LXB33" s="1551"/>
      <c r="LXC33" s="1551"/>
      <c r="LXD33" s="1551"/>
      <c r="LXE33" s="1551"/>
      <c r="LXF33" s="1551"/>
      <c r="LXG33" s="1551"/>
      <c r="LXH33" s="1551"/>
      <c r="LXI33" s="1551"/>
      <c r="LXJ33" s="1551"/>
      <c r="LXK33" s="1551"/>
      <c r="LXL33" s="1551"/>
      <c r="LXM33" s="1551"/>
      <c r="LXN33" s="1551"/>
      <c r="LXO33" s="1551"/>
      <c r="LXP33" s="1551"/>
      <c r="LXQ33" s="1551"/>
      <c r="LXR33" s="1551"/>
      <c r="LXS33" s="1551"/>
      <c r="LXT33" s="1551"/>
      <c r="LXU33" s="1551"/>
      <c r="LXV33" s="1551"/>
      <c r="LXW33" s="1551"/>
      <c r="LXX33" s="1551"/>
      <c r="LXY33" s="1551"/>
      <c r="LXZ33" s="1551"/>
      <c r="LYA33" s="1551"/>
      <c r="LYB33" s="1551"/>
      <c r="LYC33" s="1551"/>
      <c r="LYD33" s="1551"/>
      <c r="LYE33" s="1551"/>
      <c r="LYF33" s="1551"/>
      <c r="LYG33" s="1551"/>
      <c r="LYH33" s="1551"/>
      <c r="LYI33" s="1551"/>
      <c r="LYJ33" s="1551"/>
      <c r="LYK33" s="1551"/>
      <c r="LYL33" s="1551"/>
      <c r="LYM33" s="1551"/>
      <c r="LYN33" s="1551"/>
      <c r="LYO33" s="1551"/>
      <c r="LYP33" s="1551"/>
      <c r="LYQ33" s="1551"/>
      <c r="LYR33" s="1551"/>
      <c r="LYS33" s="1551"/>
      <c r="LYT33" s="1551"/>
      <c r="LYU33" s="1551"/>
      <c r="LYV33" s="1551"/>
      <c r="LYW33" s="1551"/>
      <c r="LYX33" s="1551"/>
      <c r="LYY33" s="1551"/>
      <c r="LYZ33" s="1551"/>
      <c r="LZA33" s="1551"/>
      <c r="LZB33" s="1551"/>
      <c r="LZC33" s="1551"/>
      <c r="LZD33" s="1551"/>
      <c r="LZE33" s="1551"/>
      <c r="LZF33" s="1551"/>
      <c r="LZG33" s="1551"/>
      <c r="LZH33" s="1551"/>
      <c r="LZI33" s="1551"/>
      <c r="LZJ33" s="1551"/>
      <c r="LZK33" s="1551"/>
      <c r="LZL33" s="1551"/>
      <c r="LZM33" s="1551"/>
      <c r="LZN33" s="1551"/>
      <c r="LZO33" s="1551"/>
      <c r="LZP33" s="1551"/>
      <c r="LZQ33" s="1551"/>
      <c r="LZR33" s="1551"/>
      <c r="LZS33" s="1551"/>
      <c r="LZT33" s="1551"/>
      <c r="LZU33" s="1551"/>
      <c r="LZV33" s="1551"/>
      <c r="LZW33" s="1551"/>
      <c r="LZX33" s="1551"/>
      <c r="LZY33" s="1551"/>
      <c r="LZZ33" s="1551"/>
      <c r="MAA33" s="1551"/>
      <c r="MAB33" s="1551"/>
      <c r="MAC33" s="1551"/>
      <c r="MAD33" s="1551"/>
      <c r="MAE33" s="1551"/>
      <c r="MAF33" s="1551"/>
      <c r="MAG33" s="1551"/>
      <c r="MAH33" s="1551"/>
      <c r="MAI33" s="1551"/>
      <c r="MAJ33" s="1551"/>
      <c r="MAK33" s="1551"/>
      <c r="MAL33" s="1551"/>
      <c r="MAM33" s="1551"/>
      <c r="MAN33" s="1551"/>
      <c r="MAO33" s="1551"/>
      <c r="MAP33" s="1551"/>
      <c r="MAQ33" s="1551"/>
      <c r="MAR33" s="1551"/>
      <c r="MAS33" s="1551"/>
      <c r="MAT33" s="1551"/>
      <c r="MAU33" s="1551"/>
      <c r="MAV33" s="1551"/>
      <c r="MAW33" s="1551"/>
      <c r="MAX33" s="1551"/>
      <c r="MAY33" s="1551"/>
      <c r="MAZ33" s="1551"/>
      <c r="MBA33" s="1551"/>
      <c r="MBB33" s="1551"/>
      <c r="MBC33" s="1551"/>
      <c r="MBD33" s="1551"/>
      <c r="MBE33" s="1551"/>
      <c r="MBF33" s="1551"/>
      <c r="MBG33" s="1551"/>
      <c r="MBH33" s="1551"/>
      <c r="MBI33" s="1551"/>
      <c r="MBJ33" s="1551"/>
      <c r="MBK33" s="1551"/>
      <c r="MBL33" s="1551"/>
      <c r="MBM33" s="1551"/>
      <c r="MBN33" s="1551"/>
      <c r="MBO33" s="1551"/>
      <c r="MBP33" s="1551"/>
      <c r="MBQ33" s="1551"/>
      <c r="MBR33" s="1551"/>
      <c r="MBS33" s="1551"/>
      <c r="MBT33" s="1551"/>
      <c r="MBU33" s="1551"/>
      <c r="MBV33" s="1551"/>
      <c r="MBW33" s="1551"/>
      <c r="MBX33" s="1551"/>
      <c r="MBY33" s="1551"/>
      <c r="MBZ33" s="1551"/>
      <c r="MCA33" s="1551"/>
      <c r="MCB33" s="1551"/>
      <c r="MCC33" s="1551"/>
      <c r="MCD33" s="1551"/>
      <c r="MCE33" s="1551"/>
      <c r="MCF33" s="1551"/>
      <c r="MCG33" s="1551"/>
      <c r="MCH33" s="1551"/>
      <c r="MCI33" s="1551"/>
      <c r="MCJ33" s="1551"/>
      <c r="MCK33" s="1551"/>
      <c r="MCL33" s="1551"/>
      <c r="MCM33" s="1551"/>
      <c r="MCN33" s="1551"/>
      <c r="MCO33" s="1551"/>
      <c r="MCP33" s="1551"/>
      <c r="MCQ33" s="1551"/>
      <c r="MCR33" s="1551"/>
      <c r="MCS33" s="1551"/>
      <c r="MCT33" s="1551"/>
      <c r="MCU33" s="1551"/>
      <c r="MCV33" s="1551"/>
      <c r="MCW33" s="1551"/>
      <c r="MCX33" s="1551"/>
      <c r="MCY33" s="1551"/>
      <c r="MCZ33" s="1551"/>
      <c r="MDA33" s="1551"/>
      <c r="MDB33" s="1551"/>
      <c r="MDC33" s="1551"/>
      <c r="MDD33" s="1551"/>
      <c r="MDE33" s="1551"/>
      <c r="MDF33" s="1551"/>
      <c r="MDG33" s="1551"/>
      <c r="MDH33" s="1551"/>
      <c r="MDI33" s="1551"/>
      <c r="MDJ33" s="1551"/>
      <c r="MDK33" s="1551"/>
      <c r="MDL33" s="1551"/>
      <c r="MDM33" s="1551"/>
      <c r="MDN33" s="1551"/>
      <c r="MDO33" s="1551"/>
      <c r="MDP33" s="1551"/>
      <c r="MDQ33" s="1551"/>
      <c r="MDR33" s="1551"/>
      <c r="MDS33" s="1551"/>
      <c r="MDT33" s="1551"/>
      <c r="MDU33" s="1551"/>
      <c r="MDV33" s="1551"/>
      <c r="MDW33" s="1551"/>
      <c r="MDX33" s="1551"/>
      <c r="MDY33" s="1551"/>
      <c r="MDZ33" s="1551"/>
      <c r="MEA33" s="1551"/>
      <c r="MEB33" s="1551"/>
      <c r="MEC33" s="1551"/>
      <c r="MED33" s="1551"/>
      <c r="MEE33" s="1551"/>
      <c r="MEF33" s="1551"/>
      <c r="MEG33" s="1551"/>
      <c r="MEH33" s="1551"/>
      <c r="MEI33" s="1551"/>
      <c r="MEJ33" s="1551"/>
      <c r="MEK33" s="1551"/>
      <c r="MEL33" s="1551"/>
      <c r="MEM33" s="1551"/>
      <c r="MEN33" s="1551"/>
      <c r="MEO33" s="1551"/>
      <c r="MEP33" s="1551"/>
      <c r="MEQ33" s="1551"/>
      <c r="MER33" s="1551"/>
      <c r="MES33" s="1551"/>
      <c r="MET33" s="1551"/>
      <c r="MEU33" s="1551"/>
      <c r="MEV33" s="1551"/>
      <c r="MEW33" s="1551"/>
      <c r="MEX33" s="1551"/>
      <c r="MEY33" s="1551"/>
      <c r="MEZ33" s="1551"/>
      <c r="MFA33" s="1551"/>
      <c r="MFB33" s="1551"/>
      <c r="MFC33" s="1551"/>
      <c r="MFD33" s="1551"/>
      <c r="MFE33" s="1551"/>
      <c r="MFF33" s="1551"/>
      <c r="MFG33" s="1551"/>
      <c r="MFH33" s="1551"/>
      <c r="MFI33" s="1551"/>
      <c r="MFJ33" s="1551"/>
      <c r="MFK33" s="1551"/>
      <c r="MFL33" s="1551"/>
      <c r="MFM33" s="1551"/>
      <c r="MFN33" s="1551"/>
      <c r="MFO33" s="1551"/>
      <c r="MFP33" s="1551"/>
      <c r="MFQ33" s="1551"/>
      <c r="MFR33" s="1551"/>
      <c r="MFS33" s="1551"/>
      <c r="MFT33" s="1551"/>
      <c r="MFU33" s="1551"/>
      <c r="MFV33" s="1551"/>
      <c r="MFW33" s="1551"/>
      <c r="MFX33" s="1551"/>
      <c r="MFY33" s="1551"/>
      <c r="MFZ33" s="1551"/>
      <c r="MGA33" s="1551"/>
      <c r="MGB33" s="1551"/>
      <c r="MGC33" s="1551"/>
      <c r="MGD33" s="1551"/>
      <c r="MGE33" s="1551"/>
      <c r="MGF33" s="1551"/>
      <c r="MGG33" s="1551"/>
      <c r="MGH33" s="1551"/>
      <c r="MGI33" s="1551"/>
      <c r="MGJ33" s="1551"/>
      <c r="MGK33" s="1551"/>
      <c r="MGL33" s="1551"/>
      <c r="MGM33" s="1551"/>
      <c r="MGN33" s="1551"/>
      <c r="MGO33" s="1551"/>
      <c r="MGP33" s="1551"/>
      <c r="MGQ33" s="1551"/>
      <c r="MGR33" s="1551"/>
      <c r="MGS33" s="1551"/>
      <c r="MGT33" s="1551"/>
      <c r="MGU33" s="1551"/>
      <c r="MGV33" s="1551"/>
      <c r="MGW33" s="1551"/>
      <c r="MGX33" s="1551"/>
      <c r="MGY33" s="1551"/>
      <c r="MGZ33" s="1551"/>
      <c r="MHA33" s="1551"/>
      <c r="MHB33" s="1551"/>
      <c r="MHC33" s="1551"/>
      <c r="MHD33" s="1551"/>
      <c r="MHE33" s="1551"/>
      <c r="MHF33" s="1551"/>
      <c r="MHG33" s="1551"/>
      <c r="MHH33" s="1551"/>
      <c r="MHI33" s="1551"/>
      <c r="MHJ33" s="1551"/>
      <c r="MHK33" s="1551"/>
      <c r="MHL33" s="1551"/>
      <c r="MHM33" s="1551"/>
      <c r="MHN33" s="1551"/>
      <c r="MHO33" s="1551"/>
      <c r="MHP33" s="1551"/>
      <c r="MHQ33" s="1551"/>
      <c r="MHR33" s="1551"/>
      <c r="MHS33" s="1551"/>
      <c r="MHT33" s="1551"/>
      <c r="MHU33" s="1551"/>
      <c r="MHV33" s="1551"/>
      <c r="MHW33" s="1551"/>
      <c r="MHX33" s="1551"/>
      <c r="MHY33" s="1551"/>
      <c r="MHZ33" s="1551"/>
      <c r="MIA33" s="1551"/>
      <c r="MIB33" s="1551"/>
      <c r="MIC33" s="1551"/>
      <c r="MID33" s="1551"/>
      <c r="MIE33" s="1551"/>
      <c r="MIF33" s="1551"/>
      <c r="MIG33" s="1551"/>
      <c r="MIH33" s="1551"/>
      <c r="MII33" s="1551"/>
      <c r="MIJ33" s="1551"/>
      <c r="MIK33" s="1551"/>
      <c r="MIL33" s="1551"/>
      <c r="MIM33" s="1551"/>
      <c r="MIN33" s="1551"/>
      <c r="MIO33" s="1551"/>
      <c r="MIP33" s="1551"/>
      <c r="MIQ33" s="1551"/>
      <c r="MIR33" s="1551"/>
      <c r="MIS33" s="1551"/>
      <c r="MIT33" s="1551"/>
      <c r="MIU33" s="1551"/>
      <c r="MIV33" s="1551"/>
      <c r="MIW33" s="1551"/>
      <c r="MIX33" s="1551"/>
      <c r="MIY33" s="1551"/>
      <c r="MIZ33" s="1551"/>
      <c r="MJA33" s="1551"/>
      <c r="MJB33" s="1551"/>
      <c r="MJC33" s="1551"/>
      <c r="MJD33" s="1551"/>
      <c r="MJE33" s="1551"/>
      <c r="MJF33" s="1551"/>
      <c r="MJG33" s="1551"/>
      <c r="MJH33" s="1551"/>
      <c r="MJI33" s="1551"/>
      <c r="MJJ33" s="1551"/>
      <c r="MJK33" s="1551"/>
      <c r="MJL33" s="1551"/>
      <c r="MJM33" s="1551"/>
      <c r="MJN33" s="1551"/>
      <c r="MJO33" s="1551"/>
      <c r="MJP33" s="1551"/>
      <c r="MJQ33" s="1551"/>
      <c r="MJR33" s="1551"/>
      <c r="MJS33" s="1551"/>
      <c r="MJT33" s="1551"/>
      <c r="MJU33" s="1551"/>
      <c r="MJV33" s="1551"/>
      <c r="MJW33" s="1551"/>
      <c r="MJX33" s="1551"/>
      <c r="MJY33" s="1551"/>
      <c r="MJZ33" s="1551"/>
      <c r="MKA33" s="1551"/>
      <c r="MKB33" s="1551"/>
      <c r="MKC33" s="1551"/>
      <c r="MKD33" s="1551"/>
      <c r="MKE33" s="1551"/>
      <c r="MKF33" s="1551"/>
      <c r="MKG33" s="1551"/>
      <c r="MKH33" s="1551"/>
      <c r="MKI33" s="1551"/>
      <c r="MKJ33" s="1551"/>
      <c r="MKK33" s="1551"/>
      <c r="MKL33" s="1551"/>
      <c r="MKM33" s="1551"/>
      <c r="MKN33" s="1551"/>
      <c r="MKO33" s="1551"/>
      <c r="MKP33" s="1551"/>
      <c r="MKQ33" s="1551"/>
      <c r="MKR33" s="1551"/>
      <c r="MKS33" s="1551"/>
      <c r="MKT33" s="1551"/>
      <c r="MKU33" s="1551"/>
      <c r="MKV33" s="1551"/>
      <c r="MKW33" s="1551"/>
      <c r="MKX33" s="1551"/>
      <c r="MKY33" s="1551"/>
      <c r="MKZ33" s="1551"/>
      <c r="MLA33" s="1551"/>
      <c r="MLB33" s="1551"/>
      <c r="MLC33" s="1551"/>
      <c r="MLD33" s="1551"/>
      <c r="MLE33" s="1551"/>
      <c r="MLF33" s="1551"/>
      <c r="MLG33" s="1551"/>
      <c r="MLH33" s="1551"/>
      <c r="MLI33" s="1551"/>
      <c r="MLJ33" s="1551"/>
      <c r="MLK33" s="1551"/>
      <c r="MLL33" s="1551"/>
      <c r="MLM33" s="1551"/>
      <c r="MLN33" s="1551"/>
      <c r="MLO33" s="1551"/>
      <c r="MLP33" s="1551"/>
      <c r="MLQ33" s="1551"/>
      <c r="MLR33" s="1551"/>
      <c r="MLS33" s="1551"/>
      <c r="MLT33" s="1551"/>
      <c r="MLU33" s="1551"/>
      <c r="MLV33" s="1551"/>
      <c r="MLW33" s="1551"/>
      <c r="MLX33" s="1551"/>
      <c r="MLY33" s="1551"/>
      <c r="MLZ33" s="1551"/>
      <c r="MMA33" s="1551"/>
      <c r="MMB33" s="1551"/>
      <c r="MMC33" s="1551"/>
      <c r="MMD33" s="1551"/>
      <c r="MME33" s="1551"/>
      <c r="MMF33" s="1551"/>
      <c r="MMG33" s="1551"/>
      <c r="MMH33" s="1551"/>
      <c r="MMI33" s="1551"/>
      <c r="MMJ33" s="1551"/>
      <c r="MMK33" s="1551"/>
      <c r="MML33" s="1551"/>
      <c r="MMM33" s="1551"/>
      <c r="MMN33" s="1551"/>
      <c r="MMO33" s="1551"/>
      <c r="MMP33" s="1551"/>
      <c r="MMQ33" s="1551"/>
      <c r="MMR33" s="1551"/>
      <c r="MMS33" s="1551"/>
      <c r="MMT33" s="1551"/>
      <c r="MMU33" s="1551"/>
      <c r="MMV33" s="1551"/>
      <c r="MMW33" s="1551"/>
      <c r="MMX33" s="1551"/>
      <c r="MMY33" s="1551"/>
      <c r="MMZ33" s="1551"/>
      <c r="MNA33" s="1551"/>
      <c r="MNB33" s="1551"/>
      <c r="MNC33" s="1551"/>
      <c r="MND33" s="1551"/>
      <c r="MNE33" s="1551"/>
      <c r="MNF33" s="1551"/>
      <c r="MNG33" s="1551"/>
      <c r="MNH33" s="1551"/>
      <c r="MNI33" s="1551"/>
      <c r="MNJ33" s="1551"/>
      <c r="MNK33" s="1551"/>
      <c r="MNL33" s="1551"/>
      <c r="MNM33" s="1551"/>
      <c r="MNN33" s="1551"/>
      <c r="MNO33" s="1551"/>
      <c r="MNP33" s="1551"/>
      <c r="MNQ33" s="1551"/>
      <c r="MNR33" s="1551"/>
      <c r="MNS33" s="1551"/>
      <c r="MNT33" s="1551"/>
      <c r="MNU33" s="1551"/>
      <c r="MNV33" s="1551"/>
      <c r="MNW33" s="1551"/>
      <c r="MNX33" s="1551"/>
      <c r="MNY33" s="1551"/>
      <c r="MNZ33" s="1551"/>
      <c r="MOA33" s="1551"/>
      <c r="MOB33" s="1551"/>
      <c r="MOC33" s="1551"/>
      <c r="MOD33" s="1551"/>
      <c r="MOE33" s="1551"/>
      <c r="MOF33" s="1551"/>
      <c r="MOG33" s="1551"/>
      <c r="MOH33" s="1551"/>
      <c r="MOI33" s="1551"/>
      <c r="MOJ33" s="1551"/>
      <c r="MOK33" s="1551"/>
      <c r="MOL33" s="1551"/>
      <c r="MOM33" s="1551"/>
      <c r="MON33" s="1551"/>
      <c r="MOO33" s="1551"/>
      <c r="MOP33" s="1551"/>
      <c r="MOQ33" s="1551"/>
      <c r="MOR33" s="1551"/>
      <c r="MOS33" s="1551"/>
      <c r="MOT33" s="1551"/>
      <c r="MOU33" s="1551"/>
      <c r="MOV33" s="1551"/>
      <c r="MOW33" s="1551"/>
      <c r="MOX33" s="1551"/>
      <c r="MOY33" s="1551"/>
      <c r="MOZ33" s="1551"/>
      <c r="MPA33" s="1551"/>
      <c r="MPB33" s="1551"/>
      <c r="MPC33" s="1551"/>
      <c r="MPD33" s="1551"/>
      <c r="MPE33" s="1551"/>
      <c r="MPF33" s="1551"/>
      <c r="MPG33" s="1551"/>
      <c r="MPH33" s="1551"/>
      <c r="MPI33" s="1551"/>
      <c r="MPJ33" s="1551"/>
      <c r="MPK33" s="1551"/>
      <c r="MPL33" s="1551"/>
      <c r="MPM33" s="1551"/>
      <c r="MPN33" s="1551"/>
      <c r="MPO33" s="1551"/>
      <c r="MPP33" s="1551"/>
      <c r="MPQ33" s="1551"/>
      <c r="MPR33" s="1551"/>
      <c r="MPS33" s="1551"/>
      <c r="MPT33" s="1551"/>
      <c r="MPU33" s="1551"/>
      <c r="MPV33" s="1551"/>
      <c r="MPW33" s="1551"/>
      <c r="MPX33" s="1551"/>
      <c r="MPY33" s="1551"/>
      <c r="MPZ33" s="1551"/>
      <c r="MQA33" s="1551"/>
      <c r="MQB33" s="1551"/>
      <c r="MQC33" s="1551"/>
      <c r="MQD33" s="1551"/>
      <c r="MQE33" s="1551"/>
      <c r="MQF33" s="1551"/>
      <c r="MQG33" s="1551"/>
      <c r="MQH33" s="1551"/>
      <c r="MQI33" s="1551"/>
      <c r="MQJ33" s="1551"/>
      <c r="MQK33" s="1551"/>
      <c r="MQL33" s="1551"/>
      <c r="MQM33" s="1551"/>
      <c r="MQN33" s="1551"/>
      <c r="MQO33" s="1551"/>
      <c r="MQP33" s="1551"/>
      <c r="MQQ33" s="1551"/>
      <c r="MQR33" s="1551"/>
      <c r="MQS33" s="1551"/>
      <c r="MQT33" s="1551"/>
      <c r="MQU33" s="1551"/>
      <c r="MQV33" s="1551"/>
      <c r="MQW33" s="1551"/>
      <c r="MQX33" s="1551"/>
      <c r="MQY33" s="1551"/>
      <c r="MQZ33" s="1551"/>
      <c r="MRA33" s="1551"/>
      <c r="MRB33" s="1551"/>
      <c r="MRC33" s="1551"/>
      <c r="MRD33" s="1551"/>
      <c r="MRE33" s="1551"/>
      <c r="MRF33" s="1551"/>
      <c r="MRG33" s="1551"/>
      <c r="MRH33" s="1551"/>
      <c r="MRI33" s="1551"/>
      <c r="MRJ33" s="1551"/>
      <c r="MRK33" s="1551"/>
      <c r="MRL33" s="1551"/>
      <c r="MRM33" s="1551"/>
      <c r="MRN33" s="1551"/>
      <c r="MRO33" s="1551"/>
      <c r="MRP33" s="1551"/>
      <c r="MRQ33" s="1551"/>
      <c r="MRR33" s="1551"/>
      <c r="MRS33" s="1551"/>
      <c r="MRT33" s="1551"/>
      <c r="MRU33" s="1551"/>
      <c r="MRV33" s="1551"/>
      <c r="MRW33" s="1551"/>
      <c r="MRX33" s="1551"/>
      <c r="MRY33" s="1551"/>
      <c r="MRZ33" s="1551"/>
      <c r="MSA33" s="1551"/>
      <c r="MSB33" s="1551"/>
      <c r="MSC33" s="1551"/>
      <c r="MSD33" s="1551"/>
      <c r="MSE33" s="1551"/>
      <c r="MSF33" s="1551"/>
      <c r="MSG33" s="1551"/>
      <c r="MSH33" s="1551"/>
      <c r="MSI33" s="1551"/>
      <c r="MSJ33" s="1551"/>
      <c r="MSK33" s="1551"/>
      <c r="MSL33" s="1551"/>
      <c r="MSM33" s="1551"/>
      <c r="MSN33" s="1551"/>
      <c r="MSO33" s="1551"/>
      <c r="MSP33" s="1551"/>
      <c r="MSQ33" s="1551"/>
      <c r="MSR33" s="1551"/>
      <c r="MSS33" s="1551"/>
      <c r="MST33" s="1551"/>
      <c r="MSU33" s="1551"/>
      <c r="MSV33" s="1551"/>
      <c r="MSW33" s="1551"/>
      <c r="MSX33" s="1551"/>
      <c r="MSY33" s="1551"/>
      <c r="MSZ33" s="1551"/>
      <c r="MTA33" s="1551"/>
      <c r="MTB33" s="1551"/>
      <c r="MTC33" s="1551"/>
      <c r="MTD33" s="1551"/>
      <c r="MTE33" s="1551"/>
      <c r="MTF33" s="1551"/>
      <c r="MTG33" s="1551"/>
      <c r="MTH33" s="1551"/>
      <c r="MTI33" s="1551"/>
      <c r="MTJ33" s="1551"/>
      <c r="MTK33" s="1551"/>
      <c r="MTL33" s="1551"/>
      <c r="MTM33" s="1551"/>
      <c r="MTN33" s="1551"/>
      <c r="MTO33" s="1551"/>
      <c r="MTP33" s="1551"/>
      <c r="MTQ33" s="1551"/>
      <c r="MTR33" s="1551"/>
      <c r="MTS33" s="1551"/>
      <c r="MTT33" s="1551"/>
      <c r="MTU33" s="1551"/>
      <c r="MTV33" s="1551"/>
      <c r="MTW33" s="1551"/>
      <c r="MTX33" s="1551"/>
      <c r="MTY33" s="1551"/>
      <c r="MTZ33" s="1551"/>
      <c r="MUA33" s="1551"/>
      <c r="MUB33" s="1551"/>
      <c r="MUC33" s="1551"/>
      <c r="MUD33" s="1551"/>
      <c r="MUE33" s="1551"/>
      <c r="MUF33" s="1551"/>
      <c r="MUG33" s="1551"/>
      <c r="MUH33" s="1551"/>
      <c r="MUI33" s="1551"/>
      <c r="MUJ33" s="1551"/>
      <c r="MUK33" s="1551"/>
      <c r="MUL33" s="1551"/>
      <c r="MUM33" s="1551"/>
      <c r="MUN33" s="1551"/>
      <c r="MUO33" s="1551"/>
      <c r="MUP33" s="1551"/>
      <c r="MUQ33" s="1551"/>
      <c r="MUR33" s="1551"/>
      <c r="MUS33" s="1551"/>
      <c r="MUT33" s="1551"/>
      <c r="MUU33" s="1551"/>
      <c r="MUV33" s="1551"/>
      <c r="MUW33" s="1551"/>
      <c r="MUX33" s="1551"/>
      <c r="MUY33" s="1551"/>
      <c r="MUZ33" s="1551"/>
      <c r="MVA33" s="1551"/>
      <c r="MVB33" s="1551"/>
      <c r="MVC33" s="1551"/>
      <c r="MVD33" s="1551"/>
      <c r="MVE33" s="1551"/>
      <c r="MVF33" s="1551"/>
      <c r="MVG33" s="1551"/>
      <c r="MVH33" s="1551"/>
      <c r="MVI33" s="1551"/>
      <c r="MVJ33" s="1551"/>
      <c r="MVK33" s="1551"/>
      <c r="MVL33" s="1551"/>
      <c r="MVM33" s="1551"/>
      <c r="MVN33" s="1551"/>
      <c r="MVO33" s="1551"/>
      <c r="MVP33" s="1551"/>
      <c r="MVQ33" s="1551"/>
      <c r="MVR33" s="1551"/>
      <c r="MVS33" s="1551"/>
      <c r="MVT33" s="1551"/>
      <c r="MVU33" s="1551"/>
      <c r="MVV33" s="1551"/>
      <c r="MVW33" s="1551"/>
      <c r="MVX33" s="1551"/>
      <c r="MVY33" s="1551"/>
      <c r="MVZ33" s="1551"/>
      <c r="MWA33" s="1551"/>
      <c r="MWB33" s="1551"/>
      <c r="MWC33" s="1551"/>
      <c r="MWD33" s="1551"/>
      <c r="MWE33" s="1551"/>
      <c r="MWF33" s="1551"/>
      <c r="MWG33" s="1551"/>
      <c r="MWH33" s="1551"/>
      <c r="MWI33" s="1551"/>
      <c r="MWJ33" s="1551"/>
      <c r="MWK33" s="1551"/>
      <c r="MWL33" s="1551"/>
      <c r="MWM33" s="1551"/>
      <c r="MWN33" s="1551"/>
      <c r="MWO33" s="1551"/>
      <c r="MWP33" s="1551"/>
      <c r="MWQ33" s="1551"/>
      <c r="MWR33" s="1551"/>
      <c r="MWS33" s="1551"/>
      <c r="MWT33" s="1551"/>
      <c r="MWU33" s="1551"/>
      <c r="MWV33" s="1551"/>
      <c r="MWW33" s="1551"/>
      <c r="MWX33" s="1551"/>
      <c r="MWY33" s="1551"/>
      <c r="MWZ33" s="1551"/>
      <c r="MXA33" s="1551"/>
      <c r="MXB33" s="1551"/>
      <c r="MXC33" s="1551"/>
      <c r="MXD33" s="1551"/>
      <c r="MXE33" s="1551"/>
      <c r="MXF33" s="1551"/>
      <c r="MXG33" s="1551"/>
      <c r="MXH33" s="1551"/>
      <c r="MXI33" s="1551"/>
      <c r="MXJ33" s="1551"/>
      <c r="MXK33" s="1551"/>
      <c r="MXL33" s="1551"/>
      <c r="MXM33" s="1551"/>
      <c r="MXN33" s="1551"/>
      <c r="MXO33" s="1551"/>
      <c r="MXP33" s="1551"/>
      <c r="MXQ33" s="1551"/>
      <c r="MXR33" s="1551"/>
      <c r="MXS33" s="1551"/>
      <c r="MXT33" s="1551"/>
      <c r="MXU33" s="1551"/>
      <c r="MXV33" s="1551"/>
      <c r="MXW33" s="1551"/>
      <c r="MXX33" s="1551"/>
      <c r="MXY33" s="1551"/>
      <c r="MXZ33" s="1551"/>
      <c r="MYA33" s="1551"/>
      <c r="MYB33" s="1551"/>
      <c r="MYC33" s="1551"/>
      <c r="MYD33" s="1551"/>
      <c r="MYE33" s="1551"/>
      <c r="MYF33" s="1551"/>
      <c r="MYG33" s="1551"/>
      <c r="MYH33" s="1551"/>
      <c r="MYI33" s="1551"/>
      <c r="MYJ33" s="1551"/>
      <c r="MYK33" s="1551"/>
      <c r="MYL33" s="1551"/>
      <c r="MYM33" s="1551"/>
      <c r="MYN33" s="1551"/>
      <c r="MYO33" s="1551"/>
      <c r="MYP33" s="1551"/>
      <c r="MYQ33" s="1551"/>
      <c r="MYR33" s="1551"/>
      <c r="MYS33" s="1551"/>
      <c r="MYT33" s="1551"/>
      <c r="MYU33" s="1551"/>
      <c r="MYV33" s="1551"/>
      <c r="MYW33" s="1551"/>
      <c r="MYX33" s="1551"/>
      <c r="MYY33" s="1551"/>
      <c r="MYZ33" s="1551"/>
      <c r="MZA33" s="1551"/>
      <c r="MZB33" s="1551"/>
      <c r="MZC33" s="1551"/>
      <c r="MZD33" s="1551"/>
      <c r="MZE33" s="1551"/>
      <c r="MZF33" s="1551"/>
      <c r="MZG33" s="1551"/>
      <c r="MZH33" s="1551"/>
      <c r="MZI33" s="1551"/>
      <c r="MZJ33" s="1551"/>
      <c r="MZK33" s="1551"/>
      <c r="MZL33" s="1551"/>
      <c r="MZM33" s="1551"/>
      <c r="MZN33" s="1551"/>
      <c r="MZO33" s="1551"/>
      <c r="MZP33" s="1551"/>
      <c r="MZQ33" s="1551"/>
      <c r="MZR33" s="1551"/>
      <c r="MZS33" s="1551"/>
      <c r="MZT33" s="1551"/>
      <c r="MZU33" s="1551"/>
      <c r="MZV33" s="1551"/>
      <c r="MZW33" s="1551"/>
      <c r="MZX33" s="1551"/>
      <c r="MZY33" s="1551"/>
      <c r="MZZ33" s="1551"/>
      <c r="NAA33" s="1551"/>
      <c r="NAB33" s="1551"/>
      <c r="NAC33" s="1551"/>
      <c r="NAD33" s="1551"/>
      <c r="NAE33" s="1551"/>
      <c r="NAF33" s="1551"/>
      <c r="NAG33" s="1551"/>
      <c r="NAH33" s="1551"/>
      <c r="NAI33" s="1551"/>
      <c r="NAJ33" s="1551"/>
      <c r="NAK33" s="1551"/>
      <c r="NAL33" s="1551"/>
      <c r="NAM33" s="1551"/>
      <c r="NAN33" s="1551"/>
      <c r="NAO33" s="1551"/>
      <c r="NAP33" s="1551"/>
      <c r="NAQ33" s="1551"/>
      <c r="NAR33" s="1551"/>
      <c r="NAS33" s="1551"/>
      <c r="NAT33" s="1551"/>
      <c r="NAU33" s="1551"/>
      <c r="NAV33" s="1551"/>
      <c r="NAW33" s="1551"/>
      <c r="NAX33" s="1551"/>
      <c r="NAY33" s="1551"/>
      <c r="NAZ33" s="1551"/>
      <c r="NBA33" s="1551"/>
      <c r="NBB33" s="1551"/>
      <c r="NBC33" s="1551"/>
      <c r="NBD33" s="1551"/>
      <c r="NBE33" s="1551"/>
      <c r="NBF33" s="1551"/>
      <c r="NBG33" s="1551"/>
      <c r="NBH33" s="1551"/>
      <c r="NBI33" s="1551"/>
      <c r="NBJ33" s="1551"/>
      <c r="NBK33" s="1551"/>
      <c r="NBL33" s="1551"/>
      <c r="NBM33" s="1551"/>
      <c r="NBN33" s="1551"/>
      <c r="NBO33" s="1551"/>
      <c r="NBP33" s="1551"/>
      <c r="NBQ33" s="1551"/>
      <c r="NBR33" s="1551"/>
      <c r="NBS33" s="1551"/>
      <c r="NBT33" s="1551"/>
      <c r="NBU33" s="1551"/>
      <c r="NBV33" s="1551"/>
      <c r="NBW33" s="1551"/>
      <c r="NBX33" s="1551"/>
      <c r="NBY33" s="1551"/>
      <c r="NBZ33" s="1551"/>
      <c r="NCA33" s="1551"/>
      <c r="NCB33" s="1551"/>
      <c r="NCC33" s="1551"/>
      <c r="NCD33" s="1551"/>
      <c r="NCE33" s="1551"/>
      <c r="NCF33" s="1551"/>
      <c r="NCG33" s="1551"/>
      <c r="NCH33" s="1551"/>
      <c r="NCI33" s="1551"/>
      <c r="NCJ33" s="1551"/>
      <c r="NCK33" s="1551"/>
      <c r="NCL33" s="1551"/>
      <c r="NCM33" s="1551"/>
      <c r="NCN33" s="1551"/>
      <c r="NCO33" s="1551"/>
      <c r="NCP33" s="1551"/>
      <c r="NCQ33" s="1551"/>
      <c r="NCR33" s="1551"/>
      <c r="NCS33" s="1551"/>
      <c r="NCT33" s="1551"/>
      <c r="NCU33" s="1551"/>
      <c r="NCV33" s="1551"/>
      <c r="NCW33" s="1551"/>
      <c r="NCX33" s="1551"/>
      <c r="NCY33" s="1551"/>
      <c r="NCZ33" s="1551"/>
      <c r="NDA33" s="1551"/>
      <c r="NDB33" s="1551"/>
      <c r="NDC33" s="1551"/>
      <c r="NDD33" s="1551"/>
      <c r="NDE33" s="1551"/>
      <c r="NDF33" s="1551"/>
      <c r="NDG33" s="1551"/>
      <c r="NDH33" s="1551"/>
      <c r="NDI33" s="1551"/>
      <c r="NDJ33" s="1551"/>
      <c r="NDK33" s="1551"/>
      <c r="NDL33" s="1551"/>
      <c r="NDM33" s="1551"/>
      <c r="NDN33" s="1551"/>
      <c r="NDO33" s="1551"/>
      <c r="NDP33" s="1551"/>
      <c r="NDQ33" s="1551"/>
      <c r="NDR33" s="1551"/>
      <c r="NDS33" s="1551"/>
      <c r="NDT33" s="1551"/>
      <c r="NDU33" s="1551"/>
      <c r="NDV33" s="1551"/>
      <c r="NDW33" s="1551"/>
      <c r="NDX33" s="1551"/>
      <c r="NDY33" s="1551"/>
      <c r="NDZ33" s="1551"/>
      <c r="NEA33" s="1551"/>
      <c r="NEB33" s="1551"/>
      <c r="NEC33" s="1551"/>
      <c r="NED33" s="1551"/>
      <c r="NEE33" s="1551"/>
      <c r="NEF33" s="1551"/>
      <c r="NEG33" s="1551"/>
      <c r="NEH33" s="1551"/>
      <c r="NEI33" s="1551"/>
      <c r="NEJ33" s="1551"/>
      <c r="NEK33" s="1551"/>
      <c r="NEL33" s="1551"/>
      <c r="NEM33" s="1551"/>
      <c r="NEN33" s="1551"/>
      <c r="NEO33" s="1551"/>
      <c r="NEP33" s="1551"/>
      <c r="NEQ33" s="1551"/>
      <c r="NER33" s="1551"/>
      <c r="NES33" s="1551"/>
      <c r="NET33" s="1551"/>
      <c r="NEU33" s="1551"/>
      <c r="NEV33" s="1551"/>
      <c r="NEW33" s="1551"/>
      <c r="NEX33" s="1551"/>
      <c r="NEY33" s="1551"/>
      <c r="NEZ33" s="1551"/>
      <c r="NFA33" s="1551"/>
      <c r="NFB33" s="1551"/>
      <c r="NFC33" s="1551"/>
      <c r="NFD33" s="1551"/>
      <c r="NFE33" s="1551"/>
      <c r="NFF33" s="1551"/>
      <c r="NFG33" s="1551"/>
      <c r="NFH33" s="1551"/>
      <c r="NFI33" s="1551"/>
      <c r="NFJ33" s="1551"/>
      <c r="NFK33" s="1551"/>
      <c r="NFL33" s="1551"/>
      <c r="NFM33" s="1551"/>
      <c r="NFN33" s="1551"/>
      <c r="NFO33" s="1551"/>
      <c r="NFP33" s="1551"/>
      <c r="NFQ33" s="1551"/>
      <c r="NFR33" s="1551"/>
      <c r="NFS33" s="1551"/>
      <c r="NFT33" s="1551"/>
      <c r="NFU33" s="1551"/>
      <c r="NFV33" s="1551"/>
      <c r="NFW33" s="1551"/>
      <c r="NFX33" s="1551"/>
      <c r="NFY33" s="1551"/>
      <c r="NFZ33" s="1551"/>
      <c r="NGA33" s="1551"/>
      <c r="NGB33" s="1551"/>
      <c r="NGC33" s="1551"/>
      <c r="NGD33" s="1551"/>
      <c r="NGE33" s="1551"/>
      <c r="NGF33" s="1551"/>
      <c r="NGG33" s="1551"/>
      <c r="NGH33" s="1551"/>
      <c r="NGI33" s="1551"/>
      <c r="NGJ33" s="1551"/>
      <c r="NGK33" s="1551"/>
      <c r="NGL33" s="1551"/>
      <c r="NGM33" s="1551"/>
      <c r="NGN33" s="1551"/>
      <c r="NGO33" s="1551"/>
      <c r="NGP33" s="1551"/>
      <c r="NGQ33" s="1551"/>
      <c r="NGR33" s="1551"/>
      <c r="NGS33" s="1551"/>
      <c r="NGT33" s="1551"/>
      <c r="NGU33" s="1551"/>
      <c r="NGV33" s="1551"/>
      <c r="NGW33" s="1551"/>
      <c r="NGX33" s="1551"/>
      <c r="NGY33" s="1551"/>
      <c r="NGZ33" s="1551"/>
      <c r="NHA33" s="1551"/>
      <c r="NHB33" s="1551"/>
      <c r="NHC33" s="1551"/>
      <c r="NHD33" s="1551"/>
      <c r="NHE33" s="1551"/>
      <c r="NHF33" s="1551"/>
      <c r="NHG33" s="1551"/>
      <c r="NHH33" s="1551"/>
      <c r="NHI33" s="1551"/>
      <c r="NHJ33" s="1551"/>
      <c r="NHK33" s="1551"/>
      <c r="NHL33" s="1551"/>
      <c r="NHM33" s="1551"/>
      <c r="NHN33" s="1551"/>
      <c r="NHO33" s="1551"/>
      <c r="NHP33" s="1551"/>
      <c r="NHQ33" s="1551"/>
      <c r="NHR33" s="1551"/>
      <c r="NHS33" s="1551"/>
      <c r="NHT33" s="1551"/>
      <c r="NHU33" s="1551"/>
      <c r="NHV33" s="1551"/>
      <c r="NHW33" s="1551"/>
      <c r="NHX33" s="1551"/>
      <c r="NHY33" s="1551"/>
      <c r="NHZ33" s="1551"/>
      <c r="NIA33" s="1551"/>
      <c r="NIB33" s="1551"/>
      <c r="NIC33" s="1551"/>
      <c r="NID33" s="1551"/>
      <c r="NIE33" s="1551"/>
      <c r="NIF33" s="1551"/>
      <c r="NIG33" s="1551"/>
      <c r="NIH33" s="1551"/>
      <c r="NII33" s="1551"/>
      <c r="NIJ33" s="1551"/>
      <c r="NIK33" s="1551"/>
      <c r="NIL33" s="1551"/>
      <c r="NIM33" s="1551"/>
      <c r="NIN33" s="1551"/>
      <c r="NIO33" s="1551"/>
      <c r="NIP33" s="1551"/>
      <c r="NIQ33" s="1551"/>
      <c r="NIR33" s="1551"/>
      <c r="NIS33" s="1551"/>
      <c r="NIT33" s="1551"/>
      <c r="NIU33" s="1551"/>
      <c r="NIV33" s="1551"/>
      <c r="NIW33" s="1551"/>
      <c r="NIX33" s="1551"/>
      <c r="NIY33" s="1551"/>
      <c r="NIZ33" s="1551"/>
      <c r="NJA33" s="1551"/>
      <c r="NJB33" s="1551"/>
      <c r="NJC33" s="1551"/>
      <c r="NJD33" s="1551"/>
      <c r="NJE33" s="1551"/>
      <c r="NJF33" s="1551"/>
      <c r="NJG33" s="1551"/>
      <c r="NJH33" s="1551"/>
      <c r="NJI33" s="1551"/>
      <c r="NJJ33" s="1551"/>
      <c r="NJK33" s="1551"/>
      <c r="NJL33" s="1551"/>
      <c r="NJM33" s="1551"/>
      <c r="NJN33" s="1551"/>
      <c r="NJO33" s="1551"/>
      <c r="NJP33" s="1551"/>
      <c r="NJQ33" s="1551"/>
      <c r="NJR33" s="1551"/>
      <c r="NJS33" s="1551"/>
      <c r="NJT33" s="1551"/>
      <c r="NJU33" s="1551"/>
      <c r="NJV33" s="1551"/>
      <c r="NJW33" s="1551"/>
      <c r="NJX33" s="1551"/>
      <c r="NJY33" s="1551"/>
      <c r="NJZ33" s="1551"/>
      <c r="NKA33" s="1551"/>
      <c r="NKB33" s="1551"/>
      <c r="NKC33" s="1551"/>
      <c r="NKD33" s="1551"/>
      <c r="NKE33" s="1551"/>
      <c r="NKF33" s="1551"/>
      <c r="NKG33" s="1551"/>
      <c r="NKH33" s="1551"/>
      <c r="NKI33" s="1551"/>
      <c r="NKJ33" s="1551"/>
      <c r="NKK33" s="1551"/>
      <c r="NKL33" s="1551"/>
      <c r="NKM33" s="1551"/>
      <c r="NKN33" s="1551"/>
      <c r="NKO33" s="1551"/>
      <c r="NKP33" s="1551"/>
      <c r="NKQ33" s="1551"/>
      <c r="NKR33" s="1551"/>
      <c r="NKS33" s="1551"/>
      <c r="NKT33" s="1551"/>
      <c r="NKU33" s="1551"/>
      <c r="NKV33" s="1551"/>
      <c r="NKW33" s="1551"/>
      <c r="NKX33" s="1551"/>
      <c r="NKY33" s="1551"/>
      <c r="NKZ33" s="1551"/>
      <c r="NLA33" s="1551"/>
      <c r="NLB33" s="1551"/>
      <c r="NLC33" s="1551"/>
      <c r="NLD33" s="1551"/>
      <c r="NLE33" s="1551"/>
      <c r="NLF33" s="1551"/>
      <c r="NLG33" s="1551"/>
      <c r="NLH33" s="1551"/>
      <c r="NLI33" s="1551"/>
      <c r="NLJ33" s="1551"/>
      <c r="NLK33" s="1551"/>
      <c r="NLL33" s="1551"/>
      <c r="NLM33" s="1551"/>
      <c r="NLN33" s="1551"/>
      <c r="NLO33" s="1551"/>
      <c r="NLP33" s="1551"/>
      <c r="NLQ33" s="1551"/>
      <c r="NLR33" s="1551"/>
      <c r="NLS33" s="1551"/>
      <c r="NLT33" s="1551"/>
      <c r="NLU33" s="1551"/>
      <c r="NLV33" s="1551"/>
      <c r="NLW33" s="1551"/>
      <c r="NLX33" s="1551"/>
      <c r="NLY33" s="1551"/>
      <c r="NLZ33" s="1551"/>
      <c r="NMA33" s="1551"/>
      <c r="NMB33" s="1551"/>
      <c r="NMC33" s="1551"/>
      <c r="NMD33" s="1551"/>
      <c r="NME33" s="1551"/>
      <c r="NMF33" s="1551"/>
      <c r="NMG33" s="1551"/>
      <c r="NMH33" s="1551"/>
      <c r="NMI33" s="1551"/>
      <c r="NMJ33" s="1551"/>
      <c r="NMK33" s="1551"/>
      <c r="NML33" s="1551"/>
      <c r="NMM33" s="1551"/>
      <c r="NMN33" s="1551"/>
      <c r="NMO33" s="1551"/>
      <c r="NMP33" s="1551"/>
      <c r="NMQ33" s="1551"/>
      <c r="NMR33" s="1551"/>
      <c r="NMS33" s="1551"/>
      <c r="NMT33" s="1551"/>
      <c r="NMU33" s="1551"/>
      <c r="NMV33" s="1551"/>
      <c r="NMW33" s="1551"/>
      <c r="NMX33" s="1551"/>
      <c r="NMY33" s="1551"/>
      <c r="NMZ33" s="1551"/>
      <c r="NNA33" s="1551"/>
      <c r="NNB33" s="1551"/>
      <c r="NNC33" s="1551"/>
      <c r="NND33" s="1551"/>
      <c r="NNE33" s="1551"/>
      <c r="NNF33" s="1551"/>
      <c r="NNG33" s="1551"/>
      <c r="NNH33" s="1551"/>
      <c r="NNI33" s="1551"/>
      <c r="NNJ33" s="1551"/>
      <c r="NNK33" s="1551"/>
      <c r="NNL33" s="1551"/>
      <c r="NNM33" s="1551"/>
      <c r="NNN33" s="1551"/>
      <c r="NNO33" s="1551"/>
      <c r="NNP33" s="1551"/>
      <c r="NNQ33" s="1551"/>
      <c r="NNR33" s="1551"/>
      <c r="NNS33" s="1551"/>
      <c r="NNT33" s="1551"/>
      <c r="NNU33" s="1551"/>
      <c r="NNV33" s="1551"/>
      <c r="NNW33" s="1551"/>
      <c r="NNX33" s="1551"/>
      <c r="NNY33" s="1551"/>
      <c r="NNZ33" s="1551"/>
      <c r="NOA33" s="1551"/>
      <c r="NOB33" s="1551"/>
      <c r="NOC33" s="1551"/>
      <c r="NOD33" s="1551"/>
      <c r="NOE33" s="1551"/>
      <c r="NOF33" s="1551"/>
      <c r="NOG33" s="1551"/>
      <c r="NOH33" s="1551"/>
      <c r="NOI33" s="1551"/>
      <c r="NOJ33" s="1551"/>
      <c r="NOK33" s="1551"/>
      <c r="NOL33" s="1551"/>
      <c r="NOM33" s="1551"/>
      <c r="NON33" s="1551"/>
      <c r="NOO33" s="1551"/>
      <c r="NOP33" s="1551"/>
      <c r="NOQ33" s="1551"/>
      <c r="NOR33" s="1551"/>
      <c r="NOS33" s="1551"/>
      <c r="NOT33" s="1551"/>
      <c r="NOU33" s="1551"/>
      <c r="NOV33" s="1551"/>
      <c r="NOW33" s="1551"/>
      <c r="NOX33" s="1551"/>
      <c r="NOY33" s="1551"/>
      <c r="NOZ33" s="1551"/>
      <c r="NPA33" s="1551"/>
      <c r="NPB33" s="1551"/>
      <c r="NPC33" s="1551"/>
      <c r="NPD33" s="1551"/>
      <c r="NPE33" s="1551"/>
      <c r="NPF33" s="1551"/>
      <c r="NPG33" s="1551"/>
      <c r="NPH33" s="1551"/>
      <c r="NPI33" s="1551"/>
      <c r="NPJ33" s="1551"/>
      <c r="NPK33" s="1551"/>
      <c r="NPL33" s="1551"/>
      <c r="NPM33" s="1551"/>
      <c r="NPN33" s="1551"/>
      <c r="NPO33" s="1551"/>
      <c r="NPP33" s="1551"/>
      <c r="NPQ33" s="1551"/>
      <c r="NPR33" s="1551"/>
      <c r="NPS33" s="1551"/>
      <c r="NPT33" s="1551"/>
      <c r="NPU33" s="1551"/>
      <c r="NPV33" s="1551"/>
      <c r="NPW33" s="1551"/>
      <c r="NPX33" s="1551"/>
      <c r="NPY33" s="1551"/>
      <c r="NPZ33" s="1551"/>
      <c r="NQA33" s="1551"/>
      <c r="NQB33" s="1551"/>
      <c r="NQC33" s="1551"/>
      <c r="NQD33" s="1551"/>
      <c r="NQE33" s="1551"/>
      <c r="NQF33" s="1551"/>
      <c r="NQG33" s="1551"/>
      <c r="NQH33" s="1551"/>
      <c r="NQI33" s="1551"/>
      <c r="NQJ33" s="1551"/>
      <c r="NQK33" s="1551"/>
      <c r="NQL33" s="1551"/>
      <c r="NQM33" s="1551"/>
      <c r="NQN33" s="1551"/>
      <c r="NQO33" s="1551"/>
      <c r="NQP33" s="1551"/>
      <c r="NQQ33" s="1551"/>
      <c r="NQR33" s="1551"/>
      <c r="NQS33" s="1551"/>
      <c r="NQT33" s="1551"/>
      <c r="NQU33" s="1551"/>
      <c r="NQV33" s="1551"/>
      <c r="NQW33" s="1551"/>
      <c r="NQX33" s="1551"/>
      <c r="NQY33" s="1551"/>
      <c r="NQZ33" s="1551"/>
      <c r="NRA33" s="1551"/>
      <c r="NRB33" s="1551"/>
      <c r="NRC33" s="1551"/>
      <c r="NRD33" s="1551"/>
      <c r="NRE33" s="1551"/>
      <c r="NRF33" s="1551"/>
      <c r="NRG33" s="1551"/>
      <c r="NRH33" s="1551"/>
      <c r="NRI33" s="1551"/>
      <c r="NRJ33" s="1551"/>
      <c r="NRK33" s="1551"/>
      <c r="NRL33" s="1551"/>
      <c r="NRM33" s="1551"/>
      <c r="NRN33" s="1551"/>
      <c r="NRO33" s="1551"/>
      <c r="NRP33" s="1551"/>
      <c r="NRQ33" s="1551"/>
      <c r="NRR33" s="1551"/>
      <c r="NRS33" s="1551"/>
      <c r="NRT33" s="1551"/>
      <c r="NRU33" s="1551"/>
      <c r="NRV33" s="1551"/>
      <c r="NRW33" s="1551"/>
      <c r="NRX33" s="1551"/>
      <c r="NRY33" s="1551"/>
      <c r="NRZ33" s="1551"/>
      <c r="NSA33" s="1551"/>
      <c r="NSB33" s="1551"/>
      <c r="NSC33" s="1551"/>
      <c r="NSD33" s="1551"/>
      <c r="NSE33" s="1551"/>
      <c r="NSF33" s="1551"/>
      <c r="NSG33" s="1551"/>
      <c r="NSH33" s="1551"/>
      <c r="NSI33" s="1551"/>
      <c r="NSJ33" s="1551"/>
      <c r="NSK33" s="1551"/>
      <c r="NSL33" s="1551"/>
      <c r="NSM33" s="1551"/>
      <c r="NSN33" s="1551"/>
      <c r="NSO33" s="1551"/>
      <c r="NSP33" s="1551"/>
      <c r="NSQ33" s="1551"/>
      <c r="NSR33" s="1551"/>
      <c r="NSS33" s="1551"/>
      <c r="NST33" s="1551"/>
      <c r="NSU33" s="1551"/>
      <c r="NSV33" s="1551"/>
      <c r="NSW33" s="1551"/>
      <c r="NSX33" s="1551"/>
      <c r="NSY33" s="1551"/>
      <c r="NSZ33" s="1551"/>
      <c r="NTA33" s="1551"/>
      <c r="NTB33" s="1551"/>
      <c r="NTC33" s="1551"/>
      <c r="NTD33" s="1551"/>
      <c r="NTE33" s="1551"/>
      <c r="NTF33" s="1551"/>
      <c r="NTG33" s="1551"/>
      <c r="NTH33" s="1551"/>
      <c r="NTI33" s="1551"/>
      <c r="NTJ33" s="1551"/>
      <c r="NTK33" s="1551"/>
      <c r="NTL33" s="1551"/>
      <c r="NTM33" s="1551"/>
      <c r="NTN33" s="1551"/>
      <c r="NTO33" s="1551"/>
      <c r="NTP33" s="1551"/>
      <c r="NTQ33" s="1551"/>
      <c r="NTR33" s="1551"/>
      <c r="NTS33" s="1551"/>
      <c r="NTT33" s="1551"/>
      <c r="NTU33" s="1551"/>
      <c r="NTV33" s="1551"/>
      <c r="NTW33" s="1551"/>
      <c r="NTX33" s="1551"/>
      <c r="NTY33" s="1551"/>
      <c r="NTZ33" s="1551"/>
      <c r="NUA33" s="1551"/>
      <c r="NUB33" s="1551"/>
      <c r="NUC33" s="1551"/>
      <c r="NUD33" s="1551"/>
      <c r="NUE33" s="1551"/>
      <c r="NUF33" s="1551"/>
      <c r="NUG33" s="1551"/>
      <c r="NUH33" s="1551"/>
      <c r="NUI33" s="1551"/>
      <c r="NUJ33" s="1551"/>
      <c r="NUK33" s="1551"/>
      <c r="NUL33" s="1551"/>
      <c r="NUM33" s="1551"/>
      <c r="NUN33" s="1551"/>
      <c r="NUO33" s="1551"/>
      <c r="NUP33" s="1551"/>
      <c r="NUQ33" s="1551"/>
      <c r="NUR33" s="1551"/>
      <c r="NUS33" s="1551"/>
      <c r="NUT33" s="1551"/>
      <c r="NUU33" s="1551"/>
      <c r="NUV33" s="1551"/>
      <c r="NUW33" s="1551"/>
      <c r="NUX33" s="1551"/>
      <c r="NUY33" s="1551"/>
      <c r="NUZ33" s="1551"/>
      <c r="NVA33" s="1551"/>
      <c r="NVB33" s="1551"/>
      <c r="NVC33" s="1551"/>
      <c r="NVD33" s="1551"/>
      <c r="NVE33" s="1551"/>
      <c r="NVF33" s="1551"/>
      <c r="NVG33" s="1551"/>
      <c r="NVH33" s="1551"/>
      <c r="NVI33" s="1551"/>
      <c r="NVJ33" s="1551"/>
      <c r="NVK33" s="1551"/>
      <c r="NVL33" s="1551"/>
      <c r="NVM33" s="1551"/>
      <c r="NVN33" s="1551"/>
      <c r="NVO33" s="1551"/>
      <c r="NVP33" s="1551"/>
      <c r="NVQ33" s="1551"/>
      <c r="NVR33" s="1551"/>
      <c r="NVS33" s="1551"/>
      <c r="NVT33" s="1551"/>
      <c r="NVU33" s="1551"/>
      <c r="NVV33" s="1551"/>
      <c r="NVW33" s="1551"/>
      <c r="NVX33" s="1551"/>
      <c r="NVY33" s="1551"/>
      <c r="NVZ33" s="1551"/>
      <c r="NWA33" s="1551"/>
      <c r="NWB33" s="1551"/>
      <c r="NWC33" s="1551"/>
      <c r="NWD33" s="1551"/>
      <c r="NWE33" s="1551"/>
      <c r="NWF33" s="1551"/>
      <c r="NWG33" s="1551"/>
      <c r="NWH33" s="1551"/>
      <c r="NWI33" s="1551"/>
      <c r="NWJ33" s="1551"/>
      <c r="NWK33" s="1551"/>
      <c r="NWL33" s="1551"/>
      <c r="NWM33" s="1551"/>
      <c r="NWN33" s="1551"/>
      <c r="NWO33" s="1551"/>
      <c r="NWP33" s="1551"/>
      <c r="NWQ33" s="1551"/>
      <c r="NWR33" s="1551"/>
      <c r="NWS33" s="1551"/>
      <c r="NWT33" s="1551"/>
      <c r="NWU33" s="1551"/>
      <c r="NWV33" s="1551"/>
      <c r="NWW33" s="1551"/>
      <c r="NWX33" s="1551"/>
      <c r="NWY33" s="1551"/>
      <c r="NWZ33" s="1551"/>
      <c r="NXA33" s="1551"/>
      <c r="NXB33" s="1551"/>
      <c r="NXC33" s="1551"/>
      <c r="NXD33" s="1551"/>
      <c r="NXE33" s="1551"/>
      <c r="NXF33" s="1551"/>
      <c r="NXG33" s="1551"/>
      <c r="NXH33" s="1551"/>
      <c r="NXI33" s="1551"/>
      <c r="NXJ33" s="1551"/>
      <c r="NXK33" s="1551"/>
      <c r="NXL33" s="1551"/>
      <c r="NXM33" s="1551"/>
      <c r="NXN33" s="1551"/>
      <c r="NXO33" s="1551"/>
      <c r="NXP33" s="1551"/>
      <c r="NXQ33" s="1551"/>
      <c r="NXR33" s="1551"/>
      <c r="NXS33" s="1551"/>
      <c r="NXT33" s="1551"/>
      <c r="NXU33" s="1551"/>
      <c r="NXV33" s="1551"/>
      <c r="NXW33" s="1551"/>
      <c r="NXX33" s="1551"/>
      <c r="NXY33" s="1551"/>
      <c r="NXZ33" s="1551"/>
      <c r="NYA33" s="1551"/>
      <c r="NYB33" s="1551"/>
      <c r="NYC33" s="1551"/>
      <c r="NYD33" s="1551"/>
      <c r="NYE33" s="1551"/>
      <c r="NYF33" s="1551"/>
      <c r="NYG33" s="1551"/>
      <c r="NYH33" s="1551"/>
      <c r="NYI33" s="1551"/>
      <c r="NYJ33" s="1551"/>
      <c r="NYK33" s="1551"/>
      <c r="NYL33" s="1551"/>
      <c r="NYM33" s="1551"/>
      <c r="NYN33" s="1551"/>
      <c r="NYO33" s="1551"/>
      <c r="NYP33" s="1551"/>
      <c r="NYQ33" s="1551"/>
      <c r="NYR33" s="1551"/>
      <c r="NYS33" s="1551"/>
      <c r="NYT33" s="1551"/>
      <c r="NYU33" s="1551"/>
      <c r="NYV33" s="1551"/>
      <c r="NYW33" s="1551"/>
      <c r="NYX33" s="1551"/>
      <c r="NYY33" s="1551"/>
      <c r="NYZ33" s="1551"/>
      <c r="NZA33" s="1551"/>
      <c r="NZB33" s="1551"/>
      <c r="NZC33" s="1551"/>
      <c r="NZD33" s="1551"/>
      <c r="NZE33" s="1551"/>
      <c r="NZF33" s="1551"/>
      <c r="NZG33" s="1551"/>
      <c r="NZH33" s="1551"/>
      <c r="NZI33" s="1551"/>
      <c r="NZJ33" s="1551"/>
      <c r="NZK33" s="1551"/>
      <c r="NZL33" s="1551"/>
      <c r="NZM33" s="1551"/>
      <c r="NZN33" s="1551"/>
      <c r="NZO33" s="1551"/>
      <c r="NZP33" s="1551"/>
      <c r="NZQ33" s="1551"/>
      <c r="NZR33" s="1551"/>
      <c r="NZS33" s="1551"/>
      <c r="NZT33" s="1551"/>
      <c r="NZU33" s="1551"/>
      <c r="NZV33" s="1551"/>
      <c r="NZW33" s="1551"/>
      <c r="NZX33" s="1551"/>
      <c r="NZY33" s="1551"/>
      <c r="NZZ33" s="1551"/>
      <c r="OAA33" s="1551"/>
      <c r="OAB33" s="1551"/>
      <c r="OAC33" s="1551"/>
      <c r="OAD33" s="1551"/>
      <c r="OAE33" s="1551"/>
      <c r="OAF33" s="1551"/>
      <c r="OAG33" s="1551"/>
      <c r="OAH33" s="1551"/>
      <c r="OAI33" s="1551"/>
      <c r="OAJ33" s="1551"/>
      <c r="OAK33" s="1551"/>
      <c r="OAL33" s="1551"/>
      <c r="OAM33" s="1551"/>
      <c r="OAN33" s="1551"/>
      <c r="OAO33" s="1551"/>
      <c r="OAP33" s="1551"/>
      <c r="OAQ33" s="1551"/>
      <c r="OAR33" s="1551"/>
      <c r="OAS33" s="1551"/>
      <c r="OAT33" s="1551"/>
      <c r="OAU33" s="1551"/>
      <c r="OAV33" s="1551"/>
      <c r="OAW33" s="1551"/>
      <c r="OAX33" s="1551"/>
      <c r="OAY33" s="1551"/>
      <c r="OAZ33" s="1551"/>
      <c r="OBA33" s="1551"/>
      <c r="OBB33" s="1551"/>
      <c r="OBC33" s="1551"/>
      <c r="OBD33" s="1551"/>
      <c r="OBE33" s="1551"/>
      <c r="OBF33" s="1551"/>
      <c r="OBG33" s="1551"/>
      <c r="OBH33" s="1551"/>
      <c r="OBI33" s="1551"/>
      <c r="OBJ33" s="1551"/>
      <c r="OBK33" s="1551"/>
      <c r="OBL33" s="1551"/>
      <c r="OBM33" s="1551"/>
      <c r="OBN33" s="1551"/>
      <c r="OBO33" s="1551"/>
      <c r="OBP33" s="1551"/>
      <c r="OBQ33" s="1551"/>
      <c r="OBR33" s="1551"/>
      <c r="OBS33" s="1551"/>
      <c r="OBT33" s="1551"/>
      <c r="OBU33" s="1551"/>
      <c r="OBV33" s="1551"/>
      <c r="OBW33" s="1551"/>
      <c r="OBX33" s="1551"/>
      <c r="OBY33" s="1551"/>
      <c r="OBZ33" s="1551"/>
      <c r="OCA33" s="1551"/>
      <c r="OCB33" s="1551"/>
      <c r="OCC33" s="1551"/>
      <c r="OCD33" s="1551"/>
      <c r="OCE33" s="1551"/>
      <c r="OCF33" s="1551"/>
      <c r="OCG33" s="1551"/>
      <c r="OCH33" s="1551"/>
      <c r="OCI33" s="1551"/>
      <c r="OCJ33" s="1551"/>
      <c r="OCK33" s="1551"/>
      <c r="OCL33" s="1551"/>
      <c r="OCM33" s="1551"/>
      <c r="OCN33" s="1551"/>
      <c r="OCO33" s="1551"/>
      <c r="OCP33" s="1551"/>
      <c r="OCQ33" s="1551"/>
      <c r="OCR33" s="1551"/>
      <c r="OCS33" s="1551"/>
      <c r="OCT33" s="1551"/>
      <c r="OCU33" s="1551"/>
      <c r="OCV33" s="1551"/>
      <c r="OCW33" s="1551"/>
      <c r="OCX33" s="1551"/>
      <c r="OCY33" s="1551"/>
      <c r="OCZ33" s="1551"/>
      <c r="ODA33" s="1551"/>
      <c r="ODB33" s="1551"/>
      <c r="ODC33" s="1551"/>
      <c r="ODD33" s="1551"/>
      <c r="ODE33" s="1551"/>
      <c r="ODF33" s="1551"/>
      <c r="ODG33" s="1551"/>
      <c r="ODH33" s="1551"/>
      <c r="ODI33" s="1551"/>
      <c r="ODJ33" s="1551"/>
      <c r="ODK33" s="1551"/>
      <c r="ODL33" s="1551"/>
      <c r="ODM33" s="1551"/>
      <c r="ODN33" s="1551"/>
      <c r="ODO33" s="1551"/>
      <c r="ODP33" s="1551"/>
      <c r="ODQ33" s="1551"/>
      <c r="ODR33" s="1551"/>
      <c r="ODS33" s="1551"/>
      <c r="ODT33" s="1551"/>
      <c r="ODU33" s="1551"/>
      <c r="ODV33" s="1551"/>
      <c r="ODW33" s="1551"/>
      <c r="ODX33" s="1551"/>
      <c r="ODY33" s="1551"/>
      <c r="ODZ33" s="1551"/>
      <c r="OEA33" s="1551"/>
      <c r="OEB33" s="1551"/>
      <c r="OEC33" s="1551"/>
      <c r="OED33" s="1551"/>
      <c r="OEE33" s="1551"/>
      <c r="OEF33" s="1551"/>
      <c r="OEG33" s="1551"/>
      <c r="OEH33" s="1551"/>
      <c r="OEI33" s="1551"/>
      <c r="OEJ33" s="1551"/>
      <c r="OEK33" s="1551"/>
      <c r="OEL33" s="1551"/>
      <c r="OEM33" s="1551"/>
      <c r="OEN33" s="1551"/>
      <c r="OEO33" s="1551"/>
      <c r="OEP33" s="1551"/>
      <c r="OEQ33" s="1551"/>
      <c r="OER33" s="1551"/>
      <c r="OES33" s="1551"/>
      <c r="OET33" s="1551"/>
      <c r="OEU33" s="1551"/>
      <c r="OEV33" s="1551"/>
      <c r="OEW33" s="1551"/>
      <c r="OEX33" s="1551"/>
      <c r="OEY33" s="1551"/>
      <c r="OEZ33" s="1551"/>
      <c r="OFA33" s="1551"/>
      <c r="OFB33" s="1551"/>
      <c r="OFC33" s="1551"/>
      <c r="OFD33" s="1551"/>
      <c r="OFE33" s="1551"/>
      <c r="OFF33" s="1551"/>
      <c r="OFG33" s="1551"/>
      <c r="OFH33" s="1551"/>
      <c r="OFI33" s="1551"/>
      <c r="OFJ33" s="1551"/>
      <c r="OFK33" s="1551"/>
      <c r="OFL33" s="1551"/>
      <c r="OFM33" s="1551"/>
      <c r="OFN33" s="1551"/>
      <c r="OFO33" s="1551"/>
      <c r="OFP33" s="1551"/>
      <c r="OFQ33" s="1551"/>
      <c r="OFR33" s="1551"/>
      <c r="OFS33" s="1551"/>
      <c r="OFT33" s="1551"/>
      <c r="OFU33" s="1551"/>
      <c r="OFV33" s="1551"/>
      <c r="OFW33" s="1551"/>
      <c r="OFX33" s="1551"/>
      <c r="OFY33" s="1551"/>
      <c r="OFZ33" s="1551"/>
      <c r="OGA33" s="1551"/>
      <c r="OGB33" s="1551"/>
      <c r="OGC33" s="1551"/>
      <c r="OGD33" s="1551"/>
      <c r="OGE33" s="1551"/>
      <c r="OGF33" s="1551"/>
      <c r="OGG33" s="1551"/>
      <c r="OGH33" s="1551"/>
      <c r="OGI33" s="1551"/>
      <c r="OGJ33" s="1551"/>
      <c r="OGK33" s="1551"/>
      <c r="OGL33" s="1551"/>
      <c r="OGM33" s="1551"/>
      <c r="OGN33" s="1551"/>
      <c r="OGO33" s="1551"/>
      <c r="OGP33" s="1551"/>
      <c r="OGQ33" s="1551"/>
      <c r="OGR33" s="1551"/>
      <c r="OGS33" s="1551"/>
      <c r="OGT33" s="1551"/>
      <c r="OGU33" s="1551"/>
      <c r="OGV33" s="1551"/>
      <c r="OGW33" s="1551"/>
      <c r="OGX33" s="1551"/>
      <c r="OGY33" s="1551"/>
      <c r="OGZ33" s="1551"/>
      <c r="OHA33" s="1551"/>
      <c r="OHB33" s="1551"/>
      <c r="OHC33" s="1551"/>
      <c r="OHD33" s="1551"/>
      <c r="OHE33" s="1551"/>
      <c r="OHF33" s="1551"/>
      <c r="OHG33" s="1551"/>
      <c r="OHH33" s="1551"/>
      <c r="OHI33" s="1551"/>
      <c r="OHJ33" s="1551"/>
      <c r="OHK33" s="1551"/>
      <c r="OHL33" s="1551"/>
      <c r="OHM33" s="1551"/>
      <c r="OHN33" s="1551"/>
      <c r="OHO33" s="1551"/>
      <c r="OHP33" s="1551"/>
      <c r="OHQ33" s="1551"/>
      <c r="OHR33" s="1551"/>
      <c r="OHS33" s="1551"/>
      <c r="OHT33" s="1551"/>
      <c r="OHU33" s="1551"/>
      <c r="OHV33" s="1551"/>
      <c r="OHW33" s="1551"/>
      <c r="OHX33" s="1551"/>
      <c r="OHY33" s="1551"/>
      <c r="OHZ33" s="1551"/>
      <c r="OIA33" s="1551"/>
      <c r="OIB33" s="1551"/>
      <c r="OIC33" s="1551"/>
      <c r="OID33" s="1551"/>
      <c r="OIE33" s="1551"/>
      <c r="OIF33" s="1551"/>
      <c r="OIG33" s="1551"/>
      <c r="OIH33" s="1551"/>
      <c r="OII33" s="1551"/>
      <c r="OIJ33" s="1551"/>
      <c r="OIK33" s="1551"/>
      <c r="OIL33" s="1551"/>
      <c r="OIM33" s="1551"/>
      <c r="OIN33" s="1551"/>
      <c r="OIO33" s="1551"/>
      <c r="OIP33" s="1551"/>
      <c r="OIQ33" s="1551"/>
      <c r="OIR33" s="1551"/>
      <c r="OIS33" s="1551"/>
      <c r="OIT33" s="1551"/>
      <c r="OIU33" s="1551"/>
      <c r="OIV33" s="1551"/>
      <c r="OIW33" s="1551"/>
      <c r="OIX33" s="1551"/>
      <c r="OIY33" s="1551"/>
      <c r="OIZ33" s="1551"/>
      <c r="OJA33" s="1551"/>
      <c r="OJB33" s="1551"/>
      <c r="OJC33" s="1551"/>
      <c r="OJD33" s="1551"/>
      <c r="OJE33" s="1551"/>
      <c r="OJF33" s="1551"/>
      <c r="OJG33" s="1551"/>
      <c r="OJH33" s="1551"/>
      <c r="OJI33" s="1551"/>
      <c r="OJJ33" s="1551"/>
      <c r="OJK33" s="1551"/>
      <c r="OJL33" s="1551"/>
      <c r="OJM33" s="1551"/>
      <c r="OJN33" s="1551"/>
      <c r="OJO33" s="1551"/>
      <c r="OJP33" s="1551"/>
      <c r="OJQ33" s="1551"/>
      <c r="OJR33" s="1551"/>
      <c r="OJS33" s="1551"/>
      <c r="OJT33" s="1551"/>
      <c r="OJU33" s="1551"/>
      <c r="OJV33" s="1551"/>
      <c r="OJW33" s="1551"/>
      <c r="OJX33" s="1551"/>
      <c r="OJY33" s="1551"/>
      <c r="OJZ33" s="1551"/>
      <c r="OKA33" s="1551"/>
      <c r="OKB33" s="1551"/>
      <c r="OKC33" s="1551"/>
      <c r="OKD33" s="1551"/>
      <c r="OKE33" s="1551"/>
      <c r="OKF33" s="1551"/>
      <c r="OKG33" s="1551"/>
      <c r="OKH33" s="1551"/>
      <c r="OKI33" s="1551"/>
      <c r="OKJ33" s="1551"/>
      <c r="OKK33" s="1551"/>
      <c r="OKL33" s="1551"/>
      <c r="OKM33" s="1551"/>
      <c r="OKN33" s="1551"/>
      <c r="OKO33" s="1551"/>
      <c r="OKP33" s="1551"/>
      <c r="OKQ33" s="1551"/>
      <c r="OKR33" s="1551"/>
      <c r="OKS33" s="1551"/>
      <c r="OKT33" s="1551"/>
      <c r="OKU33" s="1551"/>
      <c r="OKV33" s="1551"/>
      <c r="OKW33" s="1551"/>
      <c r="OKX33" s="1551"/>
      <c r="OKY33" s="1551"/>
      <c r="OKZ33" s="1551"/>
      <c r="OLA33" s="1551"/>
      <c r="OLB33" s="1551"/>
      <c r="OLC33" s="1551"/>
      <c r="OLD33" s="1551"/>
      <c r="OLE33" s="1551"/>
      <c r="OLF33" s="1551"/>
      <c r="OLG33" s="1551"/>
      <c r="OLH33" s="1551"/>
      <c r="OLI33" s="1551"/>
      <c r="OLJ33" s="1551"/>
      <c r="OLK33" s="1551"/>
      <c r="OLL33" s="1551"/>
      <c r="OLM33" s="1551"/>
      <c r="OLN33" s="1551"/>
      <c r="OLO33" s="1551"/>
      <c r="OLP33" s="1551"/>
      <c r="OLQ33" s="1551"/>
      <c r="OLR33" s="1551"/>
      <c r="OLS33" s="1551"/>
      <c r="OLT33" s="1551"/>
      <c r="OLU33" s="1551"/>
      <c r="OLV33" s="1551"/>
      <c r="OLW33" s="1551"/>
      <c r="OLX33" s="1551"/>
      <c r="OLY33" s="1551"/>
      <c r="OLZ33" s="1551"/>
      <c r="OMA33" s="1551"/>
      <c r="OMB33" s="1551"/>
      <c r="OMC33" s="1551"/>
      <c r="OMD33" s="1551"/>
      <c r="OME33" s="1551"/>
      <c r="OMF33" s="1551"/>
      <c r="OMG33" s="1551"/>
      <c r="OMH33" s="1551"/>
      <c r="OMI33" s="1551"/>
      <c r="OMJ33" s="1551"/>
      <c r="OMK33" s="1551"/>
      <c r="OML33" s="1551"/>
      <c r="OMM33" s="1551"/>
      <c r="OMN33" s="1551"/>
      <c r="OMO33" s="1551"/>
      <c r="OMP33" s="1551"/>
      <c r="OMQ33" s="1551"/>
      <c r="OMR33" s="1551"/>
      <c r="OMS33" s="1551"/>
      <c r="OMT33" s="1551"/>
      <c r="OMU33" s="1551"/>
      <c r="OMV33" s="1551"/>
      <c r="OMW33" s="1551"/>
      <c r="OMX33" s="1551"/>
      <c r="OMY33" s="1551"/>
      <c r="OMZ33" s="1551"/>
      <c r="ONA33" s="1551"/>
      <c r="ONB33" s="1551"/>
      <c r="ONC33" s="1551"/>
      <c r="OND33" s="1551"/>
      <c r="ONE33" s="1551"/>
      <c r="ONF33" s="1551"/>
      <c r="ONG33" s="1551"/>
      <c r="ONH33" s="1551"/>
      <c r="ONI33" s="1551"/>
      <c r="ONJ33" s="1551"/>
      <c r="ONK33" s="1551"/>
      <c r="ONL33" s="1551"/>
      <c r="ONM33" s="1551"/>
      <c r="ONN33" s="1551"/>
      <c r="ONO33" s="1551"/>
      <c r="ONP33" s="1551"/>
      <c r="ONQ33" s="1551"/>
      <c r="ONR33" s="1551"/>
      <c r="ONS33" s="1551"/>
      <c r="ONT33" s="1551"/>
      <c r="ONU33" s="1551"/>
      <c r="ONV33" s="1551"/>
      <c r="ONW33" s="1551"/>
      <c r="ONX33" s="1551"/>
      <c r="ONY33" s="1551"/>
      <c r="ONZ33" s="1551"/>
      <c r="OOA33" s="1551"/>
      <c r="OOB33" s="1551"/>
      <c r="OOC33" s="1551"/>
      <c r="OOD33" s="1551"/>
      <c r="OOE33" s="1551"/>
      <c r="OOF33" s="1551"/>
      <c r="OOG33" s="1551"/>
      <c r="OOH33" s="1551"/>
      <c r="OOI33" s="1551"/>
      <c r="OOJ33" s="1551"/>
      <c r="OOK33" s="1551"/>
      <c r="OOL33" s="1551"/>
      <c r="OOM33" s="1551"/>
      <c r="OON33" s="1551"/>
      <c r="OOO33" s="1551"/>
      <c r="OOP33" s="1551"/>
      <c r="OOQ33" s="1551"/>
      <c r="OOR33" s="1551"/>
      <c r="OOS33" s="1551"/>
      <c r="OOT33" s="1551"/>
      <c r="OOU33" s="1551"/>
      <c r="OOV33" s="1551"/>
      <c r="OOW33" s="1551"/>
      <c r="OOX33" s="1551"/>
      <c r="OOY33" s="1551"/>
      <c r="OOZ33" s="1551"/>
      <c r="OPA33" s="1551"/>
      <c r="OPB33" s="1551"/>
      <c r="OPC33" s="1551"/>
      <c r="OPD33" s="1551"/>
      <c r="OPE33" s="1551"/>
      <c r="OPF33" s="1551"/>
      <c r="OPG33" s="1551"/>
      <c r="OPH33" s="1551"/>
      <c r="OPI33" s="1551"/>
      <c r="OPJ33" s="1551"/>
      <c r="OPK33" s="1551"/>
      <c r="OPL33" s="1551"/>
      <c r="OPM33" s="1551"/>
      <c r="OPN33" s="1551"/>
      <c r="OPO33" s="1551"/>
      <c r="OPP33" s="1551"/>
      <c r="OPQ33" s="1551"/>
      <c r="OPR33" s="1551"/>
      <c r="OPS33" s="1551"/>
      <c r="OPT33" s="1551"/>
      <c r="OPU33" s="1551"/>
      <c r="OPV33" s="1551"/>
      <c r="OPW33" s="1551"/>
      <c r="OPX33" s="1551"/>
      <c r="OPY33" s="1551"/>
      <c r="OPZ33" s="1551"/>
      <c r="OQA33" s="1551"/>
      <c r="OQB33" s="1551"/>
      <c r="OQC33" s="1551"/>
      <c r="OQD33" s="1551"/>
      <c r="OQE33" s="1551"/>
      <c r="OQF33" s="1551"/>
      <c r="OQG33" s="1551"/>
      <c r="OQH33" s="1551"/>
      <c r="OQI33" s="1551"/>
      <c r="OQJ33" s="1551"/>
      <c r="OQK33" s="1551"/>
      <c r="OQL33" s="1551"/>
      <c r="OQM33" s="1551"/>
      <c r="OQN33" s="1551"/>
      <c r="OQO33" s="1551"/>
      <c r="OQP33" s="1551"/>
      <c r="OQQ33" s="1551"/>
      <c r="OQR33" s="1551"/>
      <c r="OQS33" s="1551"/>
      <c r="OQT33" s="1551"/>
      <c r="OQU33" s="1551"/>
      <c r="OQV33" s="1551"/>
      <c r="OQW33" s="1551"/>
      <c r="OQX33" s="1551"/>
      <c r="OQY33" s="1551"/>
      <c r="OQZ33" s="1551"/>
      <c r="ORA33" s="1551"/>
      <c r="ORB33" s="1551"/>
      <c r="ORC33" s="1551"/>
      <c r="ORD33" s="1551"/>
      <c r="ORE33" s="1551"/>
      <c r="ORF33" s="1551"/>
      <c r="ORG33" s="1551"/>
      <c r="ORH33" s="1551"/>
      <c r="ORI33" s="1551"/>
      <c r="ORJ33" s="1551"/>
      <c r="ORK33" s="1551"/>
      <c r="ORL33" s="1551"/>
      <c r="ORM33" s="1551"/>
      <c r="ORN33" s="1551"/>
      <c r="ORO33" s="1551"/>
      <c r="ORP33" s="1551"/>
      <c r="ORQ33" s="1551"/>
      <c r="ORR33" s="1551"/>
      <c r="ORS33" s="1551"/>
      <c r="ORT33" s="1551"/>
      <c r="ORU33" s="1551"/>
      <c r="ORV33" s="1551"/>
      <c r="ORW33" s="1551"/>
      <c r="ORX33" s="1551"/>
      <c r="ORY33" s="1551"/>
      <c r="ORZ33" s="1551"/>
      <c r="OSA33" s="1551"/>
      <c r="OSB33" s="1551"/>
      <c r="OSC33" s="1551"/>
      <c r="OSD33" s="1551"/>
      <c r="OSE33" s="1551"/>
      <c r="OSF33" s="1551"/>
      <c r="OSG33" s="1551"/>
      <c r="OSH33" s="1551"/>
      <c r="OSI33" s="1551"/>
      <c r="OSJ33" s="1551"/>
      <c r="OSK33" s="1551"/>
      <c r="OSL33" s="1551"/>
      <c r="OSM33" s="1551"/>
      <c r="OSN33" s="1551"/>
      <c r="OSO33" s="1551"/>
      <c r="OSP33" s="1551"/>
      <c r="OSQ33" s="1551"/>
      <c r="OSR33" s="1551"/>
      <c r="OSS33" s="1551"/>
      <c r="OST33" s="1551"/>
      <c r="OSU33" s="1551"/>
      <c r="OSV33" s="1551"/>
      <c r="OSW33" s="1551"/>
      <c r="OSX33" s="1551"/>
      <c r="OSY33" s="1551"/>
      <c r="OSZ33" s="1551"/>
      <c r="OTA33" s="1551"/>
      <c r="OTB33" s="1551"/>
      <c r="OTC33" s="1551"/>
      <c r="OTD33" s="1551"/>
      <c r="OTE33" s="1551"/>
      <c r="OTF33" s="1551"/>
      <c r="OTG33" s="1551"/>
      <c r="OTH33" s="1551"/>
      <c r="OTI33" s="1551"/>
      <c r="OTJ33" s="1551"/>
      <c r="OTK33" s="1551"/>
      <c r="OTL33" s="1551"/>
      <c r="OTM33" s="1551"/>
      <c r="OTN33" s="1551"/>
      <c r="OTO33" s="1551"/>
      <c r="OTP33" s="1551"/>
      <c r="OTQ33" s="1551"/>
      <c r="OTR33" s="1551"/>
      <c r="OTS33" s="1551"/>
      <c r="OTT33" s="1551"/>
      <c r="OTU33" s="1551"/>
      <c r="OTV33" s="1551"/>
      <c r="OTW33" s="1551"/>
      <c r="OTX33" s="1551"/>
      <c r="OTY33" s="1551"/>
      <c r="OTZ33" s="1551"/>
      <c r="OUA33" s="1551"/>
      <c r="OUB33" s="1551"/>
      <c r="OUC33" s="1551"/>
      <c r="OUD33" s="1551"/>
      <c r="OUE33" s="1551"/>
      <c r="OUF33" s="1551"/>
      <c r="OUG33" s="1551"/>
      <c r="OUH33" s="1551"/>
      <c r="OUI33" s="1551"/>
      <c r="OUJ33" s="1551"/>
      <c r="OUK33" s="1551"/>
      <c r="OUL33" s="1551"/>
      <c r="OUM33" s="1551"/>
      <c r="OUN33" s="1551"/>
      <c r="OUO33" s="1551"/>
      <c r="OUP33" s="1551"/>
      <c r="OUQ33" s="1551"/>
      <c r="OUR33" s="1551"/>
      <c r="OUS33" s="1551"/>
      <c r="OUT33" s="1551"/>
      <c r="OUU33" s="1551"/>
      <c r="OUV33" s="1551"/>
      <c r="OUW33" s="1551"/>
      <c r="OUX33" s="1551"/>
      <c r="OUY33" s="1551"/>
      <c r="OUZ33" s="1551"/>
      <c r="OVA33" s="1551"/>
      <c r="OVB33" s="1551"/>
      <c r="OVC33" s="1551"/>
      <c r="OVD33" s="1551"/>
      <c r="OVE33" s="1551"/>
      <c r="OVF33" s="1551"/>
      <c r="OVG33" s="1551"/>
      <c r="OVH33" s="1551"/>
      <c r="OVI33" s="1551"/>
      <c r="OVJ33" s="1551"/>
      <c r="OVK33" s="1551"/>
      <c r="OVL33" s="1551"/>
      <c r="OVM33" s="1551"/>
      <c r="OVN33" s="1551"/>
      <c r="OVO33" s="1551"/>
      <c r="OVP33" s="1551"/>
      <c r="OVQ33" s="1551"/>
      <c r="OVR33" s="1551"/>
      <c r="OVS33" s="1551"/>
      <c r="OVT33" s="1551"/>
      <c r="OVU33" s="1551"/>
      <c r="OVV33" s="1551"/>
      <c r="OVW33" s="1551"/>
      <c r="OVX33" s="1551"/>
      <c r="OVY33" s="1551"/>
      <c r="OVZ33" s="1551"/>
      <c r="OWA33" s="1551"/>
      <c r="OWB33" s="1551"/>
      <c r="OWC33" s="1551"/>
      <c r="OWD33" s="1551"/>
      <c r="OWE33" s="1551"/>
      <c r="OWF33" s="1551"/>
      <c r="OWG33" s="1551"/>
      <c r="OWH33" s="1551"/>
      <c r="OWI33" s="1551"/>
      <c r="OWJ33" s="1551"/>
      <c r="OWK33" s="1551"/>
      <c r="OWL33" s="1551"/>
      <c r="OWM33" s="1551"/>
      <c r="OWN33" s="1551"/>
      <c r="OWO33" s="1551"/>
      <c r="OWP33" s="1551"/>
      <c r="OWQ33" s="1551"/>
      <c r="OWR33" s="1551"/>
      <c r="OWS33" s="1551"/>
      <c r="OWT33" s="1551"/>
      <c r="OWU33" s="1551"/>
      <c r="OWV33" s="1551"/>
      <c r="OWW33" s="1551"/>
      <c r="OWX33" s="1551"/>
      <c r="OWY33" s="1551"/>
      <c r="OWZ33" s="1551"/>
      <c r="OXA33" s="1551"/>
      <c r="OXB33" s="1551"/>
      <c r="OXC33" s="1551"/>
      <c r="OXD33" s="1551"/>
      <c r="OXE33" s="1551"/>
      <c r="OXF33" s="1551"/>
      <c r="OXG33" s="1551"/>
      <c r="OXH33" s="1551"/>
      <c r="OXI33" s="1551"/>
      <c r="OXJ33" s="1551"/>
      <c r="OXK33" s="1551"/>
      <c r="OXL33" s="1551"/>
      <c r="OXM33" s="1551"/>
      <c r="OXN33" s="1551"/>
      <c r="OXO33" s="1551"/>
      <c r="OXP33" s="1551"/>
      <c r="OXQ33" s="1551"/>
      <c r="OXR33" s="1551"/>
      <c r="OXS33" s="1551"/>
      <c r="OXT33" s="1551"/>
      <c r="OXU33" s="1551"/>
      <c r="OXV33" s="1551"/>
      <c r="OXW33" s="1551"/>
      <c r="OXX33" s="1551"/>
      <c r="OXY33" s="1551"/>
      <c r="OXZ33" s="1551"/>
      <c r="OYA33" s="1551"/>
      <c r="OYB33" s="1551"/>
      <c r="OYC33" s="1551"/>
      <c r="OYD33" s="1551"/>
      <c r="OYE33" s="1551"/>
      <c r="OYF33" s="1551"/>
      <c r="OYG33" s="1551"/>
      <c r="OYH33" s="1551"/>
      <c r="OYI33" s="1551"/>
      <c r="OYJ33" s="1551"/>
      <c r="OYK33" s="1551"/>
      <c r="OYL33" s="1551"/>
      <c r="OYM33" s="1551"/>
      <c r="OYN33" s="1551"/>
      <c r="OYO33" s="1551"/>
      <c r="OYP33" s="1551"/>
      <c r="OYQ33" s="1551"/>
      <c r="OYR33" s="1551"/>
      <c r="OYS33" s="1551"/>
      <c r="OYT33" s="1551"/>
      <c r="OYU33" s="1551"/>
      <c r="OYV33" s="1551"/>
      <c r="OYW33" s="1551"/>
      <c r="OYX33" s="1551"/>
      <c r="OYY33" s="1551"/>
      <c r="OYZ33" s="1551"/>
      <c r="OZA33" s="1551"/>
      <c r="OZB33" s="1551"/>
      <c r="OZC33" s="1551"/>
      <c r="OZD33" s="1551"/>
      <c r="OZE33" s="1551"/>
      <c r="OZF33" s="1551"/>
      <c r="OZG33" s="1551"/>
      <c r="OZH33" s="1551"/>
      <c r="OZI33" s="1551"/>
      <c r="OZJ33" s="1551"/>
      <c r="OZK33" s="1551"/>
      <c r="OZL33" s="1551"/>
      <c r="OZM33" s="1551"/>
      <c r="OZN33" s="1551"/>
      <c r="OZO33" s="1551"/>
      <c r="OZP33" s="1551"/>
      <c r="OZQ33" s="1551"/>
      <c r="OZR33" s="1551"/>
      <c r="OZS33" s="1551"/>
      <c r="OZT33" s="1551"/>
      <c r="OZU33" s="1551"/>
      <c r="OZV33" s="1551"/>
      <c r="OZW33" s="1551"/>
      <c r="OZX33" s="1551"/>
      <c r="OZY33" s="1551"/>
      <c r="OZZ33" s="1551"/>
      <c r="PAA33" s="1551"/>
      <c r="PAB33" s="1551"/>
      <c r="PAC33" s="1551"/>
      <c r="PAD33" s="1551"/>
      <c r="PAE33" s="1551"/>
      <c r="PAF33" s="1551"/>
      <c r="PAG33" s="1551"/>
      <c r="PAH33" s="1551"/>
      <c r="PAI33" s="1551"/>
      <c r="PAJ33" s="1551"/>
      <c r="PAK33" s="1551"/>
      <c r="PAL33" s="1551"/>
      <c r="PAM33" s="1551"/>
      <c r="PAN33" s="1551"/>
      <c r="PAO33" s="1551"/>
      <c r="PAP33" s="1551"/>
      <c r="PAQ33" s="1551"/>
      <c r="PAR33" s="1551"/>
      <c r="PAS33" s="1551"/>
      <c r="PAT33" s="1551"/>
      <c r="PAU33" s="1551"/>
      <c r="PAV33" s="1551"/>
      <c r="PAW33" s="1551"/>
      <c r="PAX33" s="1551"/>
      <c r="PAY33" s="1551"/>
      <c r="PAZ33" s="1551"/>
      <c r="PBA33" s="1551"/>
      <c r="PBB33" s="1551"/>
      <c r="PBC33" s="1551"/>
      <c r="PBD33" s="1551"/>
      <c r="PBE33" s="1551"/>
      <c r="PBF33" s="1551"/>
      <c r="PBG33" s="1551"/>
      <c r="PBH33" s="1551"/>
      <c r="PBI33" s="1551"/>
      <c r="PBJ33" s="1551"/>
      <c r="PBK33" s="1551"/>
      <c r="PBL33" s="1551"/>
      <c r="PBM33" s="1551"/>
      <c r="PBN33" s="1551"/>
      <c r="PBO33" s="1551"/>
      <c r="PBP33" s="1551"/>
      <c r="PBQ33" s="1551"/>
      <c r="PBR33" s="1551"/>
      <c r="PBS33" s="1551"/>
      <c r="PBT33" s="1551"/>
      <c r="PBU33" s="1551"/>
      <c r="PBV33" s="1551"/>
      <c r="PBW33" s="1551"/>
      <c r="PBX33" s="1551"/>
      <c r="PBY33" s="1551"/>
      <c r="PBZ33" s="1551"/>
      <c r="PCA33" s="1551"/>
      <c r="PCB33" s="1551"/>
      <c r="PCC33" s="1551"/>
      <c r="PCD33" s="1551"/>
      <c r="PCE33" s="1551"/>
      <c r="PCF33" s="1551"/>
      <c r="PCG33" s="1551"/>
      <c r="PCH33" s="1551"/>
      <c r="PCI33" s="1551"/>
      <c r="PCJ33" s="1551"/>
      <c r="PCK33" s="1551"/>
      <c r="PCL33" s="1551"/>
      <c r="PCM33" s="1551"/>
      <c r="PCN33" s="1551"/>
      <c r="PCO33" s="1551"/>
      <c r="PCP33" s="1551"/>
      <c r="PCQ33" s="1551"/>
      <c r="PCR33" s="1551"/>
      <c r="PCS33" s="1551"/>
      <c r="PCT33" s="1551"/>
      <c r="PCU33" s="1551"/>
      <c r="PCV33" s="1551"/>
      <c r="PCW33" s="1551"/>
      <c r="PCX33" s="1551"/>
      <c r="PCY33" s="1551"/>
      <c r="PCZ33" s="1551"/>
      <c r="PDA33" s="1551"/>
      <c r="PDB33" s="1551"/>
      <c r="PDC33" s="1551"/>
      <c r="PDD33" s="1551"/>
      <c r="PDE33" s="1551"/>
      <c r="PDF33" s="1551"/>
      <c r="PDG33" s="1551"/>
      <c r="PDH33" s="1551"/>
      <c r="PDI33" s="1551"/>
      <c r="PDJ33" s="1551"/>
      <c r="PDK33" s="1551"/>
      <c r="PDL33" s="1551"/>
      <c r="PDM33" s="1551"/>
      <c r="PDN33" s="1551"/>
      <c r="PDO33" s="1551"/>
      <c r="PDP33" s="1551"/>
      <c r="PDQ33" s="1551"/>
      <c r="PDR33" s="1551"/>
      <c r="PDS33" s="1551"/>
      <c r="PDT33" s="1551"/>
      <c r="PDU33" s="1551"/>
      <c r="PDV33" s="1551"/>
      <c r="PDW33" s="1551"/>
      <c r="PDX33" s="1551"/>
      <c r="PDY33" s="1551"/>
      <c r="PDZ33" s="1551"/>
      <c r="PEA33" s="1551"/>
      <c r="PEB33" s="1551"/>
      <c r="PEC33" s="1551"/>
      <c r="PED33" s="1551"/>
      <c r="PEE33" s="1551"/>
      <c r="PEF33" s="1551"/>
      <c r="PEG33" s="1551"/>
      <c r="PEH33" s="1551"/>
      <c r="PEI33" s="1551"/>
      <c r="PEJ33" s="1551"/>
      <c r="PEK33" s="1551"/>
      <c r="PEL33" s="1551"/>
      <c r="PEM33" s="1551"/>
      <c r="PEN33" s="1551"/>
      <c r="PEO33" s="1551"/>
      <c r="PEP33" s="1551"/>
      <c r="PEQ33" s="1551"/>
      <c r="PER33" s="1551"/>
      <c r="PES33" s="1551"/>
      <c r="PET33" s="1551"/>
      <c r="PEU33" s="1551"/>
      <c r="PEV33" s="1551"/>
      <c r="PEW33" s="1551"/>
      <c r="PEX33" s="1551"/>
      <c r="PEY33" s="1551"/>
      <c r="PEZ33" s="1551"/>
      <c r="PFA33" s="1551"/>
      <c r="PFB33" s="1551"/>
      <c r="PFC33" s="1551"/>
      <c r="PFD33" s="1551"/>
      <c r="PFE33" s="1551"/>
      <c r="PFF33" s="1551"/>
      <c r="PFG33" s="1551"/>
      <c r="PFH33" s="1551"/>
      <c r="PFI33" s="1551"/>
      <c r="PFJ33" s="1551"/>
      <c r="PFK33" s="1551"/>
      <c r="PFL33" s="1551"/>
      <c r="PFM33" s="1551"/>
      <c r="PFN33" s="1551"/>
      <c r="PFO33" s="1551"/>
      <c r="PFP33" s="1551"/>
      <c r="PFQ33" s="1551"/>
      <c r="PFR33" s="1551"/>
      <c r="PFS33" s="1551"/>
      <c r="PFT33" s="1551"/>
      <c r="PFU33" s="1551"/>
      <c r="PFV33" s="1551"/>
      <c r="PFW33" s="1551"/>
      <c r="PFX33" s="1551"/>
      <c r="PFY33" s="1551"/>
      <c r="PFZ33" s="1551"/>
      <c r="PGA33" s="1551"/>
      <c r="PGB33" s="1551"/>
      <c r="PGC33" s="1551"/>
      <c r="PGD33" s="1551"/>
      <c r="PGE33" s="1551"/>
      <c r="PGF33" s="1551"/>
      <c r="PGG33" s="1551"/>
      <c r="PGH33" s="1551"/>
      <c r="PGI33" s="1551"/>
      <c r="PGJ33" s="1551"/>
      <c r="PGK33" s="1551"/>
      <c r="PGL33" s="1551"/>
      <c r="PGM33" s="1551"/>
      <c r="PGN33" s="1551"/>
      <c r="PGO33" s="1551"/>
      <c r="PGP33" s="1551"/>
      <c r="PGQ33" s="1551"/>
      <c r="PGR33" s="1551"/>
      <c r="PGS33" s="1551"/>
      <c r="PGT33" s="1551"/>
      <c r="PGU33" s="1551"/>
      <c r="PGV33" s="1551"/>
      <c r="PGW33" s="1551"/>
      <c r="PGX33" s="1551"/>
      <c r="PGY33" s="1551"/>
      <c r="PGZ33" s="1551"/>
      <c r="PHA33" s="1551"/>
      <c r="PHB33" s="1551"/>
      <c r="PHC33" s="1551"/>
      <c r="PHD33" s="1551"/>
      <c r="PHE33" s="1551"/>
      <c r="PHF33" s="1551"/>
      <c r="PHG33" s="1551"/>
      <c r="PHH33" s="1551"/>
      <c r="PHI33" s="1551"/>
      <c r="PHJ33" s="1551"/>
      <c r="PHK33" s="1551"/>
      <c r="PHL33" s="1551"/>
      <c r="PHM33" s="1551"/>
      <c r="PHN33" s="1551"/>
      <c r="PHO33" s="1551"/>
      <c r="PHP33" s="1551"/>
      <c r="PHQ33" s="1551"/>
      <c r="PHR33" s="1551"/>
      <c r="PHS33" s="1551"/>
      <c r="PHT33" s="1551"/>
      <c r="PHU33" s="1551"/>
      <c r="PHV33" s="1551"/>
      <c r="PHW33" s="1551"/>
      <c r="PHX33" s="1551"/>
      <c r="PHY33" s="1551"/>
      <c r="PHZ33" s="1551"/>
      <c r="PIA33" s="1551"/>
      <c r="PIB33" s="1551"/>
      <c r="PIC33" s="1551"/>
      <c r="PID33" s="1551"/>
      <c r="PIE33" s="1551"/>
      <c r="PIF33" s="1551"/>
      <c r="PIG33" s="1551"/>
      <c r="PIH33" s="1551"/>
      <c r="PII33" s="1551"/>
      <c r="PIJ33" s="1551"/>
      <c r="PIK33" s="1551"/>
      <c r="PIL33" s="1551"/>
      <c r="PIM33" s="1551"/>
      <c r="PIN33" s="1551"/>
      <c r="PIO33" s="1551"/>
      <c r="PIP33" s="1551"/>
      <c r="PIQ33" s="1551"/>
      <c r="PIR33" s="1551"/>
      <c r="PIS33" s="1551"/>
      <c r="PIT33" s="1551"/>
      <c r="PIU33" s="1551"/>
      <c r="PIV33" s="1551"/>
      <c r="PIW33" s="1551"/>
      <c r="PIX33" s="1551"/>
      <c r="PIY33" s="1551"/>
      <c r="PIZ33" s="1551"/>
      <c r="PJA33" s="1551"/>
      <c r="PJB33" s="1551"/>
      <c r="PJC33" s="1551"/>
      <c r="PJD33" s="1551"/>
      <c r="PJE33" s="1551"/>
      <c r="PJF33" s="1551"/>
      <c r="PJG33" s="1551"/>
      <c r="PJH33" s="1551"/>
      <c r="PJI33" s="1551"/>
      <c r="PJJ33" s="1551"/>
      <c r="PJK33" s="1551"/>
      <c r="PJL33" s="1551"/>
      <c r="PJM33" s="1551"/>
      <c r="PJN33" s="1551"/>
      <c r="PJO33" s="1551"/>
      <c r="PJP33" s="1551"/>
      <c r="PJQ33" s="1551"/>
      <c r="PJR33" s="1551"/>
      <c r="PJS33" s="1551"/>
      <c r="PJT33" s="1551"/>
      <c r="PJU33" s="1551"/>
      <c r="PJV33" s="1551"/>
      <c r="PJW33" s="1551"/>
      <c r="PJX33" s="1551"/>
      <c r="PJY33" s="1551"/>
      <c r="PJZ33" s="1551"/>
      <c r="PKA33" s="1551"/>
      <c r="PKB33" s="1551"/>
      <c r="PKC33" s="1551"/>
      <c r="PKD33" s="1551"/>
      <c r="PKE33" s="1551"/>
      <c r="PKF33" s="1551"/>
      <c r="PKG33" s="1551"/>
      <c r="PKH33" s="1551"/>
      <c r="PKI33" s="1551"/>
      <c r="PKJ33" s="1551"/>
      <c r="PKK33" s="1551"/>
      <c r="PKL33" s="1551"/>
      <c r="PKM33" s="1551"/>
      <c r="PKN33" s="1551"/>
      <c r="PKO33" s="1551"/>
      <c r="PKP33" s="1551"/>
      <c r="PKQ33" s="1551"/>
      <c r="PKR33" s="1551"/>
      <c r="PKS33" s="1551"/>
      <c r="PKT33" s="1551"/>
      <c r="PKU33" s="1551"/>
      <c r="PKV33" s="1551"/>
      <c r="PKW33" s="1551"/>
      <c r="PKX33" s="1551"/>
      <c r="PKY33" s="1551"/>
      <c r="PKZ33" s="1551"/>
      <c r="PLA33" s="1551"/>
      <c r="PLB33" s="1551"/>
      <c r="PLC33" s="1551"/>
      <c r="PLD33" s="1551"/>
      <c r="PLE33" s="1551"/>
      <c r="PLF33" s="1551"/>
      <c r="PLG33" s="1551"/>
      <c r="PLH33" s="1551"/>
      <c r="PLI33" s="1551"/>
      <c r="PLJ33" s="1551"/>
      <c r="PLK33" s="1551"/>
      <c r="PLL33" s="1551"/>
      <c r="PLM33" s="1551"/>
      <c r="PLN33" s="1551"/>
      <c r="PLO33" s="1551"/>
      <c r="PLP33" s="1551"/>
      <c r="PLQ33" s="1551"/>
      <c r="PLR33" s="1551"/>
      <c r="PLS33" s="1551"/>
      <c r="PLT33" s="1551"/>
      <c r="PLU33" s="1551"/>
      <c r="PLV33" s="1551"/>
      <c r="PLW33" s="1551"/>
      <c r="PLX33" s="1551"/>
      <c r="PLY33" s="1551"/>
      <c r="PLZ33" s="1551"/>
      <c r="PMA33" s="1551"/>
      <c r="PMB33" s="1551"/>
      <c r="PMC33" s="1551"/>
      <c r="PMD33" s="1551"/>
      <c r="PME33" s="1551"/>
      <c r="PMF33" s="1551"/>
      <c r="PMG33" s="1551"/>
      <c r="PMH33" s="1551"/>
      <c r="PMI33" s="1551"/>
      <c r="PMJ33" s="1551"/>
      <c r="PMK33" s="1551"/>
      <c r="PML33" s="1551"/>
      <c r="PMM33" s="1551"/>
      <c r="PMN33" s="1551"/>
      <c r="PMO33" s="1551"/>
      <c r="PMP33" s="1551"/>
      <c r="PMQ33" s="1551"/>
      <c r="PMR33" s="1551"/>
      <c r="PMS33" s="1551"/>
      <c r="PMT33" s="1551"/>
      <c r="PMU33" s="1551"/>
      <c r="PMV33" s="1551"/>
      <c r="PMW33" s="1551"/>
      <c r="PMX33" s="1551"/>
      <c r="PMY33" s="1551"/>
      <c r="PMZ33" s="1551"/>
      <c r="PNA33" s="1551"/>
      <c r="PNB33" s="1551"/>
      <c r="PNC33" s="1551"/>
      <c r="PND33" s="1551"/>
      <c r="PNE33" s="1551"/>
      <c r="PNF33" s="1551"/>
      <c r="PNG33" s="1551"/>
      <c r="PNH33" s="1551"/>
      <c r="PNI33" s="1551"/>
      <c r="PNJ33" s="1551"/>
      <c r="PNK33" s="1551"/>
      <c r="PNL33" s="1551"/>
      <c r="PNM33" s="1551"/>
      <c r="PNN33" s="1551"/>
      <c r="PNO33" s="1551"/>
      <c r="PNP33" s="1551"/>
      <c r="PNQ33" s="1551"/>
      <c r="PNR33" s="1551"/>
      <c r="PNS33" s="1551"/>
      <c r="PNT33" s="1551"/>
      <c r="PNU33" s="1551"/>
      <c r="PNV33" s="1551"/>
      <c r="PNW33" s="1551"/>
      <c r="PNX33" s="1551"/>
      <c r="PNY33" s="1551"/>
      <c r="PNZ33" s="1551"/>
      <c r="POA33" s="1551"/>
      <c r="POB33" s="1551"/>
      <c r="POC33" s="1551"/>
      <c r="POD33" s="1551"/>
      <c r="POE33" s="1551"/>
      <c r="POF33" s="1551"/>
      <c r="POG33" s="1551"/>
      <c r="POH33" s="1551"/>
      <c r="POI33" s="1551"/>
      <c r="POJ33" s="1551"/>
      <c r="POK33" s="1551"/>
      <c r="POL33" s="1551"/>
      <c r="POM33" s="1551"/>
      <c r="PON33" s="1551"/>
      <c r="POO33" s="1551"/>
      <c r="POP33" s="1551"/>
      <c r="POQ33" s="1551"/>
      <c r="POR33" s="1551"/>
      <c r="POS33" s="1551"/>
      <c r="POT33" s="1551"/>
      <c r="POU33" s="1551"/>
      <c r="POV33" s="1551"/>
      <c r="POW33" s="1551"/>
      <c r="POX33" s="1551"/>
      <c r="POY33" s="1551"/>
      <c r="POZ33" s="1551"/>
      <c r="PPA33" s="1551"/>
      <c r="PPB33" s="1551"/>
      <c r="PPC33" s="1551"/>
      <c r="PPD33" s="1551"/>
      <c r="PPE33" s="1551"/>
      <c r="PPF33" s="1551"/>
      <c r="PPG33" s="1551"/>
      <c r="PPH33" s="1551"/>
      <c r="PPI33" s="1551"/>
      <c r="PPJ33" s="1551"/>
      <c r="PPK33" s="1551"/>
      <c r="PPL33" s="1551"/>
      <c r="PPM33" s="1551"/>
      <c r="PPN33" s="1551"/>
      <c r="PPO33" s="1551"/>
      <c r="PPP33" s="1551"/>
      <c r="PPQ33" s="1551"/>
      <c r="PPR33" s="1551"/>
      <c r="PPS33" s="1551"/>
      <c r="PPT33" s="1551"/>
      <c r="PPU33" s="1551"/>
      <c r="PPV33" s="1551"/>
      <c r="PPW33" s="1551"/>
      <c r="PPX33" s="1551"/>
      <c r="PPY33" s="1551"/>
      <c r="PPZ33" s="1551"/>
      <c r="PQA33" s="1551"/>
      <c r="PQB33" s="1551"/>
      <c r="PQC33" s="1551"/>
      <c r="PQD33" s="1551"/>
      <c r="PQE33" s="1551"/>
      <c r="PQF33" s="1551"/>
      <c r="PQG33" s="1551"/>
      <c r="PQH33" s="1551"/>
      <c r="PQI33" s="1551"/>
      <c r="PQJ33" s="1551"/>
      <c r="PQK33" s="1551"/>
      <c r="PQL33" s="1551"/>
      <c r="PQM33" s="1551"/>
      <c r="PQN33" s="1551"/>
      <c r="PQO33" s="1551"/>
      <c r="PQP33" s="1551"/>
      <c r="PQQ33" s="1551"/>
      <c r="PQR33" s="1551"/>
      <c r="PQS33" s="1551"/>
      <c r="PQT33" s="1551"/>
      <c r="PQU33" s="1551"/>
      <c r="PQV33" s="1551"/>
      <c r="PQW33" s="1551"/>
      <c r="PQX33" s="1551"/>
      <c r="PQY33" s="1551"/>
      <c r="PQZ33" s="1551"/>
      <c r="PRA33" s="1551"/>
      <c r="PRB33" s="1551"/>
      <c r="PRC33" s="1551"/>
      <c r="PRD33" s="1551"/>
      <c r="PRE33" s="1551"/>
      <c r="PRF33" s="1551"/>
      <c r="PRG33" s="1551"/>
      <c r="PRH33" s="1551"/>
      <c r="PRI33" s="1551"/>
      <c r="PRJ33" s="1551"/>
      <c r="PRK33" s="1551"/>
      <c r="PRL33" s="1551"/>
      <c r="PRM33" s="1551"/>
      <c r="PRN33" s="1551"/>
      <c r="PRO33" s="1551"/>
      <c r="PRP33" s="1551"/>
      <c r="PRQ33" s="1551"/>
      <c r="PRR33" s="1551"/>
      <c r="PRS33" s="1551"/>
      <c r="PRT33" s="1551"/>
      <c r="PRU33" s="1551"/>
      <c r="PRV33" s="1551"/>
      <c r="PRW33" s="1551"/>
      <c r="PRX33" s="1551"/>
      <c r="PRY33" s="1551"/>
      <c r="PRZ33" s="1551"/>
      <c r="PSA33" s="1551"/>
      <c r="PSB33" s="1551"/>
      <c r="PSC33" s="1551"/>
      <c r="PSD33" s="1551"/>
      <c r="PSE33" s="1551"/>
      <c r="PSF33" s="1551"/>
      <c r="PSG33" s="1551"/>
      <c r="PSH33" s="1551"/>
      <c r="PSI33" s="1551"/>
      <c r="PSJ33" s="1551"/>
      <c r="PSK33" s="1551"/>
      <c r="PSL33" s="1551"/>
      <c r="PSM33" s="1551"/>
      <c r="PSN33" s="1551"/>
      <c r="PSO33" s="1551"/>
      <c r="PSP33" s="1551"/>
      <c r="PSQ33" s="1551"/>
      <c r="PSR33" s="1551"/>
      <c r="PSS33" s="1551"/>
      <c r="PST33" s="1551"/>
      <c r="PSU33" s="1551"/>
      <c r="PSV33" s="1551"/>
      <c r="PSW33" s="1551"/>
      <c r="PSX33" s="1551"/>
      <c r="PSY33" s="1551"/>
      <c r="PSZ33" s="1551"/>
      <c r="PTA33" s="1551"/>
      <c r="PTB33" s="1551"/>
      <c r="PTC33" s="1551"/>
      <c r="PTD33" s="1551"/>
      <c r="PTE33" s="1551"/>
      <c r="PTF33" s="1551"/>
      <c r="PTG33" s="1551"/>
      <c r="PTH33" s="1551"/>
      <c r="PTI33" s="1551"/>
      <c r="PTJ33" s="1551"/>
      <c r="PTK33" s="1551"/>
      <c r="PTL33" s="1551"/>
      <c r="PTM33" s="1551"/>
      <c r="PTN33" s="1551"/>
      <c r="PTO33" s="1551"/>
      <c r="PTP33" s="1551"/>
      <c r="PTQ33" s="1551"/>
      <c r="PTR33" s="1551"/>
      <c r="PTS33" s="1551"/>
      <c r="PTT33" s="1551"/>
      <c r="PTU33" s="1551"/>
      <c r="PTV33" s="1551"/>
      <c r="PTW33" s="1551"/>
      <c r="PTX33" s="1551"/>
      <c r="PTY33" s="1551"/>
      <c r="PTZ33" s="1551"/>
      <c r="PUA33" s="1551"/>
      <c r="PUB33" s="1551"/>
      <c r="PUC33" s="1551"/>
      <c r="PUD33" s="1551"/>
      <c r="PUE33" s="1551"/>
      <c r="PUF33" s="1551"/>
      <c r="PUG33" s="1551"/>
      <c r="PUH33" s="1551"/>
      <c r="PUI33" s="1551"/>
      <c r="PUJ33" s="1551"/>
      <c r="PUK33" s="1551"/>
      <c r="PUL33" s="1551"/>
      <c r="PUM33" s="1551"/>
      <c r="PUN33" s="1551"/>
      <c r="PUO33" s="1551"/>
      <c r="PUP33" s="1551"/>
      <c r="PUQ33" s="1551"/>
      <c r="PUR33" s="1551"/>
      <c r="PUS33" s="1551"/>
      <c r="PUT33" s="1551"/>
      <c r="PUU33" s="1551"/>
      <c r="PUV33" s="1551"/>
      <c r="PUW33" s="1551"/>
      <c r="PUX33" s="1551"/>
      <c r="PUY33" s="1551"/>
      <c r="PUZ33" s="1551"/>
      <c r="PVA33" s="1551"/>
      <c r="PVB33" s="1551"/>
      <c r="PVC33" s="1551"/>
      <c r="PVD33" s="1551"/>
      <c r="PVE33" s="1551"/>
      <c r="PVF33" s="1551"/>
      <c r="PVG33" s="1551"/>
      <c r="PVH33" s="1551"/>
      <c r="PVI33" s="1551"/>
      <c r="PVJ33" s="1551"/>
      <c r="PVK33" s="1551"/>
      <c r="PVL33" s="1551"/>
      <c r="PVM33" s="1551"/>
      <c r="PVN33" s="1551"/>
      <c r="PVO33" s="1551"/>
      <c r="PVP33" s="1551"/>
      <c r="PVQ33" s="1551"/>
      <c r="PVR33" s="1551"/>
      <c r="PVS33" s="1551"/>
      <c r="PVT33" s="1551"/>
      <c r="PVU33" s="1551"/>
      <c r="PVV33" s="1551"/>
      <c r="PVW33" s="1551"/>
      <c r="PVX33" s="1551"/>
      <c r="PVY33" s="1551"/>
      <c r="PVZ33" s="1551"/>
      <c r="PWA33" s="1551"/>
      <c r="PWB33" s="1551"/>
      <c r="PWC33" s="1551"/>
      <c r="PWD33" s="1551"/>
      <c r="PWE33" s="1551"/>
      <c r="PWF33" s="1551"/>
      <c r="PWG33" s="1551"/>
      <c r="PWH33" s="1551"/>
      <c r="PWI33" s="1551"/>
      <c r="PWJ33" s="1551"/>
      <c r="PWK33" s="1551"/>
      <c r="PWL33" s="1551"/>
      <c r="PWM33" s="1551"/>
      <c r="PWN33" s="1551"/>
      <c r="PWO33" s="1551"/>
      <c r="PWP33" s="1551"/>
      <c r="PWQ33" s="1551"/>
      <c r="PWR33" s="1551"/>
      <c r="PWS33" s="1551"/>
      <c r="PWT33" s="1551"/>
      <c r="PWU33" s="1551"/>
      <c r="PWV33" s="1551"/>
      <c r="PWW33" s="1551"/>
      <c r="PWX33" s="1551"/>
      <c r="PWY33" s="1551"/>
      <c r="PWZ33" s="1551"/>
      <c r="PXA33" s="1551"/>
      <c r="PXB33" s="1551"/>
      <c r="PXC33" s="1551"/>
      <c r="PXD33" s="1551"/>
      <c r="PXE33" s="1551"/>
      <c r="PXF33" s="1551"/>
      <c r="PXG33" s="1551"/>
      <c r="PXH33" s="1551"/>
      <c r="PXI33" s="1551"/>
      <c r="PXJ33" s="1551"/>
      <c r="PXK33" s="1551"/>
      <c r="PXL33" s="1551"/>
      <c r="PXM33" s="1551"/>
      <c r="PXN33" s="1551"/>
      <c r="PXO33" s="1551"/>
      <c r="PXP33" s="1551"/>
      <c r="PXQ33" s="1551"/>
      <c r="PXR33" s="1551"/>
      <c r="PXS33" s="1551"/>
      <c r="PXT33" s="1551"/>
      <c r="PXU33" s="1551"/>
      <c r="PXV33" s="1551"/>
      <c r="PXW33" s="1551"/>
      <c r="PXX33" s="1551"/>
      <c r="PXY33" s="1551"/>
      <c r="PXZ33" s="1551"/>
      <c r="PYA33" s="1551"/>
      <c r="PYB33" s="1551"/>
      <c r="PYC33" s="1551"/>
      <c r="PYD33" s="1551"/>
      <c r="PYE33" s="1551"/>
      <c r="PYF33" s="1551"/>
      <c r="PYG33" s="1551"/>
      <c r="PYH33" s="1551"/>
      <c r="PYI33" s="1551"/>
      <c r="PYJ33" s="1551"/>
      <c r="PYK33" s="1551"/>
      <c r="PYL33" s="1551"/>
      <c r="PYM33" s="1551"/>
      <c r="PYN33" s="1551"/>
      <c r="PYO33" s="1551"/>
      <c r="PYP33" s="1551"/>
      <c r="PYQ33" s="1551"/>
      <c r="PYR33" s="1551"/>
      <c r="PYS33" s="1551"/>
      <c r="PYT33" s="1551"/>
      <c r="PYU33" s="1551"/>
      <c r="PYV33" s="1551"/>
      <c r="PYW33" s="1551"/>
      <c r="PYX33" s="1551"/>
      <c r="PYY33" s="1551"/>
      <c r="PYZ33" s="1551"/>
      <c r="PZA33" s="1551"/>
      <c r="PZB33" s="1551"/>
      <c r="PZC33" s="1551"/>
      <c r="PZD33" s="1551"/>
      <c r="PZE33" s="1551"/>
      <c r="PZF33" s="1551"/>
      <c r="PZG33" s="1551"/>
      <c r="PZH33" s="1551"/>
      <c r="PZI33" s="1551"/>
      <c r="PZJ33" s="1551"/>
      <c r="PZK33" s="1551"/>
      <c r="PZL33" s="1551"/>
      <c r="PZM33" s="1551"/>
      <c r="PZN33" s="1551"/>
      <c r="PZO33" s="1551"/>
      <c r="PZP33" s="1551"/>
      <c r="PZQ33" s="1551"/>
      <c r="PZR33" s="1551"/>
      <c r="PZS33" s="1551"/>
      <c r="PZT33" s="1551"/>
      <c r="PZU33" s="1551"/>
      <c r="PZV33" s="1551"/>
      <c r="PZW33" s="1551"/>
      <c r="PZX33" s="1551"/>
      <c r="PZY33" s="1551"/>
      <c r="PZZ33" s="1551"/>
      <c r="QAA33" s="1551"/>
      <c r="QAB33" s="1551"/>
      <c r="QAC33" s="1551"/>
      <c r="QAD33" s="1551"/>
      <c r="QAE33" s="1551"/>
      <c r="QAF33" s="1551"/>
      <c r="QAG33" s="1551"/>
      <c r="QAH33" s="1551"/>
      <c r="QAI33" s="1551"/>
      <c r="QAJ33" s="1551"/>
      <c r="QAK33" s="1551"/>
      <c r="QAL33" s="1551"/>
      <c r="QAM33" s="1551"/>
      <c r="QAN33" s="1551"/>
      <c r="QAO33" s="1551"/>
      <c r="QAP33" s="1551"/>
      <c r="QAQ33" s="1551"/>
      <c r="QAR33" s="1551"/>
      <c r="QAS33" s="1551"/>
      <c r="QAT33" s="1551"/>
      <c r="QAU33" s="1551"/>
      <c r="QAV33" s="1551"/>
      <c r="QAW33" s="1551"/>
      <c r="QAX33" s="1551"/>
      <c r="QAY33" s="1551"/>
      <c r="QAZ33" s="1551"/>
      <c r="QBA33" s="1551"/>
      <c r="QBB33" s="1551"/>
      <c r="QBC33" s="1551"/>
      <c r="QBD33" s="1551"/>
      <c r="QBE33" s="1551"/>
      <c r="QBF33" s="1551"/>
      <c r="QBG33" s="1551"/>
      <c r="QBH33" s="1551"/>
      <c r="QBI33" s="1551"/>
      <c r="QBJ33" s="1551"/>
      <c r="QBK33" s="1551"/>
      <c r="QBL33" s="1551"/>
      <c r="QBM33" s="1551"/>
      <c r="QBN33" s="1551"/>
      <c r="QBO33" s="1551"/>
      <c r="QBP33" s="1551"/>
      <c r="QBQ33" s="1551"/>
      <c r="QBR33" s="1551"/>
      <c r="QBS33" s="1551"/>
      <c r="QBT33" s="1551"/>
      <c r="QBU33" s="1551"/>
      <c r="QBV33" s="1551"/>
      <c r="QBW33" s="1551"/>
      <c r="QBX33" s="1551"/>
      <c r="QBY33" s="1551"/>
      <c r="QBZ33" s="1551"/>
      <c r="QCA33" s="1551"/>
      <c r="QCB33" s="1551"/>
      <c r="QCC33" s="1551"/>
      <c r="QCD33" s="1551"/>
      <c r="QCE33" s="1551"/>
      <c r="QCF33" s="1551"/>
      <c r="QCG33" s="1551"/>
      <c r="QCH33" s="1551"/>
      <c r="QCI33" s="1551"/>
      <c r="QCJ33" s="1551"/>
      <c r="QCK33" s="1551"/>
      <c r="QCL33" s="1551"/>
      <c r="QCM33" s="1551"/>
      <c r="QCN33" s="1551"/>
      <c r="QCO33" s="1551"/>
      <c r="QCP33" s="1551"/>
      <c r="QCQ33" s="1551"/>
      <c r="QCR33" s="1551"/>
      <c r="QCS33" s="1551"/>
      <c r="QCT33" s="1551"/>
      <c r="QCU33" s="1551"/>
      <c r="QCV33" s="1551"/>
      <c r="QCW33" s="1551"/>
      <c r="QCX33" s="1551"/>
      <c r="QCY33" s="1551"/>
      <c r="QCZ33" s="1551"/>
      <c r="QDA33" s="1551"/>
      <c r="QDB33" s="1551"/>
      <c r="QDC33" s="1551"/>
      <c r="QDD33" s="1551"/>
      <c r="QDE33" s="1551"/>
      <c r="QDF33" s="1551"/>
      <c r="QDG33" s="1551"/>
      <c r="QDH33" s="1551"/>
      <c r="QDI33" s="1551"/>
      <c r="QDJ33" s="1551"/>
      <c r="QDK33" s="1551"/>
      <c r="QDL33" s="1551"/>
      <c r="QDM33" s="1551"/>
      <c r="QDN33" s="1551"/>
      <c r="QDO33" s="1551"/>
      <c r="QDP33" s="1551"/>
      <c r="QDQ33" s="1551"/>
      <c r="QDR33" s="1551"/>
      <c r="QDS33" s="1551"/>
      <c r="QDT33" s="1551"/>
      <c r="QDU33" s="1551"/>
      <c r="QDV33" s="1551"/>
      <c r="QDW33" s="1551"/>
      <c r="QDX33" s="1551"/>
      <c r="QDY33" s="1551"/>
      <c r="QDZ33" s="1551"/>
      <c r="QEA33" s="1551"/>
      <c r="QEB33" s="1551"/>
      <c r="QEC33" s="1551"/>
      <c r="QED33" s="1551"/>
      <c r="QEE33" s="1551"/>
      <c r="QEF33" s="1551"/>
      <c r="QEG33" s="1551"/>
      <c r="QEH33" s="1551"/>
      <c r="QEI33" s="1551"/>
      <c r="QEJ33" s="1551"/>
      <c r="QEK33" s="1551"/>
      <c r="QEL33" s="1551"/>
      <c r="QEM33" s="1551"/>
      <c r="QEN33" s="1551"/>
      <c r="QEO33" s="1551"/>
      <c r="QEP33" s="1551"/>
      <c r="QEQ33" s="1551"/>
      <c r="QER33" s="1551"/>
      <c r="QES33" s="1551"/>
      <c r="QET33" s="1551"/>
      <c r="QEU33" s="1551"/>
      <c r="QEV33" s="1551"/>
      <c r="QEW33" s="1551"/>
      <c r="QEX33" s="1551"/>
      <c r="QEY33" s="1551"/>
      <c r="QEZ33" s="1551"/>
      <c r="QFA33" s="1551"/>
      <c r="QFB33" s="1551"/>
      <c r="QFC33" s="1551"/>
      <c r="QFD33" s="1551"/>
      <c r="QFE33" s="1551"/>
      <c r="QFF33" s="1551"/>
      <c r="QFG33" s="1551"/>
      <c r="QFH33" s="1551"/>
      <c r="QFI33" s="1551"/>
      <c r="QFJ33" s="1551"/>
      <c r="QFK33" s="1551"/>
      <c r="QFL33" s="1551"/>
      <c r="QFM33" s="1551"/>
      <c r="QFN33" s="1551"/>
      <c r="QFO33" s="1551"/>
      <c r="QFP33" s="1551"/>
      <c r="QFQ33" s="1551"/>
      <c r="QFR33" s="1551"/>
      <c r="QFS33" s="1551"/>
      <c r="QFT33" s="1551"/>
      <c r="QFU33" s="1551"/>
      <c r="QFV33" s="1551"/>
      <c r="QFW33" s="1551"/>
      <c r="QFX33" s="1551"/>
      <c r="QFY33" s="1551"/>
      <c r="QFZ33" s="1551"/>
      <c r="QGA33" s="1551"/>
      <c r="QGB33" s="1551"/>
      <c r="QGC33" s="1551"/>
      <c r="QGD33" s="1551"/>
      <c r="QGE33" s="1551"/>
      <c r="QGF33" s="1551"/>
      <c r="QGG33" s="1551"/>
      <c r="QGH33" s="1551"/>
      <c r="QGI33" s="1551"/>
      <c r="QGJ33" s="1551"/>
      <c r="QGK33" s="1551"/>
      <c r="QGL33" s="1551"/>
      <c r="QGM33" s="1551"/>
      <c r="QGN33" s="1551"/>
      <c r="QGO33" s="1551"/>
      <c r="QGP33" s="1551"/>
      <c r="QGQ33" s="1551"/>
      <c r="QGR33" s="1551"/>
      <c r="QGS33" s="1551"/>
      <c r="QGT33" s="1551"/>
      <c r="QGU33" s="1551"/>
      <c r="QGV33" s="1551"/>
      <c r="QGW33" s="1551"/>
      <c r="QGX33" s="1551"/>
      <c r="QGY33" s="1551"/>
      <c r="QGZ33" s="1551"/>
      <c r="QHA33" s="1551"/>
      <c r="QHB33" s="1551"/>
      <c r="QHC33" s="1551"/>
      <c r="QHD33" s="1551"/>
      <c r="QHE33" s="1551"/>
      <c r="QHF33" s="1551"/>
      <c r="QHG33" s="1551"/>
      <c r="QHH33" s="1551"/>
      <c r="QHI33" s="1551"/>
      <c r="QHJ33" s="1551"/>
      <c r="QHK33" s="1551"/>
      <c r="QHL33" s="1551"/>
      <c r="QHM33" s="1551"/>
      <c r="QHN33" s="1551"/>
      <c r="QHO33" s="1551"/>
      <c r="QHP33" s="1551"/>
      <c r="QHQ33" s="1551"/>
      <c r="QHR33" s="1551"/>
      <c r="QHS33" s="1551"/>
      <c r="QHT33" s="1551"/>
      <c r="QHU33" s="1551"/>
      <c r="QHV33" s="1551"/>
      <c r="QHW33" s="1551"/>
      <c r="QHX33" s="1551"/>
      <c r="QHY33" s="1551"/>
      <c r="QHZ33" s="1551"/>
      <c r="QIA33" s="1551"/>
      <c r="QIB33" s="1551"/>
      <c r="QIC33" s="1551"/>
      <c r="QID33" s="1551"/>
      <c r="QIE33" s="1551"/>
      <c r="QIF33" s="1551"/>
      <c r="QIG33" s="1551"/>
      <c r="QIH33" s="1551"/>
      <c r="QII33" s="1551"/>
      <c r="QIJ33" s="1551"/>
      <c r="QIK33" s="1551"/>
      <c r="QIL33" s="1551"/>
      <c r="QIM33" s="1551"/>
      <c r="QIN33" s="1551"/>
      <c r="QIO33" s="1551"/>
      <c r="QIP33" s="1551"/>
      <c r="QIQ33" s="1551"/>
      <c r="QIR33" s="1551"/>
      <c r="QIS33" s="1551"/>
      <c r="QIT33" s="1551"/>
      <c r="QIU33" s="1551"/>
      <c r="QIV33" s="1551"/>
      <c r="QIW33" s="1551"/>
      <c r="QIX33" s="1551"/>
      <c r="QIY33" s="1551"/>
      <c r="QIZ33" s="1551"/>
      <c r="QJA33" s="1551"/>
      <c r="QJB33" s="1551"/>
      <c r="QJC33" s="1551"/>
      <c r="QJD33" s="1551"/>
      <c r="QJE33" s="1551"/>
      <c r="QJF33" s="1551"/>
      <c r="QJG33" s="1551"/>
      <c r="QJH33" s="1551"/>
      <c r="QJI33" s="1551"/>
      <c r="QJJ33" s="1551"/>
      <c r="QJK33" s="1551"/>
      <c r="QJL33" s="1551"/>
      <c r="QJM33" s="1551"/>
      <c r="QJN33" s="1551"/>
      <c r="QJO33" s="1551"/>
      <c r="QJP33" s="1551"/>
      <c r="QJQ33" s="1551"/>
      <c r="QJR33" s="1551"/>
      <c r="QJS33" s="1551"/>
      <c r="QJT33" s="1551"/>
      <c r="QJU33" s="1551"/>
      <c r="QJV33" s="1551"/>
      <c r="QJW33" s="1551"/>
      <c r="QJX33" s="1551"/>
      <c r="QJY33" s="1551"/>
      <c r="QJZ33" s="1551"/>
      <c r="QKA33" s="1551"/>
      <c r="QKB33" s="1551"/>
      <c r="QKC33" s="1551"/>
      <c r="QKD33" s="1551"/>
      <c r="QKE33" s="1551"/>
      <c r="QKF33" s="1551"/>
      <c r="QKG33" s="1551"/>
      <c r="QKH33" s="1551"/>
      <c r="QKI33" s="1551"/>
      <c r="QKJ33" s="1551"/>
      <c r="QKK33" s="1551"/>
      <c r="QKL33" s="1551"/>
      <c r="QKM33" s="1551"/>
      <c r="QKN33" s="1551"/>
      <c r="QKO33" s="1551"/>
      <c r="QKP33" s="1551"/>
      <c r="QKQ33" s="1551"/>
      <c r="QKR33" s="1551"/>
      <c r="QKS33" s="1551"/>
      <c r="QKT33" s="1551"/>
      <c r="QKU33" s="1551"/>
      <c r="QKV33" s="1551"/>
      <c r="QKW33" s="1551"/>
      <c r="QKX33" s="1551"/>
      <c r="QKY33" s="1551"/>
      <c r="QKZ33" s="1551"/>
      <c r="QLA33" s="1551"/>
      <c r="QLB33" s="1551"/>
      <c r="QLC33" s="1551"/>
      <c r="QLD33" s="1551"/>
      <c r="QLE33" s="1551"/>
      <c r="QLF33" s="1551"/>
      <c r="QLG33" s="1551"/>
      <c r="QLH33" s="1551"/>
      <c r="QLI33" s="1551"/>
      <c r="QLJ33" s="1551"/>
      <c r="QLK33" s="1551"/>
      <c r="QLL33" s="1551"/>
      <c r="QLM33" s="1551"/>
      <c r="QLN33" s="1551"/>
      <c r="QLO33" s="1551"/>
      <c r="QLP33" s="1551"/>
      <c r="QLQ33" s="1551"/>
      <c r="QLR33" s="1551"/>
      <c r="QLS33" s="1551"/>
      <c r="QLT33" s="1551"/>
      <c r="QLU33" s="1551"/>
      <c r="QLV33" s="1551"/>
      <c r="QLW33" s="1551"/>
      <c r="QLX33" s="1551"/>
      <c r="QLY33" s="1551"/>
      <c r="QLZ33" s="1551"/>
      <c r="QMA33" s="1551"/>
      <c r="QMB33" s="1551"/>
      <c r="QMC33" s="1551"/>
      <c r="QMD33" s="1551"/>
      <c r="QME33" s="1551"/>
      <c r="QMF33" s="1551"/>
      <c r="QMG33" s="1551"/>
      <c r="QMH33" s="1551"/>
      <c r="QMI33" s="1551"/>
      <c r="QMJ33" s="1551"/>
      <c r="QMK33" s="1551"/>
      <c r="QML33" s="1551"/>
      <c r="QMM33" s="1551"/>
      <c r="QMN33" s="1551"/>
      <c r="QMO33" s="1551"/>
      <c r="QMP33" s="1551"/>
      <c r="QMQ33" s="1551"/>
      <c r="QMR33" s="1551"/>
      <c r="QMS33" s="1551"/>
      <c r="QMT33" s="1551"/>
      <c r="QMU33" s="1551"/>
      <c r="QMV33" s="1551"/>
      <c r="QMW33" s="1551"/>
      <c r="QMX33" s="1551"/>
      <c r="QMY33" s="1551"/>
      <c r="QMZ33" s="1551"/>
      <c r="QNA33" s="1551"/>
      <c r="QNB33" s="1551"/>
      <c r="QNC33" s="1551"/>
      <c r="QND33" s="1551"/>
      <c r="QNE33" s="1551"/>
      <c r="QNF33" s="1551"/>
      <c r="QNG33" s="1551"/>
      <c r="QNH33" s="1551"/>
      <c r="QNI33" s="1551"/>
      <c r="QNJ33" s="1551"/>
      <c r="QNK33" s="1551"/>
      <c r="QNL33" s="1551"/>
      <c r="QNM33" s="1551"/>
      <c r="QNN33" s="1551"/>
      <c r="QNO33" s="1551"/>
      <c r="QNP33" s="1551"/>
      <c r="QNQ33" s="1551"/>
      <c r="QNR33" s="1551"/>
      <c r="QNS33" s="1551"/>
      <c r="QNT33" s="1551"/>
      <c r="QNU33" s="1551"/>
      <c r="QNV33" s="1551"/>
      <c r="QNW33" s="1551"/>
      <c r="QNX33" s="1551"/>
      <c r="QNY33" s="1551"/>
      <c r="QNZ33" s="1551"/>
      <c r="QOA33" s="1551"/>
      <c r="QOB33" s="1551"/>
      <c r="QOC33" s="1551"/>
      <c r="QOD33" s="1551"/>
      <c r="QOE33" s="1551"/>
      <c r="QOF33" s="1551"/>
      <c r="QOG33" s="1551"/>
      <c r="QOH33" s="1551"/>
      <c r="QOI33" s="1551"/>
      <c r="QOJ33" s="1551"/>
      <c r="QOK33" s="1551"/>
      <c r="QOL33" s="1551"/>
      <c r="QOM33" s="1551"/>
      <c r="QON33" s="1551"/>
      <c r="QOO33" s="1551"/>
      <c r="QOP33" s="1551"/>
      <c r="QOQ33" s="1551"/>
      <c r="QOR33" s="1551"/>
      <c r="QOS33" s="1551"/>
      <c r="QOT33" s="1551"/>
      <c r="QOU33" s="1551"/>
      <c r="QOV33" s="1551"/>
      <c r="QOW33" s="1551"/>
      <c r="QOX33" s="1551"/>
      <c r="QOY33" s="1551"/>
      <c r="QOZ33" s="1551"/>
      <c r="QPA33" s="1551"/>
      <c r="QPB33" s="1551"/>
      <c r="QPC33" s="1551"/>
      <c r="QPD33" s="1551"/>
      <c r="QPE33" s="1551"/>
      <c r="QPF33" s="1551"/>
      <c r="QPG33" s="1551"/>
      <c r="QPH33" s="1551"/>
      <c r="QPI33" s="1551"/>
      <c r="QPJ33" s="1551"/>
      <c r="QPK33" s="1551"/>
      <c r="QPL33" s="1551"/>
      <c r="QPM33" s="1551"/>
      <c r="QPN33" s="1551"/>
      <c r="QPO33" s="1551"/>
      <c r="QPP33" s="1551"/>
      <c r="QPQ33" s="1551"/>
      <c r="QPR33" s="1551"/>
      <c r="QPS33" s="1551"/>
      <c r="QPT33" s="1551"/>
      <c r="QPU33" s="1551"/>
      <c r="QPV33" s="1551"/>
      <c r="QPW33" s="1551"/>
      <c r="QPX33" s="1551"/>
      <c r="QPY33" s="1551"/>
      <c r="QPZ33" s="1551"/>
      <c r="QQA33" s="1551"/>
      <c r="QQB33" s="1551"/>
      <c r="QQC33" s="1551"/>
      <c r="QQD33" s="1551"/>
      <c r="QQE33" s="1551"/>
      <c r="QQF33" s="1551"/>
      <c r="QQG33" s="1551"/>
      <c r="QQH33" s="1551"/>
      <c r="QQI33" s="1551"/>
      <c r="QQJ33" s="1551"/>
      <c r="QQK33" s="1551"/>
      <c r="QQL33" s="1551"/>
      <c r="QQM33" s="1551"/>
      <c r="QQN33" s="1551"/>
      <c r="QQO33" s="1551"/>
      <c r="QQP33" s="1551"/>
      <c r="QQQ33" s="1551"/>
      <c r="QQR33" s="1551"/>
      <c r="QQS33" s="1551"/>
      <c r="QQT33" s="1551"/>
      <c r="QQU33" s="1551"/>
      <c r="QQV33" s="1551"/>
      <c r="QQW33" s="1551"/>
      <c r="QQX33" s="1551"/>
      <c r="QQY33" s="1551"/>
      <c r="QQZ33" s="1551"/>
      <c r="QRA33" s="1551"/>
      <c r="QRB33" s="1551"/>
      <c r="QRC33" s="1551"/>
      <c r="QRD33" s="1551"/>
      <c r="QRE33" s="1551"/>
      <c r="QRF33" s="1551"/>
      <c r="QRG33" s="1551"/>
      <c r="QRH33" s="1551"/>
      <c r="QRI33" s="1551"/>
      <c r="QRJ33" s="1551"/>
      <c r="QRK33" s="1551"/>
      <c r="QRL33" s="1551"/>
      <c r="QRM33" s="1551"/>
      <c r="QRN33" s="1551"/>
      <c r="QRO33" s="1551"/>
      <c r="QRP33" s="1551"/>
      <c r="QRQ33" s="1551"/>
      <c r="QRR33" s="1551"/>
      <c r="QRS33" s="1551"/>
      <c r="QRT33" s="1551"/>
      <c r="QRU33" s="1551"/>
      <c r="QRV33" s="1551"/>
      <c r="QRW33" s="1551"/>
      <c r="QRX33" s="1551"/>
      <c r="QRY33" s="1551"/>
      <c r="QRZ33" s="1551"/>
      <c r="QSA33" s="1551"/>
      <c r="QSB33" s="1551"/>
      <c r="QSC33" s="1551"/>
      <c r="QSD33" s="1551"/>
      <c r="QSE33" s="1551"/>
      <c r="QSF33" s="1551"/>
      <c r="QSG33" s="1551"/>
      <c r="QSH33" s="1551"/>
      <c r="QSI33" s="1551"/>
      <c r="QSJ33" s="1551"/>
      <c r="QSK33" s="1551"/>
      <c r="QSL33" s="1551"/>
      <c r="QSM33" s="1551"/>
      <c r="QSN33" s="1551"/>
      <c r="QSO33" s="1551"/>
      <c r="QSP33" s="1551"/>
      <c r="QSQ33" s="1551"/>
      <c r="QSR33" s="1551"/>
      <c r="QSS33" s="1551"/>
      <c r="QST33" s="1551"/>
      <c r="QSU33" s="1551"/>
      <c r="QSV33" s="1551"/>
      <c r="QSW33" s="1551"/>
      <c r="QSX33" s="1551"/>
      <c r="QSY33" s="1551"/>
      <c r="QSZ33" s="1551"/>
      <c r="QTA33" s="1551"/>
      <c r="QTB33" s="1551"/>
      <c r="QTC33" s="1551"/>
      <c r="QTD33" s="1551"/>
      <c r="QTE33" s="1551"/>
      <c r="QTF33" s="1551"/>
      <c r="QTG33" s="1551"/>
      <c r="QTH33" s="1551"/>
      <c r="QTI33" s="1551"/>
      <c r="QTJ33" s="1551"/>
      <c r="QTK33" s="1551"/>
      <c r="QTL33" s="1551"/>
      <c r="QTM33" s="1551"/>
      <c r="QTN33" s="1551"/>
      <c r="QTO33" s="1551"/>
      <c r="QTP33" s="1551"/>
      <c r="QTQ33" s="1551"/>
      <c r="QTR33" s="1551"/>
      <c r="QTS33" s="1551"/>
      <c r="QTT33" s="1551"/>
      <c r="QTU33" s="1551"/>
      <c r="QTV33" s="1551"/>
      <c r="QTW33" s="1551"/>
      <c r="QTX33" s="1551"/>
      <c r="QTY33" s="1551"/>
      <c r="QTZ33" s="1551"/>
      <c r="QUA33" s="1551"/>
      <c r="QUB33" s="1551"/>
      <c r="QUC33" s="1551"/>
      <c r="QUD33" s="1551"/>
      <c r="QUE33" s="1551"/>
      <c r="QUF33" s="1551"/>
      <c r="QUG33" s="1551"/>
      <c r="QUH33" s="1551"/>
      <c r="QUI33" s="1551"/>
      <c r="QUJ33" s="1551"/>
      <c r="QUK33" s="1551"/>
      <c r="QUL33" s="1551"/>
      <c r="QUM33" s="1551"/>
      <c r="QUN33" s="1551"/>
      <c r="QUO33" s="1551"/>
      <c r="QUP33" s="1551"/>
      <c r="QUQ33" s="1551"/>
      <c r="QUR33" s="1551"/>
      <c r="QUS33" s="1551"/>
      <c r="QUT33" s="1551"/>
      <c r="QUU33" s="1551"/>
      <c r="QUV33" s="1551"/>
      <c r="QUW33" s="1551"/>
      <c r="QUX33" s="1551"/>
      <c r="QUY33" s="1551"/>
      <c r="QUZ33" s="1551"/>
      <c r="QVA33" s="1551"/>
      <c r="QVB33" s="1551"/>
      <c r="QVC33" s="1551"/>
      <c r="QVD33" s="1551"/>
      <c r="QVE33" s="1551"/>
      <c r="QVF33" s="1551"/>
      <c r="QVG33" s="1551"/>
      <c r="QVH33" s="1551"/>
      <c r="QVI33" s="1551"/>
      <c r="QVJ33" s="1551"/>
      <c r="QVK33" s="1551"/>
      <c r="QVL33" s="1551"/>
      <c r="QVM33" s="1551"/>
      <c r="QVN33" s="1551"/>
      <c r="QVO33" s="1551"/>
      <c r="QVP33" s="1551"/>
      <c r="QVQ33" s="1551"/>
      <c r="QVR33" s="1551"/>
      <c r="QVS33" s="1551"/>
      <c r="QVT33" s="1551"/>
      <c r="QVU33" s="1551"/>
      <c r="QVV33" s="1551"/>
      <c r="QVW33" s="1551"/>
      <c r="QVX33" s="1551"/>
      <c r="QVY33" s="1551"/>
      <c r="QVZ33" s="1551"/>
      <c r="QWA33" s="1551"/>
      <c r="QWB33" s="1551"/>
      <c r="QWC33" s="1551"/>
      <c r="QWD33" s="1551"/>
      <c r="QWE33" s="1551"/>
      <c r="QWF33" s="1551"/>
      <c r="QWG33" s="1551"/>
      <c r="QWH33" s="1551"/>
      <c r="QWI33" s="1551"/>
      <c r="QWJ33" s="1551"/>
      <c r="QWK33" s="1551"/>
      <c r="QWL33" s="1551"/>
      <c r="QWM33" s="1551"/>
      <c r="QWN33" s="1551"/>
      <c r="QWO33" s="1551"/>
      <c r="QWP33" s="1551"/>
      <c r="QWQ33" s="1551"/>
      <c r="QWR33" s="1551"/>
      <c r="QWS33" s="1551"/>
      <c r="QWT33" s="1551"/>
      <c r="QWU33" s="1551"/>
      <c r="QWV33" s="1551"/>
      <c r="QWW33" s="1551"/>
      <c r="QWX33" s="1551"/>
      <c r="QWY33" s="1551"/>
      <c r="QWZ33" s="1551"/>
      <c r="QXA33" s="1551"/>
      <c r="QXB33" s="1551"/>
      <c r="QXC33" s="1551"/>
      <c r="QXD33" s="1551"/>
      <c r="QXE33" s="1551"/>
      <c r="QXF33" s="1551"/>
      <c r="QXG33" s="1551"/>
      <c r="QXH33" s="1551"/>
      <c r="QXI33" s="1551"/>
      <c r="QXJ33" s="1551"/>
      <c r="QXK33" s="1551"/>
      <c r="QXL33" s="1551"/>
      <c r="QXM33" s="1551"/>
      <c r="QXN33" s="1551"/>
      <c r="QXO33" s="1551"/>
      <c r="QXP33" s="1551"/>
      <c r="QXQ33" s="1551"/>
      <c r="QXR33" s="1551"/>
      <c r="QXS33" s="1551"/>
      <c r="QXT33" s="1551"/>
      <c r="QXU33" s="1551"/>
      <c r="QXV33" s="1551"/>
      <c r="QXW33" s="1551"/>
      <c r="QXX33" s="1551"/>
      <c r="QXY33" s="1551"/>
      <c r="QXZ33" s="1551"/>
      <c r="QYA33" s="1551"/>
      <c r="QYB33" s="1551"/>
      <c r="QYC33" s="1551"/>
      <c r="QYD33" s="1551"/>
      <c r="QYE33" s="1551"/>
      <c r="QYF33" s="1551"/>
      <c r="QYG33" s="1551"/>
      <c r="QYH33" s="1551"/>
      <c r="QYI33" s="1551"/>
      <c r="QYJ33" s="1551"/>
      <c r="QYK33" s="1551"/>
      <c r="QYL33" s="1551"/>
      <c r="QYM33" s="1551"/>
      <c r="QYN33" s="1551"/>
      <c r="QYO33" s="1551"/>
      <c r="QYP33" s="1551"/>
      <c r="QYQ33" s="1551"/>
      <c r="QYR33" s="1551"/>
      <c r="QYS33" s="1551"/>
      <c r="QYT33" s="1551"/>
      <c r="QYU33" s="1551"/>
      <c r="QYV33" s="1551"/>
      <c r="QYW33" s="1551"/>
      <c r="QYX33" s="1551"/>
      <c r="QYY33" s="1551"/>
      <c r="QYZ33" s="1551"/>
      <c r="QZA33" s="1551"/>
      <c r="QZB33" s="1551"/>
      <c r="QZC33" s="1551"/>
      <c r="QZD33" s="1551"/>
      <c r="QZE33" s="1551"/>
      <c r="QZF33" s="1551"/>
      <c r="QZG33" s="1551"/>
      <c r="QZH33" s="1551"/>
      <c r="QZI33" s="1551"/>
      <c r="QZJ33" s="1551"/>
      <c r="QZK33" s="1551"/>
      <c r="QZL33" s="1551"/>
      <c r="QZM33" s="1551"/>
      <c r="QZN33" s="1551"/>
      <c r="QZO33" s="1551"/>
      <c r="QZP33" s="1551"/>
      <c r="QZQ33" s="1551"/>
      <c r="QZR33" s="1551"/>
      <c r="QZS33" s="1551"/>
      <c r="QZT33" s="1551"/>
      <c r="QZU33" s="1551"/>
      <c r="QZV33" s="1551"/>
      <c r="QZW33" s="1551"/>
      <c r="QZX33" s="1551"/>
      <c r="QZY33" s="1551"/>
      <c r="QZZ33" s="1551"/>
      <c r="RAA33" s="1551"/>
      <c r="RAB33" s="1551"/>
      <c r="RAC33" s="1551"/>
      <c r="RAD33" s="1551"/>
      <c r="RAE33" s="1551"/>
      <c r="RAF33" s="1551"/>
      <c r="RAG33" s="1551"/>
      <c r="RAH33" s="1551"/>
      <c r="RAI33" s="1551"/>
      <c r="RAJ33" s="1551"/>
      <c r="RAK33" s="1551"/>
      <c r="RAL33" s="1551"/>
      <c r="RAM33" s="1551"/>
      <c r="RAN33" s="1551"/>
      <c r="RAO33" s="1551"/>
      <c r="RAP33" s="1551"/>
      <c r="RAQ33" s="1551"/>
      <c r="RAR33" s="1551"/>
      <c r="RAS33" s="1551"/>
      <c r="RAT33" s="1551"/>
      <c r="RAU33" s="1551"/>
      <c r="RAV33" s="1551"/>
      <c r="RAW33" s="1551"/>
      <c r="RAX33" s="1551"/>
      <c r="RAY33" s="1551"/>
      <c r="RAZ33" s="1551"/>
      <c r="RBA33" s="1551"/>
      <c r="RBB33" s="1551"/>
      <c r="RBC33" s="1551"/>
      <c r="RBD33" s="1551"/>
      <c r="RBE33" s="1551"/>
      <c r="RBF33" s="1551"/>
      <c r="RBG33" s="1551"/>
      <c r="RBH33" s="1551"/>
      <c r="RBI33" s="1551"/>
      <c r="RBJ33" s="1551"/>
      <c r="RBK33" s="1551"/>
      <c r="RBL33" s="1551"/>
      <c r="RBM33" s="1551"/>
      <c r="RBN33" s="1551"/>
      <c r="RBO33" s="1551"/>
      <c r="RBP33" s="1551"/>
      <c r="RBQ33" s="1551"/>
      <c r="RBR33" s="1551"/>
      <c r="RBS33" s="1551"/>
      <c r="RBT33" s="1551"/>
      <c r="RBU33" s="1551"/>
      <c r="RBV33" s="1551"/>
      <c r="RBW33" s="1551"/>
      <c r="RBX33" s="1551"/>
      <c r="RBY33" s="1551"/>
      <c r="RBZ33" s="1551"/>
      <c r="RCA33" s="1551"/>
      <c r="RCB33" s="1551"/>
      <c r="RCC33" s="1551"/>
      <c r="RCD33" s="1551"/>
      <c r="RCE33" s="1551"/>
      <c r="RCF33" s="1551"/>
      <c r="RCG33" s="1551"/>
      <c r="RCH33" s="1551"/>
      <c r="RCI33" s="1551"/>
      <c r="RCJ33" s="1551"/>
      <c r="RCK33" s="1551"/>
      <c r="RCL33" s="1551"/>
      <c r="RCM33" s="1551"/>
      <c r="RCN33" s="1551"/>
      <c r="RCO33" s="1551"/>
      <c r="RCP33" s="1551"/>
      <c r="RCQ33" s="1551"/>
      <c r="RCR33" s="1551"/>
      <c r="RCS33" s="1551"/>
      <c r="RCT33" s="1551"/>
      <c r="RCU33" s="1551"/>
      <c r="RCV33" s="1551"/>
      <c r="RCW33" s="1551"/>
      <c r="RCX33" s="1551"/>
      <c r="RCY33" s="1551"/>
      <c r="RCZ33" s="1551"/>
      <c r="RDA33" s="1551"/>
      <c r="RDB33" s="1551"/>
      <c r="RDC33" s="1551"/>
      <c r="RDD33" s="1551"/>
      <c r="RDE33" s="1551"/>
      <c r="RDF33" s="1551"/>
      <c r="RDG33" s="1551"/>
      <c r="RDH33" s="1551"/>
      <c r="RDI33" s="1551"/>
      <c r="RDJ33" s="1551"/>
      <c r="RDK33" s="1551"/>
      <c r="RDL33" s="1551"/>
      <c r="RDM33" s="1551"/>
      <c r="RDN33" s="1551"/>
      <c r="RDO33" s="1551"/>
      <c r="RDP33" s="1551"/>
      <c r="RDQ33" s="1551"/>
      <c r="RDR33" s="1551"/>
      <c r="RDS33" s="1551"/>
      <c r="RDT33" s="1551"/>
      <c r="RDU33" s="1551"/>
      <c r="RDV33" s="1551"/>
      <c r="RDW33" s="1551"/>
      <c r="RDX33" s="1551"/>
      <c r="RDY33" s="1551"/>
      <c r="RDZ33" s="1551"/>
      <c r="REA33" s="1551"/>
      <c r="REB33" s="1551"/>
      <c r="REC33" s="1551"/>
      <c r="RED33" s="1551"/>
      <c r="REE33" s="1551"/>
      <c r="REF33" s="1551"/>
      <c r="REG33" s="1551"/>
      <c r="REH33" s="1551"/>
      <c r="REI33" s="1551"/>
      <c r="REJ33" s="1551"/>
      <c r="REK33" s="1551"/>
      <c r="REL33" s="1551"/>
      <c r="REM33" s="1551"/>
      <c r="REN33" s="1551"/>
      <c r="REO33" s="1551"/>
      <c r="REP33" s="1551"/>
      <c r="REQ33" s="1551"/>
      <c r="RER33" s="1551"/>
      <c r="RES33" s="1551"/>
      <c r="RET33" s="1551"/>
      <c r="REU33" s="1551"/>
      <c r="REV33" s="1551"/>
      <c r="REW33" s="1551"/>
      <c r="REX33" s="1551"/>
      <c r="REY33" s="1551"/>
      <c r="REZ33" s="1551"/>
      <c r="RFA33" s="1551"/>
      <c r="RFB33" s="1551"/>
      <c r="RFC33" s="1551"/>
      <c r="RFD33" s="1551"/>
      <c r="RFE33" s="1551"/>
      <c r="RFF33" s="1551"/>
      <c r="RFG33" s="1551"/>
      <c r="RFH33" s="1551"/>
      <c r="RFI33" s="1551"/>
      <c r="RFJ33" s="1551"/>
      <c r="RFK33" s="1551"/>
      <c r="RFL33" s="1551"/>
      <c r="RFM33" s="1551"/>
      <c r="RFN33" s="1551"/>
      <c r="RFO33" s="1551"/>
      <c r="RFP33" s="1551"/>
      <c r="RFQ33" s="1551"/>
      <c r="RFR33" s="1551"/>
      <c r="RFS33" s="1551"/>
      <c r="RFT33" s="1551"/>
      <c r="RFU33" s="1551"/>
      <c r="RFV33" s="1551"/>
      <c r="RFW33" s="1551"/>
      <c r="RFX33" s="1551"/>
      <c r="RFY33" s="1551"/>
      <c r="RFZ33" s="1551"/>
      <c r="RGA33" s="1551"/>
      <c r="RGB33" s="1551"/>
      <c r="RGC33" s="1551"/>
      <c r="RGD33" s="1551"/>
      <c r="RGE33" s="1551"/>
      <c r="RGF33" s="1551"/>
      <c r="RGG33" s="1551"/>
      <c r="RGH33" s="1551"/>
      <c r="RGI33" s="1551"/>
      <c r="RGJ33" s="1551"/>
      <c r="RGK33" s="1551"/>
      <c r="RGL33" s="1551"/>
      <c r="RGM33" s="1551"/>
      <c r="RGN33" s="1551"/>
      <c r="RGO33" s="1551"/>
      <c r="RGP33" s="1551"/>
      <c r="RGQ33" s="1551"/>
      <c r="RGR33" s="1551"/>
      <c r="RGS33" s="1551"/>
      <c r="RGT33" s="1551"/>
      <c r="RGU33" s="1551"/>
      <c r="RGV33" s="1551"/>
      <c r="RGW33" s="1551"/>
      <c r="RGX33" s="1551"/>
      <c r="RGY33" s="1551"/>
      <c r="RGZ33" s="1551"/>
      <c r="RHA33" s="1551"/>
      <c r="RHB33" s="1551"/>
      <c r="RHC33" s="1551"/>
      <c r="RHD33" s="1551"/>
      <c r="RHE33" s="1551"/>
      <c r="RHF33" s="1551"/>
      <c r="RHG33" s="1551"/>
      <c r="RHH33" s="1551"/>
      <c r="RHI33" s="1551"/>
      <c r="RHJ33" s="1551"/>
      <c r="RHK33" s="1551"/>
      <c r="RHL33" s="1551"/>
      <c r="RHM33" s="1551"/>
      <c r="RHN33" s="1551"/>
      <c r="RHO33" s="1551"/>
      <c r="RHP33" s="1551"/>
      <c r="RHQ33" s="1551"/>
      <c r="RHR33" s="1551"/>
      <c r="RHS33" s="1551"/>
      <c r="RHT33" s="1551"/>
      <c r="RHU33" s="1551"/>
      <c r="RHV33" s="1551"/>
      <c r="RHW33" s="1551"/>
      <c r="RHX33" s="1551"/>
      <c r="RHY33" s="1551"/>
      <c r="RHZ33" s="1551"/>
      <c r="RIA33" s="1551"/>
      <c r="RIB33" s="1551"/>
      <c r="RIC33" s="1551"/>
      <c r="RID33" s="1551"/>
      <c r="RIE33" s="1551"/>
      <c r="RIF33" s="1551"/>
      <c r="RIG33" s="1551"/>
      <c r="RIH33" s="1551"/>
      <c r="RII33" s="1551"/>
      <c r="RIJ33" s="1551"/>
      <c r="RIK33" s="1551"/>
      <c r="RIL33" s="1551"/>
      <c r="RIM33" s="1551"/>
      <c r="RIN33" s="1551"/>
      <c r="RIO33" s="1551"/>
      <c r="RIP33" s="1551"/>
      <c r="RIQ33" s="1551"/>
      <c r="RIR33" s="1551"/>
      <c r="RIS33" s="1551"/>
      <c r="RIT33" s="1551"/>
      <c r="RIU33" s="1551"/>
      <c r="RIV33" s="1551"/>
      <c r="RIW33" s="1551"/>
      <c r="RIX33" s="1551"/>
      <c r="RIY33" s="1551"/>
      <c r="RIZ33" s="1551"/>
      <c r="RJA33" s="1551"/>
      <c r="RJB33" s="1551"/>
      <c r="RJC33" s="1551"/>
      <c r="RJD33" s="1551"/>
      <c r="RJE33" s="1551"/>
      <c r="RJF33" s="1551"/>
      <c r="RJG33" s="1551"/>
      <c r="RJH33" s="1551"/>
      <c r="RJI33" s="1551"/>
      <c r="RJJ33" s="1551"/>
      <c r="RJK33" s="1551"/>
      <c r="RJL33" s="1551"/>
      <c r="RJM33" s="1551"/>
      <c r="RJN33" s="1551"/>
      <c r="RJO33" s="1551"/>
      <c r="RJP33" s="1551"/>
      <c r="RJQ33" s="1551"/>
      <c r="RJR33" s="1551"/>
      <c r="RJS33" s="1551"/>
      <c r="RJT33" s="1551"/>
      <c r="RJU33" s="1551"/>
      <c r="RJV33" s="1551"/>
      <c r="RJW33" s="1551"/>
      <c r="RJX33" s="1551"/>
      <c r="RJY33" s="1551"/>
      <c r="RJZ33" s="1551"/>
      <c r="RKA33" s="1551"/>
      <c r="RKB33" s="1551"/>
      <c r="RKC33" s="1551"/>
      <c r="RKD33" s="1551"/>
      <c r="RKE33" s="1551"/>
      <c r="RKF33" s="1551"/>
      <c r="RKG33" s="1551"/>
      <c r="RKH33" s="1551"/>
      <c r="RKI33" s="1551"/>
      <c r="RKJ33" s="1551"/>
      <c r="RKK33" s="1551"/>
      <c r="RKL33" s="1551"/>
      <c r="RKM33" s="1551"/>
      <c r="RKN33" s="1551"/>
      <c r="RKO33" s="1551"/>
      <c r="RKP33" s="1551"/>
      <c r="RKQ33" s="1551"/>
      <c r="RKR33" s="1551"/>
      <c r="RKS33" s="1551"/>
      <c r="RKT33" s="1551"/>
      <c r="RKU33" s="1551"/>
      <c r="RKV33" s="1551"/>
      <c r="RKW33" s="1551"/>
      <c r="RKX33" s="1551"/>
      <c r="RKY33" s="1551"/>
      <c r="RKZ33" s="1551"/>
      <c r="RLA33" s="1551"/>
      <c r="RLB33" s="1551"/>
      <c r="RLC33" s="1551"/>
      <c r="RLD33" s="1551"/>
      <c r="RLE33" s="1551"/>
      <c r="RLF33" s="1551"/>
      <c r="RLG33" s="1551"/>
      <c r="RLH33" s="1551"/>
      <c r="RLI33" s="1551"/>
      <c r="RLJ33" s="1551"/>
      <c r="RLK33" s="1551"/>
      <c r="RLL33" s="1551"/>
      <c r="RLM33" s="1551"/>
      <c r="RLN33" s="1551"/>
      <c r="RLO33" s="1551"/>
      <c r="RLP33" s="1551"/>
      <c r="RLQ33" s="1551"/>
      <c r="RLR33" s="1551"/>
      <c r="RLS33" s="1551"/>
      <c r="RLT33" s="1551"/>
      <c r="RLU33" s="1551"/>
      <c r="RLV33" s="1551"/>
      <c r="RLW33" s="1551"/>
      <c r="RLX33" s="1551"/>
      <c r="RLY33" s="1551"/>
      <c r="RLZ33" s="1551"/>
      <c r="RMA33" s="1551"/>
      <c r="RMB33" s="1551"/>
      <c r="RMC33" s="1551"/>
      <c r="RMD33" s="1551"/>
      <c r="RME33" s="1551"/>
      <c r="RMF33" s="1551"/>
      <c r="RMG33" s="1551"/>
      <c r="RMH33" s="1551"/>
      <c r="RMI33" s="1551"/>
      <c r="RMJ33" s="1551"/>
      <c r="RMK33" s="1551"/>
      <c r="RML33" s="1551"/>
      <c r="RMM33" s="1551"/>
      <c r="RMN33" s="1551"/>
      <c r="RMO33" s="1551"/>
      <c r="RMP33" s="1551"/>
      <c r="RMQ33" s="1551"/>
      <c r="RMR33" s="1551"/>
      <c r="RMS33" s="1551"/>
      <c r="RMT33" s="1551"/>
      <c r="RMU33" s="1551"/>
      <c r="RMV33" s="1551"/>
      <c r="RMW33" s="1551"/>
      <c r="RMX33" s="1551"/>
      <c r="RMY33" s="1551"/>
      <c r="RMZ33" s="1551"/>
      <c r="RNA33" s="1551"/>
      <c r="RNB33" s="1551"/>
      <c r="RNC33" s="1551"/>
      <c r="RND33" s="1551"/>
      <c r="RNE33" s="1551"/>
      <c r="RNF33" s="1551"/>
      <c r="RNG33" s="1551"/>
      <c r="RNH33" s="1551"/>
      <c r="RNI33" s="1551"/>
      <c r="RNJ33" s="1551"/>
      <c r="RNK33" s="1551"/>
      <c r="RNL33" s="1551"/>
      <c r="RNM33" s="1551"/>
      <c r="RNN33" s="1551"/>
      <c r="RNO33" s="1551"/>
      <c r="RNP33" s="1551"/>
      <c r="RNQ33" s="1551"/>
      <c r="RNR33" s="1551"/>
      <c r="RNS33" s="1551"/>
      <c r="RNT33" s="1551"/>
      <c r="RNU33" s="1551"/>
      <c r="RNV33" s="1551"/>
      <c r="RNW33" s="1551"/>
      <c r="RNX33" s="1551"/>
      <c r="RNY33" s="1551"/>
      <c r="RNZ33" s="1551"/>
      <c r="ROA33" s="1551"/>
      <c r="ROB33" s="1551"/>
      <c r="ROC33" s="1551"/>
      <c r="ROD33" s="1551"/>
      <c r="ROE33" s="1551"/>
      <c r="ROF33" s="1551"/>
      <c r="ROG33" s="1551"/>
      <c r="ROH33" s="1551"/>
      <c r="ROI33" s="1551"/>
      <c r="ROJ33" s="1551"/>
      <c r="ROK33" s="1551"/>
      <c r="ROL33" s="1551"/>
      <c r="ROM33" s="1551"/>
      <c r="RON33" s="1551"/>
      <c r="ROO33" s="1551"/>
      <c r="ROP33" s="1551"/>
      <c r="ROQ33" s="1551"/>
      <c r="ROR33" s="1551"/>
      <c r="ROS33" s="1551"/>
      <c r="ROT33" s="1551"/>
      <c r="ROU33" s="1551"/>
      <c r="ROV33" s="1551"/>
      <c r="ROW33" s="1551"/>
      <c r="ROX33" s="1551"/>
      <c r="ROY33" s="1551"/>
      <c r="ROZ33" s="1551"/>
      <c r="RPA33" s="1551"/>
      <c r="RPB33" s="1551"/>
      <c r="RPC33" s="1551"/>
      <c r="RPD33" s="1551"/>
      <c r="RPE33" s="1551"/>
      <c r="RPF33" s="1551"/>
      <c r="RPG33" s="1551"/>
      <c r="RPH33" s="1551"/>
      <c r="RPI33" s="1551"/>
      <c r="RPJ33" s="1551"/>
      <c r="RPK33" s="1551"/>
      <c r="RPL33" s="1551"/>
      <c r="RPM33" s="1551"/>
      <c r="RPN33" s="1551"/>
      <c r="RPO33" s="1551"/>
      <c r="RPP33" s="1551"/>
      <c r="RPQ33" s="1551"/>
      <c r="RPR33" s="1551"/>
      <c r="RPS33" s="1551"/>
      <c r="RPT33" s="1551"/>
      <c r="RPU33" s="1551"/>
      <c r="RPV33" s="1551"/>
      <c r="RPW33" s="1551"/>
      <c r="RPX33" s="1551"/>
      <c r="RPY33" s="1551"/>
      <c r="RPZ33" s="1551"/>
      <c r="RQA33" s="1551"/>
      <c r="RQB33" s="1551"/>
      <c r="RQC33" s="1551"/>
      <c r="RQD33" s="1551"/>
      <c r="RQE33" s="1551"/>
      <c r="RQF33" s="1551"/>
      <c r="RQG33" s="1551"/>
      <c r="RQH33" s="1551"/>
      <c r="RQI33" s="1551"/>
      <c r="RQJ33" s="1551"/>
      <c r="RQK33" s="1551"/>
      <c r="RQL33" s="1551"/>
      <c r="RQM33" s="1551"/>
      <c r="RQN33" s="1551"/>
      <c r="RQO33" s="1551"/>
      <c r="RQP33" s="1551"/>
      <c r="RQQ33" s="1551"/>
      <c r="RQR33" s="1551"/>
      <c r="RQS33" s="1551"/>
      <c r="RQT33" s="1551"/>
      <c r="RQU33" s="1551"/>
      <c r="RQV33" s="1551"/>
      <c r="RQW33" s="1551"/>
      <c r="RQX33" s="1551"/>
      <c r="RQY33" s="1551"/>
      <c r="RQZ33" s="1551"/>
      <c r="RRA33" s="1551"/>
      <c r="RRB33" s="1551"/>
      <c r="RRC33" s="1551"/>
      <c r="RRD33" s="1551"/>
      <c r="RRE33" s="1551"/>
      <c r="RRF33" s="1551"/>
      <c r="RRG33" s="1551"/>
      <c r="RRH33" s="1551"/>
      <c r="RRI33" s="1551"/>
      <c r="RRJ33" s="1551"/>
      <c r="RRK33" s="1551"/>
      <c r="RRL33" s="1551"/>
      <c r="RRM33" s="1551"/>
      <c r="RRN33" s="1551"/>
      <c r="RRO33" s="1551"/>
      <c r="RRP33" s="1551"/>
      <c r="RRQ33" s="1551"/>
      <c r="RRR33" s="1551"/>
      <c r="RRS33" s="1551"/>
      <c r="RRT33" s="1551"/>
      <c r="RRU33" s="1551"/>
      <c r="RRV33" s="1551"/>
      <c r="RRW33" s="1551"/>
      <c r="RRX33" s="1551"/>
      <c r="RRY33" s="1551"/>
      <c r="RRZ33" s="1551"/>
      <c r="RSA33" s="1551"/>
      <c r="RSB33" s="1551"/>
      <c r="RSC33" s="1551"/>
      <c r="RSD33" s="1551"/>
      <c r="RSE33" s="1551"/>
      <c r="RSF33" s="1551"/>
      <c r="RSG33" s="1551"/>
      <c r="RSH33" s="1551"/>
      <c r="RSI33" s="1551"/>
      <c r="RSJ33" s="1551"/>
      <c r="RSK33" s="1551"/>
      <c r="RSL33" s="1551"/>
      <c r="RSM33" s="1551"/>
      <c r="RSN33" s="1551"/>
      <c r="RSO33" s="1551"/>
      <c r="RSP33" s="1551"/>
      <c r="RSQ33" s="1551"/>
      <c r="RSR33" s="1551"/>
      <c r="RSS33" s="1551"/>
      <c r="RST33" s="1551"/>
      <c r="RSU33" s="1551"/>
      <c r="RSV33" s="1551"/>
      <c r="RSW33" s="1551"/>
      <c r="RSX33" s="1551"/>
      <c r="RSY33" s="1551"/>
      <c r="RSZ33" s="1551"/>
      <c r="RTA33" s="1551"/>
      <c r="RTB33" s="1551"/>
      <c r="RTC33" s="1551"/>
      <c r="RTD33" s="1551"/>
      <c r="RTE33" s="1551"/>
      <c r="RTF33" s="1551"/>
      <c r="RTG33" s="1551"/>
      <c r="RTH33" s="1551"/>
      <c r="RTI33" s="1551"/>
      <c r="RTJ33" s="1551"/>
      <c r="RTK33" s="1551"/>
      <c r="RTL33" s="1551"/>
      <c r="RTM33" s="1551"/>
      <c r="RTN33" s="1551"/>
      <c r="RTO33" s="1551"/>
      <c r="RTP33" s="1551"/>
      <c r="RTQ33" s="1551"/>
      <c r="RTR33" s="1551"/>
      <c r="RTS33" s="1551"/>
      <c r="RTT33" s="1551"/>
      <c r="RTU33" s="1551"/>
      <c r="RTV33" s="1551"/>
      <c r="RTW33" s="1551"/>
      <c r="RTX33" s="1551"/>
      <c r="RTY33" s="1551"/>
      <c r="RTZ33" s="1551"/>
      <c r="RUA33" s="1551"/>
      <c r="RUB33" s="1551"/>
      <c r="RUC33" s="1551"/>
      <c r="RUD33" s="1551"/>
      <c r="RUE33" s="1551"/>
      <c r="RUF33" s="1551"/>
      <c r="RUG33" s="1551"/>
      <c r="RUH33" s="1551"/>
      <c r="RUI33" s="1551"/>
      <c r="RUJ33" s="1551"/>
      <c r="RUK33" s="1551"/>
      <c r="RUL33" s="1551"/>
      <c r="RUM33" s="1551"/>
      <c r="RUN33" s="1551"/>
      <c r="RUO33" s="1551"/>
      <c r="RUP33" s="1551"/>
      <c r="RUQ33" s="1551"/>
      <c r="RUR33" s="1551"/>
      <c r="RUS33" s="1551"/>
      <c r="RUT33" s="1551"/>
      <c r="RUU33" s="1551"/>
      <c r="RUV33" s="1551"/>
      <c r="RUW33" s="1551"/>
      <c r="RUX33" s="1551"/>
      <c r="RUY33" s="1551"/>
      <c r="RUZ33" s="1551"/>
      <c r="RVA33" s="1551"/>
      <c r="RVB33" s="1551"/>
      <c r="RVC33" s="1551"/>
      <c r="RVD33" s="1551"/>
      <c r="RVE33" s="1551"/>
      <c r="RVF33" s="1551"/>
      <c r="RVG33" s="1551"/>
      <c r="RVH33" s="1551"/>
      <c r="RVI33" s="1551"/>
      <c r="RVJ33" s="1551"/>
      <c r="RVK33" s="1551"/>
      <c r="RVL33" s="1551"/>
      <c r="RVM33" s="1551"/>
      <c r="RVN33" s="1551"/>
      <c r="RVO33" s="1551"/>
      <c r="RVP33" s="1551"/>
      <c r="RVQ33" s="1551"/>
      <c r="RVR33" s="1551"/>
      <c r="RVS33" s="1551"/>
      <c r="RVT33" s="1551"/>
      <c r="RVU33" s="1551"/>
      <c r="RVV33" s="1551"/>
      <c r="RVW33" s="1551"/>
      <c r="RVX33" s="1551"/>
      <c r="RVY33" s="1551"/>
      <c r="RVZ33" s="1551"/>
      <c r="RWA33" s="1551"/>
      <c r="RWB33" s="1551"/>
      <c r="RWC33" s="1551"/>
      <c r="RWD33" s="1551"/>
      <c r="RWE33" s="1551"/>
      <c r="RWF33" s="1551"/>
      <c r="RWG33" s="1551"/>
      <c r="RWH33" s="1551"/>
      <c r="RWI33" s="1551"/>
      <c r="RWJ33" s="1551"/>
      <c r="RWK33" s="1551"/>
      <c r="RWL33" s="1551"/>
      <c r="RWM33" s="1551"/>
      <c r="RWN33" s="1551"/>
      <c r="RWO33" s="1551"/>
      <c r="RWP33" s="1551"/>
      <c r="RWQ33" s="1551"/>
      <c r="RWR33" s="1551"/>
      <c r="RWS33" s="1551"/>
      <c r="RWT33" s="1551"/>
      <c r="RWU33" s="1551"/>
      <c r="RWV33" s="1551"/>
      <c r="RWW33" s="1551"/>
      <c r="RWX33" s="1551"/>
      <c r="RWY33" s="1551"/>
      <c r="RWZ33" s="1551"/>
      <c r="RXA33" s="1551"/>
      <c r="RXB33" s="1551"/>
      <c r="RXC33" s="1551"/>
      <c r="RXD33" s="1551"/>
      <c r="RXE33" s="1551"/>
      <c r="RXF33" s="1551"/>
      <c r="RXG33" s="1551"/>
      <c r="RXH33" s="1551"/>
      <c r="RXI33" s="1551"/>
      <c r="RXJ33" s="1551"/>
      <c r="RXK33" s="1551"/>
      <c r="RXL33" s="1551"/>
      <c r="RXM33" s="1551"/>
      <c r="RXN33" s="1551"/>
      <c r="RXO33" s="1551"/>
      <c r="RXP33" s="1551"/>
      <c r="RXQ33" s="1551"/>
      <c r="RXR33" s="1551"/>
      <c r="RXS33" s="1551"/>
      <c r="RXT33" s="1551"/>
      <c r="RXU33" s="1551"/>
      <c r="RXV33" s="1551"/>
      <c r="RXW33" s="1551"/>
      <c r="RXX33" s="1551"/>
      <c r="RXY33" s="1551"/>
      <c r="RXZ33" s="1551"/>
      <c r="RYA33" s="1551"/>
      <c r="RYB33" s="1551"/>
      <c r="RYC33" s="1551"/>
      <c r="RYD33" s="1551"/>
      <c r="RYE33" s="1551"/>
      <c r="RYF33" s="1551"/>
      <c r="RYG33" s="1551"/>
      <c r="RYH33" s="1551"/>
      <c r="RYI33" s="1551"/>
      <c r="RYJ33" s="1551"/>
      <c r="RYK33" s="1551"/>
      <c r="RYL33" s="1551"/>
      <c r="RYM33" s="1551"/>
      <c r="RYN33" s="1551"/>
      <c r="RYO33" s="1551"/>
      <c r="RYP33" s="1551"/>
      <c r="RYQ33" s="1551"/>
      <c r="RYR33" s="1551"/>
      <c r="RYS33" s="1551"/>
      <c r="RYT33" s="1551"/>
      <c r="RYU33" s="1551"/>
      <c r="RYV33" s="1551"/>
      <c r="RYW33" s="1551"/>
      <c r="RYX33" s="1551"/>
      <c r="RYY33" s="1551"/>
      <c r="RYZ33" s="1551"/>
      <c r="RZA33" s="1551"/>
      <c r="RZB33" s="1551"/>
      <c r="RZC33" s="1551"/>
      <c r="RZD33" s="1551"/>
      <c r="RZE33" s="1551"/>
      <c r="RZF33" s="1551"/>
      <c r="RZG33" s="1551"/>
      <c r="RZH33" s="1551"/>
      <c r="RZI33" s="1551"/>
      <c r="RZJ33" s="1551"/>
      <c r="RZK33" s="1551"/>
      <c r="RZL33" s="1551"/>
      <c r="RZM33" s="1551"/>
      <c r="RZN33" s="1551"/>
      <c r="RZO33" s="1551"/>
      <c r="RZP33" s="1551"/>
      <c r="RZQ33" s="1551"/>
      <c r="RZR33" s="1551"/>
      <c r="RZS33" s="1551"/>
      <c r="RZT33" s="1551"/>
      <c r="RZU33" s="1551"/>
      <c r="RZV33" s="1551"/>
      <c r="RZW33" s="1551"/>
      <c r="RZX33" s="1551"/>
      <c r="RZY33" s="1551"/>
      <c r="RZZ33" s="1551"/>
      <c r="SAA33" s="1551"/>
      <c r="SAB33" s="1551"/>
      <c r="SAC33" s="1551"/>
      <c r="SAD33" s="1551"/>
      <c r="SAE33" s="1551"/>
      <c r="SAF33" s="1551"/>
      <c r="SAG33" s="1551"/>
      <c r="SAH33" s="1551"/>
      <c r="SAI33" s="1551"/>
      <c r="SAJ33" s="1551"/>
      <c r="SAK33" s="1551"/>
      <c r="SAL33" s="1551"/>
      <c r="SAM33" s="1551"/>
      <c r="SAN33" s="1551"/>
      <c r="SAO33" s="1551"/>
      <c r="SAP33" s="1551"/>
      <c r="SAQ33" s="1551"/>
      <c r="SAR33" s="1551"/>
      <c r="SAS33" s="1551"/>
      <c r="SAT33" s="1551"/>
      <c r="SAU33" s="1551"/>
      <c r="SAV33" s="1551"/>
      <c r="SAW33" s="1551"/>
      <c r="SAX33" s="1551"/>
      <c r="SAY33" s="1551"/>
      <c r="SAZ33" s="1551"/>
      <c r="SBA33" s="1551"/>
      <c r="SBB33" s="1551"/>
      <c r="SBC33" s="1551"/>
      <c r="SBD33" s="1551"/>
      <c r="SBE33" s="1551"/>
      <c r="SBF33" s="1551"/>
      <c r="SBG33" s="1551"/>
      <c r="SBH33" s="1551"/>
      <c r="SBI33" s="1551"/>
      <c r="SBJ33" s="1551"/>
      <c r="SBK33" s="1551"/>
      <c r="SBL33" s="1551"/>
      <c r="SBM33" s="1551"/>
      <c r="SBN33" s="1551"/>
      <c r="SBO33" s="1551"/>
      <c r="SBP33" s="1551"/>
      <c r="SBQ33" s="1551"/>
      <c r="SBR33" s="1551"/>
      <c r="SBS33" s="1551"/>
      <c r="SBT33" s="1551"/>
      <c r="SBU33" s="1551"/>
      <c r="SBV33" s="1551"/>
      <c r="SBW33" s="1551"/>
      <c r="SBX33" s="1551"/>
      <c r="SBY33" s="1551"/>
      <c r="SBZ33" s="1551"/>
      <c r="SCA33" s="1551"/>
      <c r="SCB33" s="1551"/>
      <c r="SCC33" s="1551"/>
      <c r="SCD33" s="1551"/>
      <c r="SCE33" s="1551"/>
      <c r="SCF33" s="1551"/>
      <c r="SCG33" s="1551"/>
      <c r="SCH33" s="1551"/>
      <c r="SCI33" s="1551"/>
      <c r="SCJ33" s="1551"/>
      <c r="SCK33" s="1551"/>
      <c r="SCL33" s="1551"/>
      <c r="SCM33" s="1551"/>
      <c r="SCN33" s="1551"/>
      <c r="SCO33" s="1551"/>
      <c r="SCP33" s="1551"/>
      <c r="SCQ33" s="1551"/>
      <c r="SCR33" s="1551"/>
      <c r="SCS33" s="1551"/>
      <c r="SCT33" s="1551"/>
      <c r="SCU33" s="1551"/>
      <c r="SCV33" s="1551"/>
      <c r="SCW33" s="1551"/>
      <c r="SCX33" s="1551"/>
      <c r="SCY33" s="1551"/>
      <c r="SCZ33" s="1551"/>
      <c r="SDA33" s="1551"/>
      <c r="SDB33" s="1551"/>
      <c r="SDC33" s="1551"/>
      <c r="SDD33" s="1551"/>
      <c r="SDE33" s="1551"/>
      <c r="SDF33" s="1551"/>
      <c r="SDG33" s="1551"/>
      <c r="SDH33" s="1551"/>
      <c r="SDI33" s="1551"/>
      <c r="SDJ33" s="1551"/>
      <c r="SDK33" s="1551"/>
      <c r="SDL33" s="1551"/>
      <c r="SDM33" s="1551"/>
      <c r="SDN33" s="1551"/>
      <c r="SDO33" s="1551"/>
      <c r="SDP33" s="1551"/>
      <c r="SDQ33" s="1551"/>
      <c r="SDR33" s="1551"/>
      <c r="SDS33" s="1551"/>
      <c r="SDT33" s="1551"/>
      <c r="SDU33" s="1551"/>
      <c r="SDV33" s="1551"/>
      <c r="SDW33" s="1551"/>
      <c r="SDX33" s="1551"/>
      <c r="SDY33" s="1551"/>
      <c r="SDZ33" s="1551"/>
      <c r="SEA33" s="1551"/>
      <c r="SEB33" s="1551"/>
      <c r="SEC33" s="1551"/>
      <c r="SED33" s="1551"/>
      <c r="SEE33" s="1551"/>
      <c r="SEF33" s="1551"/>
      <c r="SEG33" s="1551"/>
      <c r="SEH33" s="1551"/>
      <c r="SEI33" s="1551"/>
      <c r="SEJ33" s="1551"/>
      <c r="SEK33" s="1551"/>
      <c r="SEL33" s="1551"/>
      <c r="SEM33" s="1551"/>
      <c r="SEN33" s="1551"/>
      <c r="SEO33" s="1551"/>
      <c r="SEP33" s="1551"/>
      <c r="SEQ33" s="1551"/>
      <c r="SER33" s="1551"/>
      <c r="SES33" s="1551"/>
      <c r="SET33" s="1551"/>
      <c r="SEU33" s="1551"/>
      <c r="SEV33" s="1551"/>
      <c r="SEW33" s="1551"/>
      <c r="SEX33" s="1551"/>
      <c r="SEY33" s="1551"/>
      <c r="SEZ33" s="1551"/>
      <c r="SFA33" s="1551"/>
      <c r="SFB33" s="1551"/>
      <c r="SFC33" s="1551"/>
      <c r="SFD33" s="1551"/>
      <c r="SFE33" s="1551"/>
      <c r="SFF33" s="1551"/>
      <c r="SFG33" s="1551"/>
      <c r="SFH33" s="1551"/>
      <c r="SFI33" s="1551"/>
      <c r="SFJ33" s="1551"/>
      <c r="SFK33" s="1551"/>
      <c r="SFL33" s="1551"/>
      <c r="SFM33" s="1551"/>
      <c r="SFN33" s="1551"/>
      <c r="SFO33" s="1551"/>
      <c r="SFP33" s="1551"/>
      <c r="SFQ33" s="1551"/>
      <c r="SFR33" s="1551"/>
      <c r="SFS33" s="1551"/>
      <c r="SFT33" s="1551"/>
      <c r="SFU33" s="1551"/>
      <c r="SFV33" s="1551"/>
      <c r="SFW33" s="1551"/>
      <c r="SFX33" s="1551"/>
      <c r="SFY33" s="1551"/>
      <c r="SFZ33" s="1551"/>
      <c r="SGA33" s="1551"/>
      <c r="SGB33" s="1551"/>
      <c r="SGC33" s="1551"/>
      <c r="SGD33" s="1551"/>
      <c r="SGE33" s="1551"/>
      <c r="SGF33" s="1551"/>
      <c r="SGG33" s="1551"/>
      <c r="SGH33" s="1551"/>
      <c r="SGI33" s="1551"/>
      <c r="SGJ33" s="1551"/>
      <c r="SGK33" s="1551"/>
      <c r="SGL33" s="1551"/>
      <c r="SGM33" s="1551"/>
      <c r="SGN33" s="1551"/>
      <c r="SGO33" s="1551"/>
      <c r="SGP33" s="1551"/>
      <c r="SGQ33" s="1551"/>
      <c r="SGR33" s="1551"/>
      <c r="SGS33" s="1551"/>
      <c r="SGT33" s="1551"/>
      <c r="SGU33" s="1551"/>
      <c r="SGV33" s="1551"/>
      <c r="SGW33" s="1551"/>
      <c r="SGX33" s="1551"/>
      <c r="SGY33" s="1551"/>
      <c r="SGZ33" s="1551"/>
      <c r="SHA33" s="1551"/>
      <c r="SHB33" s="1551"/>
      <c r="SHC33" s="1551"/>
      <c r="SHD33" s="1551"/>
      <c r="SHE33" s="1551"/>
      <c r="SHF33" s="1551"/>
      <c r="SHG33" s="1551"/>
      <c r="SHH33" s="1551"/>
      <c r="SHI33" s="1551"/>
      <c r="SHJ33" s="1551"/>
      <c r="SHK33" s="1551"/>
      <c r="SHL33" s="1551"/>
      <c r="SHM33" s="1551"/>
      <c r="SHN33" s="1551"/>
      <c r="SHO33" s="1551"/>
      <c r="SHP33" s="1551"/>
      <c r="SHQ33" s="1551"/>
      <c r="SHR33" s="1551"/>
      <c r="SHS33" s="1551"/>
      <c r="SHT33" s="1551"/>
      <c r="SHU33" s="1551"/>
      <c r="SHV33" s="1551"/>
      <c r="SHW33" s="1551"/>
      <c r="SHX33" s="1551"/>
      <c r="SHY33" s="1551"/>
      <c r="SHZ33" s="1551"/>
      <c r="SIA33" s="1551"/>
      <c r="SIB33" s="1551"/>
      <c r="SIC33" s="1551"/>
      <c r="SID33" s="1551"/>
      <c r="SIE33" s="1551"/>
      <c r="SIF33" s="1551"/>
      <c r="SIG33" s="1551"/>
      <c r="SIH33" s="1551"/>
      <c r="SII33" s="1551"/>
      <c r="SIJ33" s="1551"/>
      <c r="SIK33" s="1551"/>
      <c r="SIL33" s="1551"/>
      <c r="SIM33" s="1551"/>
      <c r="SIN33" s="1551"/>
      <c r="SIO33" s="1551"/>
      <c r="SIP33" s="1551"/>
      <c r="SIQ33" s="1551"/>
      <c r="SIR33" s="1551"/>
      <c r="SIS33" s="1551"/>
      <c r="SIT33" s="1551"/>
      <c r="SIU33" s="1551"/>
      <c r="SIV33" s="1551"/>
      <c r="SIW33" s="1551"/>
      <c r="SIX33" s="1551"/>
      <c r="SIY33" s="1551"/>
      <c r="SIZ33" s="1551"/>
      <c r="SJA33" s="1551"/>
      <c r="SJB33" s="1551"/>
      <c r="SJC33" s="1551"/>
      <c r="SJD33" s="1551"/>
      <c r="SJE33" s="1551"/>
      <c r="SJF33" s="1551"/>
      <c r="SJG33" s="1551"/>
      <c r="SJH33" s="1551"/>
      <c r="SJI33" s="1551"/>
      <c r="SJJ33" s="1551"/>
      <c r="SJK33" s="1551"/>
      <c r="SJL33" s="1551"/>
      <c r="SJM33" s="1551"/>
      <c r="SJN33" s="1551"/>
      <c r="SJO33" s="1551"/>
      <c r="SJP33" s="1551"/>
      <c r="SJQ33" s="1551"/>
      <c r="SJR33" s="1551"/>
      <c r="SJS33" s="1551"/>
      <c r="SJT33" s="1551"/>
      <c r="SJU33" s="1551"/>
      <c r="SJV33" s="1551"/>
      <c r="SJW33" s="1551"/>
      <c r="SJX33" s="1551"/>
      <c r="SJY33" s="1551"/>
      <c r="SJZ33" s="1551"/>
      <c r="SKA33" s="1551"/>
      <c r="SKB33" s="1551"/>
      <c r="SKC33" s="1551"/>
      <c r="SKD33" s="1551"/>
      <c r="SKE33" s="1551"/>
      <c r="SKF33" s="1551"/>
      <c r="SKG33" s="1551"/>
      <c r="SKH33" s="1551"/>
      <c r="SKI33" s="1551"/>
      <c r="SKJ33" s="1551"/>
      <c r="SKK33" s="1551"/>
      <c r="SKL33" s="1551"/>
      <c r="SKM33" s="1551"/>
      <c r="SKN33" s="1551"/>
      <c r="SKO33" s="1551"/>
      <c r="SKP33" s="1551"/>
      <c r="SKQ33" s="1551"/>
      <c r="SKR33" s="1551"/>
      <c r="SKS33" s="1551"/>
      <c r="SKT33" s="1551"/>
      <c r="SKU33" s="1551"/>
      <c r="SKV33" s="1551"/>
      <c r="SKW33" s="1551"/>
      <c r="SKX33" s="1551"/>
      <c r="SKY33" s="1551"/>
      <c r="SKZ33" s="1551"/>
      <c r="SLA33" s="1551"/>
      <c r="SLB33" s="1551"/>
      <c r="SLC33" s="1551"/>
      <c r="SLD33" s="1551"/>
      <c r="SLE33" s="1551"/>
      <c r="SLF33" s="1551"/>
      <c r="SLG33" s="1551"/>
      <c r="SLH33" s="1551"/>
      <c r="SLI33" s="1551"/>
      <c r="SLJ33" s="1551"/>
      <c r="SLK33" s="1551"/>
      <c r="SLL33" s="1551"/>
      <c r="SLM33" s="1551"/>
      <c r="SLN33" s="1551"/>
      <c r="SLO33" s="1551"/>
      <c r="SLP33" s="1551"/>
      <c r="SLQ33" s="1551"/>
      <c r="SLR33" s="1551"/>
      <c r="SLS33" s="1551"/>
      <c r="SLT33" s="1551"/>
      <c r="SLU33" s="1551"/>
      <c r="SLV33" s="1551"/>
      <c r="SLW33" s="1551"/>
      <c r="SLX33" s="1551"/>
      <c r="SLY33" s="1551"/>
      <c r="SLZ33" s="1551"/>
      <c r="SMA33" s="1551"/>
      <c r="SMB33" s="1551"/>
      <c r="SMC33" s="1551"/>
      <c r="SMD33" s="1551"/>
      <c r="SME33" s="1551"/>
      <c r="SMF33" s="1551"/>
      <c r="SMG33" s="1551"/>
      <c r="SMH33" s="1551"/>
      <c r="SMI33" s="1551"/>
      <c r="SMJ33" s="1551"/>
      <c r="SMK33" s="1551"/>
      <c r="SML33" s="1551"/>
      <c r="SMM33" s="1551"/>
      <c r="SMN33" s="1551"/>
      <c r="SMO33" s="1551"/>
      <c r="SMP33" s="1551"/>
      <c r="SMQ33" s="1551"/>
      <c r="SMR33" s="1551"/>
      <c r="SMS33" s="1551"/>
      <c r="SMT33" s="1551"/>
      <c r="SMU33" s="1551"/>
      <c r="SMV33" s="1551"/>
      <c r="SMW33" s="1551"/>
      <c r="SMX33" s="1551"/>
      <c r="SMY33" s="1551"/>
      <c r="SMZ33" s="1551"/>
      <c r="SNA33" s="1551"/>
      <c r="SNB33" s="1551"/>
      <c r="SNC33" s="1551"/>
      <c r="SND33" s="1551"/>
      <c r="SNE33" s="1551"/>
      <c r="SNF33" s="1551"/>
      <c r="SNG33" s="1551"/>
      <c r="SNH33" s="1551"/>
      <c r="SNI33" s="1551"/>
      <c r="SNJ33" s="1551"/>
      <c r="SNK33" s="1551"/>
      <c r="SNL33" s="1551"/>
      <c r="SNM33" s="1551"/>
      <c r="SNN33" s="1551"/>
      <c r="SNO33" s="1551"/>
      <c r="SNP33" s="1551"/>
      <c r="SNQ33" s="1551"/>
      <c r="SNR33" s="1551"/>
      <c r="SNS33" s="1551"/>
      <c r="SNT33" s="1551"/>
      <c r="SNU33" s="1551"/>
      <c r="SNV33" s="1551"/>
      <c r="SNW33" s="1551"/>
      <c r="SNX33" s="1551"/>
      <c r="SNY33" s="1551"/>
      <c r="SNZ33" s="1551"/>
      <c r="SOA33" s="1551"/>
      <c r="SOB33" s="1551"/>
      <c r="SOC33" s="1551"/>
      <c r="SOD33" s="1551"/>
      <c r="SOE33" s="1551"/>
      <c r="SOF33" s="1551"/>
      <c r="SOG33" s="1551"/>
      <c r="SOH33" s="1551"/>
      <c r="SOI33" s="1551"/>
      <c r="SOJ33" s="1551"/>
      <c r="SOK33" s="1551"/>
      <c r="SOL33" s="1551"/>
      <c r="SOM33" s="1551"/>
      <c r="SON33" s="1551"/>
      <c r="SOO33" s="1551"/>
      <c r="SOP33" s="1551"/>
      <c r="SOQ33" s="1551"/>
      <c r="SOR33" s="1551"/>
      <c r="SOS33" s="1551"/>
      <c r="SOT33" s="1551"/>
      <c r="SOU33" s="1551"/>
      <c r="SOV33" s="1551"/>
      <c r="SOW33" s="1551"/>
      <c r="SOX33" s="1551"/>
      <c r="SOY33" s="1551"/>
      <c r="SOZ33" s="1551"/>
      <c r="SPA33" s="1551"/>
      <c r="SPB33" s="1551"/>
      <c r="SPC33" s="1551"/>
      <c r="SPD33" s="1551"/>
      <c r="SPE33" s="1551"/>
      <c r="SPF33" s="1551"/>
      <c r="SPG33" s="1551"/>
      <c r="SPH33" s="1551"/>
      <c r="SPI33" s="1551"/>
      <c r="SPJ33" s="1551"/>
      <c r="SPK33" s="1551"/>
      <c r="SPL33" s="1551"/>
      <c r="SPM33" s="1551"/>
      <c r="SPN33" s="1551"/>
      <c r="SPO33" s="1551"/>
      <c r="SPP33" s="1551"/>
      <c r="SPQ33" s="1551"/>
      <c r="SPR33" s="1551"/>
      <c r="SPS33" s="1551"/>
      <c r="SPT33" s="1551"/>
      <c r="SPU33" s="1551"/>
      <c r="SPV33" s="1551"/>
      <c r="SPW33" s="1551"/>
      <c r="SPX33" s="1551"/>
      <c r="SPY33" s="1551"/>
      <c r="SPZ33" s="1551"/>
      <c r="SQA33" s="1551"/>
      <c r="SQB33" s="1551"/>
      <c r="SQC33" s="1551"/>
      <c r="SQD33" s="1551"/>
      <c r="SQE33" s="1551"/>
      <c r="SQF33" s="1551"/>
      <c r="SQG33" s="1551"/>
      <c r="SQH33" s="1551"/>
      <c r="SQI33" s="1551"/>
      <c r="SQJ33" s="1551"/>
      <c r="SQK33" s="1551"/>
      <c r="SQL33" s="1551"/>
      <c r="SQM33" s="1551"/>
      <c r="SQN33" s="1551"/>
      <c r="SQO33" s="1551"/>
      <c r="SQP33" s="1551"/>
      <c r="SQQ33" s="1551"/>
      <c r="SQR33" s="1551"/>
      <c r="SQS33" s="1551"/>
      <c r="SQT33" s="1551"/>
      <c r="SQU33" s="1551"/>
      <c r="SQV33" s="1551"/>
      <c r="SQW33" s="1551"/>
      <c r="SQX33" s="1551"/>
      <c r="SQY33" s="1551"/>
      <c r="SQZ33" s="1551"/>
      <c r="SRA33" s="1551"/>
      <c r="SRB33" s="1551"/>
      <c r="SRC33" s="1551"/>
      <c r="SRD33" s="1551"/>
      <c r="SRE33" s="1551"/>
      <c r="SRF33" s="1551"/>
      <c r="SRG33" s="1551"/>
      <c r="SRH33" s="1551"/>
      <c r="SRI33" s="1551"/>
      <c r="SRJ33" s="1551"/>
      <c r="SRK33" s="1551"/>
      <c r="SRL33" s="1551"/>
      <c r="SRM33" s="1551"/>
      <c r="SRN33" s="1551"/>
      <c r="SRO33" s="1551"/>
      <c r="SRP33" s="1551"/>
      <c r="SRQ33" s="1551"/>
      <c r="SRR33" s="1551"/>
      <c r="SRS33" s="1551"/>
      <c r="SRT33" s="1551"/>
      <c r="SRU33" s="1551"/>
      <c r="SRV33" s="1551"/>
      <c r="SRW33" s="1551"/>
      <c r="SRX33" s="1551"/>
      <c r="SRY33" s="1551"/>
      <c r="SRZ33" s="1551"/>
      <c r="SSA33" s="1551"/>
      <c r="SSB33" s="1551"/>
      <c r="SSC33" s="1551"/>
      <c r="SSD33" s="1551"/>
      <c r="SSE33" s="1551"/>
      <c r="SSF33" s="1551"/>
      <c r="SSG33" s="1551"/>
      <c r="SSH33" s="1551"/>
      <c r="SSI33" s="1551"/>
      <c r="SSJ33" s="1551"/>
      <c r="SSK33" s="1551"/>
      <c r="SSL33" s="1551"/>
      <c r="SSM33" s="1551"/>
      <c r="SSN33" s="1551"/>
      <c r="SSO33" s="1551"/>
      <c r="SSP33" s="1551"/>
      <c r="SSQ33" s="1551"/>
      <c r="SSR33" s="1551"/>
      <c r="SSS33" s="1551"/>
      <c r="SST33" s="1551"/>
      <c r="SSU33" s="1551"/>
      <c r="SSV33" s="1551"/>
      <c r="SSW33" s="1551"/>
      <c r="SSX33" s="1551"/>
      <c r="SSY33" s="1551"/>
      <c r="SSZ33" s="1551"/>
      <c r="STA33" s="1551"/>
      <c r="STB33" s="1551"/>
      <c r="STC33" s="1551"/>
      <c r="STD33" s="1551"/>
      <c r="STE33" s="1551"/>
      <c r="STF33" s="1551"/>
      <c r="STG33" s="1551"/>
      <c r="STH33" s="1551"/>
      <c r="STI33" s="1551"/>
      <c r="STJ33" s="1551"/>
      <c r="STK33" s="1551"/>
      <c r="STL33" s="1551"/>
      <c r="STM33" s="1551"/>
      <c r="STN33" s="1551"/>
      <c r="STO33" s="1551"/>
      <c r="STP33" s="1551"/>
      <c r="STQ33" s="1551"/>
      <c r="STR33" s="1551"/>
      <c r="STS33" s="1551"/>
      <c r="STT33" s="1551"/>
      <c r="STU33" s="1551"/>
      <c r="STV33" s="1551"/>
      <c r="STW33" s="1551"/>
      <c r="STX33" s="1551"/>
      <c r="STY33" s="1551"/>
      <c r="STZ33" s="1551"/>
      <c r="SUA33" s="1551"/>
      <c r="SUB33" s="1551"/>
      <c r="SUC33" s="1551"/>
      <c r="SUD33" s="1551"/>
      <c r="SUE33" s="1551"/>
      <c r="SUF33" s="1551"/>
      <c r="SUG33" s="1551"/>
      <c r="SUH33" s="1551"/>
      <c r="SUI33" s="1551"/>
      <c r="SUJ33" s="1551"/>
      <c r="SUK33" s="1551"/>
      <c r="SUL33" s="1551"/>
      <c r="SUM33" s="1551"/>
      <c r="SUN33" s="1551"/>
      <c r="SUO33" s="1551"/>
      <c r="SUP33" s="1551"/>
      <c r="SUQ33" s="1551"/>
      <c r="SUR33" s="1551"/>
      <c r="SUS33" s="1551"/>
      <c r="SUT33" s="1551"/>
      <c r="SUU33" s="1551"/>
      <c r="SUV33" s="1551"/>
      <c r="SUW33" s="1551"/>
      <c r="SUX33" s="1551"/>
      <c r="SUY33" s="1551"/>
      <c r="SUZ33" s="1551"/>
      <c r="SVA33" s="1551"/>
      <c r="SVB33" s="1551"/>
      <c r="SVC33" s="1551"/>
      <c r="SVD33" s="1551"/>
      <c r="SVE33" s="1551"/>
      <c r="SVF33" s="1551"/>
      <c r="SVG33" s="1551"/>
      <c r="SVH33" s="1551"/>
      <c r="SVI33" s="1551"/>
      <c r="SVJ33" s="1551"/>
      <c r="SVK33" s="1551"/>
      <c r="SVL33" s="1551"/>
      <c r="SVM33" s="1551"/>
      <c r="SVN33" s="1551"/>
      <c r="SVO33" s="1551"/>
      <c r="SVP33" s="1551"/>
      <c r="SVQ33" s="1551"/>
      <c r="SVR33" s="1551"/>
      <c r="SVS33" s="1551"/>
      <c r="SVT33" s="1551"/>
      <c r="SVU33" s="1551"/>
      <c r="SVV33" s="1551"/>
      <c r="SVW33" s="1551"/>
      <c r="SVX33" s="1551"/>
      <c r="SVY33" s="1551"/>
      <c r="SVZ33" s="1551"/>
      <c r="SWA33" s="1551"/>
      <c r="SWB33" s="1551"/>
      <c r="SWC33" s="1551"/>
      <c r="SWD33" s="1551"/>
      <c r="SWE33" s="1551"/>
      <c r="SWF33" s="1551"/>
      <c r="SWG33" s="1551"/>
      <c r="SWH33" s="1551"/>
      <c r="SWI33" s="1551"/>
      <c r="SWJ33" s="1551"/>
      <c r="SWK33" s="1551"/>
      <c r="SWL33" s="1551"/>
      <c r="SWM33" s="1551"/>
      <c r="SWN33" s="1551"/>
      <c r="SWO33" s="1551"/>
      <c r="SWP33" s="1551"/>
      <c r="SWQ33" s="1551"/>
      <c r="SWR33" s="1551"/>
      <c r="SWS33" s="1551"/>
      <c r="SWT33" s="1551"/>
      <c r="SWU33" s="1551"/>
      <c r="SWV33" s="1551"/>
      <c r="SWW33" s="1551"/>
      <c r="SWX33" s="1551"/>
      <c r="SWY33" s="1551"/>
      <c r="SWZ33" s="1551"/>
      <c r="SXA33" s="1551"/>
      <c r="SXB33" s="1551"/>
      <c r="SXC33" s="1551"/>
      <c r="SXD33" s="1551"/>
      <c r="SXE33" s="1551"/>
      <c r="SXF33" s="1551"/>
      <c r="SXG33" s="1551"/>
      <c r="SXH33" s="1551"/>
      <c r="SXI33" s="1551"/>
      <c r="SXJ33" s="1551"/>
      <c r="SXK33" s="1551"/>
      <c r="SXL33" s="1551"/>
      <c r="SXM33" s="1551"/>
      <c r="SXN33" s="1551"/>
      <c r="SXO33" s="1551"/>
      <c r="SXP33" s="1551"/>
      <c r="SXQ33" s="1551"/>
      <c r="SXR33" s="1551"/>
      <c r="SXS33" s="1551"/>
      <c r="SXT33" s="1551"/>
      <c r="SXU33" s="1551"/>
      <c r="SXV33" s="1551"/>
      <c r="SXW33" s="1551"/>
      <c r="SXX33" s="1551"/>
      <c r="SXY33" s="1551"/>
      <c r="SXZ33" s="1551"/>
      <c r="SYA33" s="1551"/>
      <c r="SYB33" s="1551"/>
      <c r="SYC33" s="1551"/>
      <c r="SYD33" s="1551"/>
      <c r="SYE33" s="1551"/>
      <c r="SYF33" s="1551"/>
      <c r="SYG33" s="1551"/>
      <c r="SYH33" s="1551"/>
      <c r="SYI33" s="1551"/>
      <c r="SYJ33" s="1551"/>
      <c r="SYK33" s="1551"/>
      <c r="SYL33" s="1551"/>
      <c r="SYM33" s="1551"/>
      <c r="SYN33" s="1551"/>
      <c r="SYO33" s="1551"/>
      <c r="SYP33" s="1551"/>
      <c r="SYQ33" s="1551"/>
      <c r="SYR33" s="1551"/>
      <c r="SYS33" s="1551"/>
      <c r="SYT33" s="1551"/>
      <c r="SYU33" s="1551"/>
      <c r="SYV33" s="1551"/>
      <c r="SYW33" s="1551"/>
      <c r="SYX33" s="1551"/>
      <c r="SYY33" s="1551"/>
      <c r="SYZ33" s="1551"/>
      <c r="SZA33" s="1551"/>
      <c r="SZB33" s="1551"/>
      <c r="SZC33" s="1551"/>
      <c r="SZD33" s="1551"/>
      <c r="SZE33" s="1551"/>
      <c r="SZF33" s="1551"/>
      <c r="SZG33" s="1551"/>
      <c r="SZH33" s="1551"/>
      <c r="SZI33" s="1551"/>
      <c r="SZJ33" s="1551"/>
      <c r="SZK33" s="1551"/>
      <c r="SZL33" s="1551"/>
      <c r="SZM33" s="1551"/>
      <c r="SZN33" s="1551"/>
      <c r="SZO33" s="1551"/>
      <c r="SZP33" s="1551"/>
      <c r="SZQ33" s="1551"/>
      <c r="SZR33" s="1551"/>
      <c r="SZS33" s="1551"/>
      <c r="SZT33" s="1551"/>
      <c r="SZU33" s="1551"/>
      <c r="SZV33" s="1551"/>
      <c r="SZW33" s="1551"/>
      <c r="SZX33" s="1551"/>
      <c r="SZY33" s="1551"/>
      <c r="SZZ33" s="1551"/>
      <c r="TAA33" s="1551"/>
      <c r="TAB33" s="1551"/>
      <c r="TAC33" s="1551"/>
      <c r="TAD33" s="1551"/>
      <c r="TAE33" s="1551"/>
      <c r="TAF33" s="1551"/>
      <c r="TAG33" s="1551"/>
      <c r="TAH33" s="1551"/>
      <c r="TAI33" s="1551"/>
      <c r="TAJ33" s="1551"/>
      <c r="TAK33" s="1551"/>
      <c r="TAL33" s="1551"/>
      <c r="TAM33" s="1551"/>
      <c r="TAN33" s="1551"/>
      <c r="TAO33" s="1551"/>
      <c r="TAP33" s="1551"/>
      <c r="TAQ33" s="1551"/>
      <c r="TAR33" s="1551"/>
      <c r="TAS33" s="1551"/>
      <c r="TAT33" s="1551"/>
      <c r="TAU33" s="1551"/>
      <c r="TAV33" s="1551"/>
      <c r="TAW33" s="1551"/>
      <c r="TAX33" s="1551"/>
      <c r="TAY33" s="1551"/>
      <c r="TAZ33" s="1551"/>
      <c r="TBA33" s="1551"/>
      <c r="TBB33" s="1551"/>
      <c r="TBC33" s="1551"/>
      <c r="TBD33" s="1551"/>
      <c r="TBE33" s="1551"/>
      <c r="TBF33" s="1551"/>
      <c r="TBG33" s="1551"/>
      <c r="TBH33" s="1551"/>
      <c r="TBI33" s="1551"/>
      <c r="TBJ33" s="1551"/>
      <c r="TBK33" s="1551"/>
      <c r="TBL33" s="1551"/>
      <c r="TBM33" s="1551"/>
      <c r="TBN33" s="1551"/>
      <c r="TBO33" s="1551"/>
      <c r="TBP33" s="1551"/>
      <c r="TBQ33" s="1551"/>
      <c r="TBR33" s="1551"/>
      <c r="TBS33" s="1551"/>
      <c r="TBT33" s="1551"/>
      <c r="TBU33" s="1551"/>
      <c r="TBV33" s="1551"/>
      <c r="TBW33" s="1551"/>
      <c r="TBX33" s="1551"/>
      <c r="TBY33" s="1551"/>
      <c r="TBZ33" s="1551"/>
      <c r="TCA33" s="1551"/>
      <c r="TCB33" s="1551"/>
      <c r="TCC33" s="1551"/>
      <c r="TCD33" s="1551"/>
      <c r="TCE33" s="1551"/>
      <c r="TCF33" s="1551"/>
      <c r="TCG33" s="1551"/>
      <c r="TCH33" s="1551"/>
      <c r="TCI33" s="1551"/>
      <c r="TCJ33" s="1551"/>
      <c r="TCK33" s="1551"/>
      <c r="TCL33" s="1551"/>
      <c r="TCM33" s="1551"/>
      <c r="TCN33" s="1551"/>
      <c r="TCO33" s="1551"/>
      <c r="TCP33" s="1551"/>
      <c r="TCQ33" s="1551"/>
      <c r="TCR33" s="1551"/>
      <c r="TCS33" s="1551"/>
      <c r="TCT33" s="1551"/>
      <c r="TCU33" s="1551"/>
      <c r="TCV33" s="1551"/>
      <c r="TCW33" s="1551"/>
      <c r="TCX33" s="1551"/>
      <c r="TCY33" s="1551"/>
      <c r="TCZ33" s="1551"/>
      <c r="TDA33" s="1551"/>
      <c r="TDB33" s="1551"/>
      <c r="TDC33" s="1551"/>
      <c r="TDD33" s="1551"/>
      <c r="TDE33" s="1551"/>
      <c r="TDF33" s="1551"/>
      <c r="TDG33" s="1551"/>
      <c r="TDH33" s="1551"/>
      <c r="TDI33" s="1551"/>
      <c r="TDJ33" s="1551"/>
      <c r="TDK33" s="1551"/>
      <c r="TDL33" s="1551"/>
      <c r="TDM33" s="1551"/>
      <c r="TDN33" s="1551"/>
      <c r="TDO33" s="1551"/>
      <c r="TDP33" s="1551"/>
      <c r="TDQ33" s="1551"/>
      <c r="TDR33" s="1551"/>
      <c r="TDS33" s="1551"/>
      <c r="TDT33" s="1551"/>
      <c r="TDU33" s="1551"/>
      <c r="TDV33" s="1551"/>
      <c r="TDW33" s="1551"/>
      <c r="TDX33" s="1551"/>
      <c r="TDY33" s="1551"/>
      <c r="TDZ33" s="1551"/>
      <c r="TEA33" s="1551"/>
      <c r="TEB33" s="1551"/>
      <c r="TEC33" s="1551"/>
      <c r="TED33" s="1551"/>
      <c r="TEE33" s="1551"/>
      <c r="TEF33" s="1551"/>
      <c r="TEG33" s="1551"/>
      <c r="TEH33" s="1551"/>
      <c r="TEI33" s="1551"/>
      <c r="TEJ33" s="1551"/>
      <c r="TEK33" s="1551"/>
      <c r="TEL33" s="1551"/>
      <c r="TEM33" s="1551"/>
      <c r="TEN33" s="1551"/>
      <c r="TEO33" s="1551"/>
      <c r="TEP33" s="1551"/>
      <c r="TEQ33" s="1551"/>
      <c r="TER33" s="1551"/>
      <c r="TES33" s="1551"/>
      <c r="TET33" s="1551"/>
      <c r="TEU33" s="1551"/>
      <c r="TEV33" s="1551"/>
      <c r="TEW33" s="1551"/>
      <c r="TEX33" s="1551"/>
      <c r="TEY33" s="1551"/>
      <c r="TEZ33" s="1551"/>
      <c r="TFA33" s="1551"/>
      <c r="TFB33" s="1551"/>
      <c r="TFC33" s="1551"/>
      <c r="TFD33" s="1551"/>
      <c r="TFE33" s="1551"/>
      <c r="TFF33" s="1551"/>
      <c r="TFG33" s="1551"/>
      <c r="TFH33" s="1551"/>
      <c r="TFI33" s="1551"/>
      <c r="TFJ33" s="1551"/>
      <c r="TFK33" s="1551"/>
      <c r="TFL33" s="1551"/>
      <c r="TFM33" s="1551"/>
      <c r="TFN33" s="1551"/>
      <c r="TFO33" s="1551"/>
      <c r="TFP33" s="1551"/>
      <c r="TFQ33" s="1551"/>
      <c r="TFR33" s="1551"/>
      <c r="TFS33" s="1551"/>
      <c r="TFT33" s="1551"/>
      <c r="TFU33" s="1551"/>
      <c r="TFV33" s="1551"/>
      <c r="TFW33" s="1551"/>
      <c r="TFX33" s="1551"/>
      <c r="TFY33" s="1551"/>
      <c r="TFZ33" s="1551"/>
      <c r="TGA33" s="1551"/>
      <c r="TGB33" s="1551"/>
      <c r="TGC33" s="1551"/>
      <c r="TGD33" s="1551"/>
      <c r="TGE33" s="1551"/>
      <c r="TGF33" s="1551"/>
      <c r="TGG33" s="1551"/>
      <c r="TGH33" s="1551"/>
      <c r="TGI33" s="1551"/>
      <c r="TGJ33" s="1551"/>
      <c r="TGK33" s="1551"/>
      <c r="TGL33" s="1551"/>
      <c r="TGM33" s="1551"/>
      <c r="TGN33" s="1551"/>
      <c r="TGO33" s="1551"/>
      <c r="TGP33" s="1551"/>
      <c r="TGQ33" s="1551"/>
      <c r="TGR33" s="1551"/>
      <c r="TGS33" s="1551"/>
      <c r="TGT33" s="1551"/>
      <c r="TGU33" s="1551"/>
      <c r="TGV33" s="1551"/>
      <c r="TGW33" s="1551"/>
      <c r="TGX33" s="1551"/>
      <c r="TGY33" s="1551"/>
      <c r="TGZ33" s="1551"/>
      <c r="THA33" s="1551"/>
      <c r="THB33" s="1551"/>
      <c r="THC33" s="1551"/>
      <c r="THD33" s="1551"/>
      <c r="THE33" s="1551"/>
      <c r="THF33" s="1551"/>
      <c r="THG33" s="1551"/>
      <c r="THH33" s="1551"/>
      <c r="THI33" s="1551"/>
      <c r="THJ33" s="1551"/>
      <c r="THK33" s="1551"/>
      <c r="THL33" s="1551"/>
      <c r="THM33" s="1551"/>
      <c r="THN33" s="1551"/>
      <c r="THO33" s="1551"/>
      <c r="THP33" s="1551"/>
      <c r="THQ33" s="1551"/>
      <c r="THR33" s="1551"/>
      <c r="THS33" s="1551"/>
      <c r="THT33" s="1551"/>
      <c r="THU33" s="1551"/>
      <c r="THV33" s="1551"/>
      <c r="THW33" s="1551"/>
      <c r="THX33" s="1551"/>
      <c r="THY33" s="1551"/>
      <c r="THZ33" s="1551"/>
      <c r="TIA33" s="1551"/>
      <c r="TIB33" s="1551"/>
      <c r="TIC33" s="1551"/>
      <c r="TID33" s="1551"/>
      <c r="TIE33" s="1551"/>
      <c r="TIF33" s="1551"/>
      <c r="TIG33" s="1551"/>
      <c r="TIH33" s="1551"/>
      <c r="TII33" s="1551"/>
      <c r="TIJ33" s="1551"/>
      <c r="TIK33" s="1551"/>
      <c r="TIL33" s="1551"/>
      <c r="TIM33" s="1551"/>
      <c r="TIN33" s="1551"/>
      <c r="TIO33" s="1551"/>
      <c r="TIP33" s="1551"/>
      <c r="TIQ33" s="1551"/>
      <c r="TIR33" s="1551"/>
      <c r="TIS33" s="1551"/>
      <c r="TIT33" s="1551"/>
      <c r="TIU33" s="1551"/>
      <c r="TIV33" s="1551"/>
      <c r="TIW33" s="1551"/>
      <c r="TIX33" s="1551"/>
      <c r="TIY33" s="1551"/>
      <c r="TIZ33" s="1551"/>
      <c r="TJA33" s="1551"/>
      <c r="TJB33" s="1551"/>
      <c r="TJC33" s="1551"/>
      <c r="TJD33" s="1551"/>
      <c r="TJE33" s="1551"/>
      <c r="TJF33" s="1551"/>
      <c r="TJG33" s="1551"/>
      <c r="TJH33" s="1551"/>
      <c r="TJI33" s="1551"/>
      <c r="TJJ33" s="1551"/>
      <c r="TJK33" s="1551"/>
      <c r="TJL33" s="1551"/>
      <c r="TJM33" s="1551"/>
      <c r="TJN33" s="1551"/>
      <c r="TJO33" s="1551"/>
      <c r="TJP33" s="1551"/>
      <c r="TJQ33" s="1551"/>
      <c r="TJR33" s="1551"/>
      <c r="TJS33" s="1551"/>
      <c r="TJT33" s="1551"/>
      <c r="TJU33" s="1551"/>
      <c r="TJV33" s="1551"/>
      <c r="TJW33" s="1551"/>
      <c r="TJX33" s="1551"/>
      <c r="TJY33" s="1551"/>
      <c r="TJZ33" s="1551"/>
      <c r="TKA33" s="1551"/>
      <c r="TKB33" s="1551"/>
      <c r="TKC33" s="1551"/>
      <c r="TKD33" s="1551"/>
      <c r="TKE33" s="1551"/>
      <c r="TKF33" s="1551"/>
      <c r="TKG33" s="1551"/>
      <c r="TKH33" s="1551"/>
      <c r="TKI33" s="1551"/>
      <c r="TKJ33" s="1551"/>
      <c r="TKK33" s="1551"/>
      <c r="TKL33" s="1551"/>
      <c r="TKM33" s="1551"/>
      <c r="TKN33" s="1551"/>
      <c r="TKO33" s="1551"/>
      <c r="TKP33" s="1551"/>
      <c r="TKQ33" s="1551"/>
      <c r="TKR33" s="1551"/>
      <c r="TKS33" s="1551"/>
      <c r="TKT33" s="1551"/>
      <c r="TKU33" s="1551"/>
      <c r="TKV33" s="1551"/>
      <c r="TKW33" s="1551"/>
      <c r="TKX33" s="1551"/>
      <c r="TKY33" s="1551"/>
      <c r="TKZ33" s="1551"/>
      <c r="TLA33" s="1551"/>
      <c r="TLB33" s="1551"/>
      <c r="TLC33" s="1551"/>
      <c r="TLD33" s="1551"/>
      <c r="TLE33" s="1551"/>
      <c r="TLF33" s="1551"/>
      <c r="TLG33" s="1551"/>
      <c r="TLH33" s="1551"/>
      <c r="TLI33" s="1551"/>
      <c r="TLJ33" s="1551"/>
      <c r="TLK33" s="1551"/>
      <c r="TLL33" s="1551"/>
      <c r="TLM33" s="1551"/>
      <c r="TLN33" s="1551"/>
      <c r="TLO33" s="1551"/>
      <c r="TLP33" s="1551"/>
      <c r="TLQ33" s="1551"/>
      <c r="TLR33" s="1551"/>
      <c r="TLS33" s="1551"/>
      <c r="TLT33" s="1551"/>
      <c r="TLU33" s="1551"/>
      <c r="TLV33" s="1551"/>
      <c r="TLW33" s="1551"/>
      <c r="TLX33" s="1551"/>
      <c r="TLY33" s="1551"/>
      <c r="TLZ33" s="1551"/>
      <c r="TMA33" s="1551"/>
      <c r="TMB33" s="1551"/>
      <c r="TMC33" s="1551"/>
      <c r="TMD33" s="1551"/>
      <c r="TME33" s="1551"/>
      <c r="TMF33" s="1551"/>
      <c r="TMG33" s="1551"/>
      <c r="TMH33" s="1551"/>
      <c r="TMI33" s="1551"/>
      <c r="TMJ33" s="1551"/>
      <c r="TMK33" s="1551"/>
      <c r="TML33" s="1551"/>
      <c r="TMM33" s="1551"/>
      <c r="TMN33" s="1551"/>
      <c r="TMO33" s="1551"/>
      <c r="TMP33" s="1551"/>
      <c r="TMQ33" s="1551"/>
      <c r="TMR33" s="1551"/>
      <c r="TMS33" s="1551"/>
      <c r="TMT33" s="1551"/>
      <c r="TMU33" s="1551"/>
      <c r="TMV33" s="1551"/>
      <c r="TMW33" s="1551"/>
      <c r="TMX33" s="1551"/>
      <c r="TMY33" s="1551"/>
      <c r="TMZ33" s="1551"/>
      <c r="TNA33" s="1551"/>
      <c r="TNB33" s="1551"/>
      <c r="TNC33" s="1551"/>
      <c r="TND33" s="1551"/>
      <c r="TNE33" s="1551"/>
      <c r="TNF33" s="1551"/>
      <c r="TNG33" s="1551"/>
      <c r="TNH33" s="1551"/>
      <c r="TNI33" s="1551"/>
      <c r="TNJ33" s="1551"/>
      <c r="TNK33" s="1551"/>
      <c r="TNL33" s="1551"/>
      <c r="TNM33" s="1551"/>
      <c r="TNN33" s="1551"/>
      <c r="TNO33" s="1551"/>
      <c r="TNP33" s="1551"/>
      <c r="TNQ33" s="1551"/>
      <c r="TNR33" s="1551"/>
      <c r="TNS33" s="1551"/>
      <c r="TNT33" s="1551"/>
      <c r="TNU33" s="1551"/>
      <c r="TNV33" s="1551"/>
      <c r="TNW33" s="1551"/>
      <c r="TNX33" s="1551"/>
      <c r="TNY33" s="1551"/>
      <c r="TNZ33" s="1551"/>
      <c r="TOA33" s="1551"/>
      <c r="TOB33" s="1551"/>
      <c r="TOC33" s="1551"/>
      <c r="TOD33" s="1551"/>
      <c r="TOE33" s="1551"/>
      <c r="TOF33" s="1551"/>
      <c r="TOG33" s="1551"/>
      <c r="TOH33" s="1551"/>
      <c r="TOI33" s="1551"/>
      <c r="TOJ33" s="1551"/>
      <c r="TOK33" s="1551"/>
      <c r="TOL33" s="1551"/>
      <c r="TOM33" s="1551"/>
      <c r="TON33" s="1551"/>
      <c r="TOO33" s="1551"/>
      <c r="TOP33" s="1551"/>
      <c r="TOQ33" s="1551"/>
      <c r="TOR33" s="1551"/>
      <c r="TOS33" s="1551"/>
      <c r="TOT33" s="1551"/>
      <c r="TOU33" s="1551"/>
      <c r="TOV33" s="1551"/>
      <c r="TOW33" s="1551"/>
      <c r="TOX33" s="1551"/>
      <c r="TOY33" s="1551"/>
      <c r="TOZ33" s="1551"/>
      <c r="TPA33" s="1551"/>
      <c r="TPB33" s="1551"/>
      <c r="TPC33" s="1551"/>
      <c r="TPD33" s="1551"/>
      <c r="TPE33" s="1551"/>
      <c r="TPF33" s="1551"/>
      <c r="TPG33" s="1551"/>
      <c r="TPH33" s="1551"/>
      <c r="TPI33" s="1551"/>
      <c r="TPJ33" s="1551"/>
      <c r="TPK33" s="1551"/>
      <c r="TPL33" s="1551"/>
      <c r="TPM33" s="1551"/>
      <c r="TPN33" s="1551"/>
      <c r="TPO33" s="1551"/>
      <c r="TPP33" s="1551"/>
      <c r="TPQ33" s="1551"/>
      <c r="TPR33" s="1551"/>
      <c r="TPS33" s="1551"/>
      <c r="TPT33" s="1551"/>
      <c r="TPU33" s="1551"/>
      <c r="TPV33" s="1551"/>
      <c r="TPW33" s="1551"/>
      <c r="TPX33" s="1551"/>
      <c r="TPY33" s="1551"/>
      <c r="TPZ33" s="1551"/>
      <c r="TQA33" s="1551"/>
      <c r="TQB33" s="1551"/>
      <c r="TQC33" s="1551"/>
      <c r="TQD33" s="1551"/>
      <c r="TQE33" s="1551"/>
      <c r="TQF33" s="1551"/>
      <c r="TQG33" s="1551"/>
      <c r="TQH33" s="1551"/>
      <c r="TQI33" s="1551"/>
      <c r="TQJ33" s="1551"/>
      <c r="TQK33" s="1551"/>
      <c r="TQL33" s="1551"/>
      <c r="TQM33" s="1551"/>
      <c r="TQN33" s="1551"/>
      <c r="TQO33" s="1551"/>
      <c r="TQP33" s="1551"/>
      <c r="TQQ33" s="1551"/>
      <c r="TQR33" s="1551"/>
      <c r="TQS33" s="1551"/>
      <c r="TQT33" s="1551"/>
      <c r="TQU33" s="1551"/>
      <c r="TQV33" s="1551"/>
      <c r="TQW33" s="1551"/>
      <c r="TQX33" s="1551"/>
      <c r="TQY33" s="1551"/>
      <c r="TQZ33" s="1551"/>
      <c r="TRA33" s="1551"/>
      <c r="TRB33" s="1551"/>
      <c r="TRC33" s="1551"/>
      <c r="TRD33" s="1551"/>
      <c r="TRE33" s="1551"/>
      <c r="TRF33" s="1551"/>
      <c r="TRG33" s="1551"/>
      <c r="TRH33" s="1551"/>
      <c r="TRI33" s="1551"/>
      <c r="TRJ33" s="1551"/>
      <c r="TRK33" s="1551"/>
      <c r="TRL33" s="1551"/>
      <c r="TRM33" s="1551"/>
      <c r="TRN33" s="1551"/>
      <c r="TRO33" s="1551"/>
      <c r="TRP33" s="1551"/>
      <c r="TRQ33" s="1551"/>
      <c r="TRR33" s="1551"/>
      <c r="TRS33" s="1551"/>
      <c r="TRT33" s="1551"/>
      <c r="TRU33" s="1551"/>
      <c r="TRV33" s="1551"/>
      <c r="TRW33" s="1551"/>
      <c r="TRX33" s="1551"/>
      <c r="TRY33" s="1551"/>
      <c r="TRZ33" s="1551"/>
      <c r="TSA33" s="1551"/>
      <c r="TSB33" s="1551"/>
      <c r="TSC33" s="1551"/>
      <c r="TSD33" s="1551"/>
      <c r="TSE33" s="1551"/>
      <c r="TSF33" s="1551"/>
      <c r="TSG33" s="1551"/>
      <c r="TSH33" s="1551"/>
      <c r="TSI33" s="1551"/>
      <c r="TSJ33" s="1551"/>
      <c r="TSK33" s="1551"/>
      <c r="TSL33" s="1551"/>
      <c r="TSM33" s="1551"/>
      <c r="TSN33" s="1551"/>
      <c r="TSO33" s="1551"/>
      <c r="TSP33" s="1551"/>
      <c r="TSQ33" s="1551"/>
      <c r="TSR33" s="1551"/>
      <c r="TSS33" s="1551"/>
      <c r="TST33" s="1551"/>
      <c r="TSU33" s="1551"/>
      <c r="TSV33" s="1551"/>
      <c r="TSW33" s="1551"/>
      <c r="TSX33" s="1551"/>
      <c r="TSY33" s="1551"/>
      <c r="TSZ33" s="1551"/>
      <c r="TTA33" s="1551"/>
      <c r="TTB33" s="1551"/>
      <c r="TTC33" s="1551"/>
      <c r="TTD33" s="1551"/>
      <c r="TTE33" s="1551"/>
      <c r="TTF33" s="1551"/>
      <c r="TTG33" s="1551"/>
      <c r="TTH33" s="1551"/>
      <c r="TTI33" s="1551"/>
      <c r="TTJ33" s="1551"/>
      <c r="TTK33" s="1551"/>
      <c r="TTL33" s="1551"/>
      <c r="TTM33" s="1551"/>
      <c r="TTN33" s="1551"/>
      <c r="TTO33" s="1551"/>
      <c r="TTP33" s="1551"/>
      <c r="TTQ33" s="1551"/>
      <c r="TTR33" s="1551"/>
      <c r="TTS33" s="1551"/>
      <c r="TTT33" s="1551"/>
      <c r="TTU33" s="1551"/>
      <c r="TTV33" s="1551"/>
      <c r="TTW33" s="1551"/>
      <c r="TTX33" s="1551"/>
      <c r="TTY33" s="1551"/>
      <c r="TTZ33" s="1551"/>
      <c r="TUA33" s="1551"/>
      <c r="TUB33" s="1551"/>
      <c r="TUC33" s="1551"/>
      <c r="TUD33" s="1551"/>
      <c r="TUE33" s="1551"/>
      <c r="TUF33" s="1551"/>
      <c r="TUG33" s="1551"/>
      <c r="TUH33" s="1551"/>
      <c r="TUI33" s="1551"/>
      <c r="TUJ33" s="1551"/>
      <c r="TUK33" s="1551"/>
      <c r="TUL33" s="1551"/>
      <c r="TUM33" s="1551"/>
      <c r="TUN33" s="1551"/>
      <c r="TUO33" s="1551"/>
      <c r="TUP33" s="1551"/>
      <c r="TUQ33" s="1551"/>
      <c r="TUR33" s="1551"/>
      <c r="TUS33" s="1551"/>
      <c r="TUT33" s="1551"/>
      <c r="TUU33" s="1551"/>
      <c r="TUV33" s="1551"/>
      <c r="TUW33" s="1551"/>
      <c r="TUX33" s="1551"/>
      <c r="TUY33" s="1551"/>
      <c r="TUZ33" s="1551"/>
      <c r="TVA33" s="1551"/>
      <c r="TVB33" s="1551"/>
      <c r="TVC33" s="1551"/>
      <c r="TVD33" s="1551"/>
      <c r="TVE33" s="1551"/>
      <c r="TVF33" s="1551"/>
      <c r="TVG33" s="1551"/>
      <c r="TVH33" s="1551"/>
      <c r="TVI33" s="1551"/>
      <c r="TVJ33" s="1551"/>
      <c r="TVK33" s="1551"/>
      <c r="TVL33" s="1551"/>
      <c r="TVM33" s="1551"/>
      <c r="TVN33" s="1551"/>
      <c r="TVO33" s="1551"/>
      <c r="TVP33" s="1551"/>
      <c r="TVQ33" s="1551"/>
      <c r="TVR33" s="1551"/>
      <c r="TVS33" s="1551"/>
      <c r="TVT33" s="1551"/>
      <c r="TVU33" s="1551"/>
      <c r="TVV33" s="1551"/>
      <c r="TVW33" s="1551"/>
      <c r="TVX33" s="1551"/>
      <c r="TVY33" s="1551"/>
      <c r="TVZ33" s="1551"/>
      <c r="TWA33" s="1551"/>
      <c r="TWB33" s="1551"/>
      <c r="TWC33" s="1551"/>
      <c r="TWD33" s="1551"/>
      <c r="TWE33" s="1551"/>
      <c r="TWF33" s="1551"/>
      <c r="TWG33" s="1551"/>
      <c r="TWH33" s="1551"/>
      <c r="TWI33" s="1551"/>
      <c r="TWJ33" s="1551"/>
      <c r="TWK33" s="1551"/>
      <c r="TWL33" s="1551"/>
      <c r="TWM33" s="1551"/>
      <c r="TWN33" s="1551"/>
      <c r="TWO33" s="1551"/>
      <c r="TWP33" s="1551"/>
      <c r="TWQ33" s="1551"/>
      <c r="TWR33" s="1551"/>
      <c r="TWS33" s="1551"/>
      <c r="TWT33" s="1551"/>
      <c r="TWU33" s="1551"/>
      <c r="TWV33" s="1551"/>
      <c r="TWW33" s="1551"/>
      <c r="TWX33" s="1551"/>
      <c r="TWY33" s="1551"/>
      <c r="TWZ33" s="1551"/>
      <c r="TXA33" s="1551"/>
      <c r="TXB33" s="1551"/>
      <c r="TXC33" s="1551"/>
      <c r="TXD33" s="1551"/>
      <c r="TXE33" s="1551"/>
      <c r="TXF33" s="1551"/>
      <c r="TXG33" s="1551"/>
      <c r="TXH33" s="1551"/>
      <c r="TXI33" s="1551"/>
      <c r="TXJ33" s="1551"/>
      <c r="TXK33" s="1551"/>
      <c r="TXL33" s="1551"/>
      <c r="TXM33" s="1551"/>
      <c r="TXN33" s="1551"/>
      <c r="TXO33" s="1551"/>
      <c r="TXP33" s="1551"/>
      <c r="TXQ33" s="1551"/>
      <c r="TXR33" s="1551"/>
      <c r="TXS33" s="1551"/>
      <c r="TXT33" s="1551"/>
      <c r="TXU33" s="1551"/>
      <c r="TXV33" s="1551"/>
      <c r="TXW33" s="1551"/>
      <c r="TXX33" s="1551"/>
      <c r="TXY33" s="1551"/>
      <c r="TXZ33" s="1551"/>
      <c r="TYA33" s="1551"/>
      <c r="TYB33" s="1551"/>
      <c r="TYC33" s="1551"/>
      <c r="TYD33" s="1551"/>
      <c r="TYE33" s="1551"/>
      <c r="TYF33" s="1551"/>
      <c r="TYG33" s="1551"/>
      <c r="TYH33" s="1551"/>
      <c r="TYI33" s="1551"/>
      <c r="TYJ33" s="1551"/>
      <c r="TYK33" s="1551"/>
      <c r="TYL33" s="1551"/>
      <c r="TYM33" s="1551"/>
      <c r="TYN33" s="1551"/>
      <c r="TYO33" s="1551"/>
      <c r="TYP33" s="1551"/>
      <c r="TYQ33" s="1551"/>
      <c r="TYR33" s="1551"/>
      <c r="TYS33" s="1551"/>
      <c r="TYT33" s="1551"/>
      <c r="TYU33" s="1551"/>
      <c r="TYV33" s="1551"/>
      <c r="TYW33" s="1551"/>
      <c r="TYX33" s="1551"/>
      <c r="TYY33" s="1551"/>
      <c r="TYZ33" s="1551"/>
      <c r="TZA33" s="1551"/>
      <c r="TZB33" s="1551"/>
      <c r="TZC33" s="1551"/>
      <c r="TZD33" s="1551"/>
      <c r="TZE33" s="1551"/>
      <c r="TZF33" s="1551"/>
      <c r="TZG33" s="1551"/>
      <c r="TZH33" s="1551"/>
      <c r="TZI33" s="1551"/>
      <c r="TZJ33" s="1551"/>
      <c r="TZK33" s="1551"/>
      <c r="TZL33" s="1551"/>
      <c r="TZM33" s="1551"/>
      <c r="TZN33" s="1551"/>
      <c r="TZO33" s="1551"/>
      <c r="TZP33" s="1551"/>
      <c r="TZQ33" s="1551"/>
      <c r="TZR33" s="1551"/>
      <c r="TZS33" s="1551"/>
      <c r="TZT33" s="1551"/>
      <c r="TZU33" s="1551"/>
      <c r="TZV33" s="1551"/>
      <c r="TZW33" s="1551"/>
      <c r="TZX33" s="1551"/>
      <c r="TZY33" s="1551"/>
      <c r="TZZ33" s="1551"/>
      <c r="UAA33" s="1551"/>
      <c r="UAB33" s="1551"/>
      <c r="UAC33" s="1551"/>
      <c r="UAD33" s="1551"/>
      <c r="UAE33" s="1551"/>
      <c r="UAF33" s="1551"/>
      <c r="UAG33" s="1551"/>
      <c r="UAH33" s="1551"/>
      <c r="UAI33" s="1551"/>
      <c r="UAJ33" s="1551"/>
      <c r="UAK33" s="1551"/>
      <c r="UAL33" s="1551"/>
      <c r="UAM33" s="1551"/>
      <c r="UAN33" s="1551"/>
      <c r="UAO33" s="1551"/>
      <c r="UAP33" s="1551"/>
      <c r="UAQ33" s="1551"/>
      <c r="UAR33" s="1551"/>
      <c r="UAS33" s="1551"/>
      <c r="UAT33" s="1551"/>
      <c r="UAU33" s="1551"/>
      <c r="UAV33" s="1551"/>
      <c r="UAW33" s="1551"/>
      <c r="UAX33" s="1551"/>
      <c r="UAY33" s="1551"/>
      <c r="UAZ33" s="1551"/>
      <c r="UBA33" s="1551"/>
      <c r="UBB33" s="1551"/>
      <c r="UBC33" s="1551"/>
      <c r="UBD33" s="1551"/>
      <c r="UBE33" s="1551"/>
      <c r="UBF33" s="1551"/>
      <c r="UBG33" s="1551"/>
      <c r="UBH33" s="1551"/>
      <c r="UBI33" s="1551"/>
      <c r="UBJ33" s="1551"/>
      <c r="UBK33" s="1551"/>
      <c r="UBL33" s="1551"/>
      <c r="UBM33" s="1551"/>
      <c r="UBN33" s="1551"/>
      <c r="UBO33" s="1551"/>
      <c r="UBP33" s="1551"/>
      <c r="UBQ33" s="1551"/>
      <c r="UBR33" s="1551"/>
      <c r="UBS33" s="1551"/>
      <c r="UBT33" s="1551"/>
      <c r="UBU33" s="1551"/>
      <c r="UBV33" s="1551"/>
      <c r="UBW33" s="1551"/>
      <c r="UBX33" s="1551"/>
      <c r="UBY33" s="1551"/>
      <c r="UBZ33" s="1551"/>
      <c r="UCA33" s="1551"/>
      <c r="UCB33" s="1551"/>
      <c r="UCC33" s="1551"/>
      <c r="UCD33" s="1551"/>
      <c r="UCE33" s="1551"/>
      <c r="UCF33" s="1551"/>
      <c r="UCG33" s="1551"/>
      <c r="UCH33" s="1551"/>
      <c r="UCI33" s="1551"/>
      <c r="UCJ33" s="1551"/>
      <c r="UCK33" s="1551"/>
      <c r="UCL33" s="1551"/>
      <c r="UCM33" s="1551"/>
      <c r="UCN33" s="1551"/>
      <c r="UCO33" s="1551"/>
      <c r="UCP33" s="1551"/>
      <c r="UCQ33" s="1551"/>
      <c r="UCR33" s="1551"/>
      <c r="UCS33" s="1551"/>
      <c r="UCT33" s="1551"/>
      <c r="UCU33" s="1551"/>
      <c r="UCV33" s="1551"/>
      <c r="UCW33" s="1551"/>
      <c r="UCX33" s="1551"/>
      <c r="UCY33" s="1551"/>
      <c r="UCZ33" s="1551"/>
      <c r="UDA33" s="1551"/>
      <c r="UDB33" s="1551"/>
      <c r="UDC33" s="1551"/>
      <c r="UDD33" s="1551"/>
      <c r="UDE33" s="1551"/>
      <c r="UDF33" s="1551"/>
      <c r="UDG33" s="1551"/>
      <c r="UDH33" s="1551"/>
      <c r="UDI33" s="1551"/>
      <c r="UDJ33" s="1551"/>
      <c r="UDK33" s="1551"/>
      <c r="UDL33" s="1551"/>
      <c r="UDM33" s="1551"/>
      <c r="UDN33" s="1551"/>
      <c r="UDO33" s="1551"/>
      <c r="UDP33" s="1551"/>
      <c r="UDQ33" s="1551"/>
      <c r="UDR33" s="1551"/>
      <c r="UDS33" s="1551"/>
      <c r="UDT33" s="1551"/>
      <c r="UDU33" s="1551"/>
      <c r="UDV33" s="1551"/>
      <c r="UDW33" s="1551"/>
      <c r="UDX33" s="1551"/>
      <c r="UDY33" s="1551"/>
      <c r="UDZ33" s="1551"/>
      <c r="UEA33" s="1551"/>
      <c r="UEB33" s="1551"/>
      <c r="UEC33" s="1551"/>
      <c r="UED33" s="1551"/>
      <c r="UEE33" s="1551"/>
      <c r="UEF33" s="1551"/>
      <c r="UEG33" s="1551"/>
      <c r="UEH33" s="1551"/>
      <c r="UEI33" s="1551"/>
      <c r="UEJ33" s="1551"/>
      <c r="UEK33" s="1551"/>
      <c r="UEL33" s="1551"/>
      <c r="UEM33" s="1551"/>
      <c r="UEN33" s="1551"/>
      <c r="UEO33" s="1551"/>
      <c r="UEP33" s="1551"/>
      <c r="UEQ33" s="1551"/>
      <c r="UER33" s="1551"/>
      <c r="UES33" s="1551"/>
      <c r="UET33" s="1551"/>
      <c r="UEU33" s="1551"/>
      <c r="UEV33" s="1551"/>
      <c r="UEW33" s="1551"/>
      <c r="UEX33" s="1551"/>
      <c r="UEY33" s="1551"/>
      <c r="UEZ33" s="1551"/>
      <c r="UFA33" s="1551"/>
      <c r="UFB33" s="1551"/>
      <c r="UFC33" s="1551"/>
      <c r="UFD33" s="1551"/>
      <c r="UFE33" s="1551"/>
      <c r="UFF33" s="1551"/>
      <c r="UFG33" s="1551"/>
      <c r="UFH33" s="1551"/>
      <c r="UFI33" s="1551"/>
      <c r="UFJ33" s="1551"/>
      <c r="UFK33" s="1551"/>
      <c r="UFL33" s="1551"/>
      <c r="UFM33" s="1551"/>
      <c r="UFN33" s="1551"/>
      <c r="UFO33" s="1551"/>
      <c r="UFP33" s="1551"/>
      <c r="UFQ33" s="1551"/>
      <c r="UFR33" s="1551"/>
      <c r="UFS33" s="1551"/>
      <c r="UFT33" s="1551"/>
      <c r="UFU33" s="1551"/>
      <c r="UFV33" s="1551"/>
      <c r="UFW33" s="1551"/>
      <c r="UFX33" s="1551"/>
      <c r="UFY33" s="1551"/>
      <c r="UFZ33" s="1551"/>
      <c r="UGA33" s="1551"/>
      <c r="UGB33" s="1551"/>
      <c r="UGC33" s="1551"/>
      <c r="UGD33" s="1551"/>
      <c r="UGE33" s="1551"/>
      <c r="UGF33" s="1551"/>
      <c r="UGG33" s="1551"/>
      <c r="UGH33" s="1551"/>
      <c r="UGI33" s="1551"/>
      <c r="UGJ33" s="1551"/>
      <c r="UGK33" s="1551"/>
      <c r="UGL33" s="1551"/>
      <c r="UGM33" s="1551"/>
      <c r="UGN33" s="1551"/>
      <c r="UGO33" s="1551"/>
      <c r="UGP33" s="1551"/>
      <c r="UGQ33" s="1551"/>
      <c r="UGR33" s="1551"/>
      <c r="UGS33" s="1551"/>
      <c r="UGT33" s="1551"/>
      <c r="UGU33" s="1551"/>
      <c r="UGV33" s="1551"/>
      <c r="UGW33" s="1551"/>
      <c r="UGX33" s="1551"/>
      <c r="UGY33" s="1551"/>
      <c r="UGZ33" s="1551"/>
      <c r="UHA33" s="1551"/>
      <c r="UHB33" s="1551"/>
      <c r="UHC33" s="1551"/>
      <c r="UHD33" s="1551"/>
      <c r="UHE33" s="1551"/>
      <c r="UHF33" s="1551"/>
      <c r="UHG33" s="1551"/>
      <c r="UHH33" s="1551"/>
      <c r="UHI33" s="1551"/>
      <c r="UHJ33" s="1551"/>
      <c r="UHK33" s="1551"/>
      <c r="UHL33" s="1551"/>
      <c r="UHM33" s="1551"/>
      <c r="UHN33" s="1551"/>
      <c r="UHO33" s="1551"/>
      <c r="UHP33" s="1551"/>
      <c r="UHQ33" s="1551"/>
      <c r="UHR33" s="1551"/>
      <c r="UHS33" s="1551"/>
      <c r="UHT33" s="1551"/>
      <c r="UHU33" s="1551"/>
      <c r="UHV33" s="1551"/>
      <c r="UHW33" s="1551"/>
      <c r="UHX33" s="1551"/>
      <c r="UHY33" s="1551"/>
      <c r="UHZ33" s="1551"/>
      <c r="UIA33" s="1551"/>
      <c r="UIB33" s="1551"/>
      <c r="UIC33" s="1551"/>
      <c r="UID33" s="1551"/>
      <c r="UIE33" s="1551"/>
      <c r="UIF33" s="1551"/>
      <c r="UIG33" s="1551"/>
      <c r="UIH33" s="1551"/>
      <c r="UII33" s="1551"/>
      <c r="UIJ33" s="1551"/>
      <c r="UIK33" s="1551"/>
      <c r="UIL33" s="1551"/>
      <c r="UIM33" s="1551"/>
      <c r="UIN33" s="1551"/>
      <c r="UIO33" s="1551"/>
      <c r="UIP33" s="1551"/>
      <c r="UIQ33" s="1551"/>
      <c r="UIR33" s="1551"/>
      <c r="UIS33" s="1551"/>
      <c r="UIT33" s="1551"/>
      <c r="UIU33" s="1551"/>
      <c r="UIV33" s="1551"/>
      <c r="UIW33" s="1551"/>
      <c r="UIX33" s="1551"/>
      <c r="UIY33" s="1551"/>
      <c r="UIZ33" s="1551"/>
      <c r="UJA33" s="1551"/>
      <c r="UJB33" s="1551"/>
      <c r="UJC33" s="1551"/>
      <c r="UJD33" s="1551"/>
      <c r="UJE33" s="1551"/>
      <c r="UJF33" s="1551"/>
      <c r="UJG33" s="1551"/>
      <c r="UJH33" s="1551"/>
      <c r="UJI33" s="1551"/>
      <c r="UJJ33" s="1551"/>
      <c r="UJK33" s="1551"/>
      <c r="UJL33" s="1551"/>
      <c r="UJM33" s="1551"/>
      <c r="UJN33" s="1551"/>
      <c r="UJO33" s="1551"/>
      <c r="UJP33" s="1551"/>
      <c r="UJQ33" s="1551"/>
      <c r="UJR33" s="1551"/>
      <c r="UJS33" s="1551"/>
      <c r="UJT33" s="1551"/>
      <c r="UJU33" s="1551"/>
      <c r="UJV33" s="1551"/>
      <c r="UJW33" s="1551"/>
      <c r="UJX33" s="1551"/>
      <c r="UJY33" s="1551"/>
      <c r="UJZ33" s="1551"/>
      <c r="UKA33" s="1551"/>
      <c r="UKB33" s="1551"/>
      <c r="UKC33" s="1551"/>
      <c r="UKD33" s="1551"/>
      <c r="UKE33" s="1551"/>
      <c r="UKF33" s="1551"/>
      <c r="UKG33" s="1551"/>
      <c r="UKH33" s="1551"/>
      <c r="UKI33" s="1551"/>
      <c r="UKJ33" s="1551"/>
      <c r="UKK33" s="1551"/>
      <c r="UKL33" s="1551"/>
      <c r="UKM33" s="1551"/>
      <c r="UKN33" s="1551"/>
      <c r="UKO33" s="1551"/>
      <c r="UKP33" s="1551"/>
      <c r="UKQ33" s="1551"/>
      <c r="UKR33" s="1551"/>
      <c r="UKS33" s="1551"/>
      <c r="UKT33" s="1551"/>
      <c r="UKU33" s="1551"/>
      <c r="UKV33" s="1551"/>
      <c r="UKW33" s="1551"/>
      <c r="UKX33" s="1551"/>
      <c r="UKY33" s="1551"/>
      <c r="UKZ33" s="1551"/>
      <c r="ULA33" s="1551"/>
      <c r="ULB33" s="1551"/>
      <c r="ULC33" s="1551"/>
      <c r="ULD33" s="1551"/>
      <c r="ULE33" s="1551"/>
      <c r="ULF33" s="1551"/>
      <c r="ULG33" s="1551"/>
      <c r="ULH33" s="1551"/>
      <c r="ULI33" s="1551"/>
      <c r="ULJ33" s="1551"/>
      <c r="ULK33" s="1551"/>
      <c r="ULL33" s="1551"/>
      <c r="ULM33" s="1551"/>
      <c r="ULN33" s="1551"/>
      <c r="ULO33" s="1551"/>
      <c r="ULP33" s="1551"/>
      <c r="ULQ33" s="1551"/>
      <c r="ULR33" s="1551"/>
      <c r="ULS33" s="1551"/>
      <c r="ULT33" s="1551"/>
      <c r="ULU33" s="1551"/>
      <c r="ULV33" s="1551"/>
      <c r="ULW33" s="1551"/>
      <c r="ULX33" s="1551"/>
      <c r="ULY33" s="1551"/>
      <c r="ULZ33" s="1551"/>
      <c r="UMA33" s="1551"/>
      <c r="UMB33" s="1551"/>
      <c r="UMC33" s="1551"/>
      <c r="UMD33" s="1551"/>
      <c r="UME33" s="1551"/>
      <c r="UMF33" s="1551"/>
      <c r="UMG33" s="1551"/>
      <c r="UMH33" s="1551"/>
      <c r="UMI33" s="1551"/>
      <c r="UMJ33" s="1551"/>
      <c r="UMK33" s="1551"/>
      <c r="UML33" s="1551"/>
      <c r="UMM33" s="1551"/>
      <c r="UMN33" s="1551"/>
      <c r="UMO33" s="1551"/>
      <c r="UMP33" s="1551"/>
      <c r="UMQ33" s="1551"/>
      <c r="UMR33" s="1551"/>
      <c r="UMS33" s="1551"/>
      <c r="UMT33" s="1551"/>
      <c r="UMU33" s="1551"/>
      <c r="UMV33" s="1551"/>
      <c r="UMW33" s="1551"/>
      <c r="UMX33" s="1551"/>
      <c r="UMY33" s="1551"/>
      <c r="UMZ33" s="1551"/>
      <c r="UNA33" s="1551"/>
      <c r="UNB33" s="1551"/>
      <c r="UNC33" s="1551"/>
      <c r="UND33" s="1551"/>
      <c r="UNE33" s="1551"/>
      <c r="UNF33" s="1551"/>
      <c r="UNG33" s="1551"/>
      <c r="UNH33" s="1551"/>
      <c r="UNI33" s="1551"/>
      <c r="UNJ33" s="1551"/>
      <c r="UNK33" s="1551"/>
      <c r="UNL33" s="1551"/>
      <c r="UNM33" s="1551"/>
      <c r="UNN33" s="1551"/>
      <c r="UNO33" s="1551"/>
      <c r="UNP33" s="1551"/>
      <c r="UNQ33" s="1551"/>
      <c r="UNR33" s="1551"/>
      <c r="UNS33" s="1551"/>
      <c r="UNT33" s="1551"/>
      <c r="UNU33" s="1551"/>
      <c r="UNV33" s="1551"/>
      <c r="UNW33" s="1551"/>
      <c r="UNX33" s="1551"/>
      <c r="UNY33" s="1551"/>
      <c r="UNZ33" s="1551"/>
      <c r="UOA33" s="1551"/>
      <c r="UOB33" s="1551"/>
      <c r="UOC33" s="1551"/>
      <c r="UOD33" s="1551"/>
      <c r="UOE33" s="1551"/>
      <c r="UOF33" s="1551"/>
      <c r="UOG33" s="1551"/>
      <c r="UOH33" s="1551"/>
      <c r="UOI33" s="1551"/>
      <c r="UOJ33" s="1551"/>
      <c r="UOK33" s="1551"/>
      <c r="UOL33" s="1551"/>
      <c r="UOM33" s="1551"/>
      <c r="UON33" s="1551"/>
      <c r="UOO33" s="1551"/>
      <c r="UOP33" s="1551"/>
      <c r="UOQ33" s="1551"/>
      <c r="UOR33" s="1551"/>
      <c r="UOS33" s="1551"/>
      <c r="UOT33" s="1551"/>
      <c r="UOU33" s="1551"/>
      <c r="UOV33" s="1551"/>
      <c r="UOW33" s="1551"/>
      <c r="UOX33" s="1551"/>
      <c r="UOY33" s="1551"/>
      <c r="UOZ33" s="1551"/>
      <c r="UPA33" s="1551"/>
      <c r="UPB33" s="1551"/>
      <c r="UPC33" s="1551"/>
      <c r="UPD33" s="1551"/>
      <c r="UPE33" s="1551"/>
      <c r="UPF33" s="1551"/>
      <c r="UPG33" s="1551"/>
      <c r="UPH33" s="1551"/>
      <c r="UPI33" s="1551"/>
      <c r="UPJ33" s="1551"/>
      <c r="UPK33" s="1551"/>
      <c r="UPL33" s="1551"/>
      <c r="UPM33" s="1551"/>
      <c r="UPN33" s="1551"/>
      <c r="UPO33" s="1551"/>
      <c r="UPP33" s="1551"/>
      <c r="UPQ33" s="1551"/>
      <c r="UPR33" s="1551"/>
      <c r="UPS33" s="1551"/>
      <c r="UPT33" s="1551"/>
      <c r="UPU33" s="1551"/>
      <c r="UPV33" s="1551"/>
      <c r="UPW33" s="1551"/>
      <c r="UPX33" s="1551"/>
      <c r="UPY33" s="1551"/>
      <c r="UPZ33" s="1551"/>
      <c r="UQA33" s="1551"/>
      <c r="UQB33" s="1551"/>
      <c r="UQC33" s="1551"/>
      <c r="UQD33" s="1551"/>
      <c r="UQE33" s="1551"/>
      <c r="UQF33" s="1551"/>
      <c r="UQG33" s="1551"/>
      <c r="UQH33" s="1551"/>
      <c r="UQI33" s="1551"/>
      <c r="UQJ33" s="1551"/>
      <c r="UQK33" s="1551"/>
      <c r="UQL33" s="1551"/>
      <c r="UQM33" s="1551"/>
      <c r="UQN33" s="1551"/>
      <c r="UQO33" s="1551"/>
      <c r="UQP33" s="1551"/>
      <c r="UQQ33" s="1551"/>
      <c r="UQR33" s="1551"/>
      <c r="UQS33" s="1551"/>
      <c r="UQT33" s="1551"/>
      <c r="UQU33" s="1551"/>
      <c r="UQV33" s="1551"/>
      <c r="UQW33" s="1551"/>
      <c r="UQX33" s="1551"/>
      <c r="UQY33" s="1551"/>
      <c r="UQZ33" s="1551"/>
      <c r="URA33" s="1551"/>
      <c r="URB33" s="1551"/>
      <c r="URC33" s="1551"/>
      <c r="URD33" s="1551"/>
      <c r="URE33" s="1551"/>
      <c r="URF33" s="1551"/>
      <c r="URG33" s="1551"/>
      <c r="URH33" s="1551"/>
      <c r="URI33" s="1551"/>
      <c r="URJ33" s="1551"/>
      <c r="URK33" s="1551"/>
      <c r="URL33" s="1551"/>
      <c r="URM33" s="1551"/>
      <c r="URN33" s="1551"/>
      <c r="URO33" s="1551"/>
      <c r="URP33" s="1551"/>
      <c r="URQ33" s="1551"/>
      <c r="URR33" s="1551"/>
      <c r="URS33" s="1551"/>
      <c r="URT33" s="1551"/>
      <c r="URU33" s="1551"/>
      <c r="URV33" s="1551"/>
      <c r="URW33" s="1551"/>
      <c r="URX33" s="1551"/>
      <c r="URY33" s="1551"/>
      <c r="URZ33" s="1551"/>
      <c r="USA33" s="1551"/>
      <c r="USB33" s="1551"/>
      <c r="USC33" s="1551"/>
      <c r="USD33" s="1551"/>
      <c r="USE33" s="1551"/>
      <c r="USF33" s="1551"/>
      <c r="USG33" s="1551"/>
      <c r="USH33" s="1551"/>
      <c r="USI33" s="1551"/>
      <c r="USJ33" s="1551"/>
      <c r="USK33" s="1551"/>
      <c r="USL33" s="1551"/>
      <c r="USM33" s="1551"/>
      <c r="USN33" s="1551"/>
      <c r="USO33" s="1551"/>
      <c r="USP33" s="1551"/>
      <c r="USQ33" s="1551"/>
      <c r="USR33" s="1551"/>
      <c r="USS33" s="1551"/>
      <c r="UST33" s="1551"/>
      <c r="USU33" s="1551"/>
      <c r="USV33" s="1551"/>
      <c r="USW33" s="1551"/>
      <c r="USX33" s="1551"/>
      <c r="USY33" s="1551"/>
      <c r="USZ33" s="1551"/>
      <c r="UTA33" s="1551"/>
      <c r="UTB33" s="1551"/>
      <c r="UTC33" s="1551"/>
      <c r="UTD33" s="1551"/>
      <c r="UTE33" s="1551"/>
      <c r="UTF33" s="1551"/>
      <c r="UTG33" s="1551"/>
      <c r="UTH33" s="1551"/>
      <c r="UTI33" s="1551"/>
      <c r="UTJ33" s="1551"/>
      <c r="UTK33" s="1551"/>
      <c r="UTL33" s="1551"/>
      <c r="UTM33" s="1551"/>
      <c r="UTN33" s="1551"/>
      <c r="UTO33" s="1551"/>
      <c r="UTP33" s="1551"/>
      <c r="UTQ33" s="1551"/>
      <c r="UTR33" s="1551"/>
      <c r="UTS33" s="1551"/>
      <c r="UTT33" s="1551"/>
      <c r="UTU33" s="1551"/>
      <c r="UTV33" s="1551"/>
      <c r="UTW33" s="1551"/>
      <c r="UTX33" s="1551"/>
      <c r="UTY33" s="1551"/>
      <c r="UTZ33" s="1551"/>
      <c r="UUA33" s="1551"/>
      <c r="UUB33" s="1551"/>
      <c r="UUC33" s="1551"/>
      <c r="UUD33" s="1551"/>
      <c r="UUE33" s="1551"/>
      <c r="UUF33" s="1551"/>
      <c r="UUG33" s="1551"/>
      <c r="UUH33" s="1551"/>
      <c r="UUI33" s="1551"/>
      <c r="UUJ33" s="1551"/>
      <c r="UUK33" s="1551"/>
      <c r="UUL33" s="1551"/>
      <c r="UUM33" s="1551"/>
      <c r="UUN33" s="1551"/>
      <c r="UUO33" s="1551"/>
      <c r="UUP33" s="1551"/>
      <c r="UUQ33" s="1551"/>
      <c r="UUR33" s="1551"/>
      <c r="UUS33" s="1551"/>
      <c r="UUT33" s="1551"/>
      <c r="UUU33" s="1551"/>
      <c r="UUV33" s="1551"/>
      <c r="UUW33" s="1551"/>
      <c r="UUX33" s="1551"/>
      <c r="UUY33" s="1551"/>
      <c r="UUZ33" s="1551"/>
      <c r="UVA33" s="1551"/>
      <c r="UVB33" s="1551"/>
      <c r="UVC33" s="1551"/>
      <c r="UVD33" s="1551"/>
      <c r="UVE33" s="1551"/>
      <c r="UVF33" s="1551"/>
      <c r="UVG33" s="1551"/>
      <c r="UVH33" s="1551"/>
      <c r="UVI33" s="1551"/>
      <c r="UVJ33" s="1551"/>
      <c r="UVK33" s="1551"/>
      <c r="UVL33" s="1551"/>
      <c r="UVM33" s="1551"/>
      <c r="UVN33" s="1551"/>
      <c r="UVO33" s="1551"/>
      <c r="UVP33" s="1551"/>
      <c r="UVQ33" s="1551"/>
      <c r="UVR33" s="1551"/>
      <c r="UVS33" s="1551"/>
      <c r="UVT33" s="1551"/>
      <c r="UVU33" s="1551"/>
      <c r="UVV33" s="1551"/>
      <c r="UVW33" s="1551"/>
      <c r="UVX33" s="1551"/>
      <c r="UVY33" s="1551"/>
      <c r="UVZ33" s="1551"/>
      <c r="UWA33" s="1551"/>
      <c r="UWB33" s="1551"/>
      <c r="UWC33" s="1551"/>
      <c r="UWD33" s="1551"/>
      <c r="UWE33" s="1551"/>
      <c r="UWF33" s="1551"/>
      <c r="UWG33" s="1551"/>
      <c r="UWH33" s="1551"/>
      <c r="UWI33" s="1551"/>
      <c r="UWJ33" s="1551"/>
      <c r="UWK33" s="1551"/>
      <c r="UWL33" s="1551"/>
      <c r="UWM33" s="1551"/>
      <c r="UWN33" s="1551"/>
      <c r="UWO33" s="1551"/>
      <c r="UWP33" s="1551"/>
      <c r="UWQ33" s="1551"/>
      <c r="UWR33" s="1551"/>
      <c r="UWS33" s="1551"/>
      <c r="UWT33" s="1551"/>
      <c r="UWU33" s="1551"/>
      <c r="UWV33" s="1551"/>
      <c r="UWW33" s="1551"/>
      <c r="UWX33" s="1551"/>
      <c r="UWY33" s="1551"/>
      <c r="UWZ33" s="1551"/>
      <c r="UXA33" s="1551"/>
      <c r="UXB33" s="1551"/>
      <c r="UXC33" s="1551"/>
      <c r="UXD33" s="1551"/>
      <c r="UXE33" s="1551"/>
      <c r="UXF33" s="1551"/>
      <c r="UXG33" s="1551"/>
      <c r="UXH33" s="1551"/>
      <c r="UXI33" s="1551"/>
      <c r="UXJ33" s="1551"/>
      <c r="UXK33" s="1551"/>
      <c r="UXL33" s="1551"/>
      <c r="UXM33" s="1551"/>
      <c r="UXN33" s="1551"/>
      <c r="UXO33" s="1551"/>
      <c r="UXP33" s="1551"/>
      <c r="UXQ33" s="1551"/>
      <c r="UXR33" s="1551"/>
      <c r="UXS33" s="1551"/>
      <c r="UXT33" s="1551"/>
      <c r="UXU33" s="1551"/>
      <c r="UXV33" s="1551"/>
      <c r="UXW33" s="1551"/>
      <c r="UXX33" s="1551"/>
      <c r="UXY33" s="1551"/>
      <c r="UXZ33" s="1551"/>
      <c r="UYA33" s="1551"/>
      <c r="UYB33" s="1551"/>
      <c r="UYC33" s="1551"/>
      <c r="UYD33" s="1551"/>
      <c r="UYE33" s="1551"/>
      <c r="UYF33" s="1551"/>
      <c r="UYG33" s="1551"/>
      <c r="UYH33" s="1551"/>
      <c r="UYI33" s="1551"/>
      <c r="UYJ33" s="1551"/>
      <c r="UYK33" s="1551"/>
      <c r="UYL33" s="1551"/>
      <c r="UYM33" s="1551"/>
      <c r="UYN33" s="1551"/>
      <c r="UYO33" s="1551"/>
      <c r="UYP33" s="1551"/>
      <c r="UYQ33" s="1551"/>
      <c r="UYR33" s="1551"/>
      <c r="UYS33" s="1551"/>
      <c r="UYT33" s="1551"/>
      <c r="UYU33" s="1551"/>
      <c r="UYV33" s="1551"/>
      <c r="UYW33" s="1551"/>
      <c r="UYX33" s="1551"/>
      <c r="UYY33" s="1551"/>
      <c r="UYZ33" s="1551"/>
      <c r="UZA33" s="1551"/>
      <c r="UZB33" s="1551"/>
      <c r="UZC33" s="1551"/>
      <c r="UZD33" s="1551"/>
      <c r="UZE33" s="1551"/>
      <c r="UZF33" s="1551"/>
      <c r="UZG33" s="1551"/>
      <c r="UZH33" s="1551"/>
      <c r="UZI33" s="1551"/>
      <c r="UZJ33" s="1551"/>
      <c r="UZK33" s="1551"/>
      <c r="UZL33" s="1551"/>
      <c r="UZM33" s="1551"/>
      <c r="UZN33" s="1551"/>
      <c r="UZO33" s="1551"/>
      <c r="UZP33" s="1551"/>
      <c r="UZQ33" s="1551"/>
      <c r="UZR33" s="1551"/>
      <c r="UZS33" s="1551"/>
      <c r="UZT33" s="1551"/>
      <c r="UZU33" s="1551"/>
      <c r="UZV33" s="1551"/>
      <c r="UZW33" s="1551"/>
      <c r="UZX33" s="1551"/>
      <c r="UZY33" s="1551"/>
      <c r="UZZ33" s="1551"/>
      <c r="VAA33" s="1551"/>
      <c r="VAB33" s="1551"/>
      <c r="VAC33" s="1551"/>
      <c r="VAD33" s="1551"/>
      <c r="VAE33" s="1551"/>
      <c r="VAF33" s="1551"/>
      <c r="VAG33" s="1551"/>
      <c r="VAH33" s="1551"/>
      <c r="VAI33" s="1551"/>
      <c r="VAJ33" s="1551"/>
      <c r="VAK33" s="1551"/>
      <c r="VAL33" s="1551"/>
      <c r="VAM33" s="1551"/>
      <c r="VAN33" s="1551"/>
      <c r="VAO33" s="1551"/>
      <c r="VAP33" s="1551"/>
      <c r="VAQ33" s="1551"/>
      <c r="VAR33" s="1551"/>
      <c r="VAS33" s="1551"/>
      <c r="VAT33" s="1551"/>
      <c r="VAU33" s="1551"/>
      <c r="VAV33" s="1551"/>
      <c r="VAW33" s="1551"/>
      <c r="VAX33" s="1551"/>
      <c r="VAY33" s="1551"/>
      <c r="VAZ33" s="1551"/>
      <c r="VBA33" s="1551"/>
      <c r="VBB33" s="1551"/>
      <c r="VBC33" s="1551"/>
      <c r="VBD33" s="1551"/>
      <c r="VBE33" s="1551"/>
      <c r="VBF33" s="1551"/>
      <c r="VBG33" s="1551"/>
      <c r="VBH33" s="1551"/>
      <c r="VBI33" s="1551"/>
      <c r="VBJ33" s="1551"/>
      <c r="VBK33" s="1551"/>
      <c r="VBL33" s="1551"/>
      <c r="VBM33" s="1551"/>
      <c r="VBN33" s="1551"/>
      <c r="VBO33" s="1551"/>
      <c r="VBP33" s="1551"/>
      <c r="VBQ33" s="1551"/>
      <c r="VBR33" s="1551"/>
      <c r="VBS33" s="1551"/>
      <c r="VBT33" s="1551"/>
      <c r="VBU33" s="1551"/>
      <c r="VBV33" s="1551"/>
      <c r="VBW33" s="1551"/>
      <c r="VBX33" s="1551"/>
      <c r="VBY33" s="1551"/>
      <c r="VBZ33" s="1551"/>
      <c r="VCA33" s="1551"/>
      <c r="VCB33" s="1551"/>
      <c r="VCC33" s="1551"/>
      <c r="VCD33" s="1551"/>
      <c r="VCE33" s="1551"/>
      <c r="VCF33" s="1551"/>
      <c r="VCG33" s="1551"/>
      <c r="VCH33" s="1551"/>
      <c r="VCI33" s="1551"/>
      <c r="VCJ33" s="1551"/>
      <c r="VCK33" s="1551"/>
      <c r="VCL33" s="1551"/>
      <c r="VCM33" s="1551"/>
      <c r="VCN33" s="1551"/>
      <c r="VCO33" s="1551"/>
      <c r="VCP33" s="1551"/>
      <c r="VCQ33" s="1551"/>
      <c r="VCR33" s="1551"/>
      <c r="VCS33" s="1551"/>
      <c r="VCT33" s="1551"/>
      <c r="VCU33" s="1551"/>
      <c r="VCV33" s="1551"/>
      <c r="VCW33" s="1551"/>
      <c r="VCX33" s="1551"/>
      <c r="VCY33" s="1551"/>
      <c r="VCZ33" s="1551"/>
      <c r="VDA33" s="1551"/>
      <c r="VDB33" s="1551"/>
      <c r="VDC33" s="1551"/>
      <c r="VDD33" s="1551"/>
      <c r="VDE33" s="1551"/>
      <c r="VDF33" s="1551"/>
      <c r="VDG33" s="1551"/>
      <c r="VDH33" s="1551"/>
      <c r="VDI33" s="1551"/>
      <c r="VDJ33" s="1551"/>
      <c r="VDK33" s="1551"/>
      <c r="VDL33" s="1551"/>
      <c r="VDM33" s="1551"/>
      <c r="VDN33" s="1551"/>
      <c r="VDO33" s="1551"/>
      <c r="VDP33" s="1551"/>
      <c r="VDQ33" s="1551"/>
      <c r="VDR33" s="1551"/>
      <c r="VDS33" s="1551"/>
      <c r="VDT33" s="1551"/>
      <c r="VDU33" s="1551"/>
      <c r="VDV33" s="1551"/>
      <c r="VDW33" s="1551"/>
      <c r="VDX33" s="1551"/>
      <c r="VDY33" s="1551"/>
      <c r="VDZ33" s="1551"/>
      <c r="VEA33" s="1551"/>
      <c r="VEB33" s="1551"/>
      <c r="VEC33" s="1551"/>
      <c r="VED33" s="1551"/>
      <c r="VEE33" s="1551"/>
      <c r="VEF33" s="1551"/>
      <c r="VEG33" s="1551"/>
      <c r="VEH33" s="1551"/>
      <c r="VEI33" s="1551"/>
      <c r="VEJ33" s="1551"/>
      <c r="VEK33" s="1551"/>
      <c r="VEL33" s="1551"/>
      <c r="VEM33" s="1551"/>
      <c r="VEN33" s="1551"/>
      <c r="VEO33" s="1551"/>
      <c r="VEP33" s="1551"/>
      <c r="VEQ33" s="1551"/>
      <c r="VER33" s="1551"/>
      <c r="VES33" s="1551"/>
      <c r="VET33" s="1551"/>
      <c r="VEU33" s="1551"/>
      <c r="VEV33" s="1551"/>
      <c r="VEW33" s="1551"/>
      <c r="VEX33" s="1551"/>
      <c r="VEY33" s="1551"/>
      <c r="VEZ33" s="1551"/>
      <c r="VFA33" s="1551"/>
      <c r="VFB33" s="1551"/>
      <c r="VFC33" s="1551"/>
      <c r="VFD33" s="1551"/>
      <c r="VFE33" s="1551"/>
      <c r="VFF33" s="1551"/>
      <c r="VFG33" s="1551"/>
      <c r="VFH33" s="1551"/>
      <c r="VFI33" s="1551"/>
      <c r="VFJ33" s="1551"/>
      <c r="VFK33" s="1551"/>
      <c r="VFL33" s="1551"/>
      <c r="VFM33" s="1551"/>
      <c r="VFN33" s="1551"/>
      <c r="VFO33" s="1551"/>
      <c r="VFP33" s="1551"/>
      <c r="VFQ33" s="1551"/>
      <c r="VFR33" s="1551"/>
      <c r="VFS33" s="1551"/>
      <c r="VFT33" s="1551"/>
      <c r="VFU33" s="1551"/>
      <c r="VFV33" s="1551"/>
      <c r="VFW33" s="1551"/>
      <c r="VFX33" s="1551"/>
      <c r="VFY33" s="1551"/>
      <c r="VFZ33" s="1551"/>
      <c r="VGA33" s="1551"/>
      <c r="VGB33" s="1551"/>
      <c r="VGC33" s="1551"/>
      <c r="VGD33" s="1551"/>
      <c r="VGE33" s="1551"/>
      <c r="VGF33" s="1551"/>
      <c r="VGG33" s="1551"/>
      <c r="VGH33" s="1551"/>
      <c r="VGI33" s="1551"/>
      <c r="VGJ33" s="1551"/>
      <c r="VGK33" s="1551"/>
      <c r="VGL33" s="1551"/>
      <c r="VGM33" s="1551"/>
      <c r="VGN33" s="1551"/>
      <c r="VGO33" s="1551"/>
      <c r="VGP33" s="1551"/>
      <c r="VGQ33" s="1551"/>
      <c r="VGR33" s="1551"/>
      <c r="VGS33" s="1551"/>
      <c r="VGT33" s="1551"/>
      <c r="VGU33" s="1551"/>
      <c r="VGV33" s="1551"/>
      <c r="VGW33" s="1551"/>
      <c r="VGX33" s="1551"/>
      <c r="VGY33" s="1551"/>
      <c r="VGZ33" s="1551"/>
      <c r="VHA33" s="1551"/>
      <c r="VHB33" s="1551"/>
      <c r="VHC33" s="1551"/>
      <c r="VHD33" s="1551"/>
      <c r="VHE33" s="1551"/>
      <c r="VHF33" s="1551"/>
      <c r="VHG33" s="1551"/>
      <c r="VHH33" s="1551"/>
      <c r="VHI33" s="1551"/>
      <c r="VHJ33" s="1551"/>
      <c r="VHK33" s="1551"/>
      <c r="VHL33" s="1551"/>
      <c r="VHM33" s="1551"/>
      <c r="VHN33" s="1551"/>
      <c r="VHO33" s="1551"/>
      <c r="VHP33" s="1551"/>
      <c r="VHQ33" s="1551"/>
      <c r="VHR33" s="1551"/>
      <c r="VHS33" s="1551"/>
      <c r="VHT33" s="1551"/>
      <c r="VHU33" s="1551"/>
      <c r="VHV33" s="1551"/>
      <c r="VHW33" s="1551"/>
      <c r="VHX33" s="1551"/>
      <c r="VHY33" s="1551"/>
      <c r="VHZ33" s="1551"/>
      <c r="VIA33" s="1551"/>
      <c r="VIB33" s="1551"/>
      <c r="VIC33" s="1551"/>
      <c r="VID33" s="1551"/>
      <c r="VIE33" s="1551"/>
      <c r="VIF33" s="1551"/>
      <c r="VIG33" s="1551"/>
      <c r="VIH33" s="1551"/>
      <c r="VII33" s="1551"/>
      <c r="VIJ33" s="1551"/>
      <c r="VIK33" s="1551"/>
      <c r="VIL33" s="1551"/>
      <c r="VIM33" s="1551"/>
      <c r="VIN33" s="1551"/>
      <c r="VIO33" s="1551"/>
      <c r="VIP33" s="1551"/>
      <c r="VIQ33" s="1551"/>
      <c r="VIR33" s="1551"/>
      <c r="VIS33" s="1551"/>
      <c r="VIT33" s="1551"/>
      <c r="VIU33" s="1551"/>
      <c r="VIV33" s="1551"/>
      <c r="VIW33" s="1551"/>
      <c r="VIX33" s="1551"/>
      <c r="VIY33" s="1551"/>
      <c r="VIZ33" s="1551"/>
      <c r="VJA33" s="1551"/>
      <c r="VJB33" s="1551"/>
      <c r="VJC33" s="1551"/>
      <c r="VJD33" s="1551"/>
      <c r="VJE33" s="1551"/>
      <c r="VJF33" s="1551"/>
      <c r="VJG33" s="1551"/>
      <c r="VJH33" s="1551"/>
      <c r="VJI33" s="1551"/>
      <c r="VJJ33" s="1551"/>
      <c r="VJK33" s="1551"/>
      <c r="VJL33" s="1551"/>
      <c r="VJM33" s="1551"/>
      <c r="VJN33" s="1551"/>
      <c r="VJO33" s="1551"/>
      <c r="VJP33" s="1551"/>
      <c r="VJQ33" s="1551"/>
      <c r="VJR33" s="1551"/>
      <c r="VJS33" s="1551"/>
      <c r="VJT33" s="1551"/>
      <c r="VJU33" s="1551"/>
      <c r="VJV33" s="1551"/>
      <c r="VJW33" s="1551"/>
      <c r="VJX33" s="1551"/>
      <c r="VJY33" s="1551"/>
      <c r="VJZ33" s="1551"/>
      <c r="VKA33" s="1551"/>
      <c r="VKB33" s="1551"/>
      <c r="VKC33" s="1551"/>
      <c r="VKD33" s="1551"/>
      <c r="VKE33" s="1551"/>
      <c r="VKF33" s="1551"/>
      <c r="VKG33" s="1551"/>
      <c r="VKH33" s="1551"/>
      <c r="VKI33" s="1551"/>
      <c r="VKJ33" s="1551"/>
      <c r="VKK33" s="1551"/>
      <c r="VKL33" s="1551"/>
      <c r="VKM33" s="1551"/>
      <c r="VKN33" s="1551"/>
      <c r="VKO33" s="1551"/>
      <c r="VKP33" s="1551"/>
      <c r="VKQ33" s="1551"/>
      <c r="VKR33" s="1551"/>
      <c r="VKS33" s="1551"/>
      <c r="VKT33" s="1551"/>
      <c r="VKU33" s="1551"/>
      <c r="VKV33" s="1551"/>
      <c r="VKW33" s="1551"/>
      <c r="VKX33" s="1551"/>
      <c r="VKY33" s="1551"/>
      <c r="VKZ33" s="1551"/>
      <c r="VLA33" s="1551"/>
      <c r="VLB33" s="1551"/>
      <c r="VLC33" s="1551"/>
      <c r="VLD33" s="1551"/>
      <c r="VLE33" s="1551"/>
      <c r="VLF33" s="1551"/>
      <c r="VLG33" s="1551"/>
      <c r="VLH33" s="1551"/>
      <c r="VLI33" s="1551"/>
      <c r="VLJ33" s="1551"/>
      <c r="VLK33" s="1551"/>
      <c r="VLL33" s="1551"/>
      <c r="VLM33" s="1551"/>
      <c r="VLN33" s="1551"/>
      <c r="VLO33" s="1551"/>
      <c r="VLP33" s="1551"/>
      <c r="VLQ33" s="1551"/>
      <c r="VLR33" s="1551"/>
      <c r="VLS33" s="1551"/>
      <c r="VLT33" s="1551"/>
      <c r="VLU33" s="1551"/>
      <c r="VLV33" s="1551"/>
      <c r="VLW33" s="1551"/>
      <c r="VLX33" s="1551"/>
      <c r="VLY33" s="1551"/>
      <c r="VLZ33" s="1551"/>
      <c r="VMA33" s="1551"/>
      <c r="VMB33" s="1551"/>
      <c r="VMC33" s="1551"/>
      <c r="VMD33" s="1551"/>
      <c r="VME33" s="1551"/>
      <c r="VMF33" s="1551"/>
      <c r="VMG33" s="1551"/>
      <c r="VMH33" s="1551"/>
      <c r="VMI33" s="1551"/>
      <c r="VMJ33" s="1551"/>
      <c r="VMK33" s="1551"/>
      <c r="VML33" s="1551"/>
      <c r="VMM33" s="1551"/>
      <c r="VMN33" s="1551"/>
      <c r="VMO33" s="1551"/>
      <c r="VMP33" s="1551"/>
      <c r="VMQ33" s="1551"/>
      <c r="VMR33" s="1551"/>
      <c r="VMS33" s="1551"/>
      <c r="VMT33" s="1551"/>
      <c r="VMU33" s="1551"/>
      <c r="VMV33" s="1551"/>
      <c r="VMW33" s="1551"/>
      <c r="VMX33" s="1551"/>
      <c r="VMY33" s="1551"/>
      <c r="VMZ33" s="1551"/>
      <c r="VNA33" s="1551"/>
      <c r="VNB33" s="1551"/>
      <c r="VNC33" s="1551"/>
      <c r="VND33" s="1551"/>
      <c r="VNE33" s="1551"/>
      <c r="VNF33" s="1551"/>
      <c r="VNG33" s="1551"/>
      <c r="VNH33" s="1551"/>
      <c r="VNI33" s="1551"/>
      <c r="VNJ33" s="1551"/>
      <c r="VNK33" s="1551"/>
      <c r="VNL33" s="1551"/>
      <c r="VNM33" s="1551"/>
      <c r="VNN33" s="1551"/>
      <c r="VNO33" s="1551"/>
      <c r="VNP33" s="1551"/>
      <c r="VNQ33" s="1551"/>
      <c r="VNR33" s="1551"/>
      <c r="VNS33" s="1551"/>
      <c r="VNT33" s="1551"/>
      <c r="VNU33" s="1551"/>
      <c r="VNV33" s="1551"/>
      <c r="VNW33" s="1551"/>
      <c r="VNX33" s="1551"/>
      <c r="VNY33" s="1551"/>
      <c r="VNZ33" s="1551"/>
      <c r="VOA33" s="1551"/>
      <c r="VOB33" s="1551"/>
      <c r="VOC33" s="1551"/>
      <c r="VOD33" s="1551"/>
      <c r="VOE33" s="1551"/>
      <c r="VOF33" s="1551"/>
      <c r="VOG33" s="1551"/>
      <c r="VOH33" s="1551"/>
      <c r="VOI33" s="1551"/>
      <c r="VOJ33" s="1551"/>
      <c r="VOK33" s="1551"/>
      <c r="VOL33" s="1551"/>
      <c r="VOM33" s="1551"/>
      <c r="VON33" s="1551"/>
      <c r="VOO33" s="1551"/>
      <c r="VOP33" s="1551"/>
      <c r="VOQ33" s="1551"/>
      <c r="VOR33" s="1551"/>
      <c r="VOS33" s="1551"/>
      <c r="VOT33" s="1551"/>
      <c r="VOU33" s="1551"/>
      <c r="VOV33" s="1551"/>
      <c r="VOW33" s="1551"/>
      <c r="VOX33" s="1551"/>
      <c r="VOY33" s="1551"/>
      <c r="VOZ33" s="1551"/>
      <c r="VPA33" s="1551"/>
      <c r="VPB33" s="1551"/>
      <c r="VPC33" s="1551"/>
      <c r="VPD33" s="1551"/>
      <c r="VPE33" s="1551"/>
      <c r="VPF33" s="1551"/>
      <c r="VPG33" s="1551"/>
      <c r="VPH33" s="1551"/>
      <c r="VPI33" s="1551"/>
      <c r="VPJ33" s="1551"/>
      <c r="VPK33" s="1551"/>
      <c r="VPL33" s="1551"/>
      <c r="VPM33" s="1551"/>
      <c r="VPN33" s="1551"/>
      <c r="VPO33" s="1551"/>
      <c r="VPP33" s="1551"/>
      <c r="VPQ33" s="1551"/>
      <c r="VPR33" s="1551"/>
      <c r="VPS33" s="1551"/>
      <c r="VPT33" s="1551"/>
      <c r="VPU33" s="1551"/>
      <c r="VPV33" s="1551"/>
      <c r="VPW33" s="1551"/>
      <c r="VPX33" s="1551"/>
      <c r="VPY33" s="1551"/>
      <c r="VPZ33" s="1551"/>
      <c r="VQA33" s="1551"/>
      <c r="VQB33" s="1551"/>
      <c r="VQC33" s="1551"/>
      <c r="VQD33" s="1551"/>
      <c r="VQE33" s="1551"/>
      <c r="VQF33" s="1551"/>
      <c r="VQG33" s="1551"/>
      <c r="VQH33" s="1551"/>
      <c r="VQI33" s="1551"/>
      <c r="VQJ33" s="1551"/>
      <c r="VQK33" s="1551"/>
      <c r="VQL33" s="1551"/>
      <c r="VQM33" s="1551"/>
      <c r="VQN33" s="1551"/>
      <c r="VQO33" s="1551"/>
      <c r="VQP33" s="1551"/>
      <c r="VQQ33" s="1551"/>
      <c r="VQR33" s="1551"/>
      <c r="VQS33" s="1551"/>
      <c r="VQT33" s="1551"/>
      <c r="VQU33" s="1551"/>
      <c r="VQV33" s="1551"/>
      <c r="VQW33" s="1551"/>
      <c r="VQX33" s="1551"/>
      <c r="VQY33" s="1551"/>
      <c r="VQZ33" s="1551"/>
      <c r="VRA33" s="1551"/>
      <c r="VRB33" s="1551"/>
      <c r="VRC33" s="1551"/>
      <c r="VRD33" s="1551"/>
      <c r="VRE33" s="1551"/>
      <c r="VRF33" s="1551"/>
      <c r="VRG33" s="1551"/>
      <c r="VRH33" s="1551"/>
      <c r="VRI33" s="1551"/>
      <c r="VRJ33" s="1551"/>
      <c r="VRK33" s="1551"/>
      <c r="VRL33" s="1551"/>
      <c r="VRM33" s="1551"/>
      <c r="VRN33" s="1551"/>
      <c r="VRO33" s="1551"/>
      <c r="VRP33" s="1551"/>
      <c r="VRQ33" s="1551"/>
      <c r="VRR33" s="1551"/>
      <c r="VRS33" s="1551"/>
      <c r="VRT33" s="1551"/>
      <c r="VRU33" s="1551"/>
      <c r="VRV33" s="1551"/>
      <c r="VRW33" s="1551"/>
      <c r="VRX33" s="1551"/>
      <c r="VRY33" s="1551"/>
      <c r="VRZ33" s="1551"/>
      <c r="VSA33" s="1551"/>
      <c r="VSB33" s="1551"/>
      <c r="VSC33" s="1551"/>
      <c r="VSD33" s="1551"/>
      <c r="VSE33" s="1551"/>
      <c r="VSF33" s="1551"/>
      <c r="VSG33" s="1551"/>
      <c r="VSH33" s="1551"/>
      <c r="VSI33" s="1551"/>
      <c r="VSJ33" s="1551"/>
      <c r="VSK33" s="1551"/>
      <c r="VSL33" s="1551"/>
      <c r="VSM33" s="1551"/>
      <c r="VSN33" s="1551"/>
      <c r="VSO33" s="1551"/>
      <c r="VSP33" s="1551"/>
      <c r="VSQ33" s="1551"/>
      <c r="VSR33" s="1551"/>
      <c r="VSS33" s="1551"/>
      <c r="VST33" s="1551"/>
      <c r="VSU33" s="1551"/>
      <c r="VSV33" s="1551"/>
      <c r="VSW33" s="1551"/>
      <c r="VSX33" s="1551"/>
      <c r="VSY33" s="1551"/>
      <c r="VSZ33" s="1551"/>
      <c r="VTA33" s="1551"/>
      <c r="VTB33" s="1551"/>
      <c r="VTC33" s="1551"/>
      <c r="VTD33" s="1551"/>
      <c r="VTE33" s="1551"/>
      <c r="VTF33" s="1551"/>
      <c r="VTG33" s="1551"/>
      <c r="VTH33" s="1551"/>
      <c r="VTI33" s="1551"/>
      <c r="VTJ33" s="1551"/>
      <c r="VTK33" s="1551"/>
      <c r="VTL33" s="1551"/>
      <c r="VTM33" s="1551"/>
      <c r="VTN33" s="1551"/>
      <c r="VTO33" s="1551"/>
      <c r="VTP33" s="1551"/>
      <c r="VTQ33" s="1551"/>
      <c r="VTR33" s="1551"/>
      <c r="VTS33" s="1551"/>
      <c r="VTT33" s="1551"/>
      <c r="VTU33" s="1551"/>
      <c r="VTV33" s="1551"/>
      <c r="VTW33" s="1551"/>
      <c r="VTX33" s="1551"/>
      <c r="VTY33" s="1551"/>
      <c r="VTZ33" s="1551"/>
      <c r="VUA33" s="1551"/>
      <c r="VUB33" s="1551"/>
      <c r="VUC33" s="1551"/>
      <c r="VUD33" s="1551"/>
      <c r="VUE33" s="1551"/>
      <c r="VUF33" s="1551"/>
      <c r="VUG33" s="1551"/>
      <c r="VUH33" s="1551"/>
      <c r="VUI33" s="1551"/>
      <c r="VUJ33" s="1551"/>
      <c r="VUK33" s="1551"/>
      <c r="VUL33" s="1551"/>
      <c r="VUM33" s="1551"/>
      <c r="VUN33" s="1551"/>
      <c r="VUO33" s="1551"/>
      <c r="VUP33" s="1551"/>
      <c r="VUQ33" s="1551"/>
      <c r="VUR33" s="1551"/>
      <c r="VUS33" s="1551"/>
      <c r="VUT33" s="1551"/>
      <c r="VUU33" s="1551"/>
      <c r="VUV33" s="1551"/>
      <c r="VUW33" s="1551"/>
      <c r="VUX33" s="1551"/>
      <c r="VUY33" s="1551"/>
      <c r="VUZ33" s="1551"/>
      <c r="VVA33" s="1551"/>
      <c r="VVB33" s="1551"/>
      <c r="VVC33" s="1551"/>
      <c r="VVD33" s="1551"/>
      <c r="VVE33" s="1551"/>
      <c r="VVF33" s="1551"/>
      <c r="VVG33" s="1551"/>
      <c r="VVH33" s="1551"/>
      <c r="VVI33" s="1551"/>
      <c r="VVJ33" s="1551"/>
      <c r="VVK33" s="1551"/>
      <c r="VVL33" s="1551"/>
      <c r="VVM33" s="1551"/>
      <c r="VVN33" s="1551"/>
      <c r="VVO33" s="1551"/>
      <c r="VVP33" s="1551"/>
      <c r="VVQ33" s="1551"/>
      <c r="VVR33" s="1551"/>
      <c r="VVS33" s="1551"/>
      <c r="VVT33" s="1551"/>
      <c r="VVU33" s="1551"/>
      <c r="VVV33" s="1551"/>
      <c r="VVW33" s="1551"/>
      <c r="VVX33" s="1551"/>
      <c r="VVY33" s="1551"/>
      <c r="VVZ33" s="1551"/>
      <c r="VWA33" s="1551"/>
      <c r="VWB33" s="1551"/>
      <c r="VWC33" s="1551"/>
      <c r="VWD33" s="1551"/>
      <c r="VWE33" s="1551"/>
      <c r="VWF33" s="1551"/>
      <c r="VWG33" s="1551"/>
      <c r="VWH33" s="1551"/>
      <c r="VWI33" s="1551"/>
      <c r="VWJ33" s="1551"/>
      <c r="VWK33" s="1551"/>
      <c r="VWL33" s="1551"/>
      <c r="VWM33" s="1551"/>
      <c r="VWN33" s="1551"/>
      <c r="VWO33" s="1551"/>
      <c r="VWP33" s="1551"/>
      <c r="VWQ33" s="1551"/>
      <c r="VWR33" s="1551"/>
      <c r="VWS33" s="1551"/>
      <c r="VWT33" s="1551"/>
      <c r="VWU33" s="1551"/>
      <c r="VWV33" s="1551"/>
      <c r="VWW33" s="1551"/>
      <c r="VWX33" s="1551"/>
      <c r="VWY33" s="1551"/>
      <c r="VWZ33" s="1551"/>
      <c r="VXA33" s="1551"/>
      <c r="VXB33" s="1551"/>
      <c r="VXC33" s="1551"/>
      <c r="VXD33" s="1551"/>
      <c r="VXE33" s="1551"/>
      <c r="VXF33" s="1551"/>
      <c r="VXG33" s="1551"/>
      <c r="VXH33" s="1551"/>
      <c r="VXI33" s="1551"/>
      <c r="VXJ33" s="1551"/>
      <c r="VXK33" s="1551"/>
      <c r="VXL33" s="1551"/>
      <c r="VXM33" s="1551"/>
      <c r="VXN33" s="1551"/>
      <c r="VXO33" s="1551"/>
      <c r="VXP33" s="1551"/>
      <c r="VXQ33" s="1551"/>
      <c r="VXR33" s="1551"/>
      <c r="VXS33" s="1551"/>
      <c r="VXT33" s="1551"/>
      <c r="VXU33" s="1551"/>
      <c r="VXV33" s="1551"/>
      <c r="VXW33" s="1551"/>
      <c r="VXX33" s="1551"/>
      <c r="VXY33" s="1551"/>
      <c r="VXZ33" s="1551"/>
      <c r="VYA33" s="1551"/>
      <c r="VYB33" s="1551"/>
      <c r="VYC33" s="1551"/>
      <c r="VYD33" s="1551"/>
      <c r="VYE33" s="1551"/>
      <c r="VYF33" s="1551"/>
      <c r="VYG33" s="1551"/>
      <c r="VYH33" s="1551"/>
      <c r="VYI33" s="1551"/>
      <c r="VYJ33" s="1551"/>
      <c r="VYK33" s="1551"/>
      <c r="VYL33" s="1551"/>
      <c r="VYM33" s="1551"/>
      <c r="VYN33" s="1551"/>
      <c r="VYO33" s="1551"/>
      <c r="VYP33" s="1551"/>
      <c r="VYQ33" s="1551"/>
      <c r="VYR33" s="1551"/>
      <c r="VYS33" s="1551"/>
      <c r="VYT33" s="1551"/>
      <c r="VYU33" s="1551"/>
      <c r="VYV33" s="1551"/>
      <c r="VYW33" s="1551"/>
      <c r="VYX33" s="1551"/>
      <c r="VYY33" s="1551"/>
      <c r="VYZ33" s="1551"/>
      <c r="VZA33" s="1551"/>
      <c r="VZB33" s="1551"/>
      <c r="VZC33" s="1551"/>
      <c r="VZD33" s="1551"/>
      <c r="VZE33" s="1551"/>
      <c r="VZF33" s="1551"/>
      <c r="VZG33" s="1551"/>
      <c r="VZH33" s="1551"/>
      <c r="VZI33" s="1551"/>
      <c r="VZJ33" s="1551"/>
      <c r="VZK33" s="1551"/>
      <c r="VZL33" s="1551"/>
      <c r="VZM33" s="1551"/>
      <c r="VZN33" s="1551"/>
      <c r="VZO33" s="1551"/>
      <c r="VZP33" s="1551"/>
      <c r="VZQ33" s="1551"/>
      <c r="VZR33" s="1551"/>
      <c r="VZS33" s="1551"/>
      <c r="VZT33" s="1551"/>
      <c r="VZU33" s="1551"/>
      <c r="VZV33" s="1551"/>
      <c r="VZW33" s="1551"/>
      <c r="VZX33" s="1551"/>
      <c r="VZY33" s="1551"/>
      <c r="VZZ33" s="1551"/>
      <c r="WAA33" s="1551"/>
      <c r="WAB33" s="1551"/>
      <c r="WAC33" s="1551"/>
      <c r="WAD33" s="1551"/>
      <c r="WAE33" s="1551"/>
      <c r="WAF33" s="1551"/>
      <c r="WAG33" s="1551"/>
      <c r="WAH33" s="1551"/>
      <c r="WAI33" s="1551"/>
      <c r="WAJ33" s="1551"/>
      <c r="WAK33" s="1551"/>
      <c r="WAL33" s="1551"/>
      <c r="WAM33" s="1551"/>
      <c r="WAN33" s="1551"/>
      <c r="WAO33" s="1551"/>
      <c r="WAP33" s="1551"/>
      <c r="WAQ33" s="1551"/>
      <c r="WAR33" s="1551"/>
      <c r="WAS33" s="1551"/>
      <c r="WAT33" s="1551"/>
      <c r="WAU33" s="1551"/>
      <c r="WAV33" s="1551"/>
      <c r="WAW33" s="1551"/>
      <c r="WAX33" s="1551"/>
      <c r="WAY33" s="1551"/>
      <c r="WAZ33" s="1551"/>
      <c r="WBA33" s="1551"/>
      <c r="WBB33" s="1551"/>
      <c r="WBC33" s="1551"/>
      <c r="WBD33" s="1551"/>
      <c r="WBE33" s="1551"/>
      <c r="WBF33" s="1551"/>
      <c r="WBG33" s="1551"/>
      <c r="WBH33" s="1551"/>
      <c r="WBI33" s="1551"/>
      <c r="WBJ33" s="1551"/>
      <c r="WBK33" s="1551"/>
      <c r="WBL33" s="1551"/>
      <c r="WBM33" s="1551"/>
      <c r="WBN33" s="1551"/>
      <c r="WBO33" s="1551"/>
      <c r="WBP33" s="1551"/>
      <c r="WBQ33" s="1551"/>
      <c r="WBR33" s="1551"/>
      <c r="WBS33" s="1551"/>
      <c r="WBT33" s="1551"/>
      <c r="WBU33" s="1551"/>
      <c r="WBV33" s="1551"/>
      <c r="WBW33" s="1551"/>
      <c r="WBX33" s="1551"/>
      <c r="WBY33" s="1551"/>
      <c r="WBZ33" s="1551"/>
      <c r="WCA33" s="1551"/>
      <c r="WCB33" s="1551"/>
      <c r="WCC33" s="1551"/>
      <c r="WCD33" s="1551"/>
      <c r="WCE33" s="1551"/>
      <c r="WCF33" s="1551"/>
      <c r="WCG33" s="1551"/>
      <c r="WCH33" s="1551"/>
      <c r="WCI33" s="1551"/>
      <c r="WCJ33" s="1551"/>
      <c r="WCK33" s="1551"/>
      <c r="WCL33" s="1551"/>
      <c r="WCM33" s="1551"/>
      <c r="WCN33" s="1551"/>
      <c r="WCO33" s="1551"/>
      <c r="WCP33" s="1551"/>
      <c r="WCQ33" s="1551"/>
      <c r="WCR33" s="1551"/>
      <c r="WCS33" s="1551"/>
      <c r="WCT33" s="1551"/>
      <c r="WCU33" s="1551"/>
      <c r="WCV33" s="1551"/>
      <c r="WCW33" s="1551"/>
      <c r="WCX33" s="1551"/>
      <c r="WCY33" s="1551"/>
      <c r="WCZ33" s="1551"/>
      <c r="WDA33" s="1551"/>
      <c r="WDB33" s="1551"/>
      <c r="WDC33" s="1551"/>
      <c r="WDD33" s="1551"/>
      <c r="WDE33" s="1551"/>
      <c r="WDF33" s="1551"/>
      <c r="WDG33" s="1551"/>
      <c r="WDH33" s="1551"/>
      <c r="WDI33" s="1551"/>
      <c r="WDJ33" s="1551"/>
      <c r="WDK33" s="1551"/>
      <c r="WDL33" s="1551"/>
      <c r="WDM33" s="1551"/>
      <c r="WDN33" s="1551"/>
      <c r="WDO33" s="1551"/>
      <c r="WDP33" s="1551"/>
      <c r="WDQ33" s="1551"/>
      <c r="WDR33" s="1551"/>
      <c r="WDS33" s="1551"/>
      <c r="WDT33" s="1551"/>
      <c r="WDU33" s="1551"/>
      <c r="WDV33" s="1551"/>
      <c r="WDW33" s="1551"/>
      <c r="WDX33" s="1551"/>
      <c r="WDY33" s="1551"/>
      <c r="WDZ33" s="1551"/>
      <c r="WEA33" s="1551"/>
      <c r="WEB33" s="1551"/>
      <c r="WEC33" s="1551"/>
      <c r="WED33" s="1551"/>
      <c r="WEE33" s="1551"/>
      <c r="WEF33" s="1551"/>
      <c r="WEG33" s="1551"/>
      <c r="WEH33" s="1551"/>
      <c r="WEI33" s="1551"/>
      <c r="WEJ33" s="1551"/>
      <c r="WEK33" s="1551"/>
      <c r="WEL33" s="1551"/>
      <c r="WEM33" s="1551"/>
      <c r="WEN33" s="1551"/>
      <c r="WEO33" s="1551"/>
      <c r="WEP33" s="1551"/>
      <c r="WEQ33" s="1551"/>
      <c r="WER33" s="1551"/>
      <c r="WES33" s="1551"/>
      <c r="WET33" s="1551"/>
      <c r="WEU33" s="1551"/>
      <c r="WEV33" s="1551"/>
      <c r="WEW33" s="1551"/>
      <c r="WEX33" s="1551"/>
      <c r="WEY33" s="1551"/>
      <c r="WEZ33" s="1551"/>
      <c r="WFA33" s="1551"/>
      <c r="WFB33" s="1551"/>
      <c r="WFC33" s="1551"/>
      <c r="WFD33" s="1551"/>
      <c r="WFE33" s="1551"/>
      <c r="WFF33" s="1551"/>
      <c r="WFG33" s="1551"/>
      <c r="WFH33" s="1551"/>
      <c r="WFI33" s="1551"/>
      <c r="WFJ33" s="1551"/>
      <c r="WFK33" s="1551"/>
      <c r="WFL33" s="1551"/>
      <c r="WFM33" s="1551"/>
      <c r="WFN33" s="1551"/>
      <c r="WFO33" s="1551"/>
      <c r="WFP33" s="1551"/>
      <c r="WFQ33" s="1551"/>
      <c r="WFR33" s="1551"/>
      <c r="WFS33" s="1551"/>
      <c r="WFT33" s="1551"/>
      <c r="WFU33" s="1551"/>
      <c r="WFV33" s="1551"/>
      <c r="WFW33" s="1551"/>
      <c r="WFX33" s="1551"/>
      <c r="WFY33" s="1551"/>
      <c r="WFZ33" s="1551"/>
      <c r="WGA33" s="1551"/>
      <c r="WGB33" s="1551"/>
      <c r="WGC33" s="1551"/>
      <c r="WGD33" s="1551"/>
      <c r="WGE33" s="1551"/>
      <c r="WGF33" s="1551"/>
      <c r="WGG33" s="1551"/>
      <c r="WGH33" s="1551"/>
      <c r="WGI33" s="1551"/>
      <c r="WGJ33" s="1551"/>
      <c r="WGK33" s="1551"/>
      <c r="WGL33" s="1551"/>
      <c r="WGM33" s="1551"/>
      <c r="WGN33" s="1551"/>
      <c r="WGO33" s="1551"/>
      <c r="WGP33" s="1551"/>
      <c r="WGQ33" s="1551"/>
      <c r="WGR33" s="1551"/>
      <c r="WGS33" s="1551"/>
      <c r="WGT33" s="1551"/>
      <c r="WGU33" s="1551"/>
      <c r="WGV33" s="1551"/>
      <c r="WGW33" s="1551"/>
      <c r="WGX33" s="1551"/>
      <c r="WGY33" s="1551"/>
      <c r="WGZ33" s="1551"/>
      <c r="WHA33" s="1551"/>
      <c r="WHB33" s="1551"/>
      <c r="WHC33" s="1551"/>
      <c r="WHD33" s="1551"/>
      <c r="WHE33" s="1551"/>
      <c r="WHF33" s="1551"/>
      <c r="WHG33" s="1551"/>
      <c r="WHH33" s="1551"/>
      <c r="WHI33" s="1551"/>
      <c r="WHJ33" s="1551"/>
      <c r="WHK33" s="1551"/>
      <c r="WHL33" s="1551"/>
      <c r="WHM33" s="1551"/>
      <c r="WHN33" s="1551"/>
      <c r="WHO33" s="1551"/>
      <c r="WHP33" s="1551"/>
      <c r="WHQ33" s="1551"/>
      <c r="WHR33" s="1551"/>
      <c r="WHS33" s="1551"/>
      <c r="WHT33" s="1551"/>
      <c r="WHU33" s="1551"/>
      <c r="WHV33" s="1551"/>
      <c r="WHW33" s="1551"/>
      <c r="WHX33" s="1551"/>
      <c r="WHY33" s="1551"/>
      <c r="WHZ33" s="1551"/>
      <c r="WIA33" s="1551"/>
      <c r="WIB33" s="1551"/>
      <c r="WIC33" s="1551"/>
      <c r="WID33" s="1551"/>
      <c r="WIE33" s="1551"/>
      <c r="WIF33" s="1551"/>
      <c r="WIG33" s="1551"/>
      <c r="WIH33" s="1551"/>
      <c r="WII33" s="1551"/>
      <c r="WIJ33" s="1551"/>
      <c r="WIK33" s="1551"/>
      <c r="WIL33" s="1551"/>
      <c r="WIM33" s="1551"/>
      <c r="WIN33" s="1551"/>
      <c r="WIO33" s="1551"/>
      <c r="WIP33" s="1551"/>
      <c r="WIQ33" s="1551"/>
      <c r="WIR33" s="1551"/>
      <c r="WIS33" s="1551"/>
      <c r="WIT33" s="1551"/>
      <c r="WIU33" s="1551"/>
      <c r="WIV33" s="1551"/>
      <c r="WIW33" s="1551"/>
      <c r="WIX33" s="1551"/>
      <c r="WIY33" s="1551"/>
      <c r="WIZ33" s="1551"/>
      <c r="WJA33" s="1551"/>
      <c r="WJB33" s="1551"/>
      <c r="WJC33" s="1551"/>
      <c r="WJD33" s="1551"/>
      <c r="WJE33" s="1551"/>
      <c r="WJF33" s="1551"/>
      <c r="WJG33" s="1551"/>
      <c r="WJH33" s="1551"/>
      <c r="WJI33" s="1551"/>
      <c r="WJJ33" s="1551"/>
      <c r="WJK33" s="1551"/>
      <c r="WJL33" s="1551"/>
      <c r="WJM33" s="1551"/>
      <c r="WJN33" s="1551"/>
      <c r="WJO33" s="1551"/>
      <c r="WJP33" s="1551"/>
      <c r="WJQ33" s="1551"/>
      <c r="WJR33" s="1551"/>
      <c r="WJS33" s="1551"/>
      <c r="WJT33" s="1551"/>
      <c r="WJU33" s="1551"/>
      <c r="WJV33" s="1551"/>
      <c r="WJW33" s="1551"/>
      <c r="WJX33" s="1551"/>
      <c r="WJY33" s="1551"/>
      <c r="WJZ33" s="1551"/>
      <c r="WKA33" s="1551"/>
      <c r="WKB33" s="1551"/>
      <c r="WKC33" s="1551"/>
      <c r="WKD33" s="1551"/>
      <c r="WKE33" s="1551"/>
      <c r="WKF33" s="1551"/>
      <c r="WKG33" s="1551"/>
      <c r="WKH33" s="1551"/>
      <c r="WKI33" s="1551"/>
      <c r="WKJ33" s="1551"/>
      <c r="WKK33" s="1551"/>
      <c r="WKL33" s="1551"/>
      <c r="WKM33" s="1551"/>
      <c r="WKN33" s="1551"/>
      <c r="WKO33" s="1551"/>
      <c r="WKP33" s="1551"/>
      <c r="WKQ33" s="1551"/>
      <c r="WKR33" s="1551"/>
      <c r="WKS33" s="1551"/>
      <c r="WKT33" s="1551"/>
      <c r="WKU33" s="1551"/>
      <c r="WKV33" s="1551"/>
      <c r="WKW33" s="1551"/>
      <c r="WKX33" s="1551"/>
      <c r="WKY33" s="1551"/>
      <c r="WKZ33" s="1551"/>
      <c r="WLA33" s="1551"/>
      <c r="WLB33" s="1551"/>
      <c r="WLC33" s="1551"/>
      <c r="WLD33" s="1551"/>
      <c r="WLE33" s="1551"/>
      <c r="WLF33" s="1551"/>
      <c r="WLG33" s="1551"/>
      <c r="WLH33" s="1551"/>
      <c r="WLI33" s="1551"/>
      <c r="WLJ33" s="1551"/>
      <c r="WLK33" s="1551"/>
      <c r="WLL33" s="1551"/>
      <c r="WLM33" s="1551"/>
      <c r="WLN33" s="1551"/>
      <c r="WLO33" s="1551"/>
      <c r="WLP33" s="1551"/>
      <c r="WLQ33" s="1551"/>
      <c r="WLR33" s="1551"/>
      <c r="WLS33" s="1551"/>
      <c r="WLT33" s="1551"/>
      <c r="WLU33" s="1551"/>
      <c r="WLV33" s="1551"/>
      <c r="WLW33" s="1551"/>
      <c r="WLX33" s="1551"/>
      <c r="WLY33" s="1551"/>
      <c r="WLZ33" s="1551"/>
      <c r="WMA33" s="1551"/>
      <c r="WMB33" s="1551"/>
      <c r="WMC33" s="1551"/>
      <c r="WMD33" s="1551"/>
      <c r="WME33" s="1551"/>
      <c r="WMF33" s="1551"/>
      <c r="WMG33" s="1551"/>
      <c r="WMH33" s="1551"/>
      <c r="WMI33" s="1551"/>
      <c r="WMJ33" s="1551"/>
      <c r="WMK33" s="1551"/>
      <c r="WML33" s="1551"/>
      <c r="WMM33" s="1551"/>
      <c r="WMN33" s="1551"/>
      <c r="WMO33" s="1551"/>
      <c r="WMP33" s="1551"/>
      <c r="WMQ33" s="1551"/>
      <c r="WMR33" s="1551"/>
      <c r="WMS33" s="1551"/>
      <c r="WMT33" s="1551"/>
      <c r="WMU33" s="1551"/>
      <c r="WMV33" s="1551"/>
      <c r="WMW33" s="1551"/>
      <c r="WMX33" s="1551"/>
      <c r="WMY33" s="1551"/>
      <c r="WMZ33" s="1551"/>
      <c r="WNA33" s="1551"/>
      <c r="WNB33" s="1551"/>
      <c r="WNC33" s="1551"/>
      <c r="WND33" s="1551"/>
      <c r="WNE33" s="1551"/>
      <c r="WNF33" s="1551"/>
      <c r="WNG33" s="1551"/>
      <c r="WNH33" s="1551"/>
      <c r="WNI33" s="1551"/>
      <c r="WNJ33" s="1551"/>
      <c r="WNK33" s="1551"/>
      <c r="WNL33" s="1551"/>
      <c r="WNM33" s="1551"/>
      <c r="WNN33" s="1551"/>
      <c r="WNO33" s="1551"/>
      <c r="WNP33" s="1551"/>
      <c r="WNQ33" s="1551"/>
      <c r="WNR33" s="1551"/>
      <c r="WNS33" s="1551"/>
      <c r="WNT33" s="1551"/>
      <c r="WNU33" s="1551"/>
      <c r="WNV33" s="1551"/>
      <c r="WNW33" s="1551"/>
      <c r="WNX33" s="1551"/>
      <c r="WNY33" s="1551"/>
      <c r="WNZ33" s="1551"/>
      <c r="WOA33" s="1551"/>
      <c r="WOB33" s="1551"/>
      <c r="WOC33" s="1551"/>
      <c r="WOD33" s="1551"/>
      <c r="WOE33" s="1551"/>
      <c r="WOF33" s="1551"/>
      <c r="WOG33" s="1551"/>
      <c r="WOH33" s="1551"/>
      <c r="WOI33" s="1551"/>
      <c r="WOJ33" s="1551"/>
      <c r="WOK33" s="1551"/>
      <c r="WOL33" s="1551"/>
      <c r="WOM33" s="1551"/>
      <c r="WON33" s="1551"/>
      <c r="WOO33" s="1551"/>
      <c r="WOP33" s="1551"/>
      <c r="WOQ33" s="1551"/>
      <c r="WOR33" s="1551"/>
      <c r="WOS33" s="1551"/>
      <c r="WOT33" s="1551"/>
      <c r="WOU33" s="1551"/>
      <c r="WOV33" s="1551"/>
      <c r="WOW33" s="1551"/>
      <c r="WOX33" s="1551"/>
      <c r="WOY33" s="1551"/>
      <c r="WOZ33" s="1551"/>
      <c r="WPA33" s="1551"/>
      <c r="WPB33" s="1551"/>
      <c r="WPC33" s="1551"/>
      <c r="WPD33" s="1551"/>
      <c r="WPE33" s="1551"/>
      <c r="WPF33" s="1551"/>
      <c r="WPG33" s="1551"/>
      <c r="WPH33" s="1551"/>
      <c r="WPI33" s="1551"/>
      <c r="WPJ33" s="1551"/>
      <c r="WPK33" s="1551"/>
      <c r="WPL33" s="1551"/>
      <c r="WPM33" s="1551"/>
      <c r="WPN33" s="1551"/>
      <c r="WPO33" s="1551"/>
      <c r="WPP33" s="1551"/>
      <c r="WPQ33" s="1551"/>
      <c r="WPR33" s="1551"/>
      <c r="WPS33" s="1551"/>
      <c r="WPT33" s="1551"/>
      <c r="WPU33" s="1551"/>
      <c r="WPV33" s="1551"/>
      <c r="WPW33" s="1551"/>
      <c r="WPX33" s="1551"/>
      <c r="WPY33" s="1551"/>
      <c r="WPZ33" s="1551"/>
      <c r="WQA33" s="1551"/>
      <c r="WQB33" s="1551"/>
      <c r="WQC33" s="1551"/>
      <c r="WQD33" s="1551"/>
      <c r="WQE33" s="1551"/>
      <c r="WQF33" s="1551"/>
      <c r="WQG33" s="1551"/>
      <c r="WQH33" s="1551"/>
      <c r="WQI33" s="1551"/>
      <c r="WQJ33" s="1551"/>
      <c r="WQK33" s="1551"/>
      <c r="WQL33" s="1551"/>
      <c r="WQM33" s="1551"/>
      <c r="WQN33" s="1551"/>
      <c r="WQO33" s="1551"/>
      <c r="WQP33" s="1551"/>
      <c r="WQQ33" s="1551"/>
      <c r="WQR33" s="1551"/>
      <c r="WQS33" s="1551"/>
      <c r="WQT33" s="1551"/>
      <c r="WQU33" s="1551"/>
      <c r="WQV33" s="1551"/>
      <c r="WQW33" s="1551"/>
      <c r="WQX33" s="1551"/>
      <c r="WQY33" s="1551"/>
      <c r="WQZ33" s="1551"/>
      <c r="WRA33" s="1551"/>
      <c r="WRB33" s="1551"/>
      <c r="WRC33" s="1551"/>
      <c r="WRD33" s="1551"/>
      <c r="WRE33" s="1551"/>
      <c r="WRF33" s="1551"/>
      <c r="WRG33" s="1551"/>
      <c r="WRH33" s="1551"/>
      <c r="WRI33" s="1551"/>
      <c r="WRJ33" s="1551"/>
      <c r="WRK33" s="1551"/>
      <c r="WRL33" s="1551"/>
      <c r="WRM33" s="1551"/>
      <c r="WRN33" s="1551"/>
      <c r="WRO33" s="1551"/>
      <c r="WRP33" s="1551"/>
      <c r="WRQ33" s="1551"/>
      <c r="WRR33" s="1551"/>
      <c r="WRS33" s="1551"/>
      <c r="WRT33" s="1551"/>
      <c r="WRU33" s="1551"/>
      <c r="WRV33" s="1551"/>
      <c r="WRW33" s="1551"/>
      <c r="WRX33" s="1551"/>
      <c r="WRY33" s="1551"/>
      <c r="WRZ33" s="1551"/>
      <c r="WSA33" s="1551"/>
      <c r="WSB33" s="1551"/>
      <c r="WSC33" s="1551"/>
      <c r="WSD33" s="1551"/>
      <c r="WSE33" s="1551"/>
      <c r="WSF33" s="1551"/>
      <c r="WSG33" s="1551"/>
      <c r="WSH33" s="1551"/>
      <c r="WSI33" s="1551"/>
      <c r="WSJ33" s="1551"/>
      <c r="WSK33" s="1551"/>
      <c r="WSL33" s="1551"/>
      <c r="WSM33" s="1551"/>
      <c r="WSN33" s="1551"/>
      <c r="WSO33" s="1551"/>
      <c r="WSP33" s="1551"/>
      <c r="WSQ33" s="1551"/>
      <c r="WSR33" s="1551"/>
      <c r="WSS33" s="1551"/>
      <c r="WST33" s="1551"/>
      <c r="WSU33" s="1551"/>
      <c r="WSV33" s="1551"/>
      <c r="WSW33" s="1551"/>
      <c r="WSX33" s="1551"/>
      <c r="WSY33" s="1551"/>
      <c r="WSZ33" s="1551"/>
      <c r="WTA33" s="1551"/>
      <c r="WTB33" s="1551"/>
      <c r="WTC33" s="1551"/>
      <c r="WTD33" s="1551"/>
      <c r="WTE33" s="1551"/>
      <c r="WTF33" s="1551"/>
      <c r="WTG33" s="1551"/>
      <c r="WTH33" s="1551"/>
      <c r="WTI33" s="1551"/>
      <c r="WTJ33" s="1551"/>
      <c r="WTK33" s="1551"/>
      <c r="WTL33" s="1551"/>
      <c r="WTM33" s="1551"/>
      <c r="WTN33" s="1551"/>
      <c r="WTO33" s="1551"/>
      <c r="WTP33" s="1551"/>
      <c r="WTQ33" s="1551"/>
      <c r="WTR33" s="1551"/>
      <c r="WTS33" s="1551"/>
      <c r="WTT33" s="1551"/>
      <c r="WTU33" s="1551"/>
      <c r="WTV33" s="1551"/>
      <c r="WTW33" s="1551"/>
      <c r="WTX33" s="1551"/>
      <c r="WTY33" s="1551"/>
      <c r="WTZ33" s="1551"/>
      <c r="WUA33" s="1551"/>
      <c r="WUB33" s="1551"/>
      <c r="WUC33" s="1551"/>
      <c r="WUD33" s="1551"/>
      <c r="WUE33" s="1551"/>
      <c r="WUF33" s="1551"/>
      <c r="WUG33" s="1551"/>
      <c r="WUH33" s="1551"/>
      <c r="WUI33" s="1551"/>
      <c r="WUJ33" s="1551"/>
      <c r="WUK33" s="1551"/>
      <c r="WUL33" s="1551"/>
      <c r="WUM33" s="1551"/>
      <c r="WUN33" s="1551"/>
      <c r="WUO33" s="1551"/>
      <c r="WUP33" s="1551"/>
      <c r="WUQ33" s="1551"/>
      <c r="WUR33" s="1551"/>
      <c r="WUS33" s="1551"/>
      <c r="WUT33" s="1551"/>
      <c r="WUU33" s="1551"/>
      <c r="WUV33" s="1551"/>
      <c r="WUW33" s="1551"/>
      <c r="WUX33" s="1551"/>
      <c r="WUY33" s="1551"/>
      <c r="WUZ33" s="1551"/>
      <c r="WVA33" s="1551"/>
      <c r="WVB33" s="1551"/>
      <c r="WVC33" s="1551"/>
      <c r="WVD33" s="1551"/>
      <c r="WVE33" s="1551"/>
      <c r="WVF33" s="1551"/>
      <c r="WVG33" s="1551"/>
      <c r="WVH33" s="1551"/>
      <c r="WVI33" s="1551"/>
      <c r="WVJ33" s="1551"/>
      <c r="WVK33" s="1551"/>
      <c r="WVL33" s="1551"/>
      <c r="WVM33" s="1551"/>
      <c r="WVN33" s="1551"/>
      <c r="WVO33" s="1551"/>
      <c r="WVP33" s="1551"/>
      <c r="WVQ33" s="1551"/>
      <c r="WVR33" s="1551"/>
      <c r="WVS33" s="1551"/>
      <c r="WVT33" s="1551"/>
      <c r="WVU33" s="1551"/>
      <c r="WVV33" s="1551"/>
      <c r="WVW33" s="1551"/>
      <c r="WVX33" s="1551"/>
      <c r="WVY33" s="1551"/>
      <c r="WVZ33" s="1551"/>
      <c r="WWA33" s="1551"/>
      <c r="WWB33" s="1551"/>
      <c r="WWC33" s="1551"/>
      <c r="WWD33" s="1551"/>
      <c r="WWE33" s="1551"/>
      <c r="WWF33" s="1551"/>
      <c r="WWG33" s="1551"/>
      <c r="WWH33" s="1551"/>
      <c r="WWI33" s="1551"/>
      <c r="WWJ33" s="1551"/>
      <c r="WWK33" s="1551"/>
      <c r="WWL33" s="1551"/>
      <c r="WWM33" s="1551"/>
      <c r="WWN33" s="1551"/>
      <c r="WWO33" s="1551"/>
      <c r="WWP33" s="1551"/>
      <c r="WWQ33" s="1551"/>
      <c r="WWR33" s="1551"/>
      <c r="WWS33" s="1551"/>
      <c r="WWT33" s="1551"/>
      <c r="WWU33" s="1551"/>
      <c r="WWV33" s="1551"/>
      <c r="WWW33" s="1551"/>
      <c r="WWX33" s="1551"/>
      <c r="WWY33" s="1551"/>
      <c r="WWZ33" s="1551"/>
      <c r="WXA33" s="1551"/>
      <c r="WXB33" s="1551"/>
      <c r="WXC33" s="1551"/>
      <c r="WXD33" s="1551"/>
      <c r="WXE33" s="1551"/>
      <c r="WXF33" s="1551"/>
      <c r="WXG33" s="1551"/>
      <c r="WXH33" s="1551"/>
      <c r="WXI33" s="1551"/>
      <c r="WXJ33" s="1551"/>
      <c r="WXK33" s="1551"/>
      <c r="WXL33" s="1551"/>
      <c r="WXM33" s="1551"/>
      <c r="WXN33" s="1551"/>
      <c r="WXO33" s="1551"/>
      <c r="WXP33" s="1551"/>
      <c r="WXQ33" s="1551"/>
      <c r="WXR33" s="1551"/>
      <c r="WXS33" s="1551"/>
      <c r="WXT33" s="1551"/>
      <c r="WXU33" s="1551"/>
      <c r="WXV33" s="1551"/>
      <c r="WXW33" s="1551"/>
      <c r="WXX33" s="1551"/>
      <c r="WXY33" s="1551"/>
      <c r="WXZ33" s="1551"/>
      <c r="WYA33" s="1551"/>
      <c r="WYB33" s="1551"/>
      <c r="WYC33" s="1551"/>
      <c r="WYD33" s="1551"/>
      <c r="WYE33" s="1551"/>
      <c r="WYF33" s="1551"/>
      <c r="WYG33" s="1551"/>
      <c r="WYH33" s="1551"/>
      <c r="WYI33" s="1551"/>
      <c r="WYJ33" s="1551"/>
      <c r="WYK33" s="1551"/>
      <c r="WYL33" s="1551"/>
      <c r="WYM33" s="1551"/>
      <c r="WYN33" s="1551"/>
      <c r="WYO33" s="1551"/>
      <c r="WYP33" s="1551"/>
      <c r="WYQ33" s="1551"/>
      <c r="WYR33" s="1551"/>
      <c r="WYS33" s="1551"/>
      <c r="WYT33" s="1551"/>
      <c r="WYU33" s="1551"/>
      <c r="WYV33" s="1551"/>
      <c r="WYW33" s="1551"/>
      <c r="WYX33" s="1551"/>
      <c r="WYY33" s="1551"/>
      <c r="WYZ33" s="1551"/>
      <c r="WZA33" s="1551"/>
      <c r="WZB33" s="1551"/>
      <c r="WZC33" s="1551"/>
      <c r="WZD33" s="1551"/>
      <c r="WZE33" s="1551"/>
      <c r="WZF33" s="1551"/>
      <c r="WZG33" s="1551"/>
      <c r="WZH33" s="1551"/>
      <c r="WZI33" s="1551"/>
      <c r="WZJ33" s="1551"/>
      <c r="WZK33" s="1551"/>
      <c r="WZL33" s="1551"/>
      <c r="WZM33" s="1551"/>
      <c r="WZN33" s="1551"/>
      <c r="WZO33" s="1551"/>
      <c r="WZP33" s="1551"/>
      <c r="WZQ33" s="1551"/>
      <c r="WZR33" s="1551"/>
      <c r="WZS33" s="1551"/>
      <c r="WZT33" s="1551"/>
      <c r="WZU33" s="1551"/>
      <c r="WZV33" s="1551"/>
      <c r="WZW33" s="1551"/>
      <c r="WZX33" s="1551"/>
      <c r="WZY33" s="1551"/>
      <c r="WZZ33" s="1551"/>
      <c r="XAA33" s="1551"/>
      <c r="XAB33" s="1551"/>
      <c r="XAC33" s="1551"/>
      <c r="XAD33" s="1551"/>
      <c r="XAE33" s="1551"/>
      <c r="XAF33" s="1551"/>
      <c r="XAG33" s="1551"/>
      <c r="XAH33" s="1551"/>
      <c r="XAI33" s="1551"/>
      <c r="XAJ33" s="1551"/>
      <c r="XAK33" s="1551"/>
      <c r="XAL33" s="1551"/>
      <c r="XAM33" s="1551"/>
      <c r="XAN33" s="1551"/>
      <c r="XAO33" s="1551"/>
      <c r="XAP33" s="1551"/>
      <c r="XAQ33" s="1551"/>
      <c r="XAR33" s="1551"/>
      <c r="XAS33" s="1551"/>
      <c r="XAT33" s="1551"/>
      <c r="XAU33" s="1551"/>
      <c r="XAV33" s="1551"/>
      <c r="XAW33" s="1551"/>
      <c r="XAX33" s="1551"/>
      <c r="XAY33" s="1551"/>
      <c r="XAZ33" s="1551"/>
      <c r="XBA33" s="1551"/>
      <c r="XBB33" s="1551"/>
      <c r="XBC33" s="1551"/>
      <c r="XBD33" s="1551"/>
      <c r="XBE33" s="1551"/>
      <c r="XBF33" s="1551"/>
      <c r="XBG33" s="1551"/>
      <c r="XBH33" s="1551"/>
      <c r="XBI33" s="1551"/>
      <c r="XBJ33" s="1551"/>
      <c r="XBK33" s="1551"/>
      <c r="XBL33" s="1551"/>
      <c r="XBM33" s="1551"/>
      <c r="XBN33" s="1551"/>
      <c r="XBO33" s="1551"/>
      <c r="XBP33" s="1551"/>
      <c r="XBQ33" s="1551"/>
      <c r="XBR33" s="1551"/>
      <c r="XBS33" s="1551"/>
      <c r="XBT33" s="1551"/>
      <c r="XBU33" s="1551"/>
      <c r="XBV33" s="1551"/>
      <c r="XBW33" s="1551"/>
      <c r="XBX33" s="1551"/>
      <c r="XBY33" s="1551"/>
      <c r="XBZ33" s="1551"/>
      <c r="XCA33" s="1551"/>
      <c r="XCB33" s="1551"/>
      <c r="XCC33" s="1551"/>
      <c r="XCD33" s="1551"/>
      <c r="XCE33" s="1551"/>
      <c r="XCF33" s="1551"/>
      <c r="XCG33" s="1551"/>
      <c r="XCH33" s="1551"/>
      <c r="XCI33" s="1551"/>
      <c r="XCJ33" s="1551"/>
      <c r="XCK33" s="1551"/>
      <c r="XCL33" s="1551"/>
      <c r="XCM33" s="1551"/>
      <c r="XCN33" s="1551"/>
      <c r="XCO33" s="1551"/>
      <c r="XCP33" s="1551"/>
      <c r="XCQ33" s="1551"/>
      <c r="XCR33" s="1551"/>
      <c r="XCS33" s="1551"/>
      <c r="XCT33" s="1551"/>
      <c r="XCU33" s="1551"/>
      <c r="XCV33" s="1551"/>
      <c r="XCW33" s="1551"/>
      <c r="XCX33" s="1551"/>
      <c r="XCY33" s="1551"/>
      <c r="XCZ33" s="1551"/>
      <c r="XDA33" s="1551"/>
      <c r="XDB33" s="1551"/>
      <c r="XDC33" s="1551"/>
      <c r="XDD33" s="1551"/>
      <c r="XDE33" s="1551"/>
      <c r="XDF33" s="1551"/>
      <c r="XDG33" s="1551"/>
      <c r="XDH33" s="1551"/>
      <c r="XDI33" s="1551"/>
      <c r="XDJ33" s="1551"/>
      <c r="XDK33" s="1551"/>
      <c r="XDL33" s="1551"/>
      <c r="XDM33" s="1551"/>
      <c r="XDN33" s="1551"/>
      <c r="XDO33" s="1551"/>
      <c r="XDP33" s="1551"/>
      <c r="XDQ33" s="1551"/>
      <c r="XDR33" s="1551"/>
      <c r="XDS33" s="1551"/>
      <c r="XDT33" s="1551"/>
      <c r="XDU33" s="1551"/>
      <c r="XDV33" s="1551"/>
      <c r="XDW33" s="1551"/>
      <c r="XDX33" s="1551"/>
      <c r="XDY33" s="1551"/>
      <c r="XDZ33" s="1551"/>
      <c r="XEA33" s="1551"/>
      <c r="XEB33" s="1551"/>
      <c r="XEC33" s="1551"/>
      <c r="XED33" s="1551"/>
      <c r="XEE33" s="1551"/>
      <c r="XEF33" s="1551"/>
      <c r="XEG33" s="1551"/>
      <c r="XEH33" s="1551"/>
      <c r="XEI33" s="1551"/>
      <c r="XEJ33" s="1551"/>
      <c r="XEK33" s="1551"/>
      <c r="XEL33" s="1551"/>
      <c r="XEM33" s="1551"/>
      <c r="XEN33" s="1551"/>
      <c r="XEO33" s="1551"/>
      <c r="XEP33" s="1551"/>
      <c r="XEQ33" s="1551"/>
      <c r="XER33" s="1551"/>
      <c r="XES33" s="1551"/>
      <c r="XET33" s="1551"/>
      <c r="XEU33" s="1551"/>
      <c r="XEV33" s="1551"/>
      <c r="XEW33" s="1551"/>
      <c r="XEX33" s="1551"/>
      <c r="XEY33" s="1551"/>
      <c r="XEZ33" s="1551"/>
      <c r="XFA33" s="1551"/>
      <c r="XFB33" s="1551"/>
      <c r="XFC33" s="1551"/>
      <c r="XFD33" s="1551"/>
    </row>
    <row r="34" spans="1:16384" ht="12.75" customHeight="1">
      <c r="A34" s="961"/>
      <c r="B34" s="1134"/>
      <c r="C34" s="1134"/>
      <c r="D34" s="1134"/>
      <c r="E34" s="1134"/>
      <c r="F34" s="1134"/>
      <c r="G34" s="991"/>
      <c r="H34" s="1134"/>
      <c r="I34" s="991"/>
      <c r="J34" s="1134"/>
      <c r="K34" s="1134"/>
      <c r="L34" s="1134"/>
      <c r="M34" s="1134"/>
      <c r="N34" s="1020"/>
    </row>
    <row r="35" spans="1:16384" ht="12.75" customHeight="1">
      <c r="A35" s="961"/>
      <c r="B35" s="1134"/>
      <c r="C35" s="1134"/>
      <c r="D35" s="1134"/>
      <c r="E35" s="1134"/>
      <c r="F35" s="1134"/>
      <c r="G35" s="1009"/>
      <c r="H35" s="1134"/>
      <c r="I35" s="1009"/>
      <c r="J35" s="1134"/>
      <c r="K35" s="1134"/>
      <c r="L35" s="1134"/>
      <c r="M35" s="1134"/>
      <c r="N35" s="1020"/>
    </row>
    <row r="36" spans="1:16384" ht="15.75">
      <c r="A36" s="530">
        <v>1.2</v>
      </c>
      <c r="B36" s="1048" t="s">
        <v>31</v>
      </c>
      <c r="C36" s="969"/>
      <c r="D36" s="969"/>
      <c r="E36" s="969"/>
      <c r="F36" s="969"/>
      <c r="G36" s="1182"/>
      <c r="H36" s="1182"/>
      <c r="I36" s="1182"/>
      <c r="J36" s="969"/>
      <c r="K36" s="969"/>
      <c r="L36" s="969"/>
      <c r="M36" s="969"/>
      <c r="N36" s="969"/>
    </row>
    <row r="37" spans="1:16384" ht="12.75" customHeight="1">
      <c r="A37" s="530"/>
      <c r="B37" s="1048"/>
      <c r="C37" s="969"/>
      <c r="D37" s="969"/>
      <c r="E37" s="969"/>
      <c r="F37" s="969"/>
      <c r="G37" s="1182"/>
      <c r="H37" s="1261"/>
      <c r="I37" s="1182"/>
      <c r="J37" s="969"/>
      <c r="K37" s="969"/>
      <c r="L37" s="969"/>
      <c r="M37" s="969"/>
      <c r="N37" s="969"/>
    </row>
    <row r="38" spans="1:16384" ht="12.75" customHeight="1">
      <c r="A38" s="78"/>
      <c r="B38" s="78"/>
      <c r="C38" s="78"/>
      <c r="D38" s="78"/>
      <c r="E38" s="78"/>
      <c r="F38" s="78"/>
      <c r="G38" s="1098" t="s">
        <v>1948</v>
      </c>
      <c r="H38" s="78"/>
      <c r="I38" s="1098" t="s">
        <v>1949</v>
      </c>
      <c r="J38" s="78"/>
      <c r="K38" s="78"/>
      <c r="L38" s="78"/>
      <c r="M38" s="78"/>
      <c r="N38" s="78"/>
    </row>
    <row r="39" spans="1:16384" ht="12.75" customHeight="1">
      <c r="A39" s="78"/>
      <c r="B39" s="78" t="s">
        <v>1373</v>
      </c>
      <c r="C39" s="78"/>
      <c r="D39" s="78"/>
      <c r="E39" s="989"/>
      <c r="F39" s="78"/>
      <c r="G39" s="1014"/>
      <c r="H39" s="1512"/>
      <c r="I39" s="1014"/>
      <c r="J39" s="78"/>
      <c r="K39" s="78"/>
      <c r="L39" s="78"/>
      <c r="M39" s="78"/>
      <c r="N39" s="78"/>
    </row>
    <row r="40" spans="1:16384" ht="12.75" customHeight="1">
      <c r="A40" s="78"/>
      <c r="B40" s="78"/>
      <c r="C40" s="78"/>
      <c r="D40" s="78"/>
      <c r="E40" s="989"/>
      <c r="F40" s="78"/>
      <c r="G40" s="959"/>
      <c r="H40" s="1512"/>
      <c r="I40" s="959"/>
      <c r="J40" s="78"/>
      <c r="K40" s="78"/>
      <c r="L40" s="78"/>
      <c r="M40" s="78"/>
      <c r="N40" s="78"/>
    </row>
    <row r="41" spans="1:16384" ht="12.75" customHeight="1">
      <c r="A41" s="78"/>
      <c r="B41" s="78" t="s">
        <v>1947</v>
      </c>
      <c r="C41" s="78"/>
      <c r="D41" s="78"/>
      <c r="E41" s="989"/>
      <c r="F41" s="78"/>
      <c r="G41" s="1014"/>
      <c r="H41" s="1512"/>
      <c r="I41" s="1014"/>
      <c r="J41" s="78"/>
      <c r="K41" s="78"/>
      <c r="L41" s="78"/>
      <c r="M41" s="78"/>
      <c r="N41" s="78"/>
    </row>
    <row r="42" spans="1:16384" ht="12.75" customHeight="1">
      <c r="A42" s="78"/>
      <c r="B42" s="78"/>
      <c r="C42" s="78"/>
      <c r="D42" s="78"/>
      <c r="E42" s="989"/>
      <c r="F42" s="78"/>
      <c r="G42" s="959"/>
      <c r="H42" s="1512"/>
      <c r="I42" s="959"/>
      <c r="J42" s="78"/>
      <c r="K42" s="78"/>
      <c r="L42" s="78"/>
      <c r="M42" s="78"/>
      <c r="N42" s="78"/>
    </row>
    <row r="43" spans="1:16384" ht="12.75" customHeight="1">
      <c r="A43" s="78"/>
      <c r="B43" s="78" t="s">
        <v>830</v>
      </c>
      <c r="C43" s="78"/>
      <c r="D43" s="78"/>
      <c r="E43" s="78"/>
      <c r="F43" s="78"/>
      <c r="G43" s="1014"/>
      <c r="H43" s="1512"/>
      <c r="I43" s="1014"/>
      <c r="J43" s="78"/>
      <c r="K43" s="78"/>
      <c r="L43" s="78"/>
      <c r="M43" s="78"/>
      <c r="N43" s="78"/>
    </row>
    <row r="44" spans="1:16384" ht="12.75" customHeight="1">
      <c r="A44" s="78"/>
      <c r="B44" s="78"/>
      <c r="C44" s="78"/>
      <c r="D44" s="78"/>
      <c r="E44" s="78"/>
      <c r="F44" s="78"/>
      <c r="G44" s="78"/>
      <c r="H44" s="78"/>
      <c r="I44" s="78"/>
      <c r="J44" s="78"/>
      <c r="K44" s="78"/>
      <c r="L44" s="78"/>
      <c r="M44" s="78"/>
      <c r="N44" s="78"/>
    </row>
    <row r="45" spans="1:16384" ht="12.75" customHeight="1">
      <c r="A45" s="78"/>
      <c r="B45" s="78"/>
      <c r="C45" s="78"/>
      <c r="D45" s="78"/>
      <c r="E45" s="78"/>
      <c r="F45" s="78"/>
      <c r="G45" s="78"/>
      <c r="H45" s="78"/>
      <c r="I45" s="78"/>
      <c r="J45" s="78"/>
      <c r="K45" s="78"/>
      <c r="L45" s="78"/>
      <c r="M45" s="78"/>
      <c r="N45" s="78"/>
    </row>
    <row r="46" spans="1:16384" ht="15.75">
      <c r="A46" s="530"/>
      <c r="B46" s="1048" t="s">
        <v>1374</v>
      </c>
      <c r="C46" s="969"/>
      <c r="D46" s="969"/>
      <c r="E46" s="969"/>
      <c r="F46" s="969"/>
      <c r="G46" s="969"/>
      <c r="H46" s="969"/>
      <c r="I46" s="969"/>
      <c r="J46" s="969"/>
      <c r="K46" s="969"/>
      <c r="L46" s="969"/>
      <c r="M46" s="969"/>
      <c r="N46" s="1513"/>
    </row>
    <row r="47" spans="1:16384" ht="15.75">
      <c r="A47" s="530"/>
      <c r="B47" s="1048"/>
      <c r="C47" s="969"/>
      <c r="D47" s="969"/>
      <c r="E47" s="969"/>
      <c r="F47" s="969"/>
      <c r="G47" s="969"/>
      <c r="H47" s="969"/>
      <c r="I47" s="969"/>
      <c r="J47" s="969"/>
      <c r="K47" s="969"/>
      <c r="L47" s="969"/>
      <c r="M47" s="969"/>
      <c r="N47" s="1513"/>
    </row>
    <row r="48" spans="1:16384" ht="15.75">
      <c r="A48" s="901"/>
      <c r="B48" s="1490" t="s">
        <v>1368</v>
      </c>
      <c r="C48" s="1092"/>
      <c r="D48" s="901"/>
      <c r="E48" s="901" t="s">
        <v>1575</v>
      </c>
      <c r="F48" s="901"/>
      <c r="G48" s="901" t="s">
        <v>1576</v>
      </c>
      <c r="H48" s="1098"/>
      <c r="I48" s="1491" t="s">
        <v>842</v>
      </c>
      <c r="J48" s="1491"/>
      <c r="K48" s="1491" t="s">
        <v>843</v>
      </c>
      <c r="L48" s="901"/>
      <c r="M48" s="1491" t="s">
        <v>1537</v>
      </c>
      <c r="N48" s="1021"/>
    </row>
    <row r="49" spans="1:14" ht="15.75">
      <c r="A49" s="901"/>
      <c r="B49" s="632"/>
      <c r="C49" s="632"/>
      <c r="D49" s="632"/>
      <c r="E49" s="1492" t="s">
        <v>558</v>
      </c>
      <c r="F49" s="1493"/>
      <c r="G49" s="1494"/>
      <c r="H49" s="989"/>
      <c r="I49" s="1125" t="s">
        <v>559</v>
      </c>
      <c r="J49" s="1125"/>
      <c r="K49" s="1125" t="s">
        <v>560</v>
      </c>
      <c r="L49" s="200"/>
      <c r="M49" s="1098" t="s">
        <v>786</v>
      </c>
      <c r="N49" s="1021"/>
    </row>
    <row r="50" spans="1:14" ht="30.75">
      <c r="A50" s="901"/>
      <c r="B50" s="632"/>
      <c r="C50" s="632"/>
      <c r="D50" s="632"/>
      <c r="E50" s="1495" t="s">
        <v>1289</v>
      </c>
      <c r="F50" s="401"/>
      <c r="G50" s="1495" t="s">
        <v>1000</v>
      </c>
      <c r="H50" s="989"/>
      <c r="I50" s="1125" t="s">
        <v>561</v>
      </c>
      <c r="J50" s="1125"/>
      <c r="K50" s="1125" t="s">
        <v>561</v>
      </c>
      <c r="L50" s="949"/>
      <c r="M50" s="1098" t="s">
        <v>787</v>
      </c>
      <c r="N50" s="1021"/>
    </row>
    <row r="51" spans="1:14" ht="30.75">
      <c r="A51" s="901"/>
      <c r="B51" s="632"/>
      <c r="C51" s="632"/>
      <c r="D51" s="632"/>
      <c r="E51" s="1496" t="s">
        <v>1002</v>
      </c>
      <c r="F51" s="401"/>
      <c r="G51" s="1496" t="s">
        <v>1002</v>
      </c>
      <c r="H51" s="989"/>
      <c r="I51" s="1125" t="s">
        <v>562</v>
      </c>
      <c r="J51" s="1125"/>
      <c r="K51" s="1125" t="s">
        <v>562</v>
      </c>
      <c r="L51" s="949"/>
      <c r="M51" s="1098" t="s">
        <v>562</v>
      </c>
      <c r="N51" s="1021"/>
    </row>
    <row r="52" spans="1:14" ht="15.75">
      <c r="A52" s="901"/>
      <c r="B52" s="1497" t="s">
        <v>818</v>
      </c>
      <c r="C52" s="1503"/>
      <c r="D52" s="1134"/>
      <c r="E52" s="1499"/>
      <c r="F52" s="632"/>
      <c r="G52" s="1499"/>
      <c r="H52" s="989"/>
      <c r="I52" s="1500"/>
      <c r="J52" s="989"/>
      <c r="K52" s="1500"/>
      <c r="L52" s="1134"/>
      <c r="M52" s="1501">
        <f>ROUND(K52+I52,0)</f>
        <v>0</v>
      </c>
      <c r="N52" s="1021"/>
    </row>
    <row r="53" spans="1:14" ht="15.75">
      <c r="A53" s="901"/>
      <c r="B53" s="1502" t="s">
        <v>831</v>
      </c>
      <c r="C53" s="1503"/>
      <c r="D53" s="632"/>
      <c r="E53" s="1499"/>
      <c r="F53" s="632"/>
      <c r="G53" s="1499"/>
      <c r="H53" s="989"/>
      <c r="I53" s="1500"/>
      <c r="J53" s="989"/>
      <c r="K53" s="1500"/>
      <c r="L53" s="1134"/>
      <c r="M53" s="1501">
        <f>ROUND(K53+I53,0)</f>
        <v>0</v>
      </c>
      <c r="N53" s="1021"/>
    </row>
    <row r="54" spans="1:14" ht="15.75">
      <c r="A54" s="901"/>
      <c r="B54" s="1497" t="s">
        <v>832</v>
      </c>
      <c r="C54" s="1498"/>
      <c r="D54" s="632"/>
      <c r="E54" s="1499"/>
      <c r="F54" s="632"/>
      <c r="G54" s="1499"/>
      <c r="H54" s="989"/>
      <c r="I54" s="1500"/>
      <c r="J54" s="989"/>
      <c r="K54" s="1500"/>
      <c r="L54" s="1134"/>
      <c r="M54" s="1501">
        <f>ROUND(K54+I54,0)</f>
        <v>0</v>
      </c>
      <c r="N54" s="1021"/>
    </row>
    <row r="55" spans="1:14" ht="15.75">
      <c r="A55" s="901"/>
      <c r="B55" s="1504" t="s">
        <v>1001</v>
      </c>
      <c r="C55" s="1505"/>
      <c r="D55" s="314"/>
      <c r="E55" s="1506">
        <f>SUM(E52:E54)</f>
        <v>0</v>
      </c>
      <c r="F55" s="314"/>
      <c r="G55" s="1506">
        <f>SUM(G52:G54)</f>
        <v>0</v>
      </c>
      <c r="H55" s="314"/>
      <c r="I55" s="1501">
        <f>SUM(I52:I54)</f>
        <v>0</v>
      </c>
      <c r="J55" s="314"/>
      <c r="K55" s="1501">
        <f>SUM(K52:K54)</f>
        <v>0</v>
      </c>
      <c r="L55" s="314"/>
      <c r="M55" s="1501">
        <f>SUM(M52:M54)</f>
        <v>0</v>
      </c>
      <c r="N55" s="1021">
        <f>A36</f>
        <v>1.2</v>
      </c>
    </row>
    <row r="56" spans="1:14" ht="12.75" customHeight="1">
      <c r="A56" s="961"/>
      <c r="B56" s="1514"/>
      <c r="C56" s="1134"/>
      <c r="D56" s="1134"/>
      <c r="E56" s="1134"/>
      <c r="F56" s="1134"/>
      <c r="G56" s="1009"/>
      <c r="H56" s="1134"/>
      <c r="I56" s="1009"/>
      <c r="J56" s="1134"/>
      <c r="K56" s="1134"/>
      <c r="L56" s="1134"/>
      <c r="M56" s="1134"/>
      <c r="N56" s="1020"/>
    </row>
    <row r="57" spans="1:14" ht="12.75" customHeight="1">
      <c r="A57" s="961"/>
      <c r="B57" s="1134"/>
      <c r="C57" s="1134"/>
      <c r="D57" s="1134"/>
      <c r="E57" s="1134"/>
      <c r="F57" s="1134"/>
      <c r="G57" s="1134"/>
      <c r="H57" s="1134"/>
      <c r="I57" s="1134"/>
      <c r="J57" s="1134"/>
      <c r="K57" s="1134"/>
      <c r="L57" s="1134"/>
      <c r="M57" s="1134"/>
      <c r="N57" s="1020"/>
    </row>
    <row r="58" spans="1:14" ht="12.75" customHeight="1">
      <c r="A58" s="961"/>
      <c r="B58" s="1134"/>
      <c r="C58" s="1134"/>
      <c r="D58" s="1134"/>
      <c r="E58" s="1134"/>
      <c r="F58" s="1134"/>
      <c r="G58" s="1009"/>
      <c r="H58" s="1134"/>
      <c r="I58" s="1009"/>
      <c r="J58" s="1134"/>
      <c r="K58" s="1134"/>
      <c r="L58" s="1134"/>
      <c r="M58" s="1134"/>
      <c r="N58" s="1020"/>
    </row>
    <row r="59" spans="1:14" ht="12.75" customHeight="1">
      <c r="A59" s="961"/>
      <c r="B59" s="1514"/>
      <c r="C59" s="1134"/>
      <c r="D59" s="1134"/>
      <c r="E59" s="1134"/>
      <c r="F59" s="1134"/>
      <c r="G59" s="1009"/>
      <c r="H59" s="1134"/>
      <c r="I59" s="1009"/>
      <c r="J59" s="1134"/>
      <c r="K59" s="1134"/>
      <c r="L59" s="1134"/>
      <c r="M59" s="1134"/>
      <c r="N59" s="1020"/>
    </row>
    <row r="60" spans="1:14" ht="12.75" customHeight="1">
      <c r="A60" s="961"/>
      <c r="B60" s="1514"/>
      <c r="C60" s="1134"/>
      <c r="D60" s="1134"/>
      <c r="E60" s="1134"/>
      <c r="F60" s="1134"/>
      <c r="G60" s="1009"/>
      <c r="H60" s="1134"/>
      <c r="I60" s="1009"/>
      <c r="J60" s="1134"/>
      <c r="K60" s="1134"/>
      <c r="L60" s="1134"/>
      <c r="M60" s="1134"/>
      <c r="N60" s="1020"/>
    </row>
    <row r="61" spans="1:14" ht="12.75" customHeight="1">
      <c r="A61" s="961"/>
      <c r="B61" s="1134"/>
      <c r="C61" s="1134"/>
      <c r="D61" s="1134"/>
      <c r="E61" s="1134"/>
      <c r="F61" s="1134"/>
      <c r="G61" s="1134"/>
      <c r="H61" s="1134"/>
      <c r="I61" s="1134"/>
      <c r="J61" s="1134"/>
      <c r="K61" s="1134"/>
      <c r="L61" s="1134"/>
      <c r="M61" s="1134"/>
      <c r="N61" s="1020"/>
    </row>
    <row r="62" spans="1:14" ht="12.75" customHeight="1">
      <c r="A62" s="961"/>
      <c r="B62" s="1134"/>
      <c r="C62" s="1134"/>
      <c r="D62" s="1134"/>
      <c r="E62" s="1134"/>
      <c r="F62" s="1134"/>
      <c r="G62" s="1009"/>
      <c r="H62" s="1134"/>
      <c r="I62" s="1009"/>
      <c r="J62" s="1134"/>
      <c r="K62" s="1134"/>
      <c r="L62" s="1134"/>
      <c r="M62" s="1134"/>
      <c r="N62" s="1020"/>
    </row>
    <row r="63" spans="1:14" ht="12.75" hidden="1" customHeight="1"/>
  </sheetData>
  <sheetProtection password="C7B7" sheet="1" objects="1" scenarios="1"/>
  <protectedRanges>
    <protectedRange sqref="K52:K54" name="Range19"/>
    <protectedRange sqref="I52:I54" name="Range18"/>
    <protectedRange sqref="G52:G54" name="Range17"/>
    <protectedRange sqref="E52:E54" name="Range16"/>
    <protectedRange sqref="I43" name="Range15"/>
    <protectedRange sqref="I41" name="Range14"/>
    <protectedRange sqref="I39" name="Range13"/>
    <protectedRange sqref="G43" name="Range12"/>
    <protectedRange sqref="G41" name="Range11"/>
    <protectedRange sqref="G39" name="Range10"/>
    <protectedRange sqref="K25:K29" name="Range9"/>
    <protectedRange sqref="I25:I29" name="Range8"/>
    <protectedRange sqref="K22" name="Range7"/>
    <protectedRange sqref="B26:C27" name="Range6"/>
    <protectedRange sqref="K15:K19" name="Range5"/>
    <protectedRange sqref="I15:I19" name="Range4"/>
    <protectedRange sqref="G15:G19" name="Range3"/>
    <protectedRange sqref="E15:E19" name="Range2"/>
    <protectedRange sqref="B16:C17" name="Range1"/>
  </protectedRanges>
  <phoneticPr fontId="13" type="noConversion"/>
  <hyperlinks>
    <hyperlink ref="B1" location="Tuition_Revenue_for_Regular_Day_School__under_21" display="Tuition Revenue for Regular Day School (under 21)"/>
    <hyperlink ref="C1" location="Tuition_Revenue_for_Regular_Day_School__21_and_over" display="Tuition Revenue for Regular Day School (21 and over )"/>
    <hyperlink ref="D1" location="Tuition_Revenue_for_Negotiated_Services__Note_1" display="Tuition Revenue for Negotiated Services (Note 1)"/>
    <hyperlink ref="E1" location="Continuing_Education___Literacy___Numeracy___Summer_School" display="Continuing Education / Literacy &amp; Numeracy / Summer School"/>
    <hyperlink ref="F1" location="Tuition_Revenue_for_Continuing_Education__Literacy___Numeracy__Summer_School" display="Tuition Revenue for Continuing Education, Literacy &amp; Numeracy, Summer School"/>
  </hyperlinks>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V139"/>
  <sheetViews>
    <sheetView topLeftCell="A4" zoomScaleNormal="100" workbookViewId="0">
      <selection activeCell="A11" sqref="A11"/>
    </sheetView>
  </sheetViews>
  <sheetFormatPr defaultColWidth="0" defaultRowHeight="0" customHeight="1" zeroHeight="1"/>
  <cols>
    <col min="1" max="1" width="7.7109375" style="200" customWidth="1"/>
    <col min="2" max="2" width="32.7109375" style="1417" customWidth="1"/>
    <col min="3" max="3" width="24.7109375" style="1417" customWidth="1"/>
    <col min="4" max="5" width="10.7109375" style="1417" customWidth="1"/>
    <col min="6" max="6" width="16.42578125" style="1417" customWidth="1"/>
    <col min="7" max="7" width="12.7109375" style="1417" customWidth="1"/>
    <col min="8" max="8" width="24.7109375" style="1417" customWidth="1"/>
    <col min="9" max="9" width="12.28515625" style="1417" customWidth="1"/>
    <col min="10" max="11" width="24.7109375" style="1417" customWidth="1"/>
    <col min="12" max="12" width="12.140625" style="1417" customWidth="1"/>
    <col min="13" max="16" width="10.7109375" style="1417" customWidth="1"/>
    <col min="17" max="17" width="12.7109375" style="200" customWidth="1"/>
    <col min="18" max="18" width="30.7109375" style="200" hidden="1" customWidth="1"/>
    <col min="19" max="19" width="12.7109375" style="1487" hidden="1" customWidth="1"/>
    <col min="20" max="20" width="11" style="78" hidden="1" customWidth="1"/>
    <col min="21" max="21" width="5.7109375" style="78" customWidth="1"/>
    <col min="22" max="22" width="5.7109375" style="976" hidden="1" customWidth="1"/>
    <col min="23" max="16384" width="0" style="976" hidden="1"/>
  </cols>
  <sheetData>
    <row r="1" spans="1:21" ht="15.75" thickBot="1">
      <c r="A1" s="2153" t="s">
        <v>2836</v>
      </c>
      <c r="B1" s="989"/>
      <c r="C1" s="989"/>
      <c r="D1" s="989"/>
      <c r="E1" s="941" t="s">
        <v>163</v>
      </c>
      <c r="F1" s="1134"/>
      <c r="G1" s="2113" t="str">
        <f>'1 Summary'!G2</f>
        <v/>
      </c>
      <c r="H1" s="943"/>
      <c r="I1" s="944"/>
      <c r="J1" s="941"/>
      <c r="K1" s="941"/>
      <c r="L1" s="941"/>
      <c r="M1" s="941"/>
      <c r="N1" s="941"/>
      <c r="O1" s="78"/>
      <c r="P1" s="78"/>
      <c r="S1" s="78"/>
      <c r="T1" s="632"/>
    </row>
    <row r="2" spans="1:21" ht="16.5" thickBot="1">
      <c r="A2" s="27" t="s">
        <v>621</v>
      </c>
      <c r="B2" s="989"/>
      <c r="C2" s="989"/>
      <c r="D2" s="989"/>
      <c r="E2" s="941" t="s">
        <v>162</v>
      </c>
      <c r="F2" s="200"/>
      <c r="G2" s="1515">
        <f>'1 Summary'!G3</f>
        <v>0</v>
      </c>
      <c r="H2" s="200"/>
      <c r="I2" s="200"/>
      <c r="J2" s="941"/>
      <c r="K2" s="941"/>
      <c r="L2" s="941"/>
      <c r="M2" s="941"/>
      <c r="N2" s="941"/>
      <c r="O2" s="814"/>
      <c r="P2" s="814"/>
      <c r="R2" s="1516" t="s">
        <v>637</v>
      </c>
      <c r="S2" s="78"/>
    </row>
    <row r="3" spans="1:21" customFormat="1" ht="12.75">
      <c r="A3" s="30"/>
      <c r="B3" s="16"/>
      <c r="C3" s="16"/>
      <c r="D3" s="16"/>
      <c r="E3" s="150"/>
      <c r="F3" s="16"/>
      <c r="G3" s="105"/>
      <c r="H3" s="16"/>
      <c r="I3" s="16"/>
      <c r="J3" s="16"/>
      <c r="K3" s="16"/>
      <c r="L3" s="16"/>
      <c r="M3" s="16"/>
      <c r="N3" s="16"/>
      <c r="O3" s="16"/>
      <c r="P3" s="16"/>
      <c r="Q3" s="30"/>
      <c r="R3" s="30"/>
      <c r="S3" s="151"/>
      <c r="T3" s="30"/>
      <c r="U3" s="30"/>
    </row>
    <row r="4" spans="1:21" customFormat="1" ht="20.25">
      <c r="A4" s="152" t="s">
        <v>2165</v>
      </c>
      <c r="B4" s="16"/>
      <c r="C4" s="16"/>
      <c r="D4" s="16"/>
      <c r="E4" s="16"/>
      <c r="F4" s="16"/>
      <c r="G4" s="16"/>
      <c r="H4" s="16"/>
      <c r="I4" s="16"/>
      <c r="J4" s="16"/>
      <c r="K4" s="16"/>
      <c r="L4" s="16"/>
      <c r="M4" s="16"/>
      <c r="N4" s="16"/>
      <c r="O4" s="16"/>
      <c r="P4" s="16"/>
      <c r="Q4" s="88"/>
      <c r="R4" s="88"/>
      <c r="S4" s="153"/>
      <c r="T4" s="30"/>
      <c r="U4" s="30"/>
    </row>
    <row r="5" spans="1:21" customFormat="1" ht="12.75">
      <c r="A5" s="154"/>
      <c r="B5" s="16"/>
      <c r="C5" s="16"/>
      <c r="D5" s="16"/>
      <c r="E5" s="16"/>
      <c r="F5" s="16"/>
      <c r="G5" s="16"/>
      <c r="H5" s="16"/>
      <c r="I5" s="16"/>
      <c r="J5" s="16"/>
      <c r="K5" s="16"/>
      <c r="L5" s="16"/>
      <c r="M5" s="16"/>
      <c r="N5" s="16"/>
      <c r="O5" s="16"/>
      <c r="P5" s="16"/>
      <c r="Q5" s="30"/>
      <c r="R5" s="30"/>
      <c r="S5" s="30"/>
      <c r="T5" s="30"/>
      <c r="U5" s="30"/>
    </row>
    <row r="6" spans="1:21" customFormat="1" ht="13.5" thickBot="1">
      <c r="A6" s="88"/>
      <c r="B6" s="150"/>
      <c r="C6" s="150"/>
      <c r="D6" s="150"/>
      <c r="E6" s="150"/>
      <c r="F6" s="150"/>
      <c r="G6" s="150"/>
      <c r="H6" s="108"/>
      <c r="I6" s="108"/>
      <c r="J6" s="108"/>
      <c r="K6" s="108"/>
      <c r="L6" s="108"/>
      <c r="M6" s="108"/>
      <c r="N6" s="108"/>
      <c r="O6" s="150"/>
      <c r="P6" s="150"/>
      <c r="Q6" s="88"/>
      <c r="R6" s="120"/>
      <c r="S6" s="120"/>
      <c r="T6" s="120"/>
      <c r="U6" s="30"/>
    </row>
    <row r="7" spans="1:21" ht="25.5" customHeight="1" thickBot="1">
      <c r="B7" s="2035" t="s">
        <v>789</v>
      </c>
      <c r="C7" s="2035" t="s">
        <v>789</v>
      </c>
      <c r="D7" s="2106" t="s">
        <v>2168</v>
      </c>
      <c r="E7" s="2107"/>
      <c r="F7" s="2106" t="s">
        <v>2169</v>
      </c>
      <c r="G7" s="2108"/>
      <c r="H7" s="2108"/>
      <c r="I7" s="2107"/>
      <c r="J7" s="2106" t="s">
        <v>2170</v>
      </c>
      <c r="K7" s="2108"/>
      <c r="L7" s="2108"/>
      <c r="M7" s="2108"/>
      <c r="N7" s="2107"/>
      <c r="O7" s="2109" t="s">
        <v>2171</v>
      </c>
      <c r="P7" s="2108"/>
      <c r="Q7" s="2107"/>
      <c r="R7" s="79" t="s">
        <v>638</v>
      </c>
      <c r="S7" s="1517" t="s">
        <v>1051</v>
      </c>
      <c r="T7" s="79" t="s">
        <v>2172</v>
      </c>
    </row>
    <row r="8" spans="1:21" ht="15" customHeight="1">
      <c r="B8" s="2110" t="s">
        <v>2166</v>
      </c>
      <c r="C8" s="2110" t="s">
        <v>2167</v>
      </c>
      <c r="D8" s="2112" t="s">
        <v>789</v>
      </c>
      <c r="E8" s="2112" t="s">
        <v>789</v>
      </c>
      <c r="F8" s="2116" t="s">
        <v>789</v>
      </c>
      <c r="G8" s="2119" t="s">
        <v>789</v>
      </c>
      <c r="H8" s="2119" t="s">
        <v>789</v>
      </c>
      <c r="I8" s="2118" t="s">
        <v>789</v>
      </c>
      <c r="J8" s="2116" t="s">
        <v>789</v>
      </c>
      <c r="K8" s="2118" t="s">
        <v>789</v>
      </c>
      <c r="L8" s="2116" t="s">
        <v>789</v>
      </c>
      <c r="M8" s="2037" t="s">
        <v>2769</v>
      </c>
      <c r="N8" s="2118" t="s">
        <v>789</v>
      </c>
      <c r="O8" s="2114" t="s">
        <v>1050</v>
      </c>
      <c r="P8" s="2115"/>
      <c r="Q8" s="2037" t="s">
        <v>2768</v>
      </c>
      <c r="R8" s="79" t="s">
        <v>1608</v>
      </c>
      <c r="S8" s="1517" t="s">
        <v>1054</v>
      </c>
      <c r="T8" s="79" t="s">
        <v>1052</v>
      </c>
    </row>
    <row r="9" spans="1:21" ht="15" customHeight="1" thickBot="1">
      <c r="B9" s="2111"/>
      <c r="C9" s="2111"/>
      <c r="D9" s="2036" t="s">
        <v>2173</v>
      </c>
      <c r="E9" s="2036" t="s">
        <v>1043</v>
      </c>
      <c r="F9" s="2040" t="s">
        <v>1044</v>
      </c>
      <c r="G9" s="2120" t="s">
        <v>1045</v>
      </c>
      <c r="H9" s="2120" t="s">
        <v>1046</v>
      </c>
      <c r="I9" s="2121" t="s">
        <v>1735</v>
      </c>
      <c r="J9" s="2040" t="s">
        <v>1047</v>
      </c>
      <c r="K9" s="2121" t="s">
        <v>1048</v>
      </c>
      <c r="L9" s="2117" t="s">
        <v>1049</v>
      </c>
      <c r="M9" s="2038" t="s">
        <v>2770</v>
      </c>
      <c r="N9" s="2121" t="s">
        <v>1497</v>
      </c>
      <c r="O9" s="1518" t="s">
        <v>1736</v>
      </c>
      <c r="P9" s="1519" t="s">
        <v>1737</v>
      </c>
      <c r="Q9" s="2038" t="s">
        <v>2065</v>
      </c>
      <c r="R9" s="1517" t="s">
        <v>1053</v>
      </c>
      <c r="S9" s="1517" t="s">
        <v>2112</v>
      </c>
      <c r="T9" s="1517" t="s">
        <v>2072</v>
      </c>
    </row>
    <row r="10" spans="1:21" ht="25.5" customHeight="1" thickBot="1">
      <c r="B10" s="1520" t="s">
        <v>1286</v>
      </c>
      <c r="C10" s="1520" t="s">
        <v>1287</v>
      </c>
      <c r="D10" s="1521" t="s">
        <v>1288</v>
      </c>
      <c r="E10" s="1522" t="s">
        <v>842</v>
      </c>
      <c r="F10" s="1521" t="s">
        <v>843</v>
      </c>
      <c r="G10" s="1523" t="s">
        <v>844</v>
      </c>
      <c r="H10" s="1524" t="s">
        <v>2122</v>
      </c>
      <c r="I10" s="1522" t="s">
        <v>840</v>
      </c>
      <c r="J10" s="1521" t="s">
        <v>841</v>
      </c>
      <c r="K10" s="1524" t="s">
        <v>1317</v>
      </c>
      <c r="L10" s="1525" t="s">
        <v>1318</v>
      </c>
      <c r="M10" s="1522" t="s">
        <v>2110</v>
      </c>
      <c r="N10" s="1525" t="s">
        <v>2111</v>
      </c>
      <c r="O10" s="1525" t="s">
        <v>817</v>
      </c>
      <c r="P10" s="1525" t="s">
        <v>75</v>
      </c>
      <c r="Q10" s="1526" t="s">
        <v>1094</v>
      </c>
      <c r="R10" s="1517" t="s">
        <v>1977</v>
      </c>
      <c r="S10" s="1517" t="s">
        <v>2115</v>
      </c>
      <c r="T10" s="1517" t="s">
        <v>2113</v>
      </c>
    </row>
    <row r="11" spans="1:21" ht="16.5" thickBot="1">
      <c r="A11" s="1527" t="s">
        <v>1868</v>
      </c>
      <c r="B11" s="1528"/>
      <c r="C11" s="1528"/>
      <c r="D11" s="1528"/>
      <c r="E11" s="1529"/>
      <c r="F11" s="1530"/>
      <c r="G11" s="1528"/>
      <c r="H11" s="1528"/>
      <c r="I11" s="1528"/>
      <c r="J11" s="1528"/>
      <c r="K11" s="1528"/>
      <c r="L11" s="1528"/>
      <c r="M11" s="1528"/>
      <c r="N11" s="1528"/>
      <c r="O11" s="1528"/>
      <c r="P11" s="1531">
        <f>ROUND(IF(M11=0,0,O11/M11),2)</f>
        <v>0</v>
      </c>
      <c r="Q11" s="1528"/>
      <c r="R11" s="1517" t="s">
        <v>637</v>
      </c>
      <c r="S11" s="1517" t="s">
        <v>277</v>
      </c>
      <c r="T11" s="1517" t="s">
        <v>642</v>
      </c>
      <c r="U11" s="1527" t="s">
        <v>1868</v>
      </c>
    </row>
    <row r="12" spans="1:21" ht="16.5" thickBot="1">
      <c r="A12" s="1527" t="s">
        <v>2114</v>
      </c>
      <c r="B12" s="1532"/>
      <c r="C12" s="1532"/>
      <c r="D12" s="1532"/>
      <c r="E12" s="1533"/>
      <c r="F12" s="1534"/>
      <c r="G12" s="1532"/>
      <c r="H12" s="1532"/>
      <c r="I12" s="1532"/>
      <c r="J12" s="1532"/>
      <c r="K12" s="1532"/>
      <c r="L12" s="1532"/>
      <c r="M12" s="1532"/>
      <c r="N12" s="1532"/>
      <c r="O12" s="1532"/>
      <c r="P12" s="1531">
        <f t="shared" ref="P12:P25" si="0">ROUND(IF(M12=0,0,O12/M12),2)</f>
        <v>0</v>
      </c>
      <c r="Q12" s="1532"/>
      <c r="R12" s="78"/>
      <c r="S12" s="1517" t="s">
        <v>278</v>
      </c>
      <c r="U12" s="1527" t="s">
        <v>2114</v>
      </c>
    </row>
    <row r="13" spans="1:21" ht="16.5" thickBot="1">
      <c r="A13" s="1527" t="s">
        <v>1501</v>
      </c>
      <c r="B13" s="1532"/>
      <c r="C13" s="1532"/>
      <c r="D13" s="1532"/>
      <c r="E13" s="1533"/>
      <c r="F13" s="1534"/>
      <c r="G13" s="1532"/>
      <c r="H13" s="1532"/>
      <c r="I13" s="1532"/>
      <c r="J13" s="1532"/>
      <c r="K13" s="1532"/>
      <c r="L13" s="1532"/>
      <c r="M13" s="1532"/>
      <c r="N13" s="1532"/>
      <c r="O13" s="1532"/>
      <c r="P13" s="1531">
        <f t="shared" si="0"/>
        <v>0</v>
      </c>
      <c r="Q13" s="1532"/>
      <c r="R13" s="78"/>
      <c r="S13" s="1517" t="s">
        <v>279</v>
      </c>
      <c r="U13" s="1527" t="s">
        <v>1501</v>
      </c>
    </row>
    <row r="14" spans="1:21" ht="16.5" thickBot="1">
      <c r="A14" s="1527" t="s">
        <v>1502</v>
      </c>
      <c r="B14" s="1532"/>
      <c r="C14" s="1532"/>
      <c r="D14" s="1532"/>
      <c r="E14" s="1533"/>
      <c r="F14" s="1534"/>
      <c r="G14" s="1532"/>
      <c r="H14" s="1532"/>
      <c r="I14" s="1532"/>
      <c r="J14" s="1532"/>
      <c r="K14" s="1532"/>
      <c r="L14" s="1532"/>
      <c r="M14" s="1532"/>
      <c r="N14" s="1532"/>
      <c r="O14" s="1532"/>
      <c r="P14" s="1531">
        <f t="shared" si="0"/>
        <v>0</v>
      </c>
      <c r="Q14" s="1532"/>
      <c r="R14" s="1535"/>
      <c r="S14" s="1517" t="s">
        <v>1978</v>
      </c>
      <c r="T14" s="1535"/>
      <c r="U14" s="1527" t="s">
        <v>1502</v>
      </c>
    </row>
    <row r="15" spans="1:21" ht="16.5" thickBot="1">
      <c r="A15" s="1527" t="s">
        <v>1503</v>
      </c>
      <c r="B15" s="1532"/>
      <c r="C15" s="1532"/>
      <c r="D15" s="1532"/>
      <c r="E15" s="1533"/>
      <c r="F15" s="1534"/>
      <c r="G15" s="1532"/>
      <c r="H15" s="1532"/>
      <c r="I15" s="1532"/>
      <c r="J15" s="1532"/>
      <c r="K15" s="1532"/>
      <c r="L15" s="1532"/>
      <c r="M15" s="1532"/>
      <c r="N15" s="1532"/>
      <c r="O15" s="1532"/>
      <c r="P15" s="1531">
        <f t="shared" si="0"/>
        <v>0</v>
      </c>
      <c r="Q15" s="1532"/>
      <c r="R15" s="1535"/>
      <c r="S15" s="78"/>
      <c r="T15" s="1535"/>
      <c r="U15" s="1527" t="s">
        <v>1503</v>
      </c>
    </row>
    <row r="16" spans="1:21" ht="16.5" thickBot="1">
      <c r="A16" s="1527" t="s">
        <v>1504</v>
      </c>
      <c r="B16" s="1532"/>
      <c r="C16" s="1532"/>
      <c r="D16" s="1532"/>
      <c r="E16" s="1533"/>
      <c r="F16" s="1534"/>
      <c r="G16" s="1532"/>
      <c r="H16" s="1532"/>
      <c r="I16" s="1532"/>
      <c r="J16" s="1532"/>
      <c r="K16" s="1532"/>
      <c r="L16" s="1532"/>
      <c r="M16" s="1532"/>
      <c r="N16" s="1532"/>
      <c r="O16" s="1532"/>
      <c r="P16" s="1531">
        <f t="shared" si="0"/>
        <v>0</v>
      </c>
      <c r="Q16" s="1532"/>
      <c r="R16" s="1535"/>
      <c r="S16" s="78"/>
      <c r="T16" s="1535"/>
      <c r="U16" s="1527" t="s">
        <v>1504</v>
      </c>
    </row>
    <row r="17" spans="1:21" ht="16.5" thickBot="1">
      <c r="A17" s="1527" t="s">
        <v>280</v>
      </c>
      <c r="B17" s="1532"/>
      <c r="C17" s="1532"/>
      <c r="D17" s="1532"/>
      <c r="E17" s="1533"/>
      <c r="F17" s="1534"/>
      <c r="G17" s="1532"/>
      <c r="H17" s="1532"/>
      <c r="I17" s="1532"/>
      <c r="J17" s="1532"/>
      <c r="K17" s="1532"/>
      <c r="L17" s="1532"/>
      <c r="M17" s="1532"/>
      <c r="N17" s="1532"/>
      <c r="O17" s="1532"/>
      <c r="P17" s="1531">
        <f t="shared" si="0"/>
        <v>0</v>
      </c>
      <c r="Q17" s="1532"/>
      <c r="R17" s="1535"/>
      <c r="S17" s="1535"/>
      <c r="T17" s="1535"/>
      <c r="U17" s="1527" t="s">
        <v>280</v>
      </c>
    </row>
    <row r="18" spans="1:21" ht="16.5" thickBot="1">
      <c r="A18" s="1527" t="s">
        <v>281</v>
      </c>
      <c r="B18" s="1532"/>
      <c r="C18" s="1532"/>
      <c r="D18" s="1532"/>
      <c r="E18" s="1533"/>
      <c r="F18" s="1534"/>
      <c r="G18" s="1532"/>
      <c r="H18" s="1532"/>
      <c r="I18" s="1532"/>
      <c r="J18" s="1532"/>
      <c r="K18" s="1532"/>
      <c r="L18" s="1532"/>
      <c r="M18" s="1532"/>
      <c r="N18" s="1532"/>
      <c r="O18" s="1532"/>
      <c r="P18" s="1531">
        <f t="shared" si="0"/>
        <v>0</v>
      </c>
      <c r="Q18" s="1532"/>
      <c r="R18" s="1535"/>
      <c r="S18" s="1535"/>
      <c r="T18" s="1535"/>
      <c r="U18" s="1527" t="s">
        <v>281</v>
      </c>
    </row>
    <row r="19" spans="1:21" ht="16.5" thickBot="1">
      <c r="A19" s="1527">
        <v>1.9</v>
      </c>
      <c r="B19" s="1532"/>
      <c r="C19" s="1532"/>
      <c r="D19" s="1532"/>
      <c r="E19" s="1533"/>
      <c r="F19" s="1534"/>
      <c r="G19" s="1532"/>
      <c r="H19" s="1532"/>
      <c r="I19" s="1532"/>
      <c r="J19" s="1532"/>
      <c r="K19" s="1532"/>
      <c r="L19" s="1532"/>
      <c r="M19" s="1532"/>
      <c r="N19" s="1532"/>
      <c r="O19" s="1532"/>
      <c r="P19" s="1531">
        <f t="shared" si="0"/>
        <v>0</v>
      </c>
      <c r="Q19" s="1532"/>
      <c r="R19" s="1535"/>
      <c r="S19" s="1535"/>
      <c r="T19" s="1535"/>
      <c r="U19" s="1527">
        <v>1.9</v>
      </c>
    </row>
    <row r="20" spans="1:21" ht="16.5" thickBot="1">
      <c r="A20" s="1527" t="s">
        <v>100</v>
      </c>
      <c r="B20" s="1532"/>
      <c r="C20" s="1532"/>
      <c r="D20" s="1532"/>
      <c r="E20" s="1533"/>
      <c r="F20" s="1534"/>
      <c r="G20" s="1532"/>
      <c r="H20" s="1532"/>
      <c r="I20" s="1532"/>
      <c r="J20" s="1532"/>
      <c r="K20" s="1532"/>
      <c r="L20" s="1532"/>
      <c r="M20" s="1532"/>
      <c r="N20" s="1532"/>
      <c r="O20" s="1532"/>
      <c r="P20" s="1531">
        <f t="shared" si="0"/>
        <v>0</v>
      </c>
      <c r="Q20" s="1532"/>
      <c r="R20" s="1535"/>
      <c r="S20" s="1535"/>
      <c r="T20" s="1535"/>
      <c r="U20" s="1527" t="s">
        <v>100</v>
      </c>
    </row>
    <row r="21" spans="1:21" ht="16.5" thickBot="1">
      <c r="A21" s="1527">
        <v>1.1100000000000001</v>
      </c>
      <c r="B21" s="1532"/>
      <c r="C21" s="1532"/>
      <c r="D21" s="1532"/>
      <c r="E21" s="1533"/>
      <c r="F21" s="1534"/>
      <c r="G21" s="1532"/>
      <c r="H21" s="1532"/>
      <c r="I21" s="1532"/>
      <c r="J21" s="1532"/>
      <c r="K21" s="1532"/>
      <c r="L21" s="1532"/>
      <c r="M21" s="1532"/>
      <c r="N21" s="1532"/>
      <c r="O21" s="1532"/>
      <c r="P21" s="1531">
        <f t="shared" si="0"/>
        <v>0</v>
      </c>
      <c r="Q21" s="1532"/>
      <c r="R21" s="1535"/>
      <c r="S21" s="1535"/>
      <c r="T21" s="1535"/>
      <c r="U21" s="1527">
        <v>1.1100000000000001</v>
      </c>
    </row>
    <row r="22" spans="1:21" ht="16.5" thickBot="1">
      <c r="A22" s="1527">
        <v>1.1200000000000001</v>
      </c>
      <c r="B22" s="1532"/>
      <c r="C22" s="1532"/>
      <c r="D22" s="1532"/>
      <c r="E22" s="1533"/>
      <c r="F22" s="1534"/>
      <c r="G22" s="1532"/>
      <c r="H22" s="1532"/>
      <c r="I22" s="1532"/>
      <c r="J22" s="1532"/>
      <c r="K22" s="1532"/>
      <c r="L22" s="1532"/>
      <c r="M22" s="1532"/>
      <c r="N22" s="1532"/>
      <c r="O22" s="1532"/>
      <c r="P22" s="1531">
        <f t="shared" si="0"/>
        <v>0</v>
      </c>
      <c r="Q22" s="1532"/>
      <c r="R22" s="1535"/>
      <c r="S22" s="1535"/>
      <c r="T22" s="1535"/>
      <c r="U22" s="1527">
        <v>1.1200000000000001</v>
      </c>
    </row>
    <row r="23" spans="1:21" ht="16.5" thickBot="1">
      <c r="A23" s="1527">
        <v>1.1299999999999999</v>
      </c>
      <c r="B23" s="1532"/>
      <c r="C23" s="1532"/>
      <c r="D23" s="1532"/>
      <c r="E23" s="1533"/>
      <c r="F23" s="1534"/>
      <c r="G23" s="1532"/>
      <c r="H23" s="1532"/>
      <c r="I23" s="1532"/>
      <c r="J23" s="1532"/>
      <c r="K23" s="1532"/>
      <c r="L23" s="1532"/>
      <c r="M23" s="1532"/>
      <c r="N23" s="1532"/>
      <c r="O23" s="1532"/>
      <c r="P23" s="1531">
        <f t="shared" si="0"/>
        <v>0</v>
      </c>
      <c r="Q23" s="1532"/>
      <c r="R23" s="1535"/>
      <c r="S23" s="1535"/>
      <c r="T23" s="1535"/>
      <c r="U23" s="1527">
        <v>1.1299999999999999</v>
      </c>
    </row>
    <row r="24" spans="1:21" ht="16.5" thickBot="1">
      <c r="A24" s="1527">
        <v>1.1399999999999999</v>
      </c>
      <c r="B24" s="1532"/>
      <c r="C24" s="1532"/>
      <c r="D24" s="1532"/>
      <c r="E24" s="1533"/>
      <c r="F24" s="1534"/>
      <c r="G24" s="1532"/>
      <c r="H24" s="1532"/>
      <c r="I24" s="1532"/>
      <c r="J24" s="1532"/>
      <c r="K24" s="1532"/>
      <c r="L24" s="1532"/>
      <c r="M24" s="1532"/>
      <c r="N24" s="1532"/>
      <c r="O24" s="1532"/>
      <c r="P24" s="1531">
        <f t="shared" si="0"/>
        <v>0</v>
      </c>
      <c r="Q24" s="1532"/>
      <c r="R24" s="1535"/>
      <c r="S24" s="1535"/>
      <c r="T24" s="1535"/>
      <c r="U24" s="1527">
        <v>1.1399999999999999</v>
      </c>
    </row>
    <row r="25" spans="1:21" ht="16.5" thickBot="1">
      <c r="A25" s="1527">
        <v>1.1499999999999999</v>
      </c>
      <c r="B25" s="1536"/>
      <c r="C25" s="1537"/>
      <c r="D25" s="1538"/>
      <c r="E25" s="1539"/>
      <c r="F25" s="1538"/>
      <c r="G25" s="1540"/>
      <c r="H25" s="1541"/>
      <c r="I25" s="1542"/>
      <c r="J25" s="1537"/>
      <c r="K25" s="1537"/>
      <c r="L25" s="1540"/>
      <c r="M25" s="1539"/>
      <c r="N25" s="1540"/>
      <c r="O25" s="1543"/>
      <c r="P25" s="1531">
        <f t="shared" si="0"/>
        <v>0</v>
      </c>
      <c r="Q25" s="1544"/>
      <c r="R25" s="1535"/>
      <c r="S25" s="1535"/>
      <c r="T25" s="1535"/>
      <c r="U25" s="1527">
        <v>1.1499999999999999</v>
      </c>
    </row>
    <row r="26" spans="1:21" ht="16.5" thickBot="1">
      <c r="A26" s="1527">
        <v>1.1599999999999999</v>
      </c>
      <c r="B26" s="961" t="s">
        <v>2484</v>
      </c>
      <c r="C26" s="886"/>
      <c r="D26" s="886"/>
      <c r="E26" s="886"/>
      <c r="F26" s="886"/>
      <c r="G26" s="886"/>
      <c r="H26" s="886"/>
      <c r="I26" s="886"/>
      <c r="J26" s="886"/>
      <c r="K26" s="886"/>
      <c r="L26" s="886"/>
      <c r="M26" s="886"/>
      <c r="N26" s="1545"/>
      <c r="O26" s="1546">
        <f>ROUND(SUM(O11:O25)-O28,0)</f>
        <v>0</v>
      </c>
      <c r="P26" s="886"/>
      <c r="Q26" s="1565">
        <f>ROUND(SUM(Q11:Q25)-Q28,0)</f>
        <v>0</v>
      </c>
      <c r="R26" s="1535"/>
      <c r="S26" s="1535"/>
      <c r="T26" s="1535"/>
      <c r="U26" s="1527">
        <v>1.1599999999999999</v>
      </c>
    </row>
    <row r="27" spans="1:21" ht="16.5" thickBot="1">
      <c r="A27" s="1527"/>
      <c r="B27" s="961"/>
      <c r="C27" s="886"/>
      <c r="D27" s="886"/>
      <c r="E27" s="886"/>
      <c r="F27" s="886"/>
      <c r="G27" s="886"/>
      <c r="H27" s="886"/>
      <c r="I27" s="886"/>
      <c r="J27" s="886"/>
      <c r="K27" s="886"/>
      <c r="L27" s="886"/>
      <c r="M27" s="886"/>
      <c r="N27" s="1545"/>
      <c r="O27" s="1545"/>
      <c r="P27" s="886"/>
      <c r="Q27" s="1545"/>
      <c r="R27" s="1535"/>
      <c r="S27" s="1535"/>
      <c r="T27" s="1535"/>
      <c r="U27" s="1527"/>
    </row>
    <row r="28" spans="1:21" ht="16.5" thickBot="1">
      <c r="A28" s="1527">
        <v>1.17</v>
      </c>
      <c r="B28" s="961" t="s">
        <v>2485</v>
      </c>
      <c r="C28" s="886"/>
      <c r="D28" s="886"/>
      <c r="E28" s="886"/>
      <c r="F28" s="886"/>
      <c r="G28" s="886"/>
      <c r="H28" s="886"/>
      <c r="I28" s="886"/>
      <c r="J28" s="886"/>
      <c r="K28" s="886"/>
      <c r="L28" s="886"/>
      <c r="M28" s="886"/>
      <c r="N28" s="1545"/>
      <c r="O28" s="1547">
        <f>ROUND(SUMIF(B11:B25,R2,O11:O25),0)</f>
        <v>0</v>
      </c>
      <c r="P28" s="886"/>
      <c r="Q28" s="1566">
        <f>ROUND(SUMIF(B11:B25,R2,Q11:Q25),0)</f>
        <v>0</v>
      </c>
      <c r="R28" s="1535"/>
      <c r="S28" s="1535"/>
      <c r="T28" s="1535"/>
      <c r="U28" s="1527">
        <v>1.17</v>
      </c>
    </row>
    <row r="29" spans="1:21" ht="12.75" customHeight="1">
      <c r="A29" s="1527"/>
      <c r="B29" s="886"/>
      <c r="C29" s="886"/>
      <c r="D29" s="886"/>
      <c r="E29" s="886"/>
      <c r="F29" s="886"/>
      <c r="G29" s="886"/>
      <c r="H29" s="886"/>
      <c r="I29" s="886"/>
      <c r="J29" s="886"/>
      <c r="K29" s="886"/>
      <c r="L29" s="886"/>
      <c r="M29" s="886"/>
      <c r="N29" s="1545"/>
      <c r="P29" s="886"/>
      <c r="Q29" s="949"/>
      <c r="R29" s="1535"/>
      <c r="S29" s="1535"/>
      <c r="T29" s="1535"/>
      <c r="U29" s="1270"/>
    </row>
    <row r="30" spans="1:21" ht="15.75">
      <c r="A30" s="961"/>
      <c r="B30" s="886"/>
      <c r="C30" s="886"/>
      <c r="D30" s="886"/>
      <c r="E30" s="886"/>
      <c r="F30" s="886"/>
      <c r="G30" s="886"/>
      <c r="H30" s="886"/>
      <c r="I30" s="886"/>
      <c r="J30" s="886"/>
      <c r="K30" s="886"/>
      <c r="L30" s="886"/>
      <c r="M30" s="886"/>
      <c r="N30" s="886"/>
      <c r="O30" s="886"/>
      <c r="P30" s="886"/>
      <c r="Q30" s="886"/>
      <c r="R30" s="1535"/>
      <c r="S30" s="1535"/>
      <c r="T30" s="1535"/>
      <c r="U30" s="1270"/>
    </row>
    <row r="31" spans="1:21" ht="15" customHeight="1">
      <c r="A31" s="961" t="s">
        <v>282</v>
      </c>
      <c r="B31" s="1551" t="s">
        <v>349</v>
      </c>
      <c r="C31" s="2104"/>
      <c r="D31" s="2104"/>
      <c r="E31" s="2104"/>
      <c r="F31" s="2104"/>
      <c r="G31" s="2104"/>
      <c r="H31" s="2104"/>
      <c r="I31" s="2104"/>
      <c r="J31" s="2104"/>
      <c r="K31" s="886"/>
      <c r="L31" s="886"/>
      <c r="M31" s="886"/>
      <c r="N31" s="886"/>
      <c r="O31" s="886"/>
      <c r="P31" s="886"/>
      <c r="Q31" s="886"/>
      <c r="R31" s="1535"/>
      <c r="S31" s="1535"/>
      <c r="T31" s="1535"/>
      <c r="U31" s="1270"/>
    </row>
    <row r="32" spans="1:21" ht="15" customHeight="1">
      <c r="A32" s="961"/>
      <c r="B32" s="2039"/>
      <c r="C32" s="186"/>
      <c r="D32" s="186"/>
      <c r="E32" s="186"/>
      <c r="F32" s="186"/>
      <c r="G32" s="886"/>
      <c r="H32" s="886"/>
      <c r="I32" s="886"/>
      <c r="J32" s="886"/>
      <c r="K32" s="886"/>
      <c r="L32" s="886"/>
      <c r="M32" s="886"/>
      <c r="N32" s="886"/>
      <c r="O32" s="886"/>
      <c r="P32" s="886"/>
      <c r="Q32" s="886"/>
      <c r="R32" s="1535"/>
      <c r="S32" s="1535"/>
      <c r="T32" s="1535"/>
      <c r="U32" s="1270"/>
    </row>
    <row r="33" spans="1:21" ht="15" customHeight="1">
      <c r="A33" s="961" t="s">
        <v>283</v>
      </c>
      <c r="B33" s="1551" t="s">
        <v>2767</v>
      </c>
      <c r="C33" s="1551"/>
      <c r="D33" s="1551"/>
      <c r="E33" s="1551"/>
      <c r="F33" s="1551"/>
      <c r="G33" s="1551"/>
      <c r="H33" s="1551"/>
      <c r="I33" s="1551"/>
      <c r="J33" s="1551"/>
      <c r="K33" s="886"/>
      <c r="L33" s="886"/>
      <c r="M33" s="886"/>
      <c r="N33" s="886"/>
      <c r="O33" s="886"/>
      <c r="P33" s="886"/>
      <c r="Q33" s="886"/>
      <c r="R33" s="1535"/>
      <c r="S33" s="1535"/>
      <c r="T33" s="1535"/>
      <c r="U33" s="1270"/>
    </row>
    <row r="34" spans="1:21" ht="15" customHeight="1">
      <c r="A34" s="961"/>
      <c r="B34" s="399"/>
      <c r="C34" s="1259"/>
      <c r="D34" s="1259"/>
      <c r="E34" s="1259"/>
      <c r="F34" s="1259"/>
      <c r="G34" s="886"/>
      <c r="H34" s="886"/>
      <c r="I34" s="886"/>
      <c r="J34" s="886"/>
      <c r="K34" s="886"/>
      <c r="L34" s="886"/>
      <c r="M34" s="886"/>
      <c r="N34" s="886"/>
      <c r="O34" s="886"/>
      <c r="P34" s="886"/>
      <c r="Q34" s="886"/>
      <c r="R34" s="1535"/>
      <c r="S34" s="1535"/>
      <c r="T34" s="1535"/>
      <c r="U34" s="1270"/>
    </row>
    <row r="35" spans="1:21" ht="15" customHeight="1">
      <c r="A35" s="961" t="s">
        <v>1576</v>
      </c>
      <c r="B35" s="1551" t="s">
        <v>3004</v>
      </c>
      <c r="C35" s="1551"/>
      <c r="D35" s="1551"/>
      <c r="E35" s="1551"/>
      <c r="F35" s="1551"/>
      <c r="G35" s="1551"/>
      <c r="H35" s="1551"/>
      <c r="I35" s="1551"/>
      <c r="J35" s="1551"/>
      <c r="K35" s="886"/>
      <c r="L35" s="886"/>
      <c r="M35" s="886"/>
      <c r="N35" s="886"/>
      <c r="O35" s="886"/>
      <c r="P35" s="886"/>
      <c r="Q35" s="886"/>
      <c r="R35" s="1535"/>
      <c r="S35" s="1535"/>
      <c r="T35" s="1535"/>
      <c r="U35" s="1270"/>
    </row>
    <row r="36" spans="1:21" ht="15" customHeight="1">
      <c r="A36" s="961"/>
      <c r="B36" s="2039"/>
      <c r="C36" s="186"/>
      <c r="D36" s="186"/>
      <c r="E36" s="186"/>
      <c r="F36" s="186"/>
      <c r="G36" s="886"/>
      <c r="H36" s="886"/>
      <c r="I36" s="886"/>
      <c r="J36" s="886"/>
      <c r="K36" s="886"/>
      <c r="L36" s="886"/>
      <c r="M36" s="886"/>
      <c r="N36" s="886"/>
      <c r="O36" s="886"/>
      <c r="P36" s="886"/>
      <c r="Q36" s="886"/>
      <c r="R36" s="1535"/>
      <c r="S36" s="1535"/>
      <c r="T36" s="1535"/>
      <c r="U36" s="1270"/>
    </row>
    <row r="37" spans="1:21" ht="15" customHeight="1">
      <c r="A37" s="961" t="s">
        <v>952</v>
      </c>
      <c r="B37" s="1551" t="s">
        <v>3003</v>
      </c>
      <c r="C37" s="1551"/>
      <c r="D37" s="1551"/>
      <c r="E37" s="1551"/>
      <c r="F37" s="1551"/>
      <c r="G37" s="1551"/>
      <c r="H37" s="1551"/>
      <c r="I37" s="1551"/>
      <c r="J37" s="1551"/>
      <c r="K37" s="1551"/>
      <c r="L37" s="1551"/>
      <c r="M37" s="1551"/>
      <c r="N37" s="1551"/>
      <c r="O37" s="1551"/>
      <c r="P37" s="886"/>
      <c r="Q37" s="886"/>
      <c r="R37" s="1535"/>
      <c r="S37" s="1535"/>
      <c r="T37" s="1535"/>
      <c r="U37" s="1270"/>
    </row>
    <row r="38" spans="1:21" ht="15" customHeight="1">
      <c r="A38" s="961"/>
      <c r="B38" s="1551" t="s">
        <v>2765</v>
      </c>
      <c r="C38" s="1551"/>
      <c r="D38" s="1551"/>
      <c r="E38" s="1551"/>
      <c r="F38" s="1551"/>
      <c r="G38" s="1551"/>
      <c r="H38" s="1551"/>
      <c r="I38" s="1551"/>
      <c r="J38" s="1551"/>
      <c r="K38" s="1551"/>
      <c r="L38" s="1551"/>
      <c r="M38" s="1551"/>
      <c r="N38" s="1551"/>
      <c r="O38" s="1551"/>
      <c r="P38" s="886"/>
      <c r="Q38" s="886"/>
      <c r="R38" s="1535"/>
      <c r="S38" s="1535"/>
      <c r="T38" s="1535"/>
      <c r="U38" s="1270"/>
    </row>
    <row r="39" spans="1:21" ht="15" customHeight="1">
      <c r="A39" s="961"/>
      <c r="B39" s="399"/>
      <c r="C39" s="1259"/>
      <c r="D39" s="1259"/>
      <c r="E39" s="1259"/>
      <c r="F39" s="1259"/>
      <c r="G39" s="886"/>
      <c r="H39" s="886"/>
      <c r="I39" s="886"/>
      <c r="J39" s="886"/>
      <c r="K39" s="886"/>
      <c r="L39" s="886"/>
      <c r="M39" s="886"/>
      <c r="N39" s="886"/>
      <c r="O39" s="886"/>
      <c r="P39" s="886"/>
      <c r="Q39" s="886"/>
      <c r="R39" s="1535"/>
      <c r="S39" s="1535"/>
      <c r="T39" s="1535"/>
      <c r="U39" s="1270"/>
    </row>
    <row r="40" spans="1:21" ht="15" customHeight="1">
      <c r="A40" s="961" t="s">
        <v>953</v>
      </c>
      <c r="B40" s="1551" t="s">
        <v>968</v>
      </c>
      <c r="C40" s="1551"/>
      <c r="D40" s="1551"/>
      <c r="E40" s="1551"/>
      <c r="F40" s="1551"/>
      <c r="G40" s="1551"/>
      <c r="H40" s="1551"/>
      <c r="I40" s="1551"/>
      <c r="J40" s="1551"/>
      <c r="K40" s="1551"/>
      <c r="L40" s="1551"/>
      <c r="M40" s="886"/>
      <c r="N40" s="886"/>
      <c r="O40" s="886"/>
      <c r="P40" s="886"/>
      <c r="Q40" s="886"/>
      <c r="R40" s="1535"/>
      <c r="S40" s="1535"/>
      <c r="T40" s="1535"/>
      <c r="U40" s="1270"/>
    </row>
    <row r="41" spans="1:21" ht="15" customHeight="1">
      <c r="A41" s="961"/>
      <c r="B41" s="399"/>
      <c r="C41" s="1259"/>
      <c r="D41" s="1259"/>
      <c r="E41" s="1259"/>
      <c r="F41" s="1259"/>
      <c r="G41" s="886"/>
      <c r="H41" s="886"/>
      <c r="I41" s="886"/>
      <c r="J41" s="886"/>
      <c r="K41" s="886"/>
      <c r="L41" s="886"/>
      <c r="M41" s="886"/>
      <c r="N41" s="886"/>
      <c r="O41" s="886"/>
      <c r="P41" s="886"/>
      <c r="Q41" s="886"/>
      <c r="R41" s="1535"/>
      <c r="S41" s="1535"/>
      <c r="T41" s="1535"/>
      <c r="U41" s="1270"/>
    </row>
    <row r="42" spans="1:21" ht="15" customHeight="1">
      <c r="A42" s="961" t="s">
        <v>969</v>
      </c>
      <c r="B42" s="1551" t="s">
        <v>970</v>
      </c>
      <c r="C42" s="1551"/>
      <c r="D42" s="1551"/>
      <c r="E42" s="1551"/>
      <c r="F42" s="1551"/>
      <c r="G42" s="1551"/>
      <c r="H42" s="1551"/>
      <c r="I42" s="1551"/>
      <c r="J42" s="1551"/>
      <c r="K42" s="886"/>
      <c r="L42" s="886"/>
      <c r="M42" s="886"/>
      <c r="N42" s="886"/>
      <c r="O42" s="886"/>
      <c r="P42" s="886"/>
      <c r="Q42" s="886"/>
      <c r="R42" s="1535"/>
      <c r="S42" s="1535"/>
      <c r="T42" s="1535"/>
      <c r="U42" s="1270"/>
    </row>
    <row r="43" spans="1:21" ht="15" customHeight="1">
      <c r="A43" s="961"/>
      <c r="B43" s="1259"/>
      <c r="C43" s="1259"/>
      <c r="D43" s="1259"/>
      <c r="E43" s="1259"/>
      <c r="F43" s="1259"/>
      <c r="G43" s="886"/>
      <c r="H43" s="886"/>
      <c r="I43" s="886"/>
      <c r="J43" s="886"/>
      <c r="K43" s="886"/>
      <c r="L43" s="886"/>
      <c r="M43" s="886"/>
      <c r="N43" s="886"/>
      <c r="O43" s="886"/>
      <c r="P43" s="886"/>
      <c r="Q43" s="886"/>
      <c r="R43" s="1535"/>
      <c r="S43" s="1535"/>
      <c r="T43" s="1535"/>
      <c r="U43" s="1270"/>
    </row>
    <row r="44" spans="1:21" ht="15" customHeight="1">
      <c r="A44" s="961" t="s">
        <v>971</v>
      </c>
      <c r="B44" s="1551" t="s">
        <v>972</v>
      </c>
      <c r="C44" s="2104"/>
      <c r="D44" s="2104"/>
      <c r="E44" s="2104"/>
      <c r="F44" s="2104"/>
      <c r="G44" s="1551"/>
      <c r="H44" s="1551"/>
      <c r="I44" s="1551"/>
      <c r="J44" s="1551"/>
      <c r="K44" s="886"/>
      <c r="L44" s="886"/>
      <c r="M44" s="886"/>
      <c r="N44" s="886"/>
      <c r="O44" s="886"/>
      <c r="P44" s="886"/>
      <c r="Q44" s="886"/>
      <c r="R44" s="1535"/>
      <c r="S44" s="1535"/>
      <c r="T44" s="1535"/>
      <c r="U44" s="1270"/>
    </row>
    <row r="45" spans="1:21" ht="15" customHeight="1">
      <c r="A45" s="961"/>
      <c r="B45" s="2039"/>
      <c r="C45" s="186"/>
      <c r="D45" s="186"/>
      <c r="E45" s="186"/>
      <c r="F45" s="186"/>
      <c r="G45" s="1551"/>
      <c r="H45" s="1551"/>
      <c r="I45" s="1551"/>
      <c r="J45" s="1551"/>
      <c r="K45" s="886"/>
      <c r="L45" s="886"/>
      <c r="M45" s="886"/>
      <c r="N45" s="886"/>
      <c r="O45" s="886"/>
      <c r="P45" s="886"/>
      <c r="Q45" s="886"/>
      <c r="R45" s="1535"/>
      <c r="S45" s="1535"/>
      <c r="T45" s="1535"/>
      <c r="U45" s="1270"/>
    </row>
    <row r="46" spans="1:21" ht="15" customHeight="1">
      <c r="A46" s="961" t="s">
        <v>1411</v>
      </c>
      <c r="B46" s="1551" t="s">
        <v>1412</v>
      </c>
      <c r="C46" s="2104"/>
      <c r="D46" s="2104"/>
      <c r="E46" s="2104"/>
      <c r="F46" s="2104"/>
      <c r="G46" s="1551"/>
      <c r="H46" s="1551"/>
      <c r="I46" s="1551"/>
      <c r="J46" s="1551"/>
      <c r="K46" s="886"/>
      <c r="L46" s="886"/>
      <c r="M46" s="886"/>
      <c r="N46" s="886"/>
      <c r="O46" s="886"/>
      <c r="P46" s="886"/>
      <c r="Q46" s="886"/>
      <c r="R46" s="1535"/>
      <c r="S46" s="1535"/>
      <c r="T46" s="1535"/>
      <c r="U46" s="1270"/>
    </row>
    <row r="47" spans="1:21" ht="15" customHeight="1">
      <c r="A47" s="961"/>
      <c r="B47" s="2039"/>
      <c r="C47" s="186"/>
      <c r="D47" s="186"/>
      <c r="E47" s="186"/>
      <c r="F47" s="186"/>
      <c r="G47" s="886"/>
      <c r="H47" s="886"/>
      <c r="I47" s="886"/>
      <c r="J47" s="886"/>
      <c r="K47" s="886"/>
      <c r="L47" s="886"/>
      <c r="M47" s="886"/>
      <c r="N47" s="886"/>
      <c r="O47" s="886"/>
      <c r="P47" s="886"/>
      <c r="Q47" s="886"/>
      <c r="R47" s="1535"/>
      <c r="S47" s="1535"/>
      <c r="T47" s="1535"/>
      <c r="U47" s="1270"/>
    </row>
    <row r="48" spans="1:21" ht="15" customHeight="1">
      <c r="A48" s="961" t="s">
        <v>1413</v>
      </c>
      <c r="B48" s="1551" t="s">
        <v>815</v>
      </c>
      <c r="C48" s="2104"/>
      <c r="D48" s="2104"/>
      <c r="E48" s="2104"/>
      <c r="F48" s="2104"/>
      <c r="G48" s="2104"/>
      <c r="H48" s="2104"/>
      <c r="I48" s="2104"/>
      <c r="J48" s="2104"/>
      <c r="K48" s="886"/>
      <c r="L48" s="886"/>
      <c r="M48" s="886"/>
      <c r="N48" s="886"/>
      <c r="O48" s="886"/>
      <c r="P48" s="886"/>
      <c r="Q48" s="886"/>
      <c r="R48" s="1535"/>
      <c r="S48" s="1535"/>
      <c r="T48" s="1535"/>
      <c r="U48" s="1270"/>
    </row>
    <row r="49" spans="1:21" ht="15" customHeight="1">
      <c r="A49" s="961"/>
      <c r="B49" s="186"/>
      <c r="C49" s="186"/>
      <c r="D49" s="186"/>
      <c r="E49" s="186"/>
      <c r="F49" s="186"/>
      <c r="G49" s="886"/>
      <c r="H49" s="886"/>
      <c r="I49" s="886"/>
      <c r="J49" s="886"/>
      <c r="K49" s="886"/>
      <c r="L49" s="886"/>
      <c r="M49" s="886"/>
      <c r="N49" s="886"/>
      <c r="O49" s="886"/>
      <c r="P49" s="886"/>
      <c r="Q49" s="886"/>
      <c r="R49" s="1535"/>
      <c r="S49" s="1535"/>
      <c r="T49" s="1535"/>
      <c r="U49" s="1270"/>
    </row>
    <row r="50" spans="1:21" ht="15.75">
      <c r="A50" s="1545" t="s">
        <v>816</v>
      </c>
      <c r="B50" s="1551" t="s">
        <v>1242</v>
      </c>
      <c r="C50" s="1551"/>
      <c r="D50" s="1551"/>
      <c r="E50" s="1551"/>
      <c r="F50" s="1551"/>
      <c r="G50" s="1551"/>
      <c r="H50" s="1551"/>
      <c r="I50" s="1551"/>
      <c r="J50" s="1551"/>
      <c r="K50" s="1551"/>
      <c r="L50" s="886"/>
      <c r="M50" s="886"/>
      <c r="N50" s="886"/>
      <c r="O50" s="886"/>
      <c r="P50" s="886"/>
      <c r="Q50" s="886"/>
      <c r="R50" s="1535"/>
      <c r="S50" s="1535"/>
      <c r="T50" s="1535"/>
      <c r="U50" s="1270"/>
    </row>
    <row r="51" spans="1:21" ht="15" customHeight="1">
      <c r="A51" s="961"/>
      <c r="B51" s="186"/>
      <c r="C51" s="186"/>
      <c r="D51" s="186"/>
      <c r="E51" s="186"/>
      <c r="F51" s="186"/>
      <c r="G51" s="886"/>
      <c r="H51" s="886"/>
      <c r="I51" s="886"/>
      <c r="J51" s="886"/>
      <c r="K51" s="886"/>
      <c r="L51" s="886"/>
      <c r="M51" s="886"/>
      <c r="N51" s="886"/>
      <c r="O51" s="886"/>
      <c r="P51" s="886"/>
      <c r="Q51" s="886"/>
      <c r="R51" s="1535"/>
      <c r="S51" s="1535"/>
      <c r="T51" s="1535"/>
      <c r="U51" s="1270"/>
    </row>
    <row r="52" spans="1:21" ht="15" customHeight="1">
      <c r="A52" s="961" t="s">
        <v>1243</v>
      </c>
      <c r="B52" s="1551" t="s">
        <v>740</v>
      </c>
      <c r="C52" s="2104"/>
      <c r="D52" s="2104"/>
      <c r="E52" s="2104"/>
      <c r="F52" s="2104"/>
      <c r="G52" s="2104"/>
      <c r="H52" s="2104"/>
      <c r="I52" s="2104"/>
      <c r="J52" s="2104"/>
      <c r="K52" s="2104"/>
      <c r="L52" s="2104"/>
      <c r="M52" s="2104"/>
      <c r="N52" s="2104"/>
      <c r="O52" s="2104"/>
      <c r="P52" s="886"/>
      <c r="Q52" s="886"/>
      <c r="R52" s="1535"/>
      <c r="S52" s="1535"/>
      <c r="T52" s="1535"/>
      <c r="U52" s="1270"/>
    </row>
    <row r="53" spans="1:21" ht="15" customHeight="1">
      <c r="A53" s="961"/>
      <c r="B53" s="2039"/>
      <c r="C53" s="186"/>
      <c r="D53" s="186"/>
      <c r="E53" s="186"/>
      <c r="F53" s="186"/>
      <c r="G53" s="886"/>
      <c r="H53" s="886"/>
      <c r="I53" s="886"/>
      <c r="J53" s="886"/>
      <c r="K53" s="886"/>
      <c r="L53" s="886"/>
      <c r="M53" s="886"/>
      <c r="N53" s="886"/>
      <c r="O53" s="886"/>
      <c r="P53" s="886"/>
      <c r="Q53" s="886"/>
      <c r="R53" s="1535"/>
      <c r="S53" s="1535"/>
      <c r="T53" s="1535"/>
      <c r="U53" s="1270"/>
    </row>
    <row r="54" spans="1:21" ht="15" customHeight="1">
      <c r="A54" s="961" t="s">
        <v>1244</v>
      </c>
      <c r="B54" s="1551" t="s">
        <v>2766</v>
      </c>
      <c r="C54" s="1551"/>
      <c r="D54" s="1551"/>
      <c r="E54" s="1551"/>
      <c r="F54" s="1551"/>
      <c r="G54" s="1551"/>
      <c r="H54" s="1551"/>
      <c r="I54" s="1551"/>
      <c r="J54" s="1551"/>
      <c r="K54" s="886"/>
      <c r="L54" s="886"/>
      <c r="M54" s="886"/>
      <c r="N54" s="886"/>
      <c r="O54" s="886"/>
      <c r="P54" s="886"/>
      <c r="Q54" s="886"/>
      <c r="R54" s="1535"/>
      <c r="S54" s="1535"/>
      <c r="T54" s="1535"/>
      <c r="U54" s="1270"/>
    </row>
    <row r="55" spans="1:21" ht="15" customHeight="1">
      <c r="A55" s="961"/>
      <c r="B55" s="2105"/>
      <c r="C55" s="1551"/>
      <c r="D55" s="1551"/>
      <c r="E55" s="1551"/>
      <c r="F55" s="1551"/>
      <c r="G55" s="1551"/>
      <c r="H55" s="1551"/>
      <c r="I55" s="1551"/>
      <c r="J55" s="1551"/>
      <c r="K55" s="886"/>
      <c r="L55" s="886"/>
      <c r="M55" s="886"/>
      <c r="N55" s="886"/>
      <c r="O55" s="886"/>
      <c r="P55" s="886"/>
      <c r="Q55" s="886"/>
      <c r="R55" s="1535"/>
      <c r="S55" s="1535"/>
      <c r="T55" s="1535"/>
      <c r="U55" s="1270"/>
    </row>
    <row r="56" spans="1:21" ht="15" customHeight="1">
      <c r="A56" s="961" t="s">
        <v>1245</v>
      </c>
      <c r="B56" s="1551" t="s">
        <v>739</v>
      </c>
      <c r="C56" s="1551"/>
      <c r="D56" s="1551"/>
      <c r="E56" s="1551"/>
      <c r="F56" s="1551"/>
      <c r="G56" s="1551"/>
      <c r="H56" s="1551"/>
      <c r="I56" s="1551"/>
      <c r="J56" s="1551"/>
      <c r="K56" s="886"/>
      <c r="L56" s="886"/>
      <c r="M56" s="886"/>
      <c r="N56" s="886"/>
      <c r="O56" s="886"/>
      <c r="P56" s="886"/>
      <c r="Q56" s="886"/>
      <c r="R56" s="1535"/>
      <c r="S56" s="1535"/>
      <c r="T56" s="1535"/>
      <c r="U56" s="1270"/>
    </row>
    <row r="57" spans="1:21" ht="15" customHeight="1">
      <c r="A57" s="961"/>
      <c r="B57" s="2039"/>
      <c r="C57" s="186"/>
      <c r="D57" s="186"/>
      <c r="E57" s="186"/>
      <c r="F57" s="186"/>
      <c r="G57" s="886"/>
      <c r="H57" s="886"/>
      <c r="I57" s="886"/>
      <c r="J57" s="886"/>
      <c r="K57" s="886"/>
      <c r="L57" s="886"/>
      <c r="M57" s="886"/>
      <c r="N57" s="886"/>
      <c r="O57" s="886"/>
      <c r="P57" s="886"/>
      <c r="Q57" s="886"/>
      <c r="R57" s="1535"/>
      <c r="S57" s="1535"/>
      <c r="T57" s="1535"/>
      <c r="U57" s="1270"/>
    </row>
    <row r="58" spans="1:21" ht="15" customHeight="1">
      <c r="A58" s="961" t="s">
        <v>399</v>
      </c>
      <c r="B58" s="1551" t="s">
        <v>222</v>
      </c>
      <c r="C58" s="2104"/>
      <c r="D58" s="2104"/>
      <c r="E58" s="2104"/>
      <c r="F58" s="2104"/>
      <c r="G58" s="1551"/>
      <c r="H58" s="1551"/>
      <c r="I58" s="1551"/>
      <c r="J58" s="1551"/>
      <c r="K58" s="886"/>
      <c r="L58" s="886"/>
      <c r="M58" s="886"/>
      <c r="N58" s="886"/>
      <c r="O58" s="886"/>
      <c r="P58" s="886"/>
      <c r="Q58" s="886"/>
      <c r="R58" s="1535"/>
      <c r="S58" s="1535"/>
      <c r="T58" s="1535"/>
      <c r="U58" s="1270"/>
    </row>
    <row r="59" spans="1:21" ht="15" customHeight="1">
      <c r="A59" s="961"/>
      <c r="B59" s="399"/>
      <c r="C59" s="1259"/>
      <c r="D59" s="1259"/>
      <c r="E59" s="1259"/>
      <c r="F59" s="1259"/>
      <c r="G59" s="1259"/>
      <c r="H59" s="1259"/>
      <c r="I59" s="886"/>
      <c r="J59" s="886"/>
      <c r="K59" s="886"/>
      <c r="L59" s="886"/>
      <c r="M59" s="886"/>
      <c r="N59" s="886"/>
      <c r="O59" s="886"/>
      <c r="P59" s="886"/>
      <c r="Q59" s="886"/>
      <c r="R59" s="1535"/>
      <c r="S59" s="1535"/>
      <c r="T59" s="1535"/>
      <c r="U59" s="1270"/>
    </row>
    <row r="60" spans="1:21" ht="15" customHeight="1">
      <c r="A60" s="961" t="s">
        <v>400</v>
      </c>
      <c r="B60" s="1551" t="s">
        <v>1121</v>
      </c>
      <c r="C60" s="1551"/>
      <c r="D60" s="1551"/>
      <c r="E60" s="1551"/>
      <c r="F60" s="1551"/>
      <c r="G60" s="1551"/>
      <c r="H60" s="1551"/>
      <c r="I60" s="1551"/>
      <c r="J60" s="1551"/>
      <c r="K60" s="1551"/>
      <c r="L60" s="1551"/>
      <c r="M60" s="1551"/>
      <c r="N60" s="1551"/>
      <c r="O60" s="1551"/>
      <c r="P60" s="1551"/>
      <c r="Q60" s="1551"/>
      <c r="R60" s="1535"/>
      <c r="S60" s="1535"/>
      <c r="T60" s="1535"/>
      <c r="U60" s="1270"/>
    </row>
    <row r="61" spans="1:21" ht="15" customHeight="1">
      <c r="A61" s="961"/>
      <c r="B61" s="1551"/>
      <c r="C61" s="1551"/>
      <c r="D61" s="1551"/>
      <c r="E61" s="1551"/>
      <c r="F61" s="1551"/>
      <c r="G61" s="1551"/>
      <c r="H61" s="1551"/>
      <c r="I61" s="1551"/>
      <c r="J61" s="1551"/>
      <c r="K61" s="1551"/>
      <c r="L61" s="1551"/>
      <c r="M61" s="1551"/>
      <c r="N61" s="1551"/>
      <c r="O61" s="1551"/>
      <c r="P61" s="1551"/>
      <c r="Q61" s="1551"/>
      <c r="R61" s="1535"/>
      <c r="S61" s="1535"/>
      <c r="T61" s="1535"/>
      <c r="U61" s="1270"/>
    </row>
    <row r="62" spans="1:21" ht="15" customHeight="1">
      <c r="A62" s="961" t="s">
        <v>401</v>
      </c>
      <c r="B62" s="1551" t="s">
        <v>556</v>
      </c>
      <c r="C62" s="1551"/>
      <c r="D62" s="1551"/>
      <c r="E62" s="1551"/>
      <c r="F62" s="1551"/>
      <c r="G62" s="1551"/>
      <c r="H62" s="1551"/>
      <c r="I62" s="1551"/>
      <c r="J62" s="1551"/>
      <c r="K62" s="1551"/>
      <c r="L62" s="1551"/>
      <c r="M62" s="1551"/>
      <c r="N62" s="1551"/>
      <c r="O62" s="1551"/>
      <c r="P62" s="1551"/>
      <c r="Q62" s="1551"/>
      <c r="R62" s="1535"/>
      <c r="S62" s="1535"/>
      <c r="T62" s="1535"/>
      <c r="U62" s="1270"/>
    </row>
    <row r="63" spans="1:21" ht="15.75" customHeight="1">
      <c r="A63" s="78"/>
      <c r="B63" s="1551"/>
      <c r="C63" s="1551"/>
      <c r="D63" s="1551"/>
      <c r="E63" s="1551"/>
      <c r="F63" s="1551"/>
      <c r="G63" s="1551"/>
      <c r="H63" s="1551"/>
      <c r="I63" s="1551"/>
      <c r="J63" s="1551"/>
      <c r="K63" s="1551"/>
      <c r="L63" s="1551"/>
      <c r="M63" s="1551"/>
      <c r="N63" s="1551"/>
      <c r="O63" s="1551"/>
      <c r="P63" s="1551"/>
      <c r="Q63" s="1551"/>
      <c r="R63" s="1484"/>
      <c r="S63" s="1020"/>
    </row>
    <row r="64" spans="1:21" ht="12.75" customHeight="1">
      <c r="A64" s="886"/>
      <c r="B64" s="186"/>
      <c r="C64" s="186"/>
      <c r="D64" s="186"/>
      <c r="E64" s="186"/>
      <c r="F64" s="186"/>
      <c r="G64" s="186"/>
      <c r="H64" s="186"/>
      <c r="I64" s="1507"/>
      <c r="J64" s="1507"/>
      <c r="K64" s="1507"/>
      <c r="L64" s="1507"/>
      <c r="M64" s="1507"/>
      <c r="N64" s="1507"/>
      <c r="O64" s="1507"/>
      <c r="P64" s="1507"/>
      <c r="Q64" s="1507"/>
      <c r="R64" s="1484"/>
      <c r="S64" s="1020"/>
    </row>
    <row r="65" spans="1:21" ht="12.75" hidden="1" customHeight="1">
      <c r="A65" s="976"/>
      <c r="B65" s="976"/>
      <c r="C65" s="976"/>
      <c r="D65" s="976"/>
      <c r="E65" s="976"/>
      <c r="F65" s="976"/>
      <c r="G65" s="976"/>
      <c r="H65" s="976"/>
      <c r="I65" s="976"/>
      <c r="J65" s="976"/>
      <c r="K65" s="976"/>
      <c r="L65" s="976"/>
      <c r="M65" s="976"/>
      <c r="N65" s="976"/>
      <c r="O65" s="976"/>
      <c r="P65" s="976"/>
      <c r="Q65" s="976"/>
      <c r="R65" s="976"/>
      <c r="S65" s="976"/>
      <c r="T65" s="976"/>
      <c r="U65" s="976"/>
    </row>
    <row r="66" spans="1:21" ht="12.75" hidden="1" customHeight="1">
      <c r="A66" s="976"/>
      <c r="B66" s="976"/>
      <c r="C66" s="976"/>
      <c r="D66" s="976"/>
      <c r="E66" s="976"/>
      <c r="F66" s="976"/>
      <c r="G66" s="976"/>
      <c r="H66" s="976"/>
      <c r="I66" s="976"/>
      <c r="J66" s="976"/>
      <c r="K66" s="976"/>
      <c r="L66" s="976"/>
      <c r="M66" s="976"/>
      <c r="N66" s="976"/>
      <c r="O66" s="976"/>
      <c r="P66" s="976"/>
      <c r="Q66" s="976"/>
      <c r="R66" s="976"/>
      <c r="S66" s="976"/>
      <c r="T66" s="976"/>
      <c r="U66" s="976"/>
    </row>
    <row r="67" spans="1:21" ht="12.75" hidden="1" customHeight="1">
      <c r="A67" s="976"/>
      <c r="B67" s="976"/>
      <c r="C67" s="976"/>
      <c r="D67" s="976"/>
      <c r="E67" s="976"/>
      <c r="F67" s="976"/>
      <c r="G67" s="976"/>
      <c r="H67" s="976"/>
      <c r="I67" s="976"/>
      <c r="J67" s="976"/>
      <c r="K67" s="976"/>
      <c r="L67" s="976"/>
      <c r="M67" s="976"/>
      <c r="N67" s="976"/>
      <c r="O67" s="976"/>
      <c r="P67" s="976"/>
      <c r="Q67" s="976"/>
      <c r="R67" s="976"/>
      <c r="S67" s="976"/>
      <c r="T67" s="976"/>
      <c r="U67" s="976"/>
    </row>
    <row r="68" spans="1:21" ht="12.75" hidden="1" customHeight="1">
      <c r="A68" s="976"/>
      <c r="B68" s="976"/>
      <c r="C68" s="976"/>
      <c r="D68" s="976"/>
      <c r="E68" s="976"/>
      <c r="F68" s="976"/>
      <c r="G68" s="976"/>
      <c r="H68" s="976"/>
      <c r="I68" s="976"/>
      <c r="J68" s="976"/>
      <c r="K68" s="976"/>
      <c r="L68" s="976"/>
      <c r="M68" s="976"/>
      <c r="N68" s="976"/>
      <c r="O68" s="976"/>
      <c r="P68" s="976"/>
      <c r="Q68" s="976"/>
      <c r="R68" s="976"/>
      <c r="S68" s="976"/>
      <c r="T68" s="976"/>
      <c r="U68" s="976"/>
    </row>
    <row r="69" spans="1:21" ht="12.75" hidden="1" customHeight="1">
      <c r="A69" s="976"/>
      <c r="B69" s="976"/>
      <c r="C69" s="976"/>
      <c r="D69" s="976"/>
      <c r="E69" s="976"/>
      <c r="F69" s="976"/>
      <c r="G69" s="976"/>
      <c r="H69" s="976"/>
      <c r="I69" s="976"/>
      <c r="J69" s="976"/>
      <c r="K69" s="976"/>
      <c r="L69" s="976"/>
      <c r="M69" s="976"/>
      <c r="N69" s="976"/>
      <c r="O69" s="976"/>
      <c r="P69" s="976"/>
      <c r="Q69" s="976"/>
      <c r="R69" s="976"/>
      <c r="S69" s="976"/>
      <c r="T69" s="976"/>
      <c r="U69" s="976"/>
    </row>
    <row r="70" spans="1:21" ht="12.75" hidden="1" customHeight="1">
      <c r="A70" s="976"/>
      <c r="B70" s="976"/>
      <c r="C70" s="976"/>
      <c r="D70" s="976"/>
      <c r="E70" s="976"/>
      <c r="F70" s="976"/>
      <c r="G70" s="976"/>
      <c r="H70" s="976"/>
      <c r="I70" s="976"/>
      <c r="J70" s="976"/>
      <c r="K70" s="976"/>
      <c r="L70" s="976"/>
      <c r="M70" s="976"/>
      <c r="N70" s="976"/>
      <c r="O70" s="976"/>
      <c r="P70" s="976"/>
      <c r="Q70" s="976"/>
      <c r="R70" s="976"/>
      <c r="S70" s="976"/>
      <c r="T70" s="976"/>
      <c r="U70" s="976"/>
    </row>
    <row r="71" spans="1:21" ht="12.75" hidden="1" customHeight="1">
      <c r="A71" s="976"/>
      <c r="B71" s="976"/>
      <c r="C71" s="976"/>
      <c r="D71" s="976"/>
      <c r="E71" s="976"/>
      <c r="F71" s="976"/>
      <c r="G71" s="976"/>
      <c r="H71" s="976"/>
      <c r="I71" s="976"/>
      <c r="J71" s="976"/>
      <c r="K71" s="976"/>
      <c r="L71" s="976"/>
      <c r="M71" s="976"/>
      <c r="N71" s="976"/>
      <c r="O71" s="976"/>
      <c r="P71" s="976"/>
      <c r="Q71" s="976"/>
      <c r="R71" s="976"/>
      <c r="S71" s="976"/>
      <c r="T71" s="976"/>
      <c r="U71" s="976"/>
    </row>
    <row r="72" spans="1:21" ht="12.75" hidden="1" customHeight="1">
      <c r="A72" s="976"/>
      <c r="B72" s="976"/>
      <c r="C72" s="976"/>
      <c r="D72" s="976"/>
      <c r="E72" s="976"/>
      <c r="F72" s="976"/>
      <c r="G72" s="976"/>
      <c r="H72" s="976"/>
      <c r="I72" s="976"/>
      <c r="J72" s="976"/>
      <c r="K72" s="976"/>
      <c r="L72" s="976"/>
      <c r="M72" s="976"/>
      <c r="N72" s="976"/>
      <c r="O72" s="976"/>
      <c r="P72" s="976"/>
      <c r="Q72" s="976"/>
      <c r="R72" s="976"/>
      <c r="S72" s="976"/>
      <c r="T72" s="976"/>
      <c r="U72" s="976"/>
    </row>
    <row r="73" spans="1:21" ht="12.75" hidden="1" customHeight="1">
      <c r="A73" s="976"/>
      <c r="B73" s="976"/>
      <c r="C73" s="976"/>
      <c r="D73" s="976"/>
      <c r="E73" s="976"/>
      <c r="F73" s="976"/>
      <c r="G73" s="976"/>
      <c r="H73" s="976"/>
      <c r="I73" s="976"/>
      <c r="J73" s="976"/>
      <c r="K73" s="976"/>
      <c r="L73" s="976"/>
      <c r="M73" s="976"/>
      <c r="N73" s="976"/>
      <c r="O73" s="976"/>
      <c r="P73" s="976"/>
      <c r="Q73" s="976"/>
      <c r="R73" s="976"/>
      <c r="S73" s="976"/>
      <c r="T73" s="976"/>
      <c r="U73" s="976"/>
    </row>
    <row r="74" spans="1:21" ht="12.75" hidden="1" customHeight="1">
      <c r="A74" s="976"/>
      <c r="B74" s="976"/>
      <c r="C74" s="976"/>
      <c r="D74" s="976"/>
      <c r="E74" s="976"/>
      <c r="F74" s="976"/>
      <c r="G74" s="976"/>
      <c r="H74" s="976"/>
      <c r="I74" s="976"/>
      <c r="J74" s="976"/>
      <c r="K74" s="976"/>
      <c r="L74" s="976"/>
      <c r="M74" s="976"/>
      <c r="N74" s="976"/>
      <c r="O74" s="976"/>
      <c r="P74" s="976"/>
      <c r="Q74" s="976"/>
      <c r="R74" s="976"/>
      <c r="S74" s="976"/>
      <c r="T74" s="976"/>
      <c r="U74" s="976"/>
    </row>
    <row r="75" spans="1:21" ht="12.75" hidden="1" customHeight="1">
      <c r="A75" s="976"/>
      <c r="B75" s="976"/>
      <c r="C75" s="976"/>
      <c r="D75" s="976"/>
      <c r="E75" s="976"/>
      <c r="F75" s="976"/>
      <c r="G75" s="976"/>
      <c r="H75" s="976"/>
      <c r="I75" s="976"/>
      <c r="J75" s="976"/>
      <c r="K75" s="976"/>
      <c r="L75" s="976"/>
      <c r="M75" s="976"/>
      <c r="N75" s="976"/>
      <c r="O75" s="976"/>
      <c r="P75" s="976"/>
      <c r="Q75" s="976"/>
      <c r="R75" s="976"/>
      <c r="S75" s="976"/>
      <c r="T75" s="976"/>
      <c r="U75" s="976"/>
    </row>
    <row r="76" spans="1:21" ht="12.75" hidden="1" customHeight="1">
      <c r="A76" s="976"/>
      <c r="B76" s="976"/>
      <c r="C76" s="976"/>
      <c r="D76" s="976"/>
      <c r="E76" s="976"/>
      <c r="F76" s="976"/>
      <c r="G76" s="976"/>
      <c r="H76" s="976"/>
      <c r="I76" s="976"/>
      <c r="J76" s="976"/>
      <c r="K76" s="976"/>
      <c r="L76" s="976"/>
      <c r="M76" s="976"/>
      <c r="N76" s="976"/>
      <c r="O76" s="976"/>
      <c r="P76" s="976"/>
      <c r="Q76" s="976"/>
      <c r="R76" s="976"/>
      <c r="S76" s="976"/>
      <c r="T76" s="976"/>
      <c r="U76" s="976"/>
    </row>
    <row r="77" spans="1:21" ht="12.75" hidden="1" customHeight="1">
      <c r="A77" s="976"/>
      <c r="B77" s="976"/>
      <c r="C77" s="976"/>
      <c r="D77" s="976"/>
      <c r="E77" s="976"/>
      <c r="F77" s="976"/>
      <c r="G77" s="976"/>
      <c r="H77" s="976"/>
      <c r="I77" s="976"/>
      <c r="J77" s="976"/>
      <c r="K77" s="976"/>
      <c r="L77" s="976"/>
      <c r="M77" s="976"/>
      <c r="N77" s="976"/>
      <c r="O77" s="976"/>
      <c r="P77" s="976"/>
      <c r="Q77" s="976"/>
      <c r="R77" s="976"/>
      <c r="S77" s="976"/>
      <c r="T77" s="976"/>
      <c r="U77" s="976"/>
    </row>
    <row r="78" spans="1:21" ht="12.75" hidden="1" customHeight="1">
      <c r="A78" s="976"/>
      <c r="B78" s="976"/>
      <c r="C78" s="976"/>
      <c r="D78" s="976"/>
      <c r="E78" s="976"/>
      <c r="F78" s="976"/>
      <c r="G78" s="976"/>
      <c r="H78" s="976"/>
      <c r="I78" s="976"/>
      <c r="J78" s="976"/>
      <c r="K78" s="976"/>
      <c r="L78" s="976"/>
      <c r="M78" s="976"/>
      <c r="N78" s="976"/>
      <c r="O78" s="976"/>
      <c r="P78" s="976"/>
      <c r="Q78" s="976"/>
      <c r="R78" s="976"/>
      <c r="S78" s="976"/>
      <c r="T78" s="976"/>
      <c r="U78" s="976"/>
    </row>
    <row r="79" spans="1:21" ht="12.75" hidden="1" customHeight="1">
      <c r="A79" s="976"/>
      <c r="B79" s="976"/>
      <c r="C79" s="976"/>
      <c r="D79" s="976"/>
      <c r="E79" s="976"/>
      <c r="F79" s="976"/>
      <c r="G79" s="976"/>
      <c r="H79" s="976"/>
      <c r="I79" s="976"/>
      <c r="J79" s="976"/>
      <c r="K79" s="976"/>
      <c r="L79" s="976"/>
      <c r="M79" s="976"/>
      <c r="N79" s="976"/>
      <c r="O79" s="976"/>
      <c r="P79" s="976"/>
      <c r="Q79" s="976"/>
      <c r="R79" s="976"/>
      <c r="S79" s="976"/>
      <c r="T79" s="976"/>
      <c r="U79" s="976"/>
    </row>
    <row r="80" spans="1:21" ht="12.75" hidden="1" customHeight="1">
      <c r="A80" s="976"/>
      <c r="B80" s="976"/>
      <c r="C80" s="976"/>
      <c r="D80" s="976"/>
      <c r="E80" s="976"/>
      <c r="F80" s="976"/>
      <c r="G80" s="976"/>
      <c r="H80" s="976"/>
      <c r="I80" s="976"/>
      <c r="J80" s="976"/>
      <c r="K80" s="976"/>
      <c r="L80" s="976"/>
      <c r="M80" s="976"/>
      <c r="N80" s="976"/>
      <c r="O80" s="976"/>
      <c r="P80" s="976"/>
      <c r="Q80" s="976"/>
      <c r="R80" s="976"/>
      <c r="S80" s="976"/>
      <c r="T80" s="976"/>
      <c r="U80" s="976"/>
    </row>
    <row r="81" spans="1:21" ht="12.75" hidden="1" customHeight="1">
      <c r="A81" s="976"/>
      <c r="B81" s="976"/>
      <c r="C81" s="976"/>
      <c r="D81" s="976"/>
      <c r="E81" s="976"/>
      <c r="F81" s="976"/>
      <c r="G81" s="976"/>
      <c r="H81" s="976"/>
      <c r="I81" s="976"/>
      <c r="J81" s="976"/>
      <c r="K81" s="976"/>
      <c r="L81" s="976"/>
      <c r="M81" s="976"/>
      <c r="N81" s="976"/>
      <c r="O81" s="976"/>
      <c r="P81" s="976"/>
      <c r="Q81" s="976"/>
      <c r="R81" s="976"/>
      <c r="S81" s="976"/>
      <c r="T81" s="976"/>
      <c r="U81" s="976"/>
    </row>
    <row r="82" spans="1:21" ht="12.75" hidden="1" customHeight="1">
      <c r="A82" s="976"/>
      <c r="B82" s="976"/>
      <c r="C82" s="976"/>
      <c r="D82" s="976"/>
      <c r="E82" s="976"/>
      <c r="F82" s="976"/>
      <c r="G82" s="976"/>
      <c r="H82" s="976"/>
      <c r="I82" s="976"/>
      <c r="J82" s="976"/>
      <c r="K82" s="976"/>
      <c r="L82" s="976"/>
      <c r="M82" s="976"/>
      <c r="N82" s="976"/>
      <c r="O82" s="976"/>
      <c r="P82" s="976"/>
      <c r="Q82" s="976"/>
      <c r="R82" s="976"/>
      <c r="S82" s="976"/>
      <c r="T82" s="976"/>
      <c r="U82" s="976"/>
    </row>
    <row r="83" spans="1:21" ht="12.75" hidden="1" customHeight="1">
      <c r="A83" s="976"/>
      <c r="B83" s="976"/>
      <c r="C83" s="976"/>
      <c r="D83" s="976"/>
      <c r="E83" s="976"/>
      <c r="F83" s="976"/>
      <c r="G83" s="976"/>
      <c r="H83" s="976"/>
      <c r="I83" s="976"/>
      <c r="J83" s="976"/>
      <c r="K83" s="976"/>
      <c r="L83" s="976"/>
      <c r="M83" s="976"/>
      <c r="N83" s="976"/>
      <c r="O83" s="976"/>
      <c r="P83" s="976"/>
      <c r="Q83" s="976"/>
      <c r="R83" s="976"/>
      <c r="S83" s="976"/>
      <c r="T83" s="976"/>
      <c r="U83" s="976"/>
    </row>
    <row r="84" spans="1:21" ht="12.75" hidden="1" customHeight="1">
      <c r="A84" s="976"/>
      <c r="B84" s="976"/>
      <c r="C84" s="976"/>
      <c r="D84" s="976"/>
      <c r="E84" s="976"/>
      <c r="F84" s="976"/>
      <c r="G84" s="976"/>
      <c r="H84" s="976"/>
      <c r="I84" s="976"/>
      <c r="J84" s="976"/>
      <c r="K84" s="976"/>
      <c r="L84" s="976"/>
      <c r="M84" s="976"/>
      <c r="N84" s="976"/>
      <c r="O84" s="976"/>
      <c r="P84" s="976"/>
      <c r="Q84" s="976"/>
      <c r="R84" s="976"/>
      <c r="S84" s="976"/>
      <c r="T84" s="976"/>
      <c r="U84" s="976"/>
    </row>
    <row r="85" spans="1:21" ht="12.75" hidden="1" customHeight="1">
      <c r="A85" s="976"/>
      <c r="B85" s="976"/>
      <c r="C85" s="976"/>
      <c r="D85" s="976"/>
      <c r="E85" s="976"/>
      <c r="F85" s="976"/>
      <c r="G85" s="976"/>
      <c r="H85" s="976"/>
      <c r="I85" s="976"/>
      <c r="J85" s="976"/>
      <c r="K85" s="976"/>
      <c r="L85" s="976"/>
      <c r="M85" s="976"/>
      <c r="N85" s="976"/>
      <c r="O85" s="976"/>
      <c r="P85" s="976"/>
      <c r="Q85" s="976"/>
      <c r="R85" s="976"/>
      <c r="S85" s="976"/>
      <c r="T85" s="976"/>
      <c r="U85" s="976"/>
    </row>
    <row r="86" spans="1:21" ht="12.75" hidden="1" customHeight="1">
      <c r="A86" s="976"/>
      <c r="B86" s="976"/>
      <c r="C86" s="976"/>
      <c r="D86" s="976"/>
      <c r="E86" s="976"/>
      <c r="F86" s="976"/>
      <c r="G86" s="976"/>
      <c r="H86" s="976"/>
      <c r="I86" s="976"/>
      <c r="J86" s="976"/>
      <c r="K86" s="976"/>
      <c r="L86" s="976"/>
      <c r="M86" s="976"/>
      <c r="N86" s="976"/>
      <c r="O86" s="976"/>
      <c r="P86" s="976"/>
      <c r="Q86" s="976"/>
      <c r="R86" s="976"/>
      <c r="S86" s="976"/>
      <c r="T86" s="976"/>
      <c r="U86" s="976"/>
    </row>
    <row r="87" spans="1:21" ht="12.75" hidden="1" customHeight="1">
      <c r="A87" s="976"/>
      <c r="B87" s="976"/>
      <c r="C87" s="976"/>
      <c r="D87" s="976"/>
      <c r="E87" s="976"/>
      <c r="F87" s="976"/>
      <c r="G87" s="976"/>
      <c r="H87" s="976"/>
      <c r="I87" s="976"/>
      <c r="J87" s="976"/>
      <c r="K87" s="976"/>
      <c r="L87" s="976"/>
      <c r="M87" s="976"/>
      <c r="N87" s="976"/>
      <c r="O87" s="976"/>
      <c r="P87" s="976"/>
      <c r="Q87" s="976"/>
      <c r="R87" s="976"/>
      <c r="S87" s="976"/>
      <c r="T87" s="976"/>
      <c r="U87" s="976"/>
    </row>
    <row r="88" spans="1:21" ht="12.75" hidden="1" customHeight="1">
      <c r="A88" s="976"/>
      <c r="B88" s="976"/>
      <c r="C88" s="976"/>
      <c r="D88" s="976"/>
      <c r="E88" s="976"/>
      <c r="F88" s="976"/>
      <c r="G88" s="976"/>
      <c r="H88" s="976"/>
      <c r="I88" s="976"/>
      <c r="J88" s="976"/>
      <c r="K88" s="976"/>
      <c r="L88" s="976"/>
      <c r="M88" s="976"/>
      <c r="N88" s="976"/>
      <c r="O88" s="976"/>
      <c r="P88" s="976"/>
      <c r="Q88" s="976"/>
      <c r="R88" s="976"/>
      <c r="S88" s="976"/>
      <c r="T88" s="976"/>
      <c r="U88" s="976"/>
    </row>
    <row r="89" spans="1:21" ht="12.75" hidden="1" customHeight="1">
      <c r="A89" s="976"/>
      <c r="B89" s="976"/>
      <c r="C89" s="976"/>
      <c r="D89" s="976"/>
      <c r="E89" s="976"/>
      <c r="F89" s="976"/>
      <c r="G89" s="976"/>
      <c r="H89" s="976"/>
      <c r="I89" s="976"/>
      <c r="J89" s="976"/>
      <c r="K89" s="976"/>
      <c r="L89" s="976"/>
      <c r="M89" s="976"/>
      <c r="N89" s="976"/>
      <c r="O89" s="976"/>
      <c r="P89" s="976"/>
      <c r="Q89" s="976"/>
      <c r="R89" s="976"/>
      <c r="S89" s="976"/>
      <c r="T89" s="976"/>
      <c r="U89" s="976"/>
    </row>
    <row r="90" spans="1:21" ht="12.75" hidden="1" customHeight="1">
      <c r="A90" s="976"/>
      <c r="B90" s="976"/>
      <c r="C90" s="976"/>
      <c r="D90" s="976"/>
      <c r="E90" s="976"/>
      <c r="F90" s="976"/>
      <c r="G90" s="976"/>
      <c r="H90" s="976"/>
      <c r="I90" s="976"/>
      <c r="J90" s="976"/>
      <c r="K90" s="976"/>
      <c r="L90" s="976"/>
      <c r="M90" s="976"/>
      <c r="N90" s="976"/>
      <c r="O90" s="976"/>
      <c r="P90" s="976"/>
      <c r="Q90" s="976"/>
      <c r="R90" s="976"/>
      <c r="S90" s="976"/>
      <c r="T90" s="976"/>
      <c r="U90" s="976"/>
    </row>
    <row r="91" spans="1:21" ht="12.75" hidden="1" customHeight="1">
      <c r="A91" s="976"/>
      <c r="B91" s="976"/>
      <c r="C91" s="976"/>
      <c r="D91" s="976"/>
      <c r="E91" s="976"/>
      <c r="F91" s="976"/>
      <c r="G91" s="976"/>
      <c r="H91" s="976"/>
      <c r="I91" s="976"/>
      <c r="J91" s="976"/>
      <c r="K91" s="976"/>
      <c r="L91" s="976"/>
      <c r="M91" s="976"/>
      <c r="N91" s="976"/>
      <c r="O91" s="976"/>
      <c r="P91" s="976"/>
      <c r="Q91" s="976"/>
      <c r="R91" s="976"/>
      <c r="S91" s="976"/>
      <c r="T91" s="976"/>
      <c r="U91" s="976"/>
    </row>
    <row r="92" spans="1:21" ht="12.75" hidden="1" customHeight="1">
      <c r="A92" s="976"/>
      <c r="B92" s="976"/>
      <c r="C92" s="976"/>
      <c r="D92" s="976"/>
      <c r="E92" s="976"/>
      <c r="F92" s="976"/>
      <c r="G92" s="976"/>
      <c r="H92" s="976"/>
      <c r="I92" s="976"/>
      <c r="J92" s="976"/>
      <c r="K92" s="976"/>
      <c r="L92" s="976"/>
      <c r="M92" s="976"/>
      <c r="N92" s="976"/>
      <c r="O92" s="976"/>
      <c r="P92" s="976"/>
      <c r="Q92" s="976"/>
      <c r="R92" s="976"/>
      <c r="S92" s="976"/>
      <c r="T92" s="976"/>
      <c r="U92" s="976"/>
    </row>
    <row r="93" spans="1:21" ht="12.75" hidden="1" customHeight="1">
      <c r="A93" s="976"/>
      <c r="B93" s="976"/>
      <c r="C93" s="976"/>
      <c r="D93" s="976"/>
      <c r="E93" s="976"/>
      <c r="F93" s="976"/>
      <c r="G93" s="976"/>
      <c r="H93" s="976"/>
      <c r="I93" s="976"/>
      <c r="J93" s="976"/>
      <c r="K93" s="976"/>
      <c r="L93" s="976"/>
      <c r="M93" s="976"/>
      <c r="N93" s="976"/>
      <c r="O93" s="976"/>
      <c r="P93" s="976"/>
      <c r="Q93" s="976"/>
      <c r="R93" s="976"/>
      <c r="S93" s="976"/>
      <c r="T93" s="976"/>
      <c r="U93" s="976"/>
    </row>
    <row r="94" spans="1:21" ht="12.75" hidden="1" customHeight="1">
      <c r="A94" s="976"/>
      <c r="B94" s="976"/>
      <c r="C94" s="976"/>
      <c r="D94" s="976"/>
      <c r="E94" s="976"/>
      <c r="F94" s="976"/>
      <c r="G94" s="976"/>
      <c r="H94" s="976"/>
      <c r="I94" s="976"/>
      <c r="J94" s="976"/>
      <c r="K94" s="976"/>
      <c r="L94" s="976"/>
      <c r="M94" s="976"/>
      <c r="N94" s="976"/>
      <c r="O94" s="976"/>
      <c r="P94" s="976"/>
      <c r="Q94" s="976"/>
      <c r="R94" s="976"/>
      <c r="S94" s="976"/>
      <c r="T94" s="976"/>
      <c r="U94" s="976"/>
    </row>
    <row r="95" spans="1:21" ht="12.75" hidden="1" customHeight="1">
      <c r="A95" s="976"/>
      <c r="B95" s="976"/>
      <c r="C95" s="976"/>
      <c r="D95" s="976"/>
      <c r="E95" s="976"/>
      <c r="F95" s="976"/>
      <c r="G95" s="976"/>
      <c r="H95" s="976"/>
      <c r="I95" s="976"/>
      <c r="J95" s="976"/>
      <c r="K95" s="976"/>
      <c r="L95" s="976"/>
      <c r="M95" s="976"/>
      <c r="N95" s="976"/>
      <c r="O95" s="976"/>
      <c r="P95" s="976"/>
      <c r="Q95" s="976"/>
      <c r="R95" s="976"/>
      <c r="S95" s="976"/>
      <c r="T95" s="976"/>
      <c r="U95" s="976"/>
    </row>
    <row r="96" spans="1:21" ht="12.75" hidden="1" customHeight="1">
      <c r="A96" s="976"/>
      <c r="B96" s="976"/>
      <c r="C96" s="976"/>
      <c r="D96" s="976"/>
      <c r="E96" s="976"/>
      <c r="F96" s="976"/>
      <c r="G96" s="976"/>
      <c r="H96" s="976"/>
      <c r="I96" s="976"/>
      <c r="J96" s="976"/>
      <c r="K96" s="976"/>
      <c r="L96" s="976"/>
      <c r="M96" s="976"/>
      <c r="N96" s="976"/>
      <c r="O96" s="976"/>
      <c r="P96" s="976"/>
      <c r="Q96" s="976"/>
      <c r="R96" s="976"/>
      <c r="S96" s="976"/>
      <c r="T96" s="976"/>
      <c r="U96" s="976"/>
    </row>
    <row r="97" spans="1:21" ht="12.75" hidden="1" customHeight="1">
      <c r="A97" s="976"/>
      <c r="B97" s="976"/>
      <c r="C97" s="976"/>
      <c r="D97" s="976"/>
      <c r="E97" s="976"/>
      <c r="F97" s="976"/>
      <c r="G97" s="976"/>
      <c r="H97" s="976"/>
      <c r="I97" s="976"/>
      <c r="J97" s="976"/>
      <c r="K97" s="976"/>
      <c r="L97" s="976"/>
      <c r="M97" s="976"/>
      <c r="N97" s="976"/>
      <c r="O97" s="976"/>
      <c r="P97" s="976"/>
      <c r="Q97" s="976"/>
      <c r="R97" s="976"/>
      <c r="S97" s="976"/>
      <c r="T97" s="976"/>
      <c r="U97" s="976"/>
    </row>
    <row r="98" spans="1:21" ht="12.75" hidden="1" customHeight="1">
      <c r="A98" s="976"/>
      <c r="B98" s="976"/>
      <c r="C98" s="976"/>
      <c r="D98" s="976"/>
      <c r="E98" s="976"/>
      <c r="F98" s="976"/>
      <c r="G98" s="976"/>
      <c r="H98" s="976"/>
      <c r="I98" s="976"/>
      <c r="J98" s="976"/>
      <c r="K98" s="976"/>
      <c r="L98" s="976"/>
      <c r="M98" s="976"/>
      <c r="N98" s="976"/>
      <c r="O98" s="976"/>
      <c r="P98" s="976"/>
      <c r="Q98" s="976"/>
      <c r="R98" s="976"/>
      <c r="S98" s="976"/>
      <c r="T98" s="976"/>
      <c r="U98" s="976"/>
    </row>
    <row r="99" spans="1:21" ht="12.75" hidden="1" customHeight="1">
      <c r="A99" s="976"/>
      <c r="B99" s="976"/>
      <c r="C99" s="976"/>
      <c r="D99" s="976"/>
      <c r="E99" s="976"/>
      <c r="F99" s="976"/>
      <c r="G99" s="976"/>
      <c r="H99" s="976"/>
      <c r="I99" s="976"/>
      <c r="J99" s="976"/>
      <c r="K99" s="976"/>
      <c r="L99" s="976"/>
      <c r="M99" s="976"/>
      <c r="N99" s="976"/>
      <c r="O99" s="976"/>
      <c r="P99" s="976"/>
      <c r="Q99" s="976"/>
      <c r="R99" s="976"/>
      <c r="S99" s="976"/>
      <c r="T99" s="976"/>
      <c r="U99" s="976"/>
    </row>
    <row r="100" spans="1:21" ht="12.75" hidden="1" customHeight="1">
      <c r="A100" s="976"/>
      <c r="B100" s="976"/>
      <c r="C100" s="976"/>
      <c r="D100" s="976"/>
      <c r="E100" s="976"/>
      <c r="F100" s="976"/>
      <c r="G100" s="976"/>
      <c r="H100" s="976"/>
      <c r="I100" s="976"/>
      <c r="J100" s="976"/>
      <c r="K100" s="976"/>
      <c r="L100" s="976"/>
      <c r="M100" s="976"/>
      <c r="N100" s="976"/>
      <c r="O100" s="976"/>
      <c r="P100" s="976"/>
      <c r="Q100" s="976"/>
      <c r="R100" s="976"/>
      <c r="S100" s="976"/>
      <c r="T100" s="976"/>
      <c r="U100" s="976"/>
    </row>
    <row r="101" spans="1:21" ht="12.75" hidden="1" customHeight="1">
      <c r="A101" s="976"/>
      <c r="B101" s="976"/>
      <c r="C101" s="976"/>
      <c r="D101" s="976"/>
      <c r="E101" s="976"/>
      <c r="F101" s="976"/>
      <c r="G101" s="976"/>
      <c r="H101" s="976"/>
      <c r="I101" s="976"/>
      <c r="J101" s="976"/>
      <c r="K101" s="976"/>
      <c r="L101" s="976"/>
      <c r="M101" s="976"/>
      <c r="N101" s="976"/>
      <c r="O101" s="976"/>
      <c r="P101" s="976"/>
      <c r="Q101" s="976"/>
      <c r="R101" s="976"/>
      <c r="S101" s="976"/>
      <c r="T101" s="976"/>
      <c r="U101" s="976"/>
    </row>
    <row r="102" spans="1:21" ht="12.75" hidden="1" customHeight="1">
      <c r="A102" s="976"/>
      <c r="B102" s="976"/>
      <c r="C102" s="976"/>
      <c r="D102" s="976"/>
      <c r="E102" s="976"/>
      <c r="F102" s="976"/>
      <c r="G102" s="976"/>
      <c r="H102" s="976"/>
      <c r="I102" s="976"/>
      <c r="J102" s="976"/>
      <c r="K102" s="976"/>
      <c r="L102" s="976"/>
      <c r="M102" s="976"/>
      <c r="N102" s="976"/>
      <c r="O102" s="976"/>
      <c r="P102" s="976"/>
      <c r="Q102" s="976"/>
      <c r="R102" s="976"/>
      <c r="S102" s="976"/>
      <c r="T102" s="976"/>
      <c r="U102" s="976"/>
    </row>
    <row r="103" spans="1:21" ht="12.75" hidden="1" customHeight="1">
      <c r="A103" s="976"/>
      <c r="B103" s="976"/>
      <c r="C103" s="976"/>
      <c r="D103" s="976"/>
      <c r="E103" s="976"/>
      <c r="F103" s="976"/>
      <c r="G103" s="976"/>
      <c r="H103" s="976"/>
      <c r="I103" s="976"/>
      <c r="J103" s="976"/>
      <c r="K103" s="976"/>
      <c r="L103" s="976"/>
      <c r="M103" s="976"/>
      <c r="N103" s="976"/>
      <c r="O103" s="976"/>
      <c r="P103" s="976"/>
      <c r="Q103" s="976"/>
      <c r="R103" s="976"/>
      <c r="S103" s="976"/>
      <c r="T103" s="976"/>
      <c r="U103" s="976"/>
    </row>
    <row r="104" spans="1:21" ht="12.75" hidden="1" customHeight="1">
      <c r="A104" s="976"/>
      <c r="B104" s="976"/>
      <c r="C104" s="976"/>
      <c r="D104" s="976"/>
      <c r="E104" s="976"/>
      <c r="F104" s="976"/>
      <c r="G104" s="976"/>
      <c r="H104" s="976"/>
      <c r="I104" s="976"/>
      <c r="J104" s="976"/>
      <c r="K104" s="976"/>
      <c r="L104" s="976"/>
      <c r="M104" s="976"/>
      <c r="N104" s="976"/>
      <c r="O104" s="976"/>
      <c r="P104" s="976"/>
      <c r="Q104" s="976"/>
      <c r="R104" s="976"/>
      <c r="S104" s="976"/>
      <c r="T104" s="976"/>
      <c r="U104" s="976"/>
    </row>
    <row r="105" spans="1:21" ht="12.75" hidden="1" customHeight="1">
      <c r="A105" s="976"/>
      <c r="B105" s="976"/>
      <c r="C105" s="976"/>
      <c r="D105" s="976"/>
      <c r="E105" s="976"/>
      <c r="F105" s="976"/>
      <c r="G105" s="976"/>
      <c r="H105" s="976"/>
      <c r="I105" s="976"/>
      <c r="J105" s="976"/>
      <c r="K105" s="976"/>
      <c r="L105" s="976"/>
      <c r="M105" s="976"/>
      <c r="N105" s="976"/>
      <c r="O105" s="976"/>
      <c r="P105" s="976"/>
      <c r="Q105" s="976"/>
      <c r="R105" s="976"/>
      <c r="S105" s="976"/>
      <c r="T105" s="976"/>
      <c r="U105" s="976"/>
    </row>
    <row r="106" spans="1:21" ht="12.75" hidden="1" customHeight="1">
      <c r="A106" s="976"/>
      <c r="B106" s="976"/>
      <c r="C106" s="976"/>
      <c r="D106" s="976"/>
      <c r="E106" s="976"/>
      <c r="F106" s="976"/>
      <c r="G106" s="976"/>
      <c r="H106" s="976"/>
      <c r="I106" s="976"/>
      <c r="J106" s="976"/>
      <c r="K106" s="976"/>
      <c r="L106" s="976"/>
      <c r="M106" s="976"/>
      <c r="N106" s="976"/>
      <c r="O106" s="976"/>
      <c r="P106" s="976"/>
      <c r="Q106" s="976"/>
      <c r="R106" s="976"/>
      <c r="S106" s="976"/>
      <c r="T106" s="976"/>
      <c r="U106" s="976"/>
    </row>
    <row r="107" spans="1:21" ht="12.75" hidden="1" customHeight="1">
      <c r="A107" s="976"/>
      <c r="B107" s="976"/>
      <c r="C107" s="976"/>
      <c r="D107" s="976"/>
      <c r="E107" s="976"/>
      <c r="F107" s="976"/>
      <c r="G107" s="976"/>
      <c r="H107" s="976"/>
      <c r="I107" s="976"/>
      <c r="J107" s="976"/>
      <c r="K107" s="976"/>
      <c r="L107" s="976"/>
      <c r="M107" s="976"/>
      <c r="N107" s="976"/>
      <c r="O107" s="976"/>
      <c r="P107" s="976"/>
      <c r="Q107" s="976"/>
      <c r="R107" s="976"/>
      <c r="S107" s="976"/>
      <c r="T107" s="976"/>
      <c r="U107" s="976"/>
    </row>
    <row r="108" spans="1:21" ht="12.75" hidden="1" customHeight="1">
      <c r="A108" s="976"/>
      <c r="B108" s="976"/>
      <c r="C108" s="976"/>
      <c r="D108" s="976"/>
      <c r="E108" s="976"/>
      <c r="F108" s="976"/>
      <c r="G108" s="976"/>
      <c r="H108" s="976"/>
      <c r="I108" s="976"/>
      <c r="J108" s="976"/>
      <c r="K108" s="976"/>
      <c r="L108" s="976"/>
      <c r="M108" s="976"/>
      <c r="N108" s="976"/>
      <c r="O108" s="976"/>
      <c r="P108" s="976"/>
      <c r="Q108" s="976"/>
      <c r="R108" s="976"/>
      <c r="S108" s="976"/>
      <c r="T108" s="976"/>
      <c r="U108" s="976"/>
    </row>
    <row r="109" spans="1:21" ht="12.75" hidden="1" customHeight="1">
      <c r="A109" s="976"/>
      <c r="B109" s="976"/>
      <c r="C109" s="976"/>
      <c r="D109" s="976"/>
      <c r="E109" s="976"/>
      <c r="F109" s="976"/>
      <c r="G109" s="976"/>
      <c r="H109" s="976"/>
      <c r="I109" s="976"/>
      <c r="J109" s="976"/>
      <c r="K109" s="976"/>
      <c r="L109" s="976"/>
      <c r="M109" s="976"/>
      <c r="N109" s="976"/>
      <c r="O109" s="976"/>
      <c r="P109" s="976"/>
      <c r="Q109" s="976"/>
      <c r="R109" s="976"/>
      <c r="S109" s="976"/>
      <c r="T109" s="976"/>
      <c r="U109" s="976"/>
    </row>
    <row r="110" spans="1:21" ht="12.75" hidden="1" customHeight="1">
      <c r="A110" s="976"/>
      <c r="B110" s="976"/>
      <c r="C110" s="976"/>
      <c r="D110" s="976"/>
      <c r="E110" s="976"/>
      <c r="F110" s="976"/>
      <c r="G110" s="976"/>
      <c r="H110" s="976"/>
      <c r="I110" s="976"/>
      <c r="J110" s="976"/>
      <c r="K110" s="976"/>
      <c r="L110" s="976"/>
      <c r="M110" s="976"/>
      <c r="N110" s="976"/>
      <c r="O110" s="976"/>
      <c r="P110" s="976"/>
      <c r="Q110" s="976"/>
      <c r="R110" s="976"/>
      <c r="S110" s="976"/>
      <c r="T110" s="976"/>
      <c r="U110" s="976"/>
    </row>
    <row r="111" spans="1:21" ht="12.75" hidden="1" customHeight="1">
      <c r="A111" s="976"/>
      <c r="B111" s="976"/>
      <c r="C111" s="976"/>
      <c r="D111" s="976"/>
      <c r="E111" s="976"/>
      <c r="F111" s="976"/>
      <c r="G111" s="976"/>
      <c r="H111" s="976"/>
      <c r="I111" s="976"/>
      <c r="J111" s="976"/>
      <c r="K111" s="976"/>
      <c r="L111" s="976"/>
      <c r="M111" s="976"/>
      <c r="N111" s="976"/>
      <c r="O111" s="976"/>
      <c r="P111" s="976"/>
      <c r="Q111" s="976"/>
      <c r="R111" s="976"/>
      <c r="S111" s="976"/>
      <c r="T111" s="976"/>
      <c r="U111" s="976"/>
    </row>
    <row r="112" spans="1:21" ht="12.75" hidden="1" customHeight="1">
      <c r="A112" s="976"/>
      <c r="B112" s="976"/>
      <c r="C112" s="976"/>
      <c r="D112" s="976"/>
      <c r="E112" s="976"/>
      <c r="F112" s="976"/>
      <c r="G112" s="976"/>
      <c r="H112" s="976"/>
      <c r="I112" s="976"/>
      <c r="J112" s="976"/>
      <c r="K112" s="976"/>
      <c r="L112" s="976"/>
      <c r="M112" s="976"/>
      <c r="N112" s="976"/>
      <c r="O112" s="976"/>
      <c r="P112" s="976"/>
      <c r="Q112" s="976"/>
      <c r="R112" s="976"/>
      <c r="S112" s="976"/>
      <c r="T112" s="976"/>
      <c r="U112" s="976"/>
    </row>
    <row r="113" spans="1:21" ht="12.75" hidden="1" customHeight="1">
      <c r="A113" s="976"/>
      <c r="B113" s="976"/>
      <c r="C113" s="976"/>
      <c r="D113" s="976"/>
      <c r="E113" s="976"/>
      <c r="F113" s="976"/>
      <c r="G113" s="976"/>
      <c r="H113" s="976"/>
      <c r="I113" s="976"/>
      <c r="J113" s="976"/>
      <c r="K113" s="976"/>
      <c r="L113" s="976"/>
      <c r="M113" s="976"/>
      <c r="N113" s="976"/>
      <c r="O113" s="976"/>
      <c r="P113" s="976"/>
      <c r="Q113" s="976"/>
      <c r="R113" s="976"/>
      <c r="S113" s="976"/>
      <c r="T113" s="976"/>
      <c r="U113" s="976"/>
    </row>
    <row r="114" spans="1:21" ht="12.75" hidden="1" customHeight="1">
      <c r="A114" s="976"/>
      <c r="B114" s="976"/>
      <c r="C114" s="976"/>
      <c r="D114" s="976"/>
      <c r="E114" s="976"/>
      <c r="F114" s="976"/>
      <c r="G114" s="976"/>
      <c r="H114" s="976"/>
      <c r="I114" s="976"/>
      <c r="J114" s="976"/>
      <c r="K114" s="976"/>
      <c r="L114" s="976"/>
      <c r="M114" s="976"/>
      <c r="N114" s="976"/>
      <c r="O114" s="976"/>
      <c r="P114" s="976"/>
      <c r="Q114" s="976"/>
      <c r="R114" s="976"/>
      <c r="S114" s="976"/>
      <c r="T114" s="976"/>
      <c r="U114" s="976"/>
    </row>
    <row r="115" spans="1:21" ht="12.75" hidden="1" customHeight="1">
      <c r="A115" s="976"/>
      <c r="B115" s="976"/>
      <c r="C115" s="976"/>
      <c r="D115" s="976"/>
      <c r="E115" s="976"/>
      <c r="F115" s="976"/>
      <c r="G115" s="976"/>
      <c r="H115" s="976"/>
      <c r="I115" s="976"/>
      <c r="J115" s="976"/>
      <c r="K115" s="976"/>
      <c r="L115" s="976"/>
      <c r="M115" s="976"/>
      <c r="N115" s="976"/>
      <c r="O115" s="976"/>
      <c r="P115" s="976"/>
      <c r="Q115" s="976"/>
      <c r="R115" s="976"/>
      <c r="S115" s="976"/>
      <c r="T115" s="976"/>
      <c r="U115" s="976"/>
    </row>
    <row r="116" spans="1:21" ht="12.75" hidden="1" customHeight="1">
      <c r="A116" s="976"/>
      <c r="B116" s="976"/>
      <c r="C116" s="976"/>
      <c r="D116" s="976"/>
      <c r="E116" s="976"/>
      <c r="F116" s="976"/>
      <c r="G116" s="976"/>
      <c r="H116" s="976"/>
      <c r="I116" s="976"/>
      <c r="J116" s="976"/>
      <c r="K116" s="976"/>
      <c r="L116" s="976"/>
      <c r="M116" s="976"/>
      <c r="N116" s="976"/>
      <c r="O116" s="976"/>
      <c r="P116" s="976"/>
      <c r="Q116" s="976"/>
      <c r="R116" s="976"/>
      <c r="S116" s="976"/>
      <c r="T116" s="976"/>
      <c r="U116" s="976"/>
    </row>
    <row r="117" spans="1:21" ht="12.75" hidden="1" customHeight="1">
      <c r="A117" s="976"/>
      <c r="B117" s="976"/>
      <c r="C117" s="976"/>
      <c r="D117" s="976"/>
      <c r="E117" s="976"/>
      <c r="F117" s="976"/>
      <c r="G117" s="976"/>
      <c r="H117" s="976"/>
      <c r="I117" s="976"/>
      <c r="J117" s="976"/>
      <c r="K117" s="976"/>
      <c r="L117" s="976"/>
      <c r="M117" s="976"/>
      <c r="N117" s="976"/>
      <c r="O117" s="976"/>
      <c r="P117" s="976"/>
      <c r="Q117" s="976"/>
      <c r="R117" s="976"/>
      <c r="S117" s="976"/>
      <c r="T117" s="976"/>
      <c r="U117" s="976"/>
    </row>
    <row r="118" spans="1:21" ht="12.75" hidden="1" customHeight="1">
      <c r="A118" s="976"/>
      <c r="B118" s="976"/>
      <c r="C118" s="976"/>
      <c r="D118" s="976"/>
      <c r="E118" s="976"/>
      <c r="F118" s="976"/>
      <c r="G118" s="976"/>
      <c r="H118" s="976"/>
      <c r="I118" s="976"/>
      <c r="J118" s="976"/>
      <c r="K118" s="976"/>
      <c r="L118" s="976"/>
      <c r="M118" s="976"/>
      <c r="N118" s="976"/>
      <c r="O118" s="976"/>
      <c r="P118" s="976"/>
      <c r="Q118" s="976"/>
      <c r="R118" s="976"/>
      <c r="S118" s="976"/>
      <c r="T118" s="976"/>
      <c r="U118" s="976"/>
    </row>
    <row r="119" spans="1:21" ht="12.75" hidden="1" customHeight="1">
      <c r="A119" s="976"/>
      <c r="B119" s="976"/>
      <c r="C119" s="976"/>
      <c r="D119" s="976"/>
      <c r="E119" s="976"/>
      <c r="F119" s="976"/>
      <c r="G119" s="976"/>
      <c r="H119" s="976"/>
      <c r="I119" s="976"/>
      <c r="J119" s="976"/>
      <c r="K119" s="976"/>
      <c r="L119" s="976"/>
      <c r="M119" s="976"/>
      <c r="N119" s="976"/>
      <c r="O119" s="976"/>
      <c r="P119" s="976"/>
      <c r="Q119" s="976"/>
      <c r="R119" s="976"/>
      <c r="S119" s="976"/>
      <c r="T119" s="976"/>
      <c r="U119" s="976"/>
    </row>
    <row r="120" spans="1:21" ht="12.75" hidden="1" customHeight="1">
      <c r="A120" s="976"/>
      <c r="B120" s="976"/>
      <c r="C120" s="976"/>
      <c r="D120" s="976"/>
      <c r="E120" s="976"/>
      <c r="F120" s="976"/>
      <c r="G120" s="976"/>
      <c r="H120" s="976"/>
      <c r="I120" s="976"/>
      <c r="J120" s="976"/>
      <c r="K120" s="976"/>
      <c r="L120" s="976"/>
      <c r="M120" s="976"/>
      <c r="N120" s="976"/>
      <c r="O120" s="976"/>
      <c r="P120" s="976"/>
      <c r="Q120" s="976"/>
      <c r="R120" s="976"/>
      <c r="S120" s="976"/>
      <c r="T120" s="976"/>
      <c r="U120" s="976"/>
    </row>
    <row r="121" spans="1:21" ht="12.75" hidden="1" customHeight="1">
      <c r="A121" s="976"/>
      <c r="B121" s="976"/>
      <c r="C121" s="976"/>
      <c r="D121" s="976"/>
      <c r="E121" s="976"/>
      <c r="F121" s="976"/>
      <c r="G121" s="976"/>
      <c r="H121" s="976"/>
      <c r="I121" s="976"/>
      <c r="J121" s="976"/>
      <c r="K121" s="976"/>
      <c r="L121" s="976"/>
      <c r="M121" s="976"/>
      <c r="N121" s="976"/>
      <c r="O121" s="976"/>
      <c r="P121" s="976"/>
      <c r="Q121" s="976"/>
      <c r="R121" s="976"/>
      <c r="S121" s="976"/>
      <c r="T121" s="976"/>
      <c r="U121" s="976"/>
    </row>
    <row r="122" spans="1:21" ht="12.75" hidden="1" customHeight="1">
      <c r="A122" s="976"/>
      <c r="B122" s="976"/>
      <c r="C122" s="976"/>
      <c r="D122" s="976"/>
      <c r="E122" s="976"/>
      <c r="F122" s="976"/>
      <c r="G122" s="976"/>
      <c r="H122" s="976"/>
      <c r="I122" s="976"/>
      <c r="J122" s="976"/>
      <c r="K122" s="976"/>
      <c r="L122" s="976"/>
      <c r="M122" s="976"/>
      <c r="N122" s="976"/>
      <c r="O122" s="976"/>
      <c r="P122" s="976"/>
      <c r="Q122" s="976"/>
      <c r="R122" s="976"/>
      <c r="S122" s="976"/>
      <c r="T122" s="976"/>
      <c r="U122" s="976"/>
    </row>
    <row r="123" spans="1:21" ht="12.75" hidden="1" customHeight="1">
      <c r="A123" s="976"/>
      <c r="B123" s="976"/>
      <c r="C123" s="976"/>
      <c r="D123" s="976"/>
      <c r="E123" s="976"/>
      <c r="F123" s="976"/>
      <c r="G123" s="976"/>
      <c r="H123" s="976"/>
      <c r="I123" s="976"/>
      <c r="J123" s="976"/>
      <c r="K123" s="976"/>
      <c r="L123" s="976"/>
      <c r="M123" s="976"/>
      <c r="N123" s="976"/>
      <c r="O123" s="976"/>
      <c r="P123" s="976"/>
      <c r="Q123" s="976"/>
      <c r="R123" s="976"/>
      <c r="S123" s="976"/>
      <c r="T123" s="976"/>
      <c r="U123" s="976"/>
    </row>
    <row r="124" spans="1:21" ht="12.75" hidden="1" customHeight="1">
      <c r="A124" s="976"/>
      <c r="B124" s="976"/>
      <c r="C124" s="976"/>
      <c r="D124" s="976"/>
      <c r="E124" s="976"/>
      <c r="F124" s="976"/>
      <c r="G124" s="976"/>
      <c r="H124" s="976"/>
      <c r="I124" s="976"/>
      <c r="J124" s="976"/>
      <c r="K124" s="976"/>
      <c r="L124" s="976"/>
      <c r="M124" s="976"/>
      <c r="N124" s="976"/>
      <c r="O124" s="976"/>
      <c r="P124" s="976"/>
      <c r="Q124" s="976"/>
      <c r="R124" s="976"/>
      <c r="S124" s="976"/>
      <c r="T124" s="976"/>
      <c r="U124" s="976"/>
    </row>
    <row r="125" spans="1:21" ht="12.75" hidden="1" customHeight="1">
      <c r="A125" s="976"/>
      <c r="B125" s="976"/>
      <c r="C125" s="976"/>
      <c r="D125" s="976"/>
      <c r="E125" s="976"/>
      <c r="F125" s="976"/>
      <c r="G125" s="976"/>
      <c r="H125" s="976"/>
      <c r="I125" s="976"/>
      <c r="J125" s="976"/>
      <c r="K125" s="976"/>
      <c r="L125" s="976"/>
      <c r="M125" s="976"/>
      <c r="N125" s="976"/>
      <c r="O125" s="976"/>
      <c r="P125" s="976"/>
      <c r="Q125" s="976"/>
      <c r="R125" s="976"/>
      <c r="S125" s="976"/>
      <c r="T125" s="976"/>
      <c r="U125" s="976"/>
    </row>
    <row r="126" spans="1:21" ht="12.75" hidden="1" customHeight="1">
      <c r="A126" s="976"/>
      <c r="B126" s="976"/>
      <c r="C126" s="976"/>
      <c r="D126" s="976"/>
      <c r="E126" s="976"/>
      <c r="F126" s="976"/>
      <c r="G126" s="976"/>
      <c r="H126" s="976"/>
      <c r="I126" s="976"/>
      <c r="J126" s="976"/>
      <c r="K126" s="976"/>
      <c r="L126" s="976"/>
      <c r="M126" s="976"/>
      <c r="N126" s="976"/>
      <c r="O126" s="976"/>
      <c r="P126" s="976"/>
      <c r="Q126" s="976"/>
      <c r="R126" s="976"/>
      <c r="S126" s="976"/>
      <c r="T126" s="976"/>
      <c r="U126" s="976"/>
    </row>
    <row r="127" spans="1:21" ht="12.75" hidden="1" customHeight="1">
      <c r="A127" s="976"/>
      <c r="B127" s="976"/>
      <c r="C127" s="976"/>
      <c r="D127" s="976"/>
      <c r="E127" s="976"/>
      <c r="F127" s="976"/>
      <c r="G127" s="976"/>
      <c r="H127" s="976"/>
      <c r="I127" s="976"/>
      <c r="J127" s="976"/>
      <c r="K127" s="976"/>
      <c r="L127" s="976"/>
      <c r="M127" s="976"/>
      <c r="N127" s="976"/>
      <c r="O127" s="976"/>
      <c r="P127" s="976"/>
      <c r="Q127" s="976"/>
      <c r="R127" s="976"/>
      <c r="S127" s="976"/>
      <c r="T127" s="976"/>
      <c r="U127" s="976"/>
    </row>
    <row r="128" spans="1:21" ht="12.75" hidden="1" customHeight="1">
      <c r="A128" s="976"/>
      <c r="B128" s="976"/>
      <c r="C128" s="976"/>
      <c r="D128" s="976"/>
      <c r="E128" s="976"/>
      <c r="F128" s="976"/>
      <c r="G128" s="976"/>
      <c r="H128" s="976"/>
      <c r="I128" s="976"/>
      <c r="J128" s="976"/>
      <c r="K128" s="976"/>
      <c r="L128" s="976"/>
      <c r="M128" s="976"/>
      <c r="N128" s="976"/>
      <c r="O128" s="976"/>
      <c r="P128" s="976"/>
      <c r="Q128" s="976"/>
      <c r="R128" s="976"/>
      <c r="S128" s="976"/>
      <c r="T128" s="976"/>
      <c r="U128" s="976"/>
    </row>
    <row r="129" spans="1:21" ht="12.75" hidden="1" customHeight="1">
      <c r="A129" s="976"/>
      <c r="B129" s="976"/>
      <c r="C129" s="976"/>
      <c r="D129" s="976"/>
      <c r="E129" s="976"/>
      <c r="F129" s="976"/>
      <c r="G129" s="976"/>
      <c r="H129" s="976"/>
      <c r="I129" s="976"/>
      <c r="J129" s="976"/>
      <c r="K129" s="976"/>
      <c r="L129" s="976"/>
      <c r="M129" s="976"/>
      <c r="N129" s="976"/>
      <c r="O129" s="976"/>
      <c r="P129" s="976"/>
      <c r="Q129" s="976"/>
      <c r="R129" s="976"/>
      <c r="S129" s="976"/>
      <c r="T129" s="976"/>
      <c r="U129" s="976"/>
    </row>
    <row r="130" spans="1:21" ht="12.75" hidden="1" customHeight="1">
      <c r="A130" s="976"/>
      <c r="B130" s="976"/>
      <c r="C130" s="976"/>
      <c r="D130" s="976"/>
      <c r="E130" s="976"/>
      <c r="F130" s="976"/>
      <c r="G130" s="976"/>
      <c r="H130" s="976"/>
      <c r="I130" s="976"/>
      <c r="J130" s="976"/>
      <c r="K130" s="976"/>
      <c r="L130" s="976"/>
      <c r="M130" s="976"/>
      <c r="N130" s="976"/>
      <c r="O130" s="976"/>
      <c r="P130" s="976"/>
      <c r="Q130" s="976"/>
      <c r="R130" s="976"/>
      <c r="S130" s="976"/>
      <c r="T130" s="976"/>
      <c r="U130" s="976"/>
    </row>
    <row r="131" spans="1:21" ht="12.75" hidden="1" customHeight="1">
      <c r="A131" s="976"/>
      <c r="B131" s="976"/>
      <c r="C131" s="976"/>
      <c r="D131" s="976"/>
      <c r="E131" s="976"/>
      <c r="F131" s="976"/>
      <c r="G131" s="976"/>
      <c r="H131" s="976"/>
      <c r="I131" s="976"/>
      <c r="J131" s="976"/>
      <c r="K131" s="976"/>
      <c r="L131" s="976"/>
      <c r="M131" s="976"/>
      <c r="N131" s="976"/>
      <c r="O131" s="976"/>
      <c r="P131" s="976"/>
      <c r="Q131" s="976"/>
      <c r="R131" s="976"/>
      <c r="S131" s="976"/>
      <c r="T131" s="976"/>
      <c r="U131" s="976"/>
    </row>
    <row r="132" spans="1:21" ht="12.75" hidden="1" customHeight="1">
      <c r="A132" s="976"/>
      <c r="B132" s="976"/>
      <c r="C132" s="976"/>
      <c r="D132" s="976"/>
      <c r="E132" s="976"/>
      <c r="F132" s="976"/>
      <c r="G132" s="976"/>
      <c r="H132" s="976"/>
      <c r="I132" s="976"/>
      <c r="J132" s="976"/>
      <c r="K132" s="976"/>
      <c r="L132" s="976"/>
      <c r="M132" s="976"/>
      <c r="N132" s="976"/>
      <c r="O132" s="976"/>
      <c r="P132" s="976"/>
      <c r="Q132" s="976"/>
      <c r="R132" s="976"/>
      <c r="S132" s="976"/>
      <c r="T132" s="976"/>
      <c r="U132" s="976"/>
    </row>
    <row r="133" spans="1:21" ht="12.75" hidden="1" customHeight="1">
      <c r="A133" s="976"/>
      <c r="B133" s="976"/>
      <c r="C133" s="976"/>
      <c r="D133" s="976"/>
      <c r="E133" s="976"/>
      <c r="F133" s="976"/>
      <c r="G133" s="976"/>
      <c r="H133" s="976"/>
      <c r="I133" s="976"/>
      <c r="J133" s="976"/>
      <c r="K133" s="976"/>
      <c r="L133" s="976"/>
      <c r="M133" s="976"/>
      <c r="N133" s="976"/>
      <c r="O133" s="976"/>
      <c r="P133" s="976"/>
      <c r="Q133" s="976"/>
      <c r="R133" s="976"/>
      <c r="S133" s="976"/>
      <c r="T133" s="976"/>
      <c r="U133" s="976"/>
    </row>
    <row r="134" spans="1:21" ht="12.75" hidden="1" customHeight="1">
      <c r="A134" s="976"/>
      <c r="B134" s="976"/>
      <c r="C134" s="976"/>
      <c r="D134" s="976"/>
      <c r="E134" s="976"/>
      <c r="F134" s="976"/>
      <c r="G134" s="976"/>
      <c r="H134" s="976"/>
      <c r="I134" s="976"/>
      <c r="J134" s="976"/>
      <c r="K134" s="976"/>
      <c r="L134" s="976"/>
      <c r="M134" s="976"/>
      <c r="N134" s="976"/>
      <c r="O134" s="976"/>
      <c r="P134" s="976"/>
      <c r="Q134" s="976"/>
      <c r="R134" s="976"/>
      <c r="S134" s="976"/>
      <c r="T134" s="976"/>
      <c r="U134" s="976"/>
    </row>
    <row r="135" spans="1:21" ht="12.75" hidden="1" customHeight="1">
      <c r="A135" s="976"/>
      <c r="B135" s="976"/>
      <c r="C135" s="976"/>
      <c r="D135" s="976"/>
      <c r="E135" s="976"/>
      <c r="F135" s="976"/>
      <c r="G135" s="976"/>
      <c r="H135" s="976"/>
      <c r="I135" s="976"/>
      <c r="J135" s="976"/>
      <c r="K135" s="976"/>
      <c r="L135" s="976"/>
      <c r="M135" s="976"/>
      <c r="N135" s="976"/>
      <c r="O135" s="976"/>
      <c r="P135" s="976"/>
      <c r="Q135" s="976"/>
      <c r="R135" s="976"/>
      <c r="S135" s="976"/>
      <c r="T135" s="976"/>
      <c r="U135" s="976"/>
    </row>
    <row r="136" spans="1:21" ht="15" hidden="1">
      <c r="A136" s="976"/>
      <c r="B136" s="976"/>
      <c r="C136" s="976"/>
      <c r="D136" s="976"/>
      <c r="E136" s="976"/>
      <c r="F136" s="976"/>
      <c r="G136" s="976"/>
      <c r="H136" s="976"/>
      <c r="I136" s="976"/>
      <c r="J136" s="976"/>
      <c r="K136" s="976"/>
      <c r="L136" s="976"/>
      <c r="M136" s="976"/>
      <c r="N136" s="976"/>
      <c r="O136" s="976"/>
      <c r="P136" s="976"/>
      <c r="Q136" s="976"/>
      <c r="R136" s="976"/>
      <c r="S136" s="976"/>
      <c r="T136" s="976"/>
      <c r="U136" s="976"/>
    </row>
    <row r="137" spans="1:21" ht="15" hidden="1">
      <c r="A137" s="976"/>
      <c r="B137" s="976"/>
      <c r="C137" s="976"/>
      <c r="D137" s="976"/>
      <c r="E137" s="976"/>
      <c r="F137" s="976"/>
      <c r="G137" s="976"/>
      <c r="H137" s="976"/>
      <c r="I137" s="976"/>
      <c r="J137" s="976"/>
      <c r="K137" s="976"/>
      <c r="L137" s="976"/>
      <c r="M137" s="976"/>
      <c r="N137" s="976"/>
      <c r="O137" s="976"/>
      <c r="P137" s="976"/>
      <c r="Q137" s="976"/>
      <c r="R137" s="976"/>
      <c r="S137" s="976"/>
      <c r="T137" s="976"/>
      <c r="U137" s="976"/>
    </row>
    <row r="138" spans="1:21" ht="15" hidden="1">
      <c r="A138" s="976"/>
      <c r="B138" s="976"/>
      <c r="C138" s="976"/>
      <c r="D138" s="976"/>
      <c r="E138" s="976"/>
      <c r="F138" s="976"/>
      <c r="G138" s="976"/>
      <c r="H138" s="976"/>
      <c r="I138" s="976"/>
      <c r="J138" s="976"/>
      <c r="K138" s="976"/>
      <c r="L138" s="976"/>
      <c r="M138" s="976"/>
      <c r="N138" s="976"/>
      <c r="O138" s="976"/>
      <c r="P138" s="976"/>
      <c r="Q138" s="976"/>
      <c r="R138" s="976"/>
      <c r="S138" s="976"/>
      <c r="T138" s="976"/>
      <c r="U138" s="976"/>
    </row>
    <row r="139" spans="1:21" ht="15" hidden="1">
      <c r="A139" s="976"/>
      <c r="B139" s="976"/>
      <c r="C139" s="976"/>
      <c r="D139" s="976"/>
      <c r="E139" s="976"/>
      <c r="F139" s="976"/>
      <c r="G139" s="976"/>
      <c r="H139" s="976"/>
      <c r="I139" s="976"/>
      <c r="J139" s="976"/>
      <c r="K139" s="976"/>
      <c r="L139" s="976"/>
      <c r="M139" s="976"/>
      <c r="N139" s="976"/>
      <c r="O139" s="976"/>
      <c r="P139" s="976"/>
      <c r="Q139" s="976"/>
      <c r="R139" s="976"/>
      <c r="S139" s="976"/>
      <c r="T139" s="976"/>
      <c r="U139" s="976"/>
    </row>
  </sheetData>
  <sheetProtection password="C7B7" sheet="1" objects="1" scenarios="1"/>
  <protectedRanges>
    <protectedRange sqref="Q11:Q25" name="Range2"/>
    <protectedRange sqref="B11:O25" name="Range1"/>
  </protectedRanges>
  <phoneticPr fontId="13" type="noConversion"/>
  <dataValidations count="4">
    <dataValidation type="list" allowBlank="1" showInputMessage="1" showErrorMessage="1" sqref="C36:E36 D49:E49 N52 C30:E32 D44:E47 C57:E57 D51:E53 D55:E56">
      <formula1>"JK,K,1,2,3,4,5,6,7,8,9,10,11,12"</formula1>
    </dataValidation>
    <dataValidation type="list" showInputMessage="1" showErrorMessage="1" sqref="L25">
      <formula1>$T$6:$T$11</formula1>
    </dataValidation>
    <dataValidation type="list" allowBlank="1" showInputMessage="1" showErrorMessage="1" sqref="B25">
      <formula1>$R$6:$R$11</formula1>
    </dataValidation>
    <dataValidation type="list" showInputMessage="1" showErrorMessage="1" sqref="F11:F25">
      <formula1>$S$6:$S$15</formula1>
    </dataValidation>
  </dataValidations>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IU32"/>
  <sheetViews>
    <sheetView topLeftCell="A22" zoomScaleNormal="100" workbookViewId="0">
      <selection activeCell="F17" sqref="F17"/>
    </sheetView>
  </sheetViews>
  <sheetFormatPr defaultColWidth="0" defaultRowHeight="12.75" customHeight="1" zeroHeight="1"/>
  <cols>
    <col min="1" max="1" width="7.140625" style="976" customWidth="1"/>
    <col min="2" max="2" width="24.85546875" style="976" customWidth="1"/>
    <col min="3" max="3" width="15.7109375" style="976" customWidth="1"/>
    <col min="4" max="7" width="16.7109375" style="976" customWidth="1"/>
    <col min="8" max="8" width="8.42578125" style="976" customWidth="1"/>
    <col min="9" max="255" width="0" style="976" hidden="1" customWidth="1"/>
    <col min="256" max="16384" width="0.140625" style="976" hidden="1"/>
  </cols>
  <sheetData>
    <row r="1" spans="1:8" ht="4.5" customHeight="1" thickBot="1">
      <c r="A1" s="2159" t="s">
        <v>2837</v>
      </c>
      <c r="B1" s="78"/>
      <c r="C1" s="78"/>
      <c r="D1" s="78"/>
      <c r="E1" s="78"/>
      <c r="F1" s="78"/>
      <c r="G1" s="78"/>
      <c r="H1" s="78"/>
    </row>
    <row r="2" spans="1:8" ht="18.75" thickBot="1">
      <c r="A2" s="43" t="s">
        <v>622</v>
      </c>
      <c r="B2" s="78"/>
      <c r="C2" s="78"/>
      <c r="D2" s="941" t="s">
        <v>163</v>
      </c>
      <c r="E2" s="1134"/>
      <c r="F2" s="1475" t="str">
        <f>'1 Summary'!G2</f>
        <v/>
      </c>
      <c r="G2" s="944"/>
      <c r="H2" s="1548"/>
    </row>
    <row r="3" spans="1:8" ht="16.5" thickBot="1">
      <c r="A3" s="104"/>
      <c r="B3" s="78"/>
      <c r="C3" s="78"/>
      <c r="D3" s="941" t="s">
        <v>162</v>
      </c>
      <c r="E3" s="1134"/>
      <c r="F3" s="1143">
        <f>'1 Summary'!G3</f>
        <v>0</v>
      </c>
      <c r="G3" s="814"/>
      <c r="H3" s="1549"/>
    </row>
    <row r="4" spans="1:8" ht="5.25" customHeight="1">
      <c r="A4" s="104"/>
      <c r="B4" s="78"/>
      <c r="C4" s="78"/>
      <c r="D4" s="78"/>
      <c r="E4" s="941"/>
      <c r="F4" s="1383"/>
      <c r="G4" s="814"/>
      <c r="H4" s="1549"/>
    </row>
    <row r="5" spans="1:8" ht="18">
      <c r="A5" s="43" t="s">
        <v>1700</v>
      </c>
      <c r="B5" s="104"/>
      <c r="C5" s="78"/>
      <c r="D5" s="78"/>
      <c r="E5" s="941"/>
      <c r="F5" s="1383"/>
      <c r="G5" s="814"/>
      <c r="H5" s="1021"/>
    </row>
    <row r="6" spans="1:8" ht="6" customHeight="1">
      <c r="A6" s="400"/>
      <c r="B6" s="78"/>
      <c r="C6" s="78"/>
      <c r="D6" s="78"/>
      <c r="E6" s="941"/>
      <c r="F6" s="815"/>
      <c r="G6" s="815"/>
      <c r="H6" s="401"/>
    </row>
    <row r="7" spans="1:8" ht="15.75">
      <c r="A7" s="961"/>
      <c r="B7" s="1134"/>
      <c r="C7" s="200"/>
      <c r="D7" s="200"/>
      <c r="E7" s="1033"/>
      <c r="F7" s="1550"/>
      <c r="G7" s="863"/>
      <c r="H7" s="1020"/>
    </row>
    <row r="8" spans="1:8" ht="15.75">
      <c r="A8" s="961"/>
      <c r="B8" s="1134"/>
      <c r="C8" s="200"/>
      <c r="D8" s="200"/>
      <c r="E8" s="1033"/>
      <c r="F8" s="1550"/>
      <c r="G8" s="863"/>
      <c r="H8" s="1020"/>
    </row>
    <row r="9" spans="1:8" ht="15" customHeight="1">
      <c r="A9" s="1545"/>
      <c r="B9" s="1551"/>
      <c r="C9" s="1551"/>
      <c r="D9" s="1552" t="s">
        <v>1701</v>
      </c>
      <c r="E9" s="1553" t="s">
        <v>1702</v>
      </c>
      <c r="F9" s="1553" t="s">
        <v>1529</v>
      </c>
      <c r="G9" s="1553" t="s">
        <v>1001</v>
      </c>
      <c r="H9" s="1020"/>
    </row>
    <row r="10" spans="1:8" ht="15" customHeight="1">
      <c r="A10" s="1545"/>
      <c r="B10" s="1551"/>
      <c r="C10" s="1551"/>
      <c r="D10" s="1551"/>
      <c r="E10" s="1554"/>
      <c r="F10" s="1555"/>
      <c r="G10" s="863"/>
      <c r="H10" s="1020"/>
    </row>
    <row r="11" spans="1:8" ht="15" customHeight="1">
      <c r="A11" s="1545">
        <v>1.1000000000000001</v>
      </c>
      <c r="B11" s="1556" t="s">
        <v>1530</v>
      </c>
      <c r="C11" s="1551"/>
      <c r="D11" s="1557"/>
      <c r="E11" s="1558"/>
      <c r="F11" s="1558"/>
      <c r="G11" s="863"/>
      <c r="H11" s="1020">
        <f>+A11</f>
        <v>1.1000000000000001</v>
      </c>
    </row>
    <row r="12" spans="1:8" ht="15" customHeight="1">
      <c r="A12" s="1545"/>
      <c r="B12" s="1551"/>
      <c r="C12" s="1551"/>
      <c r="D12" s="1551"/>
      <c r="E12" s="1554"/>
      <c r="F12" s="1554"/>
      <c r="G12" s="863"/>
      <c r="H12" s="1020"/>
    </row>
    <row r="13" spans="1:8" ht="15" customHeight="1">
      <c r="A13" s="1545">
        <v>1.2</v>
      </c>
      <c r="B13" s="1556" t="s">
        <v>1531</v>
      </c>
      <c r="C13" s="1551"/>
      <c r="D13" s="1559"/>
      <c r="E13" s="1560"/>
      <c r="F13" s="1560"/>
      <c r="G13" s="863"/>
      <c r="H13" s="1020">
        <f>+A13</f>
        <v>1.2</v>
      </c>
    </row>
    <row r="14" spans="1:8" ht="15" customHeight="1">
      <c r="A14" s="1545"/>
      <c r="B14" s="1551"/>
      <c r="C14" s="1551"/>
      <c r="D14" s="1561"/>
      <c r="E14" s="1116"/>
      <c r="F14" s="1116"/>
      <c r="G14" s="863"/>
      <c r="H14" s="1020"/>
    </row>
    <row r="15" spans="1:8" ht="15" customHeight="1">
      <c r="A15" s="1545">
        <v>1.3</v>
      </c>
      <c r="B15" s="1556" t="s">
        <v>1532</v>
      </c>
      <c r="C15" s="1551"/>
      <c r="D15" s="1559"/>
      <c r="E15" s="1559"/>
      <c r="F15" s="1559"/>
      <c r="G15" s="863"/>
      <c r="H15" s="1020">
        <f>+A15</f>
        <v>1.3</v>
      </c>
    </row>
    <row r="16" spans="1:8" ht="15" customHeight="1">
      <c r="A16" s="1545"/>
      <c r="B16" s="1551"/>
      <c r="C16" s="1551"/>
      <c r="D16" s="1551"/>
      <c r="E16" s="1554"/>
      <c r="F16" s="1555"/>
      <c r="G16" s="863"/>
      <c r="H16" s="1020"/>
    </row>
    <row r="17" spans="1:8" ht="15" customHeight="1">
      <c r="A17" s="1545">
        <v>2</v>
      </c>
      <c r="B17" s="1556" t="s">
        <v>1533</v>
      </c>
      <c r="C17" s="1551"/>
      <c r="D17" s="1551"/>
      <c r="E17" s="1554"/>
      <c r="F17" s="1555"/>
      <c r="G17" s="863"/>
      <c r="H17" s="1020">
        <f>+A17</f>
        <v>2</v>
      </c>
    </row>
    <row r="18" spans="1:8" ht="6" customHeight="1">
      <c r="A18" s="1545"/>
      <c r="B18" s="1551"/>
      <c r="C18" s="1551"/>
      <c r="D18" s="1551"/>
      <c r="E18" s="1554"/>
      <c r="F18" s="1555"/>
      <c r="G18" s="863"/>
      <c r="H18" s="1020"/>
    </row>
    <row r="19" spans="1:8" ht="15" customHeight="1">
      <c r="A19" s="1545">
        <v>2.1</v>
      </c>
      <c r="B19" s="1551" t="s">
        <v>749</v>
      </c>
      <c r="C19" s="1551"/>
      <c r="D19" s="1562"/>
      <c r="E19" s="871"/>
      <c r="F19" s="871"/>
      <c r="G19" s="884">
        <f t="shared" ref="G19:G24" si="0">ROUND(D19+E19+F19,0)</f>
        <v>0</v>
      </c>
      <c r="H19" s="1020">
        <f t="shared" ref="H19:H30" si="1">+A19</f>
        <v>2.1</v>
      </c>
    </row>
    <row r="20" spans="1:8" ht="15" customHeight="1">
      <c r="A20" s="1545">
        <v>2.2000000000000002</v>
      </c>
      <c r="B20" s="1551" t="s">
        <v>750</v>
      </c>
      <c r="C20" s="1551"/>
      <c r="D20" s="1562"/>
      <c r="E20" s="871"/>
      <c r="F20" s="871"/>
      <c r="G20" s="884">
        <f t="shared" si="0"/>
        <v>0</v>
      </c>
      <c r="H20" s="1020">
        <f t="shared" si="1"/>
        <v>2.2000000000000002</v>
      </c>
    </row>
    <row r="21" spans="1:8" ht="15" customHeight="1">
      <c r="A21" s="1545">
        <v>2.2999999999999998</v>
      </c>
      <c r="B21" s="1551" t="s">
        <v>751</v>
      </c>
      <c r="C21" s="1551"/>
      <c r="D21" s="1562"/>
      <c r="E21" s="1562"/>
      <c r="F21" s="1562"/>
      <c r="G21" s="884">
        <f t="shared" si="0"/>
        <v>0</v>
      </c>
      <c r="H21" s="1020">
        <f t="shared" si="1"/>
        <v>2.2999999999999998</v>
      </c>
    </row>
    <row r="22" spans="1:8" ht="15" customHeight="1">
      <c r="A22" s="1545">
        <v>2.4</v>
      </c>
      <c r="B22" s="1551" t="s">
        <v>752</v>
      </c>
      <c r="C22" s="1551"/>
      <c r="D22" s="1562"/>
      <c r="E22" s="1562"/>
      <c r="F22" s="1562"/>
      <c r="G22" s="884">
        <f t="shared" si="0"/>
        <v>0</v>
      </c>
      <c r="H22" s="1020">
        <f t="shared" si="1"/>
        <v>2.4</v>
      </c>
    </row>
    <row r="23" spans="1:8" ht="15" customHeight="1">
      <c r="A23" s="1545">
        <v>2.5</v>
      </c>
      <c r="B23" s="1551" t="s">
        <v>1826</v>
      </c>
      <c r="C23" s="1551"/>
      <c r="D23" s="1562"/>
      <c r="E23" s="1562"/>
      <c r="F23" s="1562"/>
      <c r="G23" s="884">
        <f t="shared" si="0"/>
        <v>0</v>
      </c>
      <c r="H23" s="1020">
        <f t="shared" si="1"/>
        <v>2.5</v>
      </c>
    </row>
    <row r="24" spans="1:8" ht="15" customHeight="1">
      <c r="A24" s="1545">
        <v>2.6</v>
      </c>
      <c r="B24" s="1551" t="s">
        <v>1827</v>
      </c>
      <c r="C24" s="1551"/>
      <c r="D24" s="1562"/>
      <c r="E24" s="1562"/>
      <c r="F24" s="1562"/>
      <c r="G24" s="884">
        <f t="shared" si="0"/>
        <v>0</v>
      </c>
      <c r="H24" s="1020">
        <f t="shared" si="1"/>
        <v>2.6</v>
      </c>
    </row>
    <row r="25" spans="1:8" ht="15" customHeight="1">
      <c r="A25" s="1545"/>
      <c r="B25" s="1551" t="s">
        <v>1828</v>
      </c>
      <c r="C25" s="1551"/>
      <c r="D25" s="884"/>
      <c r="E25" s="884"/>
      <c r="F25" s="884"/>
      <c r="G25" s="884"/>
      <c r="H25" s="1020"/>
    </row>
    <row r="26" spans="1:8" ht="15" customHeight="1">
      <c r="A26" s="1545">
        <v>2.7</v>
      </c>
      <c r="B26" s="1557"/>
      <c r="C26" s="1551"/>
      <c r="D26" s="1562"/>
      <c r="E26" s="1562"/>
      <c r="F26" s="1562"/>
      <c r="G26" s="884">
        <f>ROUND(D26+E26+F26,0)</f>
        <v>0</v>
      </c>
      <c r="H26" s="1020">
        <f t="shared" si="1"/>
        <v>2.7</v>
      </c>
    </row>
    <row r="27" spans="1:8" ht="15" customHeight="1">
      <c r="A27" s="1545">
        <v>2.8</v>
      </c>
      <c r="B27" s="1557"/>
      <c r="C27" s="1551"/>
      <c r="D27" s="1562"/>
      <c r="E27" s="1562"/>
      <c r="F27" s="1562"/>
      <c r="G27" s="884">
        <f>ROUND(D27+E27+F27,0)</f>
        <v>0</v>
      </c>
      <c r="H27" s="1020">
        <f t="shared" si="1"/>
        <v>2.8</v>
      </c>
    </row>
    <row r="28" spans="1:8" ht="15" customHeight="1">
      <c r="A28" s="1563" t="s">
        <v>1829</v>
      </c>
      <c r="B28" s="1557"/>
      <c r="C28" s="1551"/>
      <c r="D28" s="1562"/>
      <c r="E28" s="1562"/>
      <c r="F28" s="1562"/>
      <c r="G28" s="884">
        <f>ROUND(D28+E28+F28,0)</f>
        <v>0</v>
      </c>
      <c r="H28" s="1020" t="str">
        <f t="shared" si="1"/>
        <v>2.9</v>
      </c>
    </row>
    <row r="29" spans="1:8" ht="15" customHeight="1">
      <c r="A29" s="1545"/>
      <c r="B29" s="1551"/>
      <c r="C29" s="1551"/>
      <c r="D29" s="873"/>
      <c r="E29" s="873"/>
      <c r="F29" s="873"/>
      <c r="G29" s="873"/>
      <c r="H29" s="1020"/>
    </row>
    <row r="30" spans="1:8" ht="15" customHeight="1">
      <c r="A30" s="1563" t="s">
        <v>1313</v>
      </c>
      <c r="B30" s="1556" t="s">
        <v>1830</v>
      </c>
      <c r="C30" s="1551"/>
      <c r="D30" s="884">
        <f>SUM(D19:D28)</f>
        <v>0</v>
      </c>
      <c r="E30" s="884">
        <f>SUM(E19:E28)</f>
        <v>0</v>
      </c>
      <c r="F30" s="884">
        <f>SUM(F19:F28)</f>
        <v>0</v>
      </c>
      <c r="G30" s="1564">
        <f>ROUND(SUM(G19:G28),0)</f>
        <v>0</v>
      </c>
      <c r="H30" s="1020" t="str">
        <f t="shared" si="1"/>
        <v>2.10</v>
      </c>
    </row>
    <row r="31" spans="1:8" ht="12.75" customHeight="1">
      <c r="A31" s="961"/>
      <c r="B31" s="1134" t="s">
        <v>1651</v>
      </c>
      <c r="C31" s="1134"/>
      <c r="D31" s="1134"/>
      <c r="E31" s="1134"/>
      <c r="F31" s="1134"/>
      <c r="G31" s="1134"/>
      <c r="H31" s="200"/>
    </row>
    <row r="32" spans="1:8" ht="12.75" customHeight="1">
      <c r="A32" s="961"/>
      <c r="B32" s="1134"/>
      <c r="C32" s="1134"/>
      <c r="D32" s="1134"/>
      <c r="E32" s="1134"/>
      <c r="F32" s="1134"/>
      <c r="G32" s="1134"/>
      <c r="H32" s="200"/>
    </row>
  </sheetData>
  <sheetProtection password="C467" sheet="1" objects="1" scenarios="1"/>
  <protectedRanges>
    <protectedRange sqref="B26:B28" name="Range6"/>
    <protectedRange sqref="D26:F28" name="Range5"/>
    <protectedRange sqref="D19:F24" name="Range4"/>
    <protectedRange sqref="D15:F15" name="Range3"/>
    <protectedRange sqref="D13:F13" name="Range2"/>
    <protectedRange sqref="D11:F11" name="Range1"/>
  </protectedRanges>
  <phoneticPr fontId="13"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IU156"/>
  <sheetViews>
    <sheetView zoomScaleNormal="100" workbookViewId="0">
      <selection activeCell="A33" sqref="A33"/>
    </sheetView>
  </sheetViews>
  <sheetFormatPr defaultColWidth="0" defaultRowHeight="15" zeroHeight="1"/>
  <cols>
    <col min="1" max="1" width="7.140625" style="976" customWidth="1"/>
    <col min="2" max="2" width="25.7109375" style="976" customWidth="1"/>
    <col min="3" max="3" width="8.7109375" style="976" customWidth="1"/>
    <col min="4" max="5" width="25.7109375" style="976" customWidth="1"/>
    <col min="6" max="6" width="12.7109375" style="976" customWidth="1"/>
    <col min="7" max="7" width="8.42578125" style="976" customWidth="1"/>
    <col min="8" max="254" width="0" style="976" hidden="1" customWidth="1"/>
    <col min="255" max="255" width="0.140625" style="976" hidden="1" customWidth="1"/>
    <col min="256" max="16384" width="0" style="976" hidden="1"/>
  </cols>
  <sheetData>
    <row r="1" spans="1:7" ht="4.5" customHeight="1" thickBot="1">
      <c r="A1" s="2159" t="s">
        <v>2838</v>
      </c>
      <c r="B1" s="78"/>
      <c r="C1" s="78"/>
      <c r="D1" s="78"/>
      <c r="E1" s="78"/>
      <c r="F1" s="78"/>
      <c r="G1" s="78"/>
    </row>
    <row r="2" spans="1:7" ht="18.75" thickBot="1">
      <c r="A2" s="43" t="s">
        <v>622</v>
      </c>
      <c r="B2" s="78"/>
      <c r="C2" s="78"/>
      <c r="D2" s="941" t="s">
        <v>163</v>
      </c>
      <c r="E2" s="1475" t="str">
        <f>'1 Summary'!G2</f>
        <v/>
      </c>
      <c r="F2" s="944"/>
      <c r="G2" s="1548"/>
    </row>
    <row r="3" spans="1:7" ht="16.5" thickBot="1">
      <c r="A3" s="200"/>
      <c r="B3" s="1134"/>
      <c r="C3" s="1134"/>
      <c r="D3" s="941" t="s">
        <v>162</v>
      </c>
      <c r="E3" s="1143">
        <f>'1 Summary'!G3</f>
        <v>0</v>
      </c>
      <c r="F3" s="1134"/>
      <c r="G3" s="1549"/>
    </row>
    <row r="4" spans="1:7" ht="5.25" customHeight="1">
      <c r="A4" s="104"/>
      <c r="B4" s="78"/>
      <c r="C4" s="78"/>
      <c r="D4" s="78"/>
      <c r="E4" s="78"/>
      <c r="F4" s="941"/>
      <c r="G4" s="1549"/>
    </row>
    <row r="5" spans="1:7">
      <c r="A5" s="78"/>
      <c r="B5" s="989"/>
      <c r="C5" s="989"/>
      <c r="D5" s="989"/>
      <c r="E5" s="989"/>
      <c r="F5" s="989"/>
      <c r="G5" s="78"/>
    </row>
    <row r="6" spans="1:7" ht="18">
      <c r="A6" s="43" t="s">
        <v>1070</v>
      </c>
      <c r="B6" s="78"/>
      <c r="C6" s="78"/>
      <c r="D6" s="78"/>
      <c r="E6" s="989"/>
      <c r="F6" s="989"/>
      <c r="G6" s="78"/>
    </row>
    <row r="7" spans="1:7">
      <c r="A7" s="78"/>
      <c r="B7" s="989"/>
      <c r="C7" s="989"/>
      <c r="D7" s="989"/>
      <c r="E7" s="989"/>
      <c r="F7" s="989"/>
      <c r="G7" s="78"/>
    </row>
    <row r="8" spans="1:7" ht="15.75">
      <c r="A8" s="78"/>
      <c r="B8" s="86"/>
      <c r="C8" s="86"/>
      <c r="D8" s="989"/>
      <c r="E8" s="989"/>
      <c r="F8" s="989"/>
      <c r="G8" s="78"/>
    </row>
    <row r="9" spans="1:7" ht="15.75">
      <c r="A9" s="78"/>
      <c r="B9" s="1567"/>
      <c r="C9" s="1567"/>
      <c r="D9" s="989"/>
      <c r="E9" s="989"/>
      <c r="F9" s="989"/>
      <c r="G9" s="78"/>
    </row>
    <row r="10" spans="1:7">
      <c r="A10" s="78"/>
      <c r="B10" s="1179"/>
      <c r="C10" s="1179"/>
      <c r="D10" s="1179"/>
      <c r="E10" s="1179"/>
      <c r="F10" s="1179"/>
      <c r="G10" s="78"/>
    </row>
    <row r="11" spans="1:7" ht="31.5">
      <c r="A11" s="1338"/>
      <c r="B11" s="1413" t="s">
        <v>1831</v>
      </c>
      <c r="C11" s="1413" t="s">
        <v>1865</v>
      </c>
      <c r="D11" s="1413" t="s">
        <v>1832</v>
      </c>
      <c r="E11" s="1413" t="s">
        <v>1122</v>
      </c>
      <c r="F11" s="1413" t="s">
        <v>1833</v>
      </c>
      <c r="G11" s="78"/>
    </row>
    <row r="12" spans="1:7" ht="15.75">
      <c r="A12" s="1338"/>
      <c r="B12" s="906" t="s">
        <v>1286</v>
      </c>
      <c r="C12" s="906" t="s">
        <v>1287</v>
      </c>
      <c r="D12" s="906" t="s">
        <v>1288</v>
      </c>
      <c r="E12" s="906" t="s">
        <v>842</v>
      </c>
      <c r="F12" s="906" t="s">
        <v>843</v>
      </c>
      <c r="G12" s="78"/>
    </row>
    <row r="13" spans="1:7">
      <c r="A13" s="1338">
        <v>1</v>
      </c>
      <c r="B13" s="1568"/>
      <c r="C13" s="1569"/>
      <c r="D13" s="1568"/>
      <c r="E13" s="1570"/>
      <c r="F13" s="1569"/>
      <c r="G13" s="78"/>
    </row>
    <row r="14" spans="1:7">
      <c r="A14" s="1338">
        <f>+A13+1</f>
        <v>2</v>
      </c>
      <c r="B14" s="1568"/>
      <c r="C14" s="1569"/>
      <c r="D14" s="1568"/>
      <c r="E14" s="1570"/>
      <c r="F14" s="1569"/>
      <c r="G14" s="78"/>
    </row>
    <row r="15" spans="1:7">
      <c r="A15" s="1338">
        <f t="shared" ref="A15:A42" si="0">+A14+1</f>
        <v>3</v>
      </c>
      <c r="B15" s="1568"/>
      <c r="C15" s="1569"/>
      <c r="D15" s="1568"/>
      <c r="E15" s="1570"/>
      <c r="F15" s="1569"/>
      <c r="G15" s="78"/>
    </row>
    <row r="16" spans="1:7">
      <c r="A16" s="1338">
        <f t="shared" si="0"/>
        <v>4</v>
      </c>
      <c r="B16" s="1568"/>
      <c r="C16" s="1569"/>
      <c r="D16" s="1568"/>
      <c r="E16" s="1570"/>
      <c r="F16" s="1569"/>
      <c r="G16" s="78"/>
    </row>
    <row r="17" spans="1:7">
      <c r="A17" s="1338">
        <f t="shared" si="0"/>
        <v>5</v>
      </c>
      <c r="B17" s="1568"/>
      <c r="C17" s="1569"/>
      <c r="D17" s="1568"/>
      <c r="E17" s="1570"/>
      <c r="F17" s="1569"/>
      <c r="G17" s="78"/>
    </row>
    <row r="18" spans="1:7">
      <c r="A18" s="1338">
        <f t="shared" si="0"/>
        <v>6</v>
      </c>
      <c r="B18" s="1568"/>
      <c r="C18" s="1569"/>
      <c r="D18" s="1568"/>
      <c r="E18" s="1570"/>
      <c r="F18" s="1569"/>
      <c r="G18" s="78"/>
    </row>
    <row r="19" spans="1:7">
      <c r="A19" s="1338">
        <f t="shared" si="0"/>
        <v>7</v>
      </c>
      <c r="B19" s="1568"/>
      <c r="C19" s="1569"/>
      <c r="D19" s="1568"/>
      <c r="E19" s="1570"/>
      <c r="F19" s="1569"/>
      <c r="G19" s="78"/>
    </row>
    <row r="20" spans="1:7">
      <c r="A20" s="1338">
        <f t="shared" si="0"/>
        <v>8</v>
      </c>
      <c r="B20" s="1568"/>
      <c r="C20" s="1569"/>
      <c r="D20" s="1568"/>
      <c r="E20" s="1570"/>
      <c r="F20" s="1569"/>
      <c r="G20" s="78"/>
    </row>
    <row r="21" spans="1:7">
      <c r="A21" s="1338">
        <f t="shared" si="0"/>
        <v>9</v>
      </c>
      <c r="B21" s="1568"/>
      <c r="C21" s="1569"/>
      <c r="D21" s="1568"/>
      <c r="E21" s="1570"/>
      <c r="F21" s="1569"/>
      <c r="G21" s="78"/>
    </row>
    <row r="22" spans="1:7">
      <c r="A22" s="1338">
        <f t="shared" si="0"/>
        <v>10</v>
      </c>
      <c r="B22" s="1568"/>
      <c r="C22" s="1569"/>
      <c r="D22" s="1568"/>
      <c r="E22" s="1570"/>
      <c r="F22" s="1569"/>
      <c r="G22" s="78"/>
    </row>
    <row r="23" spans="1:7">
      <c r="A23" s="1338">
        <f t="shared" si="0"/>
        <v>11</v>
      </c>
      <c r="B23" s="1568"/>
      <c r="C23" s="1569"/>
      <c r="D23" s="1568"/>
      <c r="E23" s="1570"/>
      <c r="F23" s="1569"/>
      <c r="G23" s="78"/>
    </row>
    <row r="24" spans="1:7">
      <c r="A24" s="1338">
        <f t="shared" si="0"/>
        <v>12</v>
      </c>
      <c r="B24" s="1568"/>
      <c r="C24" s="1569"/>
      <c r="D24" s="1568"/>
      <c r="E24" s="1570"/>
      <c r="F24" s="1569"/>
      <c r="G24" s="78"/>
    </row>
    <row r="25" spans="1:7">
      <c r="A25" s="1338">
        <f t="shared" si="0"/>
        <v>13</v>
      </c>
      <c r="B25" s="1568"/>
      <c r="C25" s="1569"/>
      <c r="D25" s="1568"/>
      <c r="E25" s="1570"/>
      <c r="F25" s="1569"/>
      <c r="G25" s="78"/>
    </row>
    <row r="26" spans="1:7">
      <c r="A26" s="1338">
        <f t="shared" si="0"/>
        <v>14</v>
      </c>
      <c r="B26" s="1568"/>
      <c r="C26" s="1569"/>
      <c r="D26" s="1568"/>
      <c r="E26" s="1570"/>
      <c r="F26" s="1569"/>
      <c r="G26" s="78"/>
    </row>
    <row r="27" spans="1:7">
      <c r="A27" s="1338">
        <f t="shared" si="0"/>
        <v>15</v>
      </c>
      <c r="B27" s="1568"/>
      <c r="C27" s="1569"/>
      <c r="D27" s="1568"/>
      <c r="E27" s="1570"/>
      <c r="F27" s="1569"/>
      <c r="G27" s="78"/>
    </row>
    <row r="28" spans="1:7">
      <c r="A28" s="1338">
        <f t="shared" si="0"/>
        <v>16</v>
      </c>
      <c r="B28" s="1568"/>
      <c r="C28" s="1569"/>
      <c r="D28" s="1568"/>
      <c r="E28" s="1570"/>
      <c r="F28" s="1569"/>
      <c r="G28" s="78"/>
    </row>
    <row r="29" spans="1:7">
      <c r="A29" s="1338">
        <f t="shared" si="0"/>
        <v>17</v>
      </c>
      <c r="B29" s="1568"/>
      <c r="C29" s="1569"/>
      <c r="D29" s="1568"/>
      <c r="E29" s="1570"/>
      <c r="F29" s="1569"/>
      <c r="G29" s="78"/>
    </row>
    <row r="30" spans="1:7">
      <c r="A30" s="1338">
        <f t="shared" si="0"/>
        <v>18</v>
      </c>
      <c r="B30" s="1568"/>
      <c r="C30" s="1569"/>
      <c r="D30" s="1568"/>
      <c r="E30" s="1570"/>
      <c r="F30" s="1569"/>
      <c r="G30" s="78"/>
    </row>
    <row r="31" spans="1:7">
      <c r="A31" s="1338">
        <f t="shared" si="0"/>
        <v>19</v>
      </c>
      <c r="B31" s="1568"/>
      <c r="C31" s="1569"/>
      <c r="D31" s="1568"/>
      <c r="E31" s="1570"/>
      <c r="F31" s="1569"/>
      <c r="G31" s="78"/>
    </row>
    <row r="32" spans="1:7">
      <c r="A32" s="1338">
        <f t="shared" si="0"/>
        <v>20</v>
      </c>
      <c r="B32" s="1568"/>
      <c r="C32" s="1569"/>
      <c r="D32" s="1568"/>
      <c r="E32" s="1570"/>
      <c r="F32" s="1569"/>
      <c r="G32" s="78"/>
    </row>
    <row r="33" spans="1:7">
      <c r="A33" s="1338">
        <f t="shared" si="0"/>
        <v>21</v>
      </c>
      <c r="B33" s="1568"/>
      <c r="C33" s="1569"/>
      <c r="D33" s="1568"/>
      <c r="E33" s="1570"/>
      <c r="F33" s="1569"/>
      <c r="G33" s="78"/>
    </row>
    <row r="34" spans="1:7">
      <c r="A34" s="1338">
        <f t="shared" si="0"/>
        <v>22</v>
      </c>
      <c r="B34" s="1568"/>
      <c r="C34" s="1569"/>
      <c r="D34" s="1568"/>
      <c r="E34" s="1570"/>
      <c r="F34" s="1569"/>
      <c r="G34" s="78"/>
    </row>
    <row r="35" spans="1:7">
      <c r="A35" s="1338">
        <f t="shared" si="0"/>
        <v>23</v>
      </c>
      <c r="B35" s="1568"/>
      <c r="C35" s="1569"/>
      <c r="D35" s="1568"/>
      <c r="E35" s="1570"/>
      <c r="F35" s="1569"/>
      <c r="G35" s="78"/>
    </row>
    <row r="36" spans="1:7">
      <c r="A36" s="1338">
        <f t="shared" si="0"/>
        <v>24</v>
      </c>
      <c r="B36" s="1568"/>
      <c r="C36" s="1569"/>
      <c r="D36" s="1568"/>
      <c r="E36" s="1570"/>
      <c r="F36" s="1569"/>
      <c r="G36" s="78"/>
    </row>
    <row r="37" spans="1:7">
      <c r="A37" s="1338">
        <f t="shared" si="0"/>
        <v>25</v>
      </c>
      <c r="B37" s="1568"/>
      <c r="C37" s="1569"/>
      <c r="D37" s="1568"/>
      <c r="E37" s="1570"/>
      <c r="F37" s="1569"/>
      <c r="G37" s="78"/>
    </row>
    <row r="38" spans="1:7">
      <c r="A38" s="1338">
        <f t="shared" si="0"/>
        <v>26</v>
      </c>
      <c r="B38" s="1568"/>
      <c r="C38" s="1569"/>
      <c r="D38" s="1568"/>
      <c r="E38" s="1570"/>
      <c r="F38" s="1569"/>
      <c r="G38" s="78"/>
    </row>
    <row r="39" spans="1:7">
      <c r="A39" s="1338">
        <f t="shared" si="0"/>
        <v>27</v>
      </c>
      <c r="B39" s="1568"/>
      <c r="C39" s="1569"/>
      <c r="D39" s="1568"/>
      <c r="E39" s="1570"/>
      <c r="F39" s="1569"/>
      <c r="G39" s="78"/>
    </row>
    <row r="40" spans="1:7">
      <c r="A40" s="1338">
        <f t="shared" si="0"/>
        <v>28</v>
      </c>
      <c r="B40" s="1568"/>
      <c r="C40" s="1569"/>
      <c r="D40" s="1568"/>
      <c r="E40" s="1570"/>
      <c r="F40" s="1569"/>
      <c r="G40" s="78"/>
    </row>
    <row r="41" spans="1:7">
      <c r="A41" s="1338">
        <f t="shared" si="0"/>
        <v>29</v>
      </c>
      <c r="B41" s="1568"/>
      <c r="C41" s="1569"/>
      <c r="D41" s="1568"/>
      <c r="E41" s="1570"/>
      <c r="F41" s="1569"/>
      <c r="G41" s="78"/>
    </row>
    <row r="42" spans="1:7">
      <c r="A42" s="1338">
        <f t="shared" si="0"/>
        <v>30</v>
      </c>
      <c r="B42" s="1568"/>
      <c r="C42" s="1569"/>
      <c r="D42" s="1568"/>
      <c r="E42" s="1570"/>
      <c r="F42" s="1569"/>
      <c r="G42" s="78"/>
    </row>
    <row r="43" spans="1:7" ht="15.75">
      <c r="A43" s="1164" t="s">
        <v>1868</v>
      </c>
      <c r="B43" s="1571"/>
      <c r="C43" s="1571"/>
      <c r="D43" s="1571"/>
      <c r="E43" s="1572" t="s">
        <v>1001</v>
      </c>
      <c r="F43" s="1573">
        <f>ROUND(SUM(F13:F42),0)</f>
        <v>0</v>
      </c>
      <c r="G43" s="1021" t="str">
        <f>+A43</f>
        <v>1.1</v>
      </c>
    </row>
    <row r="44" spans="1:7">
      <c r="A44" s="78"/>
      <c r="B44" s="78"/>
      <c r="C44" s="78"/>
      <c r="D44" s="78"/>
      <c r="E44" s="78"/>
      <c r="F44" s="78"/>
      <c r="G44" s="78"/>
    </row>
    <row r="45" spans="1:7">
      <c r="A45" s="78"/>
      <c r="B45" s="78"/>
      <c r="C45" s="78"/>
      <c r="D45" s="78"/>
      <c r="E45" s="78"/>
      <c r="F45" s="78"/>
      <c r="G45" s="78"/>
    </row>
    <row r="46" spans="1:7" ht="15.75" customHeight="1">
      <c r="A46" s="27" t="s">
        <v>1834</v>
      </c>
      <c r="B46" s="969" t="s">
        <v>2771</v>
      </c>
      <c r="C46" s="969"/>
      <c r="D46" s="969"/>
      <c r="E46" s="969"/>
      <c r="F46" s="969"/>
      <c r="G46" s="78"/>
    </row>
    <row r="47" spans="1:7">
      <c r="A47" s="78"/>
      <c r="B47" s="969" t="s">
        <v>2772</v>
      </c>
      <c r="C47" s="969"/>
      <c r="D47" s="969"/>
      <c r="E47" s="969"/>
      <c r="F47" s="969"/>
      <c r="G47" s="78"/>
    </row>
    <row r="48" spans="1:7">
      <c r="A48" s="78"/>
      <c r="B48" s="969" t="s">
        <v>2773</v>
      </c>
      <c r="C48" s="969"/>
      <c r="D48" s="969"/>
      <c r="E48" s="969"/>
      <c r="F48" s="969"/>
      <c r="G48" s="78"/>
    </row>
    <row r="49" spans="1:7">
      <c r="A49" s="78"/>
      <c r="B49" s="969" t="s">
        <v>2774</v>
      </c>
      <c r="C49" s="969"/>
      <c r="D49" s="969"/>
      <c r="E49" s="969"/>
      <c r="F49" s="969"/>
      <c r="G49" s="78"/>
    </row>
    <row r="50" spans="1:7">
      <c r="A50" s="78"/>
      <c r="B50" s="969" t="s">
        <v>2775</v>
      </c>
      <c r="C50" s="969"/>
      <c r="D50" s="969"/>
      <c r="E50" s="969"/>
      <c r="F50" s="969"/>
      <c r="G50" s="78"/>
    </row>
    <row r="51" spans="1:7">
      <c r="A51" s="78"/>
      <c r="B51" s="969" t="s">
        <v>2776</v>
      </c>
      <c r="C51" s="969"/>
      <c r="D51" s="969"/>
      <c r="E51" s="969"/>
      <c r="F51" s="969"/>
      <c r="G51" s="78"/>
    </row>
    <row r="52" spans="1:7">
      <c r="A52" s="78"/>
      <c r="B52" s="78"/>
      <c r="C52" s="78"/>
      <c r="D52" s="78"/>
      <c r="E52" s="78"/>
      <c r="F52" s="78"/>
      <c r="G52" s="78"/>
    </row>
    <row r="53" spans="1:7" hidden="1"/>
    <row r="54" spans="1:7" hidden="1"/>
    <row r="55" spans="1:7" hidden="1"/>
    <row r="56" spans="1:7" ht="12" hidden="1" customHeight="1"/>
    <row r="57" spans="1:7" hidden="1"/>
    <row r="58" spans="1:7" hidden="1"/>
    <row r="59" spans="1:7" hidden="1"/>
    <row r="60" spans="1:7" hidden="1"/>
    <row r="61" spans="1:7" hidden="1"/>
    <row r="62" spans="1:7" hidden="1"/>
    <row r="63" spans="1:7" hidden="1"/>
    <row r="64" spans="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sheetData>
  <sheetProtection password="C7B7" sheet="1" objects="1" scenarios="1"/>
  <protectedRanges>
    <protectedRange sqref="B13:F42" name="Range1"/>
  </protectedRanges>
  <phoneticPr fontId="13"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106"/>
  <sheetViews>
    <sheetView topLeftCell="A28" zoomScale="75" zoomScaleNormal="75" workbookViewId="0">
      <selection activeCell="N20" sqref="N20"/>
    </sheetView>
  </sheetViews>
  <sheetFormatPr defaultColWidth="0" defaultRowHeight="0" customHeight="1" zeroHeight="1"/>
  <cols>
    <col min="1" max="18" width="9.140625" style="976" customWidth="1"/>
    <col min="19" max="16384" width="0" style="976" hidden="1"/>
  </cols>
  <sheetData>
    <row r="1" spans="1:18" ht="15.75" thickBot="1">
      <c r="A1" s="2159" t="s">
        <v>2840</v>
      </c>
      <c r="B1" s="2137" t="s">
        <v>2839</v>
      </c>
      <c r="C1" s="2137" t="s">
        <v>1289</v>
      </c>
      <c r="D1" s="2137" t="s">
        <v>1000</v>
      </c>
      <c r="E1" s="78"/>
      <c r="F1" s="78"/>
      <c r="G1" s="815"/>
      <c r="H1" s="78"/>
      <c r="I1" s="815"/>
      <c r="J1" s="78"/>
      <c r="K1" s="815"/>
      <c r="L1" s="78"/>
      <c r="M1" s="815"/>
      <c r="N1" s="78"/>
      <c r="O1" s="815"/>
      <c r="P1" s="78"/>
      <c r="Q1" s="815"/>
      <c r="R1" s="78"/>
    </row>
    <row r="2" spans="1:18" ht="18.75" thickBot="1">
      <c r="A2" s="43" t="s">
        <v>621</v>
      </c>
      <c r="B2" s="78"/>
      <c r="C2" s="78"/>
      <c r="D2" s="78"/>
      <c r="E2" s="78"/>
      <c r="F2" s="78"/>
      <c r="G2" s="78"/>
      <c r="H2" s="78"/>
      <c r="I2" s="78"/>
      <c r="J2" s="941" t="s">
        <v>163</v>
      </c>
      <c r="K2" s="1264"/>
      <c r="L2" s="941"/>
      <c r="M2" s="936" t="str">
        <f>+'1 Summary'!$G$2</f>
        <v/>
      </c>
      <c r="N2" s="1574"/>
      <c r="O2" s="1575"/>
      <c r="P2" s="944"/>
      <c r="Q2" s="78"/>
      <c r="R2" s="86"/>
    </row>
    <row r="3" spans="1:18" ht="16.5" thickBot="1">
      <c r="A3" s="104" t="s">
        <v>789</v>
      </c>
      <c r="B3" s="78"/>
      <c r="C3" s="78"/>
      <c r="D3" s="78"/>
      <c r="E3" s="78"/>
      <c r="F3" s="78"/>
      <c r="G3" s="78"/>
      <c r="H3" s="78"/>
      <c r="I3" s="78"/>
      <c r="J3" s="941" t="s">
        <v>162</v>
      </c>
      <c r="K3" s="1264"/>
      <c r="L3" s="941"/>
      <c r="M3" s="920">
        <f>+'1 Summary'!$G$3</f>
        <v>0</v>
      </c>
      <c r="N3" s="1264"/>
      <c r="O3" s="1245"/>
      <c r="P3" s="941"/>
      <c r="Q3" s="78"/>
      <c r="R3" s="86"/>
    </row>
    <row r="4" spans="1:18" ht="18">
      <c r="A4" s="43" t="s">
        <v>3005</v>
      </c>
      <c r="B4" s="78"/>
      <c r="C4" s="78"/>
      <c r="D4" s="78"/>
      <c r="E4" s="78"/>
      <c r="F4" s="814"/>
      <c r="G4" s="78"/>
      <c r="H4" s="78"/>
      <c r="I4" s="78"/>
      <c r="J4" s="78"/>
      <c r="K4" s="78"/>
      <c r="L4" s="78"/>
      <c r="M4" s="78"/>
      <c r="N4" s="78"/>
      <c r="O4" s="78"/>
      <c r="P4" s="78"/>
      <c r="Q4" s="78"/>
      <c r="R4" s="86"/>
    </row>
    <row r="5" spans="1:18" ht="15.75">
      <c r="A5" s="104"/>
      <c r="B5" s="78"/>
      <c r="C5" s="78"/>
      <c r="D5" s="78"/>
      <c r="E5" s="941"/>
      <c r="F5" s="941"/>
      <c r="G5" s="78"/>
      <c r="H5" s="78"/>
      <c r="I5" s="78"/>
      <c r="J5" s="78"/>
      <c r="K5" s="1245"/>
      <c r="L5" s="1245"/>
      <c r="M5" s="1278"/>
      <c r="N5" s="1278"/>
      <c r="O5" s="78"/>
      <c r="P5" s="78"/>
      <c r="Q5" s="78"/>
      <c r="R5" s="86"/>
    </row>
    <row r="6" spans="1:18" ht="15.75">
      <c r="A6" s="78" t="s">
        <v>3006</v>
      </c>
      <c r="B6" s="1264"/>
      <c r="C6" s="78"/>
      <c r="D6" s="78"/>
      <c r="E6" s="941"/>
      <c r="F6" s="941"/>
      <c r="G6" s="78"/>
      <c r="H6" s="78"/>
      <c r="I6" s="78"/>
      <c r="J6" s="78"/>
      <c r="K6" s="1245"/>
      <c r="L6" s="1245"/>
      <c r="M6" s="1278"/>
      <c r="N6" s="1278"/>
      <c r="O6" s="78"/>
      <c r="P6" s="78"/>
      <c r="Q6" s="78"/>
      <c r="R6" s="86"/>
    </row>
    <row r="7" spans="1:18" ht="15.75">
      <c r="A7" s="78" t="s">
        <v>1852</v>
      </c>
      <c r="B7" s="1264"/>
      <c r="C7" s="78"/>
      <c r="D7" s="78"/>
      <c r="E7" s="941"/>
      <c r="F7" s="941"/>
      <c r="G7" s="78"/>
      <c r="H7" s="78"/>
      <c r="I7" s="78"/>
      <c r="J7" s="78"/>
      <c r="K7" s="1245"/>
      <c r="L7" s="1245"/>
      <c r="M7" s="1278"/>
      <c r="N7" s="1278"/>
      <c r="O7" s="78"/>
      <c r="P7" s="78"/>
      <c r="Q7" s="78"/>
      <c r="R7" s="86"/>
    </row>
    <row r="8" spans="1:18" ht="15.75">
      <c r="A8" s="78" t="s">
        <v>55</v>
      </c>
      <c r="B8" s="1264"/>
      <c r="C8" s="78"/>
      <c r="D8" s="78"/>
      <c r="E8" s="941"/>
      <c r="F8" s="941"/>
      <c r="G8" s="78"/>
      <c r="H8" s="78"/>
      <c r="I8" s="78"/>
      <c r="J8" s="78"/>
      <c r="K8" s="1245"/>
      <c r="L8" s="1245"/>
      <c r="M8" s="1278"/>
      <c r="N8" s="1278"/>
      <c r="O8" s="78"/>
      <c r="P8" s="78"/>
      <c r="Q8" s="78"/>
      <c r="R8" s="86"/>
    </row>
    <row r="9" spans="1:18" ht="15.75">
      <c r="A9" s="78"/>
      <c r="B9" s="1264"/>
      <c r="C9" s="78"/>
      <c r="D9" s="78"/>
      <c r="E9" s="941"/>
      <c r="F9" s="941"/>
      <c r="G9" s="78"/>
      <c r="H9" s="78"/>
      <c r="I9" s="78"/>
      <c r="J9" s="78"/>
      <c r="K9" s="1245"/>
      <c r="L9" s="1245"/>
      <c r="M9" s="1278"/>
      <c r="N9" s="1278"/>
      <c r="O9" s="78"/>
      <c r="P9" s="78"/>
      <c r="Q9" s="78"/>
      <c r="R9" s="86"/>
    </row>
    <row r="10" spans="1:18" ht="15.75">
      <c r="A10" s="78" t="s">
        <v>95</v>
      </c>
      <c r="B10" s="1264"/>
      <c r="C10" s="78"/>
      <c r="D10" s="78"/>
      <c r="E10" s="78"/>
      <c r="F10" s="941"/>
      <c r="G10" s="78"/>
      <c r="H10" s="1550"/>
      <c r="I10" s="78"/>
      <c r="J10" s="1264"/>
      <c r="K10" s="1264"/>
      <c r="L10" s="1264"/>
      <c r="M10" s="1278"/>
      <c r="N10" s="1278"/>
      <c r="O10" s="78"/>
      <c r="P10" s="78"/>
      <c r="Q10" s="78"/>
      <c r="R10" s="86"/>
    </row>
    <row r="11" spans="1:18" ht="15.75">
      <c r="A11" s="78"/>
      <c r="B11" s="1264"/>
      <c r="C11" s="78"/>
      <c r="D11" s="78"/>
      <c r="E11" s="78"/>
      <c r="F11" s="941"/>
      <c r="G11" s="78"/>
      <c r="H11" s="1550"/>
      <c r="I11" s="78"/>
      <c r="J11" s="1264"/>
      <c r="K11" s="1576" t="s">
        <v>96</v>
      </c>
      <c r="L11" s="1264"/>
      <c r="M11" s="1278"/>
      <c r="N11" s="1278"/>
      <c r="O11" s="78"/>
      <c r="P11" s="78"/>
      <c r="Q11" s="78"/>
      <c r="R11" s="86"/>
    </row>
    <row r="12" spans="1:18" ht="15.75">
      <c r="A12" s="78"/>
      <c r="B12" s="1264"/>
      <c r="C12" s="78"/>
      <c r="D12" s="78"/>
      <c r="E12" s="78"/>
      <c r="F12" s="941"/>
      <c r="G12" s="78"/>
      <c r="H12" s="1550"/>
      <c r="I12" s="78"/>
      <c r="J12" s="78"/>
      <c r="K12" s="1264"/>
      <c r="L12" s="1264"/>
      <c r="M12" s="1245"/>
      <c r="N12" s="1278"/>
      <c r="O12" s="78"/>
      <c r="P12" s="78"/>
      <c r="Q12" s="78"/>
      <c r="R12" s="86"/>
    </row>
    <row r="13" spans="1:18" ht="15.75">
      <c r="A13" s="1264"/>
      <c r="B13" s="400" t="s">
        <v>1697</v>
      </c>
      <c r="C13" s="78"/>
      <c r="D13" s="78"/>
      <c r="E13" s="1577"/>
      <c r="F13" s="1098"/>
      <c r="G13" s="1183"/>
      <c r="H13" s="78"/>
      <c r="I13" s="815"/>
      <c r="J13" s="78"/>
      <c r="K13" s="1578"/>
      <c r="L13" s="1245"/>
      <c r="M13" s="1278"/>
      <c r="N13" s="1278"/>
      <c r="O13" s="78"/>
      <c r="P13" s="78"/>
      <c r="Q13" s="78"/>
      <c r="R13" s="86"/>
    </row>
    <row r="14" spans="1:18" ht="15.75">
      <c r="A14" s="1264"/>
      <c r="B14" s="104"/>
      <c r="C14" s="104"/>
      <c r="D14" s="104"/>
      <c r="E14" s="104"/>
      <c r="F14" s="104"/>
      <c r="G14" s="104"/>
      <c r="H14" s="104"/>
      <c r="I14" s="104"/>
      <c r="J14" s="104"/>
      <c r="K14" s="104"/>
      <c r="L14" s="104"/>
      <c r="M14" s="1278"/>
      <c r="N14" s="1278"/>
      <c r="O14" s="78"/>
      <c r="P14" s="78"/>
      <c r="Q14" s="78"/>
      <c r="R14" s="86"/>
    </row>
    <row r="15" spans="1:18" ht="15.75">
      <c r="A15" s="1264"/>
      <c r="B15" s="1579" t="s">
        <v>947</v>
      </c>
      <c r="C15" s="78"/>
      <c r="D15" s="78"/>
      <c r="E15" s="1580"/>
      <c r="F15" s="941"/>
      <c r="G15" s="78"/>
      <c r="H15" s="78"/>
      <c r="I15" s="815"/>
      <c r="J15" s="78"/>
      <c r="K15" s="1578"/>
      <c r="L15" s="1245"/>
      <c r="M15" s="1278"/>
      <c r="N15" s="1278"/>
      <c r="O15" s="78"/>
      <c r="P15" s="78"/>
      <c r="Q15" s="78"/>
      <c r="R15" s="86"/>
    </row>
    <row r="16" spans="1:18" ht="15.75">
      <c r="A16" s="104"/>
      <c r="B16" s="104"/>
      <c r="C16" s="104"/>
      <c r="D16" s="104"/>
      <c r="E16" s="104"/>
      <c r="F16" s="104"/>
      <c r="G16" s="104"/>
      <c r="H16" s="104"/>
      <c r="I16" s="104"/>
      <c r="J16" s="104"/>
      <c r="K16" s="104"/>
      <c r="L16" s="104"/>
      <c r="M16" s="1278"/>
      <c r="N16" s="1278"/>
      <c r="O16" s="78"/>
      <c r="P16" s="78"/>
      <c r="Q16" s="78"/>
      <c r="R16" s="86"/>
    </row>
    <row r="17" spans="1:18" ht="15.75">
      <c r="A17" s="104"/>
      <c r="B17" s="78"/>
      <c r="C17" s="78"/>
      <c r="D17" s="78"/>
      <c r="E17" s="941"/>
      <c r="F17" s="941"/>
      <c r="G17" s="78"/>
      <c r="H17" s="78"/>
      <c r="I17" s="78"/>
      <c r="J17" s="78"/>
      <c r="K17" s="1245"/>
      <c r="L17" s="1245"/>
      <c r="M17" s="1278"/>
      <c r="N17" s="1278"/>
      <c r="O17" s="78"/>
      <c r="P17" s="78"/>
      <c r="Q17" s="78"/>
      <c r="R17" s="86"/>
    </row>
    <row r="18" spans="1:18" ht="15.75">
      <c r="A18" s="104"/>
      <c r="B18" s="78"/>
      <c r="C18" s="1092" t="s">
        <v>1286</v>
      </c>
      <c r="D18" s="1092"/>
      <c r="E18" s="1096" t="s">
        <v>1287</v>
      </c>
      <c r="F18" s="1096"/>
      <c r="G18" s="1092" t="s">
        <v>1288</v>
      </c>
      <c r="H18" s="1092"/>
      <c r="I18" s="1092" t="s">
        <v>842</v>
      </c>
      <c r="J18" s="1092"/>
      <c r="K18" s="1283" t="s">
        <v>843</v>
      </c>
      <c r="L18" s="1283"/>
      <c r="M18" s="1284" t="s">
        <v>844</v>
      </c>
      <c r="N18" s="1284"/>
      <c r="O18" s="1092" t="s">
        <v>2122</v>
      </c>
      <c r="P18" s="1092"/>
      <c r="Q18" s="1092" t="s">
        <v>840</v>
      </c>
      <c r="R18" s="86"/>
    </row>
    <row r="19" spans="1:18" ht="31.5">
      <c r="A19" s="1061"/>
      <c r="B19" s="27" t="s">
        <v>1289</v>
      </c>
      <c r="C19" s="1581"/>
      <c r="D19" s="78"/>
      <c r="E19" s="1582" t="s">
        <v>1747</v>
      </c>
      <c r="F19" s="1286"/>
      <c r="G19" s="1287"/>
      <c r="H19" s="1287"/>
      <c r="I19" s="1288"/>
      <c r="J19" s="1288"/>
      <c r="K19" s="1289"/>
      <c r="L19" s="1289"/>
      <c r="M19" s="1290"/>
      <c r="N19" s="1290"/>
      <c r="O19" s="1287"/>
      <c r="P19" s="1287"/>
      <c r="Q19" s="1583"/>
      <c r="R19" s="86"/>
    </row>
    <row r="20" spans="1:18" ht="75.75">
      <c r="A20" s="104"/>
      <c r="B20" s="78"/>
      <c r="C20" s="1291" t="s">
        <v>0</v>
      </c>
      <c r="D20" s="1291"/>
      <c r="E20" s="1292" t="s">
        <v>1438</v>
      </c>
      <c r="F20" s="1292"/>
      <c r="G20" s="1234" t="s">
        <v>1439</v>
      </c>
      <c r="H20" s="1234"/>
      <c r="I20" s="1234" t="s">
        <v>1440</v>
      </c>
      <c r="J20" s="1234"/>
      <c r="K20" s="1584" t="s">
        <v>1</v>
      </c>
      <c r="L20" s="1293"/>
      <c r="M20" s="1584" t="s">
        <v>2</v>
      </c>
      <c r="N20" s="1294"/>
      <c r="O20" s="1584" t="s">
        <v>3</v>
      </c>
      <c r="P20" s="1234"/>
      <c r="Q20" s="1584" t="s">
        <v>4</v>
      </c>
      <c r="R20" s="86"/>
    </row>
    <row r="21" spans="1:18" ht="15.75">
      <c r="A21" s="104"/>
      <c r="B21" s="78"/>
      <c r="C21" s="904">
        <v>0</v>
      </c>
      <c r="D21" s="314">
        <v>1061</v>
      </c>
      <c r="E21" s="1585"/>
      <c r="F21" s="314">
        <v>1062</v>
      </c>
      <c r="G21" s="1585"/>
      <c r="H21" s="314">
        <v>1063</v>
      </c>
      <c r="I21" s="1585"/>
      <c r="J21" s="314">
        <v>1064</v>
      </c>
      <c r="K21" s="1585"/>
      <c r="L21" s="314">
        <v>1065</v>
      </c>
      <c r="M21" s="1585"/>
      <c r="N21" s="314">
        <v>1066</v>
      </c>
      <c r="O21" s="1585"/>
      <c r="P21" s="314">
        <v>1067</v>
      </c>
      <c r="Q21" s="1585"/>
      <c r="R21" s="86"/>
    </row>
    <row r="22" spans="1:18" ht="15.75">
      <c r="A22" s="104"/>
      <c r="B22" s="78"/>
      <c r="C22" s="904">
        <v>1</v>
      </c>
      <c r="D22" s="314">
        <v>1068</v>
      </c>
      <c r="E22" s="1585"/>
      <c r="F22" s="314">
        <v>1069</v>
      </c>
      <c r="G22" s="1585"/>
      <c r="H22" s="314">
        <v>1070</v>
      </c>
      <c r="I22" s="1585"/>
      <c r="J22" s="314">
        <v>1071</v>
      </c>
      <c r="K22" s="1585"/>
      <c r="L22" s="314">
        <v>1072</v>
      </c>
      <c r="M22" s="1585"/>
      <c r="N22" s="314">
        <v>1073</v>
      </c>
      <c r="O22" s="1585"/>
      <c r="P22" s="314">
        <v>1074</v>
      </c>
      <c r="Q22" s="1585"/>
      <c r="R22" s="86"/>
    </row>
    <row r="23" spans="1:18" ht="15.75">
      <c r="A23" s="104"/>
      <c r="B23" s="78"/>
      <c r="C23" s="904">
        <v>2</v>
      </c>
      <c r="D23" s="314">
        <v>1075</v>
      </c>
      <c r="E23" s="1585"/>
      <c r="F23" s="314">
        <v>1076</v>
      </c>
      <c r="G23" s="1585"/>
      <c r="H23" s="314">
        <v>1077</v>
      </c>
      <c r="I23" s="1585"/>
      <c r="J23" s="314">
        <v>1078</v>
      </c>
      <c r="K23" s="1585"/>
      <c r="L23" s="314">
        <v>1079</v>
      </c>
      <c r="M23" s="1585"/>
      <c r="N23" s="314">
        <v>1080</v>
      </c>
      <c r="O23" s="1585"/>
      <c r="P23" s="314">
        <v>1081</v>
      </c>
      <c r="Q23" s="1585"/>
      <c r="R23" s="86"/>
    </row>
    <row r="24" spans="1:18" ht="15.75">
      <c r="A24" s="104"/>
      <c r="B24" s="78"/>
      <c r="C24" s="904">
        <v>3</v>
      </c>
      <c r="D24" s="314">
        <v>1082</v>
      </c>
      <c r="E24" s="1585"/>
      <c r="F24" s="314">
        <v>1083</v>
      </c>
      <c r="G24" s="1585"/>
      <c r="H24" s="314">
        <v>1084</v>
      </c>
      <c r="I24" s="1585"/>
      <c r="J24" s="314">
        <v>1085</v>
      </c>
      <c r="K24" s="1585"/>
      <c r="L24" s="314">
        <v>1086</v>
      </c>
      <c r="M24" s="1585"/>
      <c r="N24" s="314">
        <v>1087</v>
      </c>
      <c r="O24" s="1585"/>
      <c r="P24" s="314">
        <v>1088</v>
      </c>
      <c r="Q24" s="1585"/>
      <c r="R24" s="86"/>
    </row>
    <row r="25" spans="1:18" ht="15.75">
      <c r="A25" s="104"/>
      <c r="B25" s="78"/>
      <c r="C25" s="904">
        <v>4</v>
      </c>
      <c r="D25" s="314">
        <v>1089</v>
      </c>
      <c r="E25" s="1585"/>
      <c r="F25" s="314">
        <v>1090</v>
      </c>
      <c r="G25" s="1585"/>
      <c r="H25" s="314">
        <v>1091</v>
      </c>
      <c r="I25" s="1585"/>
      <c r="J25" s="314">
        <v>1092</v>
      </c>
      <c r="K25" s="1585"/>
      <c r="L25" s="314">
        <v>1093</v>
      </c>
      <c r="M25" s="1585"/>
      <c r="N25" s="314">
        <v>1094</v>
      </c>
      <c r="O25" s="1585"/>
      <c r="P25" s="314">
        <v>1095</v>
      </c>
      <c r="Q25" s="1585"/>
      <c r="R25" s="86"/>
    </row>
    <row r="26" spans="1:18" ht="15.75">
      <c r="A26" s="104"/>
      <c r="B26" s="78"/>
      <c r="C26" s="904">
        <v>5</v>
      </c>
      <c r="D26" s="314">
        <v>1096</v>
      </c>
      <c r="E26" s="1585"/>
      <c r="F26" s="314">
        <v>1097</v>
      </c>
      <c r="G26" s="1585"/>
      <c r="H26" s="314">
        <v>1098</v>
      </c>
      <c r="I26" s="1585"/>
      <c r="J26" s="314">
        <v>1099</v>
      </c>
      <c r="K26" s="1585"/>
      <c r="L26" s="314">
        <v>1100</v>
      </c>
      <c r="M26" s="1585"/>
      <c r="N26" s="314">
        <v>1101</v>
      </c>
      <c r="O26" s="1585"/>
      <c r="P26" s="314">
        <v>1102</v>
      </c>
      <c r="Q26" s="1585"/>
      <c r="R26" s="86"/>
    </row>
    <row r="27" spans="1:18" ht="15.75">
      <c r="A27" s="104"/>
      <c r="B27" s="78"/>
      <c r="C27" s="904">
        <v>6</v>
      </c>
      <c r="D27" s="314">
        <v>1103</v>
      </c>
      <c r="E27" s="1585"/>
      <c r="F27" s="314">
        <v>1104</v>
      </c>
      <c r="G27" s="1585"/>
      <c r="H27" s="314">
        <v>1105</v>
      </c>
      <c r="I27" s="1585"/>
      <c r="J27" s="314">
        <v>1106</v>
      </c>
      <c r="K27" s="1585"/>
      <c r="L27" s="314">
        <v>1107</v>
      </c>
      <c r="M27" s="1585"/>
      <c r="N27" s="314">
        <v>1108</v>
      </c>
      <c r="O27" s="1585"/>
      <c r="P27" s="314">
        <v>1109</v>
      </c>
      <c r="Q27" s="1585"/>
      <c r="R27" s="86"/>
    </row>
    <row r="28" spans="1:18" ht="15.75">
      <c r="A28" s="104"/>
      <c r="B28" s="78"/>
      <c r="C28" s="904">
        <v>7</v>
      </c>
      <c r="D28" s="314">
        <v>1110</v>
      </c>
      <c r="E28" s="1585"/>
      <c r="F28" s="314">
        <v>1111</v>
      </c>
      <c r="G28" s="1585"/>
      <c r="H28" s="314">
        <v>1112</v>
      </c>
      <c r="I28" s="1585"/>
      <c r="J28" s="314">
        <v>1113</v>
      </c>
      <c r="K28" s="1585"/>
      <c r="L28" s="314">
        <v>1114</v>
      </c>
      <c r="M28" s="1585"/>
      <c r="N28" s="314">
        <v>1115</v>
      </c>
      <c r="O28" s="1585"/>
      <c r="P28" s="314">
        <v>1116</v>
      </c>
      <c r="Q28" s="1585"/>
      <c r="R28" s="86"/>
    </row>
    <row r="29" spans="1:18" ht="15.75">
      <c r="A29" s="104"/>
      <c r="B29" s="78"/>
      <c r="C29" s="904">
        <v>8</v>
      </c>
      <c r="D29" s="314">
        <v>1117</v>
      </c>
      <c r="E29" s="1585"/>
      <c r="F29" s="314">
        <v>1118</v>
      </c>
      <c r="G29" s="1585"/>
      <c r="H29" s="314">
        <v>1119</v>
      </c>
      <c r="I29" s="1585"/>
      <c r="J29" s="314">
        <v>1120</v>
      </c>
      <c r="K29" s="1585"/>
      <c r="L29" s="314">
        <v>1121</v>
      </c>
      <c r="M29" s="1585"/>
      <c r="N29" s="314">
        <v>1122</v>
      </c>
      <c r="O29" s="1585"/>
      <c r="P29" s="314">
        <v>1123</v>
      </c>
      <c r="Q29" s="1585"/>
      <c r="R29" s="86"/>
    </row>
    <row r="30" spans="1:18" ht="15.75">
      <c r="A30" s="104"/>
      <c r="B30" s="78"/>
      <c r="C30" s="904">
        <v>9</v>
      </c>
      <c r="D30" s="314">
        <v>1124</v>
      </c>
      <c r="E30" s="1585"/>
      <c r="F30" s="314">
        <v>1125</v>
      </c>
      <c r="G30" s="1585"/>
      <c r="H30" s="314">
        <v>1126</v>
      </c>
      <c r="I30" s="1585"/>
      <c r="J30" s="314">
        <v>1127</v>
      </c>
      <c r="K30" s="1585"/>
      <c r="L30" s="314">
        <v>1128</v>
      </c>
      <c r="M30" s="1585"/>
      <c r="N30" s="314">
        <v>1129</v>
      </c>
      <c r="O30" s="1585"/>
      <c r="P30" s="314">
        <v>1130</v>
      </c>
      <c r="Q30" s="1585"/>
      <c r="R30" s="86"/>
    </row>
    <row r="31" spans="1:18" ht="15.75">
      <c r="A31" s="104"/>
      <c r="B31" s="78"/>
      <c r="C31" s="904">
        <v>10</v>
      </c>
      <c r="D31" s="314">
        <v>1131</v>
      </c>
      <c r="E31" s="1585"/>
      <c r="F31" s="314">
        <v>1132</v>
      </c>
      <c r="G31" s="1585"/>
      <c r="H31" s="314">
        <v>1133</v>
      </c>
      <c r="I31" s="1585"/>
      <c r="J31" s="314">
        <v>1134</v>
      </c>
      <c r="K31" s="1585"/>
      <c r="L31" s="314">
        <v>1135</v>
      </c>
      <c r="M31" s="1585"/>
      <c r="N31" s="314">
        <v>1136</v>
      </c>
      <c r="O31" s="1585"/>
      <c r="P31" s="314">
        <v>1137</v>
      </c>
      <c r="Q31" s="1585"/>
      <c r="R31" s="86"/>
    </row>
    <row r="32" spans="1:18" ht="15.75">
      <c r="A32" s="104"/>
      <c r="B32" s="78"/>
      <c r="C32" s="904">
        <v>11</v>
      </c>
      <c r="D32" s="314">
        <v>1138</v>
      </c>
      <c r="E32" s="1585"/>
      <c r="F32" s="314">
        <v>1139</v>
      </c>
      <c r="G32" s="1585"/>
      <c r="H32" s="314">
        <v>1140</v>
      </c>
      <c r="I32" s="1585"/>
      <c r="J32" s="314">
        <v>1141</v>
      </c>
      <c r="K32" s="1585"/>
      <c r="L32" s="314">
        <v>1142</v>
      </c>
      <c r="M32" s="1585"/>
      <c r="N32" s="314">
        <v>1143</v>
      </c>
      <c r="O32" s="1585"/>
      <c r="P32" s="314">
        <v>1144</v>
      </c>
      <c r="Q32" s="1585"/>
      <c r="R32" s="86"/>
    </row>
    <row r="33" spans="1:18" ht="15.75">
      <c r="A33" s="104"/>
      <c r="B33" s="78"/>
      <c r="C33" s="904">
        <v>12</v>
      </c>
      <c r="D33" s="314">
        <v>1145</v>
      </c>
      <c r="E33" s="1585"/>
      <c r="F33" s="314">
        <v>1146</v>
      </c>
      <c r="G33" s="1585"/>
      <c r="H33" s="314">
        <v>1147</v>
      </c>
      <c r="I33" s="1585"/>
      <c r="J33" s="314">
        <v>1148</v>
      </c>
      <c r="K33" s="1585"/>
      <c r="L33" s="314">
        <v>1149</v>
      </c>
      <c r="M33" s="1585"/>
      <c r="N33" s="314">
        <v>1150</v>
      </c>
      <c r="O33" s="1585"/>
      <c r="P33" s="314">
        <v>1151</v>
      </c>
      <c r="Q33" s="1585"/>
      <c r="R33" s="86"/>
    </row>
    <row r="34" spans="1:18" ht="15.75">
      <c r="A34" s="104"/>
      <c r="B34" s="78"/>
      <c r="C34" s="1586" t="s">
        <v>1746</v>
      </c>
      <c r="D34" s="314">
        <v>1152</v>
      </c>
      <c r="E34" s="1585"/>
      <c r="F34" s="314">
        <v>1153</v>
      </c>
      <c r="G34" s="1585"/>
      <c r="H34" s="314">
        <v>1154</v>
      </c>
      <c r="I34" s="1585"/>
      <c r="J34" s="314">
        <v>1155</v>
      </c>
      <c r="K34" s="1585"/>
      <c r="L34" s="314">
        <v>1156</v>
      </c>
      <c r="M34" s="1585"/>
      <c r="N34" s="314">
        <v>1157</v>
      </c>
      <c r="O34" s="1585"/>
      <c r="P34" s="314">
        <v>1158</v>
      </c>
      <c r="Q34" s="1585"/>
      <c r="R34" s="86"/>
    </row>
    <row r="35" spans="1:18" ht="15.75">
      <c r="A35" s="104"/>
      <c r="B35" s="78"/>
      <c r="C35" s="78"/>
      <c r="D35" s="78"/>
      <c r="E35" s="957"/>
      <c r="F35" s="1302"/>
      <c r="G35" s="815"/>
      <c r="H35" s="1303"/>
      <c r="I35" s="815"/>
      <c r="J35" s="1303"/>
      <c r="K35" s="957"/>
      <c r="L35" s="1302"/>
      <c r="M35" s="957"/>
      <c r="N35" s="1302"/>
      <c r="O35" s="815"/>
      <c r="P35" s="1303"/>
      <c r="Q35" s="815"/>
      <c r="R35" s="86"/>
    </row>
    <row r="36" spans="1:18" ht="31.5">
      <c r="A36" s="104"/>
      <c r="B36" s="27" t="s">
        <v>1000</v>
      </c>
      <c r="C36" s="1581"/>
      <c r="D36" s="1587"/>
      <c r="E36" s="1588" t="s">
        <v>1747</v>
      </c>
      <c r="F36" s="1589"/>
      <c r="G36" s="1590"/>
      <c r="H36" s="1591"/>
      <c r="I36" s="1590"/>
      <c r="J36" s="1591"/>
      <c r="K36" s="1592"/>
      <c r="L36" s="1593"/>
      <c r="M36" s="1592"/>
      <c r="N36" s="1593"/>
      <c r="O36" s="1590"/>
      <c r="P36" s="1591"/>
      <c r="Q36" s="1594"/>
      <c r="R36" s="86"/>
    </row>
    <row r="37" spans="1:18" ht="75.75">
      <c r="A37" s="104"/>
      <c r="B37" s="78"/>
      <c r="C37" s="1291" t="s">
        <v>0</v>
      </c>
      <c r="D37" s="1291"/>
      <c r="E37" s="1054" t="s">
        <v>1438</v>
      </c>
      <c r="F37" s="1307"/>
      <c r="G37" s="1008" t="s">
        <v>1439</v>
      </c>
      <c r="H37" s="1308"/>
      <c r="I37" s="1008" t="s">
        <v>1440</v>
      </c>
      <c r="J37" s="1308"/>
      <c r="K37" s="1584" t="s">
        <v>1</v>
      </c>
      <c r="L37" s="1293"/>
      <c r="M37" s="1584" t="s">
        <v>2</v>
      </c>
      <c r="N37" s="1294"/>
      <c r="O37" s="1584" t="s">
        <v>3</v>
      </c>
      <c r="P37" s="1234"/>
      <c r="Q37" s="1584" t="s">
        <v>4</v>
      </c>
      <c r="R37" s="86"/>
    </row>
    <row r="38" spans="1:18" ht="15.75">
      <c r="A38" s="104"/>
      <c r="B38" s="78"/>
      <c r="C38" s="904">
        <v>0</v>
      </c>
      <c r="D38" s="314">
        <v>1159</v>
      </c>
      <c r="E38" s="1585"/>
      <c r="F38" s="314">
        <v>1160</v>
      </c>
      <c r="G38" s="1585"/>
      <c r="H38" s="314">
        <v>1161</v>
      </c>
      <c r="I38" s="1585"/>
      <c r="J38" s="314">
        <v>1162</v>
      </c>
      <c r="K38" s="1585"/>
      <c r="L38" s="314">
        <v>1163</v>
      </c>
      <c r="M38" s="1585"/>
      <c r="N38" s="314">
        <v>1164</v>
      </c>
      <c r="O38" s="1585"/>
      <c r="P38" s="314">
        <v>1165</v>
      </c>
      <c r="Q38" s="1585"/>
      <c r="R38" s="86"/>
    </row>
    <row r="39" spans="1:18" ht="15.75">
      <c r="A39" s="104"/>
      <c r="B39" s="78"/>
      <c r="C39" s="904">
        <v>1</v>
      </c>
      <c r="D39" s="314">
        <v>1166</v>
      </c>
      <c r="E39" s="1585"/>
      <c r="F39" s="314">
        <v>1167</v>
      </c>
      <c r="G39" s="1585"/>
      <c r="H39" s="314">
        <v>1168</v>
      </c>
      <c r="I39" s="1585"/>
      <c r="J39" s="314">
        <v>1169</v>
      </c>
      <c r="K39" s="1585"/>
      <c r="L39" s="314">
        <v>1170</v>
      </c>
      <c r="M39" s="1585"/>
      <c r="N39" s="314">
        <v>1171</v>
      </c>
      <c r="O39" s="1585"/>
      <c r="P39" s="314">
        <v>1172</v>
      </c>
      <c r="Q39" s="1585"/>
      <c r="R39" s="86"/>
    </row>
    <row r="40" spans="1:18" ht="15.75">
      <c r="A40" s="104"/>
      <c r="B40" s="78"/>
      <c r="C40" s="904">
        <v>2</v>
      </c>
      <c r="D40" s="314">
        <v>1173</v>
      </c>
      <c r="E40" s="1585"/>
      <c r="F40" s="314">
        <v>1174</v>
      </c>
      <c r="G40" s="1585"/>
      <c r="H40" s="314">
        <v>1175</v>
      </c>
      <c r="I40" s="1585"/>
      <c r="J40" s="314">
        <v>1176</v>
      </c>
      <c r="K40" s="1585"/>
      <c r="L40" s="314">
        <v>1177</v>
      </c>
      <c r="M40" s="1585"/>
      <c r="N40" s="314">
        <v>1178</v>
      </c>
      <c r="O40" s="1585"/>
      <c r="P40" s="314">
        <v>1179</v>
      </c>
      <c r="Q40" s="1585"/>
      <c r="R40" s="86"/>
    </row>
    <row r="41" spans="1:18" ht="15.75">
      <c r="A41" s="104"/>
      <c r="B41" s="78"/>
      <c r="C41" s="904">
        <v>3</v>
      </c>
      <c r="D41" s="314">
        <v>1180</v>
      </c>
      <c r="E41" s="1585"/>
      <c r="F41" s="314">
        <v>1181</v>
      </c>
      <c r="G41" s="1585"/>
      <c r="H41" s="314">
        <v>1182</v>
      </c>
      <c r="I41" s="1585"/>
      <c r="J41" s="314">
        <v>1183</v>
      </c>
      <c r="K41" s="1585"/>
      <c r="L41" s="314">
        <v>1184</v>
      </c>
      <c r="M41" s="1585"/>
      <c r="N41" s="314">
        <v>1185</v>
      </c>
      <c r="O41" s="1585"/>
      <c r="P41" s="314">
        <v>1186</v>
      </c>
      <c r="Q41" s="1585"/>
      <c r="R41" s="86"/>
    </row>
    <row r="42" spans="1:18" ht="15.75">
      <c r="A42" s="104"/>
      <c r="B42" s="78"/>
      <c r="C42" s="904">
        <v>4</v>
      </c>
      <c r="D42" s="314">
        <v>1187</v>
      </c>
      <c r="E42" s="1585"/>
      <c r="F42" s="314">
        <v>1188</v>
      </c>
      <c r="G42" s="1585"/>
      <c r="H42" s="314">
        <v>1189</v>
      </c>
      <c r="I42" s="1585"/>
      <c r="J42" s="314">
        <v>1190</v>
      </c>
      <c r="K42" s="1585"/>
      <c r="L42" s="314">
        <v>1191</v>
      </c>
      <c r="M42" s="1585"/>
      <c r="N42" s="314">
        <v>1192</v>
      </c>
      <c r="O42" s="1585"/>
      <c r="P42" s="314">
        <v>1193</v>
      </c>
      <c r="Q42" s="1585"/>
      <c r="R42" s="86"/>
    </row>
    <row r="43" spans="1:18" ht="15.75">
      <c r="A43" s="104"/>
      <c r="B43" s="78"/>
      <c r="C43" s="904">
        <v>5</v>
      </c>
      <c r="D43" s="314">
        <v>1194</v>
      </c>
      <c r="E43" s="1585"/>
      <c r="F43" s="314">
        <v>1195</v>
      </c>
      <c r="G43" s="1585"/>
      <c r="H43" s="314">
        <v>1196</v>
      </c>
      <c r="I43" s="1585"/>
      <c r="J43" s="314">
        <v>1197</v>
      </c>
      <c r="K43" s="1585"/>
      <c r="L43" s="314">
        <v>1198</v>
      </c>
      <c r="M43" s="1585"/>
      <c r="N43" s="314">
        <v>1199</v>
      </c>
      <c r="O43" s="1585"/>
      <c r="P43" s="314">
        <v>1200</v>
      </c>
      <c r="Q43" s="1585"/>
      <c r="R43" s="86"/>
    </row>
    <row r="44" spans="1:18" ht="15.75">
      <c r="A44" s="104"/>
      <c r="B44" s="78"/>
      <c r="C44" s="904">
        <v>6</v>
      </c>
      <c r="D44" s="314">
        <v>1201</v>
      </c>
      <c r="E44" s="1585"/>
      <c r="F44" s="314">
        <v>1202</v>
      </c>
      <c r="G44" s="1585"/>
      <c r="H44" s="314">
        <v>1203</v>
      </c>
      <c r="I44" s="1585"/>
      <c r="J44" s="314">
        <v>1204</v>
      </c>
      <c r="K44" s="1585"/>
      <c r="L44" s="314">
        <v>1205</v>
      </c>
      <c r="M44" s="1585"/>
      <c r="N44" s="314">
        <v>1206</v>
      </c>
      <c r="O44" s="1585"/>
      <c r="P44" s="314">
        <v>1207</v>
      </c>
      <c r="Q44" s="1585"/>
      <c r="R44" s="86"/>
    </row>
    <row r="45" spans="1:18" ht="15.75">
      <c r="A45" s="104"/>
      <c r="B45" s="78"/>
      <c r="C45" s="904">
        <v>7</v>
      </c>
      <c r="D45" s="314">
        <v>1208</v>
      </c>
      <c r="E45" s="1585"/>
      <c r="F45" s="314">
        <v>1209</v>
      </c>
      <c r="G45" s="1585"/>
      <c r="H45" s="314">
        <v>1210</v>
      </c>
      <c r="I45" s="1585"/>
      <c r="J45" s="314">
        <v>1211</v>
      </c>
      <c r="K45" s="1585"/>
      <c r="L45" s="314">
        <v>1212</v>
      </c>
      <c r="M45" s="1585"/>
      <c r="N45" s="314">
        <v>1213</v>
      </c>
      <c r="O45" s="1585"/>
      <c r="P45" s="314">
        <v>1214</v>
      </c>
      <c r="Q45" s="1585"/>
      <c r="R45" s="86"/>
    </row>
    <row r="46" spans="1:18" ht="15.75">
      <c r="A46" s="104"/>
      <c r="B46" s="78"/>
      <c r="C46" s="904">
        <v>8</v>
      </c>
      <c r="D46" s="314">
        <v>1215</v>
      </c>
      <c r="E46" s="1585"/>
      <c r="F46" s="314">
        <v>1216</v>
      </c>
      <c r="G46" s="1585"/>
      <c r="H46" s="314">
        <v>1217</v>
      </c>
      <c r="I46" s="1585"/>
      <c r="J46" s="314">
        <v>1218</v>
      </c>
      <c r="K46" s="1585"/>
      <c r="L46" s="314">
        <v>1219</v>
      </c>
      <c r="M46" s="1585"/>
      <c r="N46" s="314">
        <v>1220</v>
      </c>
      <c r="O46" s="1585"/>
      <c r="P46" s="314">
        <v>1221</v>
      </c>
      <c r="Q46" s="1585"/>
      <c r="R46" s="86"/>
    </row>
    <row r="47" spans="1:18" ht="15.75">
      <c r="A47" s="104"/>
      <c r="B47" s="78"/>
      <c r="C47" s="904">
        <v>9</v>
      </c>
      <c r="D47" s="314">
        <v>1222</v>
      </c>
      <c r="E47" s="1585"/>
      <c r="F47" s="314">
        <v>1223</v>
      </c>
      <c r="G47" s="1585"/>
      <c r="H47" s="314">
        <v>1224</v>
      </c>
      <c r="I47" s="1585"/>
      <c r="J47" s="314">
        <v>1225</v>
      </c>
      <c r="K47" s="1585"/>
      <c r="L47" s="314">
        <v>1226</v>
      </c>
      <c r="M47" s="1585"/>
      <c r="N47" s="314">
        <v>1227</v>
      </c>
      <c r="O47" s="1585"/>
      <c r="P47" s="314">
        <v>1228</v>
      </c>
      <c r="Q47" s="1585"/>
      <c r="R47" s="86"/>
    </row>
    <row r="48" spans="1:18" ht="15.75">
      <c r="A48" s="104"/>
      <c r="B48" s="78"/>
      <c r="C48" s="904">
        <v>10</v>
      </c>
      <c r="D48" s="314">
        <v>1229</v>
      </c>
      <c r="E48" s="1585"/>
      <c r="F48" s="314">
        <v>1230</v>
      </c>
      <c r="G48" s="1585"/>
      <c r="H48" s="314">
        <v>1231</v>
      </c>
      <c r="I48" s="1585"/>
      <c r="J48" s="314">
        <v>1232</v>
      </c>
      <c r="K48" s="1585"/>
      <c r="L48" s="314">
        <v>1233</v>
      </c>
      <c r="M48" s="1585"/>
      <c r="N48" s="314">
        <v>1234</v>
      </c>
      <c r="O48" s="1585"/>
      <c r="P48" s="314">
        <v>1235</v>
      </c>
      <c r="Q48" s="1585"/>
      <c r="R48" s="86"/>
    </row>
    <row r="49" spans="1:18" ht="15.75">
      <c r="A49" s="104"/>
      <c r="B49" s="78"/>
      <c r="C49" s="904">
        <v>11</v>
      </c>
      <c r="D49" s="314">
        <v>1236</v>
      </c>
      <c r="E49" s="1585"/>
      <c r="F49" s="314">
        <v>1237</v>
      </c>
      <c r="G49" s="1585"/>
      <c r="H49" s="314">
        <v>1238</v>
      </c>
      <c r="I49" s="1585"/>
      <c r="J49" s="314">
        <v>1239</v>
      </c>
      <c r="K49" s="1585"/>
      <c r="L49" s="314">
        <v>1240</v>
      </c>
      <c r="M49" s="1585"/>
      <c r="N49" s="314">
        <v>1241</v>
      </c>
      <c r="O49" s="1585"/>
      <c r="P49" s="314">
        <v>1242</v>
      </c>
      <c r="Q49" s="1585"/>
      <c r="R49" s="86"/>
    </row>
    <row r="50" spans="1:18" ht="15.75">
      <c r="A50" s="104"/>
      <c r="B50" s="78"/>
      <c r="C50" s="904">
        <v>12</v>
      </c>
      <c r="D50" s="314">
        <v>1243</v>
      </c>
      <c r="E50" s="1585"/>
      <c r="F50" s="314">
        <v>1244</v>
      </c>
      <c r="G50" s="1585"/>
      <c r="H50" s="314">
        <v>1245</v>
      </c>
      <c r="I50" s="1585"/>
      <c r="J50" s="314">
        <v>1246</v>
      </c>
      <c r="K50" s="1585"/>
      <c r="L50" s="314">
        <v>1247</v>
      </c>
      <c r="M50" s="1585"/>
      <c r="N50" s="314">
        <v>1248</v>
      </c>
      <c r="O50" s="1585"/>
      <c r="P50" s="314">
        <v>1249</v>
      </c>
      <c r="Q50" s="1585"/>
      <c r="R50" s="86"/>
    </row>
    <row r="51" spans="1:18" ht="15.75">
      <c r="A51" s="104"/>
      <c r="B51" s="78"/>
      <c r="C51" s="1586" t="s">
        <v>1746</v>
      </c>
      <c r="D51" s="314">
        <v>1250</v>
      </c>
      <c r="E51" s="1585"/>
      <c r="F51" s="314">
        <v>1251</v>
      </c>
      <c r="G51" s="1585"/>
      <c r="H51" s="314">
        <v>1252</v>
      </c>
      <c r="I51" s="1585"/>
      <c r="J51" s="314">
        <v>1253</v>
      </c>
      <c r="K51" s="1585"/>
      <c r="L51" s="314">
        <v>1254</v>
      </c>
      <c r="M51" s="1585"/>
      <c r="N51" s="314">
        <v>1255</v>
      </c>
      <c r="O51" s="1585"/>
      <c r="P51" s="314">
        <v>1256</v>
      </c>
      <c r="Q51" s="1585"/>
      <c r="R51" s="86"/>
    </row>
    <row r="52" spans="1:18" ht="15.75">
      <c r="A52" s="104"/>
      <c r="B52" s="78"/>
      <c r="C52" s="78"/>
      <c r="D52" s="78"/>
      <c r="E52" s="941"/>
      <c r="F52" s="941"/>
      <c r="G52" s="815"/>
      <c r="H52" s="78"/>
      <c r="I52" s="815"/>
      <c r="J52" s="78"/>
      <c r="K52" s="957"/>
      <c r="L52" s="1245"/>
      <c r="M52" s="957"/>
      <c r="N52" s="1278"/>
      <c r="O52" s="815"/>
      <c r="P52" s="78"/>
      <c r="Q52" s="815"/>
      <c r="R52" s="86"/>
    </row>
    <row r="53" spans="1:18" ht="15.75">
      <c r="A53" s="104"/>
      <c r="B53" s="78"/>
      <c r="C53" s="78"/>
      <c r="D53" s="78"/>
      <c r="E53" s="941"/>
      <c r="F53" s="941"/>
      <c r="G53" s="815"/>
      <c r="H53" s="78"/>
      <c r="I53" s="815"/>
      <c r="J53" s="78"/>
      <c r="K53" s="957"/>
      <c r="L53" s="1245"/>
      <c r="M53" s="957"/>
      <c r="N53" s="1278"/>
      <c r="O53" s="815"/>
      <c r="P53" s="78"/>
      <c r="Q53" s="815"/>
      <c r="R53" s="86"/>
    </row>
    <row r="54" spans="1:18" ht="12.75" hidden="1" customHeight="1"/>
    <row r="55" spans="1:18" ht="12.75" hidden="1" customHeight="1"/>
    <row r="56" spans="1:18" ht="12.75" hidden="1" customHeight="1"/>
    <row r="57" spans="1:18" ht="12.75" hidden="1" customHeight="1"/>
    <row r="58" spans="1:18" ht="12.75" hidden="1" customHeight="1"/>
    <row r="59" spans="1:18" ht="12.75" hidden="1" customHeight="1"/>
    <row r="60" spans="1:18" ht="12.75" hidden="1" customHeight="1"/>
    <row r="61" spans="1:18" ht="12.75" hidden="1" customHeight="1"/>
    <row r="62" spans="1:18" ht="12.75" hidden="1" customHeight="1"/>
    <row r="63" spans="1:18" ht="12.75" hidden="1" customHeight="1"/>
    <row r="64" spans="1:18"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sheetData>
  <sheetProtection password="C7B7" sheet="1" objects="1" scenarios="1"/>
  <phoneticPr fontId="13" type="noConversion"/>
  <hyperlinks>
    <hyperlink ref="B1" location="NoteReport" display="Notes Begin"/>
    <hyperlink ref="C1" location="ElementaryAppendixG" display="Elementary"/>
    <hyperlink ref="D1" location="SecondaryAppendixG" display="Secondary"/>
  </hyperlinks>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CG76"/>
  <sheetViews>
    <sheetView topLeftCell="C56" zoomScaleNormal="100" workbookViewId="0">
      <selection activeCell="K63" sqref="K63"/>
    </sheetView>
  </sheetViews>
  <sheetFormatPr defaultColWidth="0" defaultRowHeight="0" customHeight="1" zeroHeight="1"/>
  <cols>
    <col min="1" max="1" width="3.7109375" style="976" customWidth="1"/>
    <col min="2" max="2" width="66.28515625" style="976" customWidth="1"/>
    <col min="3" max="3" width="22.5703125" style="976" customWidth="1"/>
    <col min="4" max="4" width="20.85546875" style="2366" customWidth="1"/>
    <col min="5" max="8" width="22.42578125" style="2366" customWidth="1"/>
    <col min="9" max="9" width="9.140625" style="2366" customWidth="1"/>
    <col min="10" max="31" width="18.140625" style="2366" customWidth="1"/>
    <col min="32" max="54" width="22.42578125" style="976" hidden="1" customWidth="1"/>
    <col min="55" max="55" width="2.42578125" style="976" customWidth="1"/>
    <col min="56" max="85" width="22.42578125" style="976" hidden="1" customWidth="1"/>
    <col min="86" max="16384" width="0" style="976" hidden="1"/>
  </cols>
  <sheetData>
    <row r="1" spans="1:55" ht="15.75" thickBot="1">
      <c r="A1" s="2159" t="s">
        <v>789</v>
      </c>
      <c r="B1" s="2159" t="s">
        <v>2787</v>
      </c>
      <c r="C1" s="2137" t="s">
        <v>2792</v>
      </c>
      <c r="D1" s="2137" t="s">
        <v>2841</v>
      </c>
      <c r="E1" s="2137" t="s">
        <v>1152</v>
      </c>
      <c r="F1" s="2137"/>
      <c r="G1" s="2164" t="s">
        <v>623</v>
      </c>
      <c r="H1" s="2164"/>
      <c r="I1" s="2137"/>
      <c r="J1" s="2137" t="s">
        <v>2841</v>
      </c>
      <c r="K1" s="2137"/>
      <c r="L1" s="2137"/>
      <c r="M1" s="2137"/>
      <c r="N1" s="2137"/>
      <c r="O1" s="2137"/>
      <c r="P1" s="2137"/>
      <c r="Q1" s="2137"/>
      <c r="R1" s="2137"/>
      <c r="S1" s="2137"/>
      <c r="T1" s="2137"/>
      <c r="U1" s="2137"/>
      <c r="V1" s="2137"/>
      <c r="W1" s="2137"/>
      <c r="X1" s="2137"/>
      <c r="Y1" s="2137"/>
      <c r="Z1" s="2137"/>
      <c r="AA1" s="2137"/>
      <c r="AB1" s="2137"/>
      <c r="AC1" s="2137"/>
      <c r="AD1" s="2137"/>
      <c r="AE1" s="2137"/>
      <c r="AF1" s="2137"/>
      <c r="AG1" s="2137"/>
      <c r="AH1" s="2137"/>
      <c r="AI1" s="2137"/>
      <c r="AJ1" s="2137"/>
      <c r="AK1" s="2137"/>
      <c r="AL1" s="2137"/>
      <c r="AM1" s="2137"/>
      <c r="AN1" s="2137"/>
      <c r="AO1" s="2137"/>
      <c r="AP1" s="2137"/>
      <c r="AQ1" s="2137"/>
      <c r="AR1" s="2137"/>
      <c r="AS1" s="2137"/>
      <c r="AT1" s="2137"/>
      <c r="AU1" s="2137"/>
      <c r="AV1" s="2137"/>
      <c r="AW1" s="2137"/>
      <c r="AX1" s="2137"/>
      <c r="AY1" s="2137"/>
      <c r="AZ1" s="2137"/>
      <c r="BA1" s="2137"/>
      <c r="BB1" s="2137"/>
      <c r="BC1" s="2159"/>
    </row>
    <row r="2" spans="1:55" ht="16.5" thickBot="1">
      <c r="A2" s="78"/>
      <c r="B2" s="2167" t="s">
        <v>622</v>
      </c>
      <c r="C2" s="1595"/>
      <c r="D2" s="941" t="s">
        <v>163</v>
      </c>
      <c r="E2" s="78"/>
      <c r="F2" s="78"/>
      <c r="G2" s="2337" t="str">
        <f>+'1 Summary'!G2</f>
        <v/>
      </c>
      <c r="H2" s="1915"/>
      <c r="I2" s="1410"/>
      <c r="J2" s="1596"/>
      <c r="K2" s="1410"/>
      <c r="L2" s="1410"/>
      <c r="M2" s="1410"/>
      <c r="N2" s="1410"/>
      <c r="O2" s="1410"/>
      <c r="P2" s="1410"/>
      <c r="Q2" s="1410"/>
      <c r="R2" s="1410"/>
      <c r="S2" s="1410"/>
      <c r="T2" s="1410"/>
      <c r="U2" s="1410"/>
      <c r="V2" s="1410"/>
      <c r="W2" s="1410"/>
      <c r="X2" s="1410"/>
      <c r="Y2" s="1410"/>
      <c r="Z2" s="1410"/>
      <c r="AA2" s="1410"/>
      <c r="AB2" s="1410"/>
      <c r="AC2" s="1410"/>
      <c r="AD2" s="1410"/>
      <c r="AE2" s="1410"/>
      <c r="AF2" s="1410"/>
      <c r="AG2" s="1410"/>
      <c r="AH2" s="1410"/>
      <c r="AI2" s="1410"/>
      <c r="AJ2" s="1410"/>
      <c r="AK2" s="1410"/>
      <c r="AL2" s="1410"/>
      <c r="AM2" s="1410"/>
      <c r="AN2" s="1410"/>
      <c r="AO2" s="1410"/>
      <c r="AP2" s="1410"/>
      <c r="AQ2" s="1410"/>
      <c r="AR2" s="1410"/>
      <c r="AS2" s="1410"/>
      <c r="AT2" s="1410"/>
      <c r="AU2" s="1410"/>
      <c r="AV2" s="1410"/>
      <c r="AW2" s="1410"/>
      <c r="AX2" s="1410"/>
      <c r="AY2" s="1410"/>
      <c r="AZ2" s="1410"/>
      <c r="BA2" s="1410"/>
      <c r="BB2" s="1410"/>
      <c r="BC2" s="78"/>
    </row>
    <row r="3" spans="1:55" ht="18.75" thickBot="1">
      <c r="A3" s="78"/>
      <c r="B3" s="633" t="s">
        <v>3007</v>
      </c>
      <c r="C3" s="1595"/>
      <c r="D3" s="941" t="s">
        <v>162</v>
      </c>
      <c r="E3" s="78"/>
      <c r="F3" s="78"/>
      <c r="G3" s="851">
        <f>+'1 Summary'!G3</f>
        <v>0</v>
      </c>
      <c r="H3" s="886"/>
      <c r="I3" s="1146"/>
      <c r="J3" s="1596"/>
      <c r="K3" s="1146"/>
      <c r="L3" s="1146"/>
      <c r="M3" s="1146"/>
      <c r="N3" s="1146"/>
      <c r="O3" s="1146"/>
      <c r="P3" s="1146"/>
      <c r="Q3" s="1146"/>
      <c r="R3" s="1146"/>
      <c r="S3" s="1146"/>
      <c r="T3" s="1146"/>
      <c r="U3" s="1146"/>
      <c r="V3" s="1146"/>
      <c r="W3" s="1146"/>
      <c r="X3" s="1146"/>
      <c r="Y3" s="1146"/>
      <c r="Z3" s="1146"/>
      <c r="AA3" s="1146"/>
      <c r="AB3" s="1146"/>
      <c r="AC3" s="1146"/>
      <c r="AD3" s="1146"/>
      <c r="AE3" s="1146"/>
      <c r="AF3" s="1146"/>
      <c r="AG3" s="1146"/>
      <c r="AH3" s="1146"/>
      <c r="AI3" s="1146"/>
      <c r="AJ3" s="1146"/>
      <c r="AK3" s="1146"/>
      <c r="AL3" s="1146"/>
      <c r="AM3" s="1146"/>
      <c r="AN3" s="1146"/>
      <c r="AO3" s="1146"/>
      <c r="AP3" s="1146"/>
      <c r="AQ3" s="1146"/>
      <c r="AR3" s="1146"/>
      <c r="AS3" s="1146"/>
      <c r="AT3" s="1146"/>
      <c r="AU3" s="1146"/>
      <c r="AV3" s="1146"/>
      <c r="AW3" s="1146"/>
      <c r="AX3" s="1146"/>
      <c r="AY3" s="1146"/>
      <c r="AZ3" s="1146"/>
      <c r="BA3" s="1146"/>
      <c r="BB3" s="1146"/>
      <c r="BC3" s="78"/>
    </row>
    <row r="4" spans="1:55" ht="15.75">
      <c r="A4" s="2137" t="s">
        <v>1065</v>
      </c>
      <c r="B4" s="2165" t="s">
        <v>810</v>
      </c>
      <c r="C4" s="1595"/>
      <c r="D4" s="1596"/>
      <c r="E4" s="78"/>
      <c r="F4" s="78"/>
      <c r="G4" s="78"/>
      <c r="H4" s="78"/>
      <c r="I4" s="1596"/>
      <c r="J4" s="1596"/>
      <c r="K4" s="1596"/>
      <c r="L4" s="1596"/>
      <c r="M4" s="1596"/>
      <c r="N4" s="1596"/>
      <c r="O4" s="1596"/>
      <c r="P4" s="1596"/>
      <c r="Q4" s="1596"/>
      <c r="R4" s="1596"/>
      <c r="S4" s="1596"/>
      <c r="T4" s="1596"/>
      <c r="U4" s="1596"/>
      <c r="V4" s="1596"/>
      <c r="W4" s="1596"/>
      <c r="X4" s="1596"/>
      <c r="Y4" s="1596"/>
      <c r="Z4" s="1596"/>
      <c r="AA4" s="1596"/>
      <c r="AB4" s="1596"/>
      <c r="AC4" s="1596"/>
      <c r="AD4" s="1596"/>
      <c r="AE4" s="1596"/>
      <c r="AF4" s="1596"/>
      <c r="AG4" s="1596"/>
      <c r="AH4" s="1596"/>
      <c r="AI4" s="1596"/>
      <c r="AJ4" s="1596"/>
      <c r="AK4" s="1596"/>
      <c r="AL4" s="1596"/>
      <c r="AM4" s="1596"/>
      <c r="AN4" s="1596"/>
      <c r="AO4" s="1596"/>
      <c r="AP4" s="1596"/>
      <c r="AQ4" s="1596"/>
      <c r="AR4" s="1596"/>
      <c r="AS4" s="1596"/>
      <c r="AT4" s="1596"/>
      <c r="AU4" s="1596"/>
      <c r="AV4" s="1596"/>
      <c r="AW4" s="1596"/>
      <c r="AX4" s="1596"/>
      <c r="AY4" s="1596"/>
      <c r="AZ4" s="1596"/>
      <c r="BA4" s="1596"/>
      <c r="BB4" s="1596"/>
      <c r="BC4" s="78"/>
    </row>
    <row r="5" spans="1:55" ht="17.25" customHeight="1">
      <c r="A5" s="2137" t="s">
        <v>818</v>
      </c>
      <c r="B5" s="2165" t="s">
        <v>609</v>
      </c>
      <c r="C5" s="1595"/>
      <c r="D5" s="1597"/>
      <c r="E5" s="78"/>
      <c r="F5" s="78"/>
      <c r="G5" s="78"/>
      <c r="H5" s="78"/>
      <c r="I5" s="1597"/>
      <c r="J5" s="1597"/>
      <c r="K5" s="1597"/>
      <c r="L5" s="1597"/>
      <c r="M5" s="1597"/>
      <c r="N5" s="1597"/>
      <c r="O5" s="1597"/>
      <c r="P5" s="1597"/>
      <c r="Q5" s="1597"/>
      <c r="R5" s="1597"/>
      <c r="S5" s="1597"/>
      <c r="T5" s="1597"/>
      <c r="U5" s="1597"/>
      <c r="V5" s="1597"/>
      <c r="W5" s="1597"/>
      <c r="X5" s="1597"/>
      <c r="Y5" s="1597"/>
      <c r="Z5" s="1597"/>
      <c r="AA5" s="1597"/>
      <c r="AB5" s="1597"/>
      <c r="AC5" s="1597"/>
      <c r="AD5" s="1597"/>
      <c r="AE5" s="1597"/>
      <c r="AF5" s="1597"/>
      <c r="AG5" s="1597"/>
      <c r="AH5" s="1597"/>
      <c r="AI5" s="1597"/>
      <c r="AJ5" s="1597"/>
      <c r="AK5" s="1597"/>
      <c r="AL5" s="1597"/>
      <c r="AM5" s="1597"/>
      <c r="AN5" s="1597"/>
      <c r="AO5" s="1597"/>
      <c r="AP5" s="1597"/>
      <c r="AQ5" s="1597"/>
      <c r="AR5" s="1597"/>
      <c r="AS5" s="1597"/>
      <c r="AT5" s="1597"/>
      <c r="AU5" s="1597"/>
      <c r="AV5" s="1597"/>
      <c r="AW5" s="1597"/>
      <c r="AX5" s="1597"/>
      <c r="AY5" s="1597"/>
      <c r="AZ5" s="1597"/>
      <c r="BA5" s="1597"/>
      <c r="BB5" s="1597"/>
      <c r="BC5" s="78"/>
    </row>
    <row r="6" spans="1:55" ht="61.5" hidden="1" customHeight="1">
      <c r="A6" s="2159"/>
      <c r="B6" s="2166"/>
      <c r="C6" s="1595"/>
      <c r="D6" s="165" t="s">
        <v>2486</v>
      </c>
      <c r="E6" s="2013" t="s">
        <v>807</v>
      </c>
      <c r="F6" s="2013"/>
      <c r="G6" s="2013" t="s">
        <v>1506</v>
      </c>
      <c r="H6" s="2332"/>
      <c r="I6" s="2332"/>
      <c r="J6" s="165" t="s">
        <v>2486</v>
      </c>
      <c r="K6" s="2332"/>
      <c r="L6" s="2332"/>
      <c r="M6" s="2332"/>
      <c r="N6" s="2332"/>
      <c r="O6" s="2332"/>
      <c r="P6" s="2332"/>
      <c r="Q6" s="2332"/>
      <c r="R6" s="2332"/>
      <c r="S6" s="2332"/>
      <c r="T6" s="2332"/>
      <c r="U6" s="2332"/>
      <c r="V6" s="2332"/>
      <c r="W6" s="2332"/>
      <c r="X6" s="2332"/>
      <c r="Y6" s="2332"/>
      <c r="Z6" s="2332"/>
      <c r="AA6" s="2332"/>
      <c r="AB6" s="2332"/>
      <c r="AC6" s="2332"/>
      <c r="AD6" s="2332"/>
      <c r="AE6" s="2332"/>
      <c r="AF6" s="2332"/>
      <c r="AG6" s="2332"/>
      <c r="AH6" s="2332"/>
      <c r="AI6" s="2332"/>
      <c r="AJ6" s="2332"/>
      <c r="AK6" s="2332"/>
      <c r="AL6" s="2332"/>
      <c r="AM6" s="2332"/>
      <c r="AN6" s="2332"/>
      <c r="AO6" s="2332"/>
      <c r="AP6" s="2332"/>
      <c r="AQ6" s="2332"/>
      <c r="AR6" s="2332"/>
      <c r="AS6" s="2332"/>
      <c r="AT6" s="2332"/>
      <c r="AU6" s="2332"/>
      <c r="AV6" s="2332"/>
      <c r="AW6" s="2332"/>
      <c r="AX6" s="2332"/>
      <c r="AY6" s="2332"/>
      <c r="AZ6" s="2332"/>
      <c r="BA6" s="2332"/>
      <c r="BB6" s="2332"/>
      <c r="BC6" s="78"/>
    </row>
    <row r="7" spans="1:55" ht="47.25">
      <c r="A7" s="2137" t="s">
        <v>1026</v>
      </c>
      <c r="B7" s="2165" t="s">
        <v>1001</v>
      </c>
      <c r="C7" s="1595"/>
      <c r="D7" s="165"/>
      <c r="E7" s="2335" t="s">
        <v>3085</v>
      </c>
      <c r="F7" s="2335"/>
      <c r="G7" s="2335" t="s">
        <v>3085</v>
      </c>
      <c r="H7" s="2336"/>
      <c r="I7" s="2332"/>
      <c r="J7" s="165"/>
      <c r="K7" s="2335" t="s">
        <v>3085</v>
      </c>
      <c r="L7" s="2335" t="s">
        <v>3134</v>
      </c>
      <c r="M7" s="2335" t="s">
        <v>3085</v>
      </c>
      <c r="N7" s="2335" t="s">
        <v>3134</v>
      </c>
      <c r="O7" s="2335" t="s">
        <v>3085</v>
      </c>
      <c r="P7" s="2335" t="s">
        <v>3134</v>
      </c>
      <c r="Q7" s="2335" t="s">
        <v>3085</v>
      </c>
      <c r="R7" s="2335" t="s">
        <v>3134</v>
      </c>
      <c r="S7" s="2335" t="s">
        <v>3085</v>
      </c>
      <c r="T7" s="2335" t="s">
        <v>3134</v>
      </c>
      <c r="U7" s="2335" t="s">
        <v>3085</v>
      </c>
      <c r="V7" s="2335" t="s">
        <v>3134</v>
      </c>
      <c r="W7" s="2335" t="s">
        <v>3085</v>
      </c>
      <c r="X7" s="2335" t="s">
        <v>3134</v>
      </c>
      <c r="Y7" s="2335" t="s">
        <v>3085</v>
      </c>
      <c r="Z7" s="2335" t="s">
        <v>3134</v>
      </c>
      <c r="AA7" s="2335" t="s">
        <v>3085</v>
      </c>
      <c r="AB7" s="2335" t="s">
        <v>3134</v>
      </c>
      <c r="AC7" s="2335" t="s">
        <v>3085</v>
      </c>
      <c r="AD7" s="2335" t="s">
        <v>3134</v>
      </c>
      <c r="AE7" s="906" t="s">
        <v>1001</v>
      </c>
      <c r="AF7" s="2339"/>
      <c r="AG7" s="2335" t="s">
        <v>3085</v>
      </c>
      <c r="AH7" s="2335" t="s">
        <v>3134</v>
      </c>
      <c r="AI7" s="2335" t="s">
        <v>3085</v>
      </c>
      <c r="AJ7" s="2335" t="s">
        <v>3134</v>
      </c>
      <c r="AK7" s="2335" t="s">
        <v>3085</v>
      </c>
      <c r="AL7" s="2335" t="s">
        <v>3134</v>
      </c>
      <c r="AM7" s="2335" t="s">
        <v>3085</v>
      </c>
      <c r="AN7" s="2335" t="s">
        <v>3134</v>
      </c>
      <c r="AO7" s="2335" t="s">
        <v>3085</v>
      </c>
      <c r="AP7" s="2335" t="s">
        <v>3134</v>
      </c>
      <c r="AQ7" s="2335" t="s">
        <v>3085</v>
      </c>
      <c r="AR7" s="2335" t="s">
        <v>3134</v>
      </c>
      <c r="AS7" s="2335" t="s">
        <v>3085</v>
      </c>
      <c r="AT7" s="2335" t="s">
        <v>3134</v>
      </c>
      <c r="AU7" s="2335" t="s">
        <v>3085</v>
      </c>
      <c r="AV7" s="2335" t="s">
        <v>3134</v>
      </c>
      <c r="AW7" s="2335" t="s">
        <v>3085</v>
      </c>
      <c r="AX7" s="2335" t="s">
        <v>3134</v>
      </c>
      <c r="AY7" s="2335" t="s">
        <v>3085</v>
      </c>
      <c r="AZ7" s="2335" t="s">
        <v>3134</v>
      </c>
      <c r="BA7" s="2339"/>
      <c r="BB7" s="2339"/>
      <c r="BC7" s="78"/>
    </row>
    <row r="8" spans="1:55" ht="61.5" customHeight="1">
      <c r="A8" s="2137" t="s">
        <v>1602</v>
      </c>
      <c r="B8" s="2159"/>
      <c r="C8" s="78"/>
      <c r="D8" s="165" t="s">
        <v>3172</v>
      </c>
      <c r="E8" s="2052" t="s">
        <v>1507</v>
      </c>
      <c r="F8" s="2052"/>
      <c r="G8" s="2052" t="s">
        <v>13</v>
      </c>
      <c r="H8" s="2342"/>
      <c r="I8" s="2332"/>
      <c r="J8" s="165" t="s">
        <v>3171</v>
      </c>
      <c r="K8" s="2052" t="s">
        <v>3091</v>
      </c>
      <c r="L8" s="2052" t="s">
        <v>3091</v>
      </c>
      <c r="M8" s="2052" t="s">
        <v>1823</v>
      </c>
      <c r="N8" s="2052" t="s">
        <v>1823</v>
      </c>
      <c r="O8" s="2052" t="s">
        <v>3164</v>
      </c>
      <c r="P8" s="2052" t="s">
        <v>3164</v>
      </c>
      <c r="Q8" s="2052" t="s">
        <v>3090</v>
      </c>
      <c r="R8" s="2052" t="s">
        <v>3090</v>
      </c>
      <c r="S8" s="2052" t="s">
        <v>3165</v>
      </c>
      <c r="T8" s="2052" t="s">
        <v>3165</v>
      </c>
      <c r="U8" s="2052" t="s">
        <v>3166</v>
      </c>
      <c r="V8" s="2052" t="s">
        <v>3166</v>
      </c>
      <c r="W8" s="2052" t="s">
        <v>3089</v>
      </c>
      <c r="X8" s="2052" t="s">
        <v>3089</v>
      </c>
      <c r="Y8" s="2052" t="s">
        <v>3088</v>
      </c>
      <c r="Z8" s="2052" t="s">
        <v>3088</v>
      </c>
      <c r="AA8" s="2336" t="s">
        <v>3087</v>
      </c>
      <c r="AB8" s="2336" t="s">
        <v>3087</v>
      </c>
      <c r="AC8" s="2336" t="s">
        <v>3086</v>
      </c>
      <c r="AD8" s="2336" t="s">
        <v>3086</v>
      </c>
      <c r="AE8" s="906" t="s">
        <v>3092</v>
      </c>
      <c r="AF8" s="2339"/>
      <c r="AG8" s="2052" t="s">
        <v>3091</v>
      </c>
      <c r="AH8" s="2052" t="s">
        <v>3091</v>
      </c>
      <c r="AI8" s="2052" t="s">
        <v>1823</v>
      </c>
      <c r="AJ8" s="2052" t="s">
        <v>1823</v>
      </c>
      <c r="AK8" s="2052" t="s">
        <v>3164</v>
      </c>
      <c r="AL8" s="2052" t="s">
        <v>3164</v>
      </c>
      <c r="AM8" s="2052" t="s">
        <v>3090</v>
      </c>
      <c r="AN8" s="2052" t="s">
        <v>3090</v>
      </c>
      <c r="AO8" s="2052" t="s">
        <v>3165</v>
      </c>
      <c r="AP8" s="2052" t="s">
        <v>3165</v>
      </c>
      <c r="AQ8" s="2052" t="s">
        <v>3166</v>
      </c>
      <c r="AR8" s="2052" t="s">
        <v>3166</v>
      </c>
      <c r="AS8" s="2052" t="s">
        <v>3089</v>
      </c>
      <c r="AT8" s="2052" t="s">
        <v>3089</v>
      </c>
      <c r="AU8" s="2052" t="s">
        <v>3088</v>
      </c>
      <c r="AV8" s="2052" t="s">
        <v>3088</v>
      </c>
      <c r="AW8" s="2336" t="s">
        <v>3087</v>
      </c>
      <c r="AX8" s="2336" t="s">
        <v>3087</v>
      </c>
      <c r="AY8" s="2336" t="s">
        <v>3086</v>
      </c>
      <c r="AZ8" s="2336" t="s">
        <v>3086</v>
      </c>
      <c r="BA8" s="2339"/>
      <c r="BB8" s="2339"/>
      <c r="BC8" s="78"/>
    </row>
    <row r="9" spans="1:55" ht="30">
      <c r="A9" s="78"/>
      <c r="B9" s="1630" t="s">
        <v>3156</v>
      </c>
      <c r="C9" s="1598" t="s">
        <v>643</v>
      </c>
      <c r="D9" s="1599" t="s">
        <v>1286</v>
      </c>
      <c r="E9" s="1599" t="s">
        <v>1287</v>
      </c>
      <c r="F9" s="1599" t="s">
        <v>1288</v>
      </c>
      <c r="G9" s="1599" t="s">
        <v>842</v>
      </c>
      <c r="H9" s="1599" t="s">
        <v>843</v>
      </c>
      <c r="I9" s="2333"/>
      <c r="J9" s="1599" t="s">
        <v>844</v>
      </c>
      <c r="K9" s="1599" t="s">
        <v>2122</v>
      </c>
      <c r="L9" s="1599" t="s">
        <v>3133</v>
      </c>
      <c r="M9" s="1599" t="s">
        <v>840</v>
      </c>
      <c r="N9" s="1599" t="s">
        <v>3135</v>
      </c>
      <c r="O9" s="1599" t="s">
        <v>841</v>
      </c>
      <c r="P9" s="1599" t="s">
        <v>3136</v>
      </c>
      <c r="Q9" s="1599" t="s">
        <v>1317</v>
      </c>
      <c r="R9" s="1599" t="s">
        <v>3137</v>
      </c>
      <c r="S9" s="1599" t="s">
        <v>1318</v>
      </c>
      <c r="T9" s="1599" t="s">
        <v>3138</v>
      </c>
      <c r="U9" s="1599" t="s">
        <v>2110</v>
      </c>
      <c r="V9" s="1599" t="s">
        <v>3139</v>
      </c>
      <c r="W9" s="1599" t="s">
        <v>2111</v>
      </c>
      <c r="X9" s="1599" t="s">
        <v>3140</v>
      </c>
      <c r="Y9" s="1599" t="s">
        <v>817</v>
      </c>
      <c r="Z9" s="1599" t="s">
        <v>3167</v>
      </c>
      <c r="AA9" s="1599" t="s">
        <v>75</v>
      </c>
      <c r="AB9" s="1599" t="s">
        <v>3168</v>
      </c>
      <c r="AC9" s="1599" t="s">
        <v>1094</v>
      </c>
      <c r="AD9" s="1599" t="s">
        <v>3169</v>
      </c>
      <c r="AE9" s="1599" t="s">
        <v>3170</v>
      </c>
      <c r="AF9" s="2333"/>
      <c r="AG9" s="2333"/>
      <c r="AH9" s="2333"/>
      <c r="AI9" s="2333"/>
      <c r="AJ9" s="2333"/>
      <c r="AK9" s="2333"/>
      <c r="AL9" s="2333"/>
      <c r="AM9" s="2333"/>
      <c r="AN9" s="2333"/>
      <c r="AO9" s="2333"/>
      <c r="AP9" s="2333"/>
      <c r="AQ9" s="2333"/>
      <c r="AR9" s="2333"/>
      <c r="AS9" s="2333"/>
      <c r="AT9" s="2333"/>
      <c r="AU9" s="2333"/>
      <c r="AV9" s="2333"/>
      <c r="AW9" s="2333"/>
      <c r="AX9" s="2333"/>
      <c r="AY9" s="2333"/>
      <c r="AZ9" s="2333"/>
      <c r="BA9" s="2333"/>
      <c r="BB9" s="2333"/>
      <c r="BC9" s="78"/>
    </row>
    <row r="10" spans="1:55" ht="15.75">
      <c r="A10" s="78"/>
      <c r="B10" s="1621" t="s">
        <v>204</v>
      </c>
      <c r="C10" s="1602"/>
      <c r="D10" s="1609"/>
      <c r="E10" s="1599" t="s">
        <v>3110</v>
      </c>
      <c r="F10" s="1599" t="s">
        <v>982</v>
      </c>
      <c r="G10" s="1599" t="s">
        <v>3110</v>
      </c>
      <c r="H10" s="1599" t="s">
        <v>982</v>
      </c>
      <c r="I10" s="2333"/>
      <c r="J10" s="1600"/>
      <c r="K10" s="1601"/>
      <c r="L10" s="1601"/>
      <c r="M10" s="1601"/>
      <c r="N10" s="1601"/>
      <c r="O10" s="1601"/>
      <c r="P10" s="1601"/>
      <c r="Q10" s="1601"/>
      <c r="R10" s="1601"/>
      <c r="S10" s="1601"/>
      <c r="T10" s="1601"/>
      <c r="U10" s="1601"/>
      <c r="V10" s="1601"/>
      <c r="W10" s="1601"/>
      <c r="X10" s="1601"/>
      <c r="Y10" s="1601"/>
      <c r="Z10" s="1601"/>
      <c r="AA10" s="1601"/>
      <c r="AB10" s="1601"/>
      <c r="AC10" s="1601"/>
      <c r="AD10" s="1601"/>
      <c r="AE10" s="1601"/>
      <c r="AF10" s="1602"/>
      <c r="AG10" s="1602"/>
      <c r="AH10" s="1602"/>
      <c r="AI10" s="1602"/>
      <c r="AJ10" s="1602"/>
      <c r="AK10" s="1602"/>
      <c r="AL10" s="1602"/>
      <c r="AM10" s="1602"/>
      <c r="AN10" s="1602"/>
      <c r="AO10" s="1602"/>
      <c r="AP10" s="1602"/>
      <c r="AQ10" s="1602"/>
      <c r="AR10" s="1602"/>
      <c r="AS10" s="1602"/>
      <c r="AT10" s="1602"/>
      <c r="AU10" s="1602"/>
      <c r="AV10" s="1602"/>
      <c r="AW10" s="1602"/>
      <c r="AX10" s="1602"/>
      <c r="AY10" s="1602"/>
      <c r="AZ10" s="1602"/>
      <c r="BA10" s="1602"/>
      <c r="BB10" s="1602"/>
      <c r="BC10" s="78"/>
    </row>
    <row r="11" spans="1:55" ht="15.75">
      <c r="A11" s="78"/>
      <c r="B11" s="1629"/>
      <c r="C11" s="2338"/>
      <c r="D11" s="2334"/>
      <c r="E11" s="1602"/>
      <c r="F11" s="1602"/>
      <c r="G11" s="1602"/>
      <c r="H11" s="1602"/>
      <c r="I11" s="2333"/>
      <c r="J11" s="2378" t="s">
        <v>3177</v>
      </c>
      <c r="K11" s="1602"/>
      <c r="L11" s="1602"/>
      <c r="M11" s="1602"/>
      <c r="N11" s="1602"/>
      <c r="O11" s="1602"/>
      <c r="P11" s="1602"/>
      <c r="Q11" s="1602"/>
      <c r="R11" s="1602"/>
      <c r="S11" s="1602"/>
      <c r="T11" s="1602"/>
      <c r="U11" s="1602"/>
      <c r="V11" s="1602"/>
      <c r="W11" s="1602" t="s">
        <v>789</v>
      </c>
      <c r="X11" s="1602" t="s">
        <v>789</v>
      </c>
      <c r="Y11" s="1602"/>
      <c r="Z11" s="1602"/>
      <c r="AA11" s="1602"/>
      <c r="AB11" s="1602"/>
      <c r="AC11" s="1602"/>
      <c r="AD11" s="1602"/>
      <c r="AE11" s="1602"/>
      <c r="AF11" s="1602"/>
      <c r="AG11" s="1602"/>
      <c r="AH11" s="1602"/>
      <c r="AI11" s="1602"/>
      <c r="AJ11" s="1602"/>
      <c r="AK11" s="1602"/>
      <c r="AL11" s="1602"/>
      <c r="AM11" s="1602"/>
      <c r="AN11" s="1602"/>
      <c r="AO11" s="1602"/>
      <c r="AP11" s="1602"/>
      <c r="AQ11" s="1602"/>
      <c r="AR11" s="1602"/>
      <c r="AS11" s="1602"/>
      <c r="AT11" s="1602"/>
      <c r="AU11" s="1602"/>
      <c r="AV11" s="1602"/>
      <c r="AW11" s="1602"/>
      <c r="AX11" s="1602"/>
      <c r="AY11" s="1602"/>
      <c r="AZ11" s="1602"/>
      <c r="BA11" s="1602"/>
      <c r="BB11" s="1602"/>
      <c r="BC11" s="78"/>
    </row>
    <row r="12" spans="1:55" ht="15.75">
      <c r="A12" s="78"/>
      <c r="B12" s="817" t="s">
        <v>983</v>
      </c>
      <c r="C12" s="1602"/>
      <c r="D12" s="1603"/>
      <c r="E12" s="1604"/>
      <c r="F12" s="1604"/>
      <c r="G12" s="1604"/>
      <c r="H12" s="1604"/>
      <c r="I12" s="2333"/>
      <c r="J12" s="1603"/>
      <c r="K12" s="1604"/>
      <c r="L12" s="1604"/>
      <c r="M12" s="1604"/>
      <c r="N12" s="1604"/>
      <c r="O12" s="1604"/>
      <c r="P12" s="1604"/>
      <c r="Q12" s="1604"/>
      <c r="R12" s="1604"/>
      <c r="S12" s="1604"/>
      <c r="T12" s="1604"/>
      <c r="U12" s="1604"/>
      <c r="V12" s="1604"/>
      <c r="W12" s="1604"/>
      <c r="X12" s="1604"/>
      <c r="Y12" s="1604"/>
      <c r="Z12" s="1604"/>
      <c r="AA12" s="1604"/>
      <c r="AB12" s="1604"/>
      <c r="AC12" s="1604"/>
      <c r="AD12" s="1604"/>
      <c r="AE12" s="1604"/>
      <c r="AF12" s="1604"/>
      <c r="AG12" s="1604"/>
      <c r="AH12" s="1604"/>
      <c r="AI12" s="1604"/>
      <c r="AJ12" s="1604"/>
      <c r="AK12" s="1604"/>
      <c r="AL12" s="1604"/>
      <c r="AM12" s="1604"/>
      <c r="AN12" s="1604"/>
      <c r="AO12" s="1604"/>
      <c r="AP12" s="1604"/>
      <c r="AQ12" s="1604"/>
      <c r="AR12" s="1604"/>
      <c r="AS12" s="1604"/>
      <c r="AT12" s="1604"/>
      <c r="AU12" s="1604"/>
      <c r="AV12" s="1604"/>
      <c r="AW12" s="1604"/>
      <c r="AX12" s="1604"/>
      <c r="AY12" s="1604"/>
      <c r="AZ12" s="1604"/>
      <c r="BA12" s="1604"/>
      <c r="BB12" s="1604"/>
      <c r="BC12" s="78"/>
    </row>
    <row r="13" spans="1:55" ht="15">
      <c r="A13" s="901">
        <v>1</v>
      </c>
      <c r="B13" s="1606" t="s">
        <v>1390</v>
      </c>
      <c r="C13" s="1605" t="s">
        <v>1391</v>
      </c>
      <c r="D13" s="2361">
        <f>SUM(E13:H13)</f>
        <v>0</v>
      </c>
      <c r="E13" s="2362"/>
      <c r="F13" s="2362"/>
      <c r="G13" s="2362"/>
      <c r="H13" s="2362"/>
      <c r="I13" s="2363"/>
      <c r="J13" s="2361">
        <f>K13+M13+O13+Q13+S13+U13+W13+Y13+AA13+AC13</f>
        <v>0</v>
      </c>
      <c r="K13" s="2362"/>
      <c r="L13" s="2362"/>
      <c r="M13" s="2362"/>
      <c r="N13" s="2362"/>
      <c r="O13" s="2362"/>
      <c r="P13" s="2362"/>
      <c r="Q13" s="2362"/>
      <c r="R13" s="2362"/>
      <c r="S13" s="2362"/>
      <c r="T13" s="2362"/>
      <c r="U13" s="2362"/>
      <c r="V13" s="2362"/>
      <c r="W13" s="2362"/>
      <c r="X13" s="2362"/>
      <c r="Y13" s="2362"/>
      <c r="Z13" s="2362"/>
      <c r="AA13" s="2362"/>
      <c r="AB13" s="2362"/>
      <c r="AC13" s="2362"/>
      <c r="AD13" s="2362"/>
      <c r="AE13" s="2364" t="str">
        <f>IF(D13&lt;&gt;J13,"YES","")</f>
        <v/>
      </c>
      <c r="AF13" s="2340">
        <f>IF(D13&lt;&gt;J13,1,0)</f>
        <v>0</v>
      </c>
      <c r="AG13" s="2170">
        <f>IF(AND(K13&gt;0,L13&lt;0.1),1,0)</f>
        <v>0</v>
      </c>
      <c r="AH13" s="2340"/>
      <c r="AI13" s="2170">
        <f>IF(AND(M13&gt;0,N13&lt;0.1),1,0)</f>
        <v>0</v>
      </c>
      <c r="AJ13" s="2340"/>
      <c r="AK13" s="2170">
        <f t="shared" ref="AK13:AK17" si="0">IF(AND(O13&gt;0,P13&lt;0.1),1,0)</f>
        <v>0</v>
      </c>
      <c r="AL13" s="2340"/>
      <c r="AM13" s="2170">
        <f t="shared" ref="AM13:AM17" si="1">IF(AND(Q13&gt;0,R13&lt;0.1),1,0)</f>
        <v>0</v>
      </c>
      <c r="AN13" s="2340"/>
      <c r="AO13" s="2170">
        <f t="shared" ref="AO13:AO17" si="2">IF(AND(S13&gt;0,T13&lt;0.1),1,0)</f>
        <v>0</v>
      </c>
      <c r="AP13" s="2340"/>
      <c r="AQ13" s="2170">
        <f t="shared" ref="AQ13:AQ17" si="3">IF(AND(U13&gt;0,V13&lt;0.1),1,0)</f>
        <v>0</v>
      </c>
      <c r="AR13" s="2340"/>
      <c r="AS13" s="2170">
        <f t="shared" ref="AS13:AS17" si="4">IF(AND(W13&gt;0,X13&lt;0.1),1,0)</f>
        <v>0</v>
      </c>
      <c r="AT13" s="2340"/>
      <c r="AU13" s="2170">
        <f t="shared" ref="AU13:AU17" si="5">IF(AND(Y13&gt;0,Z13&lt;0.1),1,0)</f>
        <v>0</v>
      </c>
      <c r="AV13" s="2340"/>
      <c r="AW13" s="2170">
        <f t="shared" ref="AW13:AW17" si="6">IF(AND(AA13&gt;0,AB13&lt;0.1),1,0)</f>
        <v>0</v>
      </c>
      <c r="AX13" s="2340"/>
      <c r="AY13" s="2170">
        <f t="shared" ref="AY13:AY17" si="7">IF(AND(AC13&gt;0,AD13&lt;0.1),1,0)</f>
        <v>0</v>
      </c>
      <c r="AZ13" s="2340"/>
      <c r="BA13" s="2340"/>
      <c r="BB13" s="2340"/>
      <c r="BC13" s="78"/>
    </row>
    <row r="14" spans="1:55" ht="15">
      <c r="A14" s="901">
        <v>2</v>
      </c>
      <c r="B14" s="1606" t="s">
        <v>1392</v>
      </c>
      <c r="C14" s="1606" t="s">
        <v>1393</v>
      </c>
      <c r="D14" s="2361">
        <f>SUM(E14:H14)</f>
        <v>0</v>
      </c>
      <c r="E14" s="2362"/>
      <c r="F14" s="2362"/>
      <c r="G14" s="2362"/>
      <c r="H14" s="2362"/>
      <c r="I14" s="2363"/>
      <c r="J14" s="2361">
        <f t="shared" ref="J14:J17" si="8">K14+M14+O14+Q14+S14+U14+W14+Y14+AA14+AC14</f>
        <v>0</v>
      </c>
      <c r="K14" s="2362"/>
      <c r="L14" s="2362"/>
      <c r="M14" s="2362"/>
      <c r="N14" s="2362"/>
      <c r="O14" s="2362"/>
      <c r="P14" s="2362"/>
      <c r="Q14" s="2362"/>
      <c r="R14" s="2362"/>
      <c r="S14" s="2362"/>
      <c r="T14" s="2362"/>
      <c r="U14" s="2362"/>
      <c r="V14" s="2362"/>
      <c r="W14" s="2362"/>
      <c r="X14" s="2362"/>
      <c r="Y14" s="2362"/>
      <c r="Z14" s="2362"/>
      <c r="AA14" s="2362"/>
      <c r="AB14" s="2362"/>
      <c r="AC14" s="2362"/>
      <c r="AD14" s="2362"/>
      <c r="AE14" s="2364" t="str">
        <f>IF(D14&lt;&gt;J14,"YES","")</f>
        <v/>
      </c>
      <c r="AF14" s="2340">
        <f>IF(D14&lt;&gt;J14,1,0)</f>
        <v>0</v>
      </c>
      <c r="AG14" s="2170">
        <f t="shared" ref="AG14:AG17" si="9">IF(AND(K14&gt;0,L14&lt;0.1),1,0)</f>
        <v>0</v>
      </c>
      <c r="AH14" s="2340"/>
      <c r="AI14" s="2170">
        <f t="shared" ref="AI14:AI17" si="10">IF(AND(M14&gt;0,N14&lt;0.1),1,0)</f>
        <v>0</v>
      </c>
      <c r="AJ14" s="2340"/>
      <c r="AK14" s="2170">
        <f t="shared" si="0"/>
        <v>0</v>
      </c>
      <c r="AL14" s="2340"/>
      <c r="AM14" s="2170">
        <f t="shared" si="1"/>
        <v>0</v>
      </c>
      <c r="AN14" s="2340"/>
      <c r="AO14" s="2170">
        <f t="shared" si="2"/>
        <v>0</v>
      </c>
      <c r="AP14" s="2340"/>
      <c r="AQ14" s="2170">
        <f t="shared" si="3"/>
        <v>0</v>
      </c>
      <c r="AR14" s="2340"/>
      <c r="AS14" s="2170">
        <f t="shared" si="4"/>
        <v>0</v>
      </c>
      <c r="AT14" s="2340"/>
      <c r="AU14" s="2170">
        <f t="shared" si="5"/>
        <v>0</v>
      </c>
      <c r="AV14" s="2340"/>
      <c r="AW14" s="2170">
        <f t="shared" si="6"/>
        <v>0</v>
      </c>
      <c r="AX14" s="2340"/>
      <c r="AY14" s="2170">
        <f t="shared" si="7"/>
        <v>0</v>
      </c>
      <c r="AZ14" s="2340"/>
      <c r="BA14" s="2340"/>
      <c r="BB14" s="2340"/>
      <c r="BC14" s="78"/>
    </row>
    <row r="15" spans="1:55" ht="15">
      <c r="A15" s="886">
        <v>3</v>
      </c>
      <c r="B15" s="1606" t="s">
        <v>478</v>
      </c>
      <c r="C15" s="1606" t="s">
        <v>479</v>
      </c>
      <c r="D15" s="2361">
        <f>SUM(E15:H15)</f>
        <v>0</v>
      </c>
      <c r="E15" s="2362"/>
      <c r="F15" s="2362"/>
      <c r="G15" s="2362"/>
      <c r="H15" s="2362"/>
      <c r="I15" s="2363"/>
      <c r="J15" s="2361">
        <f t="shared" si="8"/>
        <v>0</v>
      </c>
      <c r="K15" s="2362"/>
      <c r="L15" s="2362"/>
      <c r="M15" s="2362"/>
      <c r="N15" s="2362"/>
      <c r="O15" s="2362"/>
      <c r="P15" s="2362"/>
      <c r="Q15" s="2362"/>
      <c r="R15" s="2362"/>
      <c r="S15" s="2362"/>
      <c r="T15" s="2362"/>
      <c r="U15" s="2362"/>
      <c r="V15" s="2362"/>
      <c r="W15" s="2362"/>
      <c r="X15" s="2362"/>
      <c r="Y15" s="2362"/>
      <c r="Z15" s="2362"/>
      <c r="AA15" s="2362"/>
      <c r="AB15" s="2362"/>
      <c r="AC15" s="2362"/>
      <c r="AD15" s="2362"/>
      <c r="AE15" s="2364" t="str">
        <f>IF(D15&lt;&gt;J15,"YES","")</f>
        <v/>
      </c>
      <c r="AF15" s="2340">
        <f>IF(D15&lt;&gt;J15,1,0)</f>
        <v>0</v>
      </c>
      <c r="AG15" s="2170">
        <f t="shared" si="9"/>
        <v>0</v>
      </c>
      <c r="AH15" s="2340"/>
      <c r="AI15" s="2170">
        <f t="shared" si="10"/>
        <v>0</v>
      </c>
      <c r="AJ15" s="2340"/>
      <c r="AK15" s="2170">
        <f t="shared" si="0"/>
        <v>0</v>
      </c>
      <c r="AL15" s="2340"/>
      <c r="AM15" s="2170">
        <f t="shared" si="1"/>
        <v>0</v>
      </c>
      <c r="AN15" s="2340"/>
      <c r="AO15" s="2170">
        <f t="shared" si="2"/>
        <v>0</v>
      </c>
      <c r="AP15" s="2340"/>
      <c r="AQ15" s="2170">
        <f t="shared" si="3"/>
        <v>0</v>
      </c>
      <c r="AR15" s="2340"/>
      <c r="AS15" s="2170">
        <f t="shared" si="4"/>
        <v>0</v>
      </c>
      <c r="AT15" s="2340"/>
      <c r="AU15" s="2170">
        <f t="shared" si="5"/>
        <v>0</v>
      </c>
      <c r="AV15" s="2340"/>
      <c r="AW15" s="2170">
        <f t="shared" si="6"/>
        <v>0</v>
      </c>
      <c r="AX15" s="2340"/>
      <c r="AY15" s="2170">
        <f t="shared" si="7"/>
        <v>0</v>
      </c>
      <c r="AZ15" s="2340"/>
      <c r="BA15" s="2340"/>
      <c r="BB15" s="2340"/>
      <c r="BC15" s="78"/>
    </row>
    <row r="16" spans="1:55" ht="15">
      <c r="A16" s="886">
        <v>4</v>
      </c>
      <c r="B16" s="1606" t="s">
        <v>1145</v>
      </c>
      <c r="C16" s="1606" t="s">
        <v>1146</v>
      </c>
      <c r="D16" s="2361">
        <f>SUM(E16:H16)</f>
        <v>0</v>
      </c>
      <c r="E16" s="2362"/>
      <c r="F16" s="2362"/>
      <c r="G16" s="2362"/>
      <c r="H16" s="2362"/>
      <c r="I16" s="2363"/>
      <c r="J16" s="2361">
        <f t="shared" si="8"/>
        <v>0</v>
      </c>
      <c r="K16" s="2362"/>
      <c r="L16" s="2362"/>
      <c r="M16" s="2362"/>
      <c r="N16" s="2362"/>
      <c r="O16" s="2362"/>
      <c r="P16" s="2362"/>
      <c r="Q16" s="2362"/>
      <c r="R16" s="2362"/>
      <c r="S16" s="2362"/>
      <c r="T16" s="2362"/>
      <c r="U16" s="2362"/>
      <c r="V16" s="2362"/>
      <c r="W16" s="2362"/>
      <c r="X16" s="2362"/>
      <c r="Y16" s="2362"/>
      <c r="Z16" s="2362"/>
      <c r="AA16" s="2362"/>
      <c r="AB16" s="2362"/>
      <c r="AC16" s="2362"/>
      <c r="AD16" s="2362"/>
      <c r="AE16" s="2364" t="str">
        <f>IF(D16&lt;&gt;J16,"YES","")</f>
        <v/>
      </c>
      <c r="AF16" s="2340">
        <f>IF(D16&lt;&gt;J16,1,0)</f>
        <v>0</v>
      </c>
      <c r="AG16" s="2170">
        <f t="shared" si="9"/>
        <v>0</v>
      </c>
      <c r="AH16" s="2340"/>
      <c r="AI16" s="2170">
        <f t="shared" si="10"/>
        <v>0</v>
      </c>
      <c r="AJ16" s="2340"/>
      <c r="AK16" s="2170">
        <f t="shared" si="0"/>
        <v>0</v>
      </c>
      <c r="AL16" s="2340"/>
      <c r="AM16" s="2170">
        <f t="shared" si="1"/>
        <v>0</v>
      </c>
      <c r="AN16" s="2340"/>
      <c r="AO16" s="2170">
        <f t="shared" si="2"/>
        <v>0</v>
      </c>
      <c r="AP16" s="2340"/>
      <c r="AQ16" s="2170">
        <f t="shared" si="3"/>
        <v>0</v>
      </c>
      <c r="AR16" s="2340"/>
      <c r="AS16" s="2170">
        <f t="shared" si="4"/>
        <v>0</v>
      </c>
      <c r="AT16" s="2340"/>
      <c r="AU16" s="2170">
        <f t="shared" si="5"/>
        <v>0</v>
      </c>
      <c r="AV16" s="2340"/>
      <c r="AW16" s="2170">
        <f t="shared" si="6"/>
        <v>0</v>
      </c>
      <c r="AX16" s="2340"/>
      <c r="AY16" s="2170">
        <f t="shared" si="7"/>
        <v>0</v>
      </c>
      <c r="AZ16" s="2340"/>
      <c r="BA16" s="2340"/>
      <c r="BB16" s="2340"/>
      <c r="BC16" s="78"/>
    </row>
    <row r="17" spans="1:55" ht="30">
      <c r="A17" s="886">
        <v>5</v>
      </c>
      <c r="B17" s="1606" t="s">
        <v>1147</v>
      </c>
      <c r="C17" s="1606" t="s">
        <v>1148</v>
      </c>
      <c r="D17" s="2361">
        <f>SUM(E17:H17)</f>
        <v>0</v>
      </c>
      <c r="E17" s="1607"/>
      <c r="F17" s="1607"/>
      <c r="G17" s="2362"/>
      <c r="H17" s="2362"/>
      <c r="I17" s="2363"/>
      <c r="J17" s="2361">
        <f t="shared" si="8"/>
        <v>0</v>
      </c>
      <c r="K17" s="2362"/>
      <c r="L17" s="2362"/>
      <c r="M17" s="2362"/>
      <c r="N17" s="2362"/>
      <c r="O17" s="2362"/>
      <c r="P17" s="2362"/>
      <c r="Q17" s="2362"/>
      <c r="R17" s="2362"/>
      <c r="S17" s="2362"/>
      <c r="T17" s="2362"/>
      <c r="U17" s="2362"/>
      <c r="V17" s="2362"/>
      <c r="W17" s="2362"/>
      <c r="X17" s="2362"/>
      <c r="Y17" s="2362"/>
      <c r="Z17" s="2362"/>
      <c r="AA17" s="2362"/>
      <c r="AB17" s="2362"/>
      <c r="AC17" s="2362"/>
      <c r="AD17" s="2362"/>
      <c r="AE17" s="2364" t="str">
        <f>IF(D17&lt;&gt;J17,"YES","")</f>
        <v/>
      </c>
      <c r="AF17" s="2340">
        <f>IF(D17&lt;&gt;J17,1,0)</f>
        <v>0</v>
      </c>
      <c r="AG17" s="2170">
        <f t="shared" si="9"/>
        <v>0</v>
      </c>
      <c r="AH17" s="2340"/>
      <c r="AI17" s="2170">
        <f t="shared" si="10"/>
        <v>0</v>
      </c>
      <c r="AJ17" s="2340"/>
      <c r="AK17" s="2170">
        <f t="shared" si="0"/>
        <v>0</v>
      </c>
      <c r="AL17" s="2340"/>
      <c r="AM17" s="2170">
        <f t="shared" si="1"/>
        <v>0</v>
      </c>
      <c r="AN17" s="2340"/>
      <c r="AO17" s="2170">
        <f t="shared" si="2"/>
        <v>0</v>
      </c>
      <c r="AP17" s="2340"/>
      <c r="AQ17" s="2170">
        <f t="shared" si="3"/>
        <v>0</v>
      </c>
      <c r="AR17" s="2340"/>
      <c r="AS17" s="2170">
        <f t="shared" si="4"/>
        <v>0</v>
      </c>
      <c r="AT17" s="2340"/>
      <c r="AU17" s="2170">
        <f t="shared" si="5"/>
        <v>0</v>
      </c>
      <c r="AV17" s="2340"/>
      <c r="AW17" s="2170">
        <f t="shared" si="6"/>
        <v>0</v>
      </c>
      <c r="AX17" s="2340"/>
      <c r="AY17" s="2170">
        <f t="shared" si="7"/>
        <v>0</v>
      </c>
      <c r="AZ17" s="2340"/>
      <c r="BA17" s="2340"/>
      <c r="BB17" s="2340"/>
      <c r="BC17" s="78"/>
    </row>
    <row r="18" spans="1:55" ht="15">
      <c r="A18" s="901"/>
      <c r="B18" s="1614"/>
      <c r="C18" s="1608"/>
      <c r="D18" s="1609"/>
      <c r="E18" s="1610"/>
      <c r="F18" s="1610"/>
      <c r="G18" s="1610"/>
      <c r="H18" s="1610"/>
      <c r="I18" s="2363"/>
      <c r="J18" s="1609"/>
      <c r="K18" s="1610"/>
      <c r="L18" s="1610"/>
      <c r="M18" s="1610"/>
      <c r="N18" s="1610"/>
      <c r="O18" s="1610"/>
      <c r="P18" s="1610"/>
      <c r="Q18" s="1610"/>
      <c r="R18" s="1610"/>
      <c r="S18" s="1610"/>
      <c r="T18" s="1610"/>
      <c r="U18" s="1610"/>
      <c r="V18" s="1610"/>
      <c r="W18" s="1610"/>
      <c r="X18" s="1610"/>
      <c r="Y18" s="1610"/>
      <c r="Z18" s="1610"/>
      <c r="AA18" s="1610"/>
      <c r="AB18" s="1610"/>
      <c r="AC18" s="1610"/>
      <c r="AD18" s="1610"/>
      <c r="AE18" s="1610"/>
      <c r="AF18" s="1610"/>
      <c r="AG18" s="1610"/>
      <c r="AH18" s="1610"/>
      <c r="AI18" s="1610"/>
      <c r="AJ18" s="1610"/>
      <c r="AK18" s="1610"/>
      <c r="AL18" s="1610"/>
      <c r="AM18" s="1610"/>
      <c r="AN18" s="1610"/>
      <c r="AO18" s="1610"/>
      <c r="AP18" s="1610"/>
      <c r="AQ18" s="1610"/>
      <c r="AR18" s="1610"/>
      <c r="AS18" s="1610"/>
      <c r="AT18" s="1610"/>
      <c r="AU18" s="1610"/>
      <c r="AV18" s="1610"/>
      <c r="AW18" s="1610"/>
      <c r="AX18" s="1610"/>
      <c r="AY18" s="1610"/>
      <c r="AZ18" s="1610"/>
      <c r="BA18" s="1610"/>
      <c r="BB18" s="1610"/>
      <c r="BC18" s="78"/>
    </row>
    <row r="19" spans="1:55" ht="15.75">
      <c r="A19" s="901"/>
      <c r="B19" s="1621" t="s">
        <v>1813</v>
      </c>
      <c r="C19" s="1602"/>
      <c r="D19" s="1611"/>
      <c r="E19" s="1612"/>
      <c r="F19" s="1612"/>
      <c r="G19" s="1612"/>
      <c r="H19" s="1612"/>
      <c r="I19" s="2363"/>
      <c r="J19" s="1611"/>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c r="AP19" s="1612"/>
      <c r="AQ19" s="1612"/>
      <c r="AR19" s="1612"/>
      <c r="AS19" s="1612"/>
      <c r="AT19" s="1612"/>
      <c r="AU19" s="1612"/>
      <c r="AV19" s="1612"/>
      <c r="AW19" s="1612"/>
      <c r="AX19" s="1612"/>
      <c r="AY19" s="1612"/>
      <c r="AZ19" s="1612"/>
      <c r="BA19" s="1612"/>
      <c r="BB19" s="1612"/>
      <c r="BC19" s="78"/>
    </row>
    <row r="20" spans="1:55" ht="15">
      <c r="A20" s="886">
        <v>6</v>
      </c>
      <c r="B20" s="1606" t="s">
        <v>1149</v>
      </c>
      <c r="C20" s="1606" t="s">
        <v>1150</v>
      </c>
      <c r="D20" s="2361">
        <f>SUM(E20:H20)</f>
        <v>0</v>
      </c>
      <c r="E20" s="2362"/>
      <c r="F20" s="2362"/>
      <c r="G20" s="2362"/>
      <c r="H20" s="2362"/>
      <c r="I20" s="2363"/>
      <c r="J20" s="2361">
        <f t="shared" ref="J20:J22" si="11">K20+M20+O20+Q20+S20+U20+W20+Y20+AA20+AC20</f>
        <v>0</v>
      </c>
      <c r="K20" s="2362"/>
      <c r="L20" s="2362"/>
      <c r="M20" s="2362"/>
      <c r="N20" s="2362"/>
      <c r="O20" s="2362"/>
      <c r="P20" s="2362"/>
      <c r="Q20" s="2362"/>
      <c r="R20" s="2362"/>
      <c r="S20" s="2362"/>
      <c r="T20" s="2362"/>
      <c r="U20" s="2362"/>
      <c r="V20" s="2362"/>
      <c r="W20" s="2362"/>
      <c r="X20" s="2362"/>
      <c r="Y20" s="2362"/>
      <c r="Z20" s="2362"/>
      <c r="AA20" s="2362"/>
      <c r="AB20" s="2362"/>
      <c r="AC20" s="2362"/>
      <c r="AD20" s="2362"/>
      <c r="AE20" s="2364" t="str">
        <f>IF(D20&lt;&gt;J20,"YES","")</f>
        <v/>
      </c>
      <c r="AF20" s="2340">
        <f>IF(D20&lt;&gt;J20,1,0)</f>
        <v>0</v>
      </c>
      <c r="AG20" s="2170">
        <f t="shared" ref="AG20:AG22" si="12">IF(AND(K20&gt;0,L20&lt;0.1),1,0)</f>
        <v>0</v>
      </c>
      <c r="AH20" s="2340"/>
      <c r="AI20" s="2170">
        <f t="shared" ref="AI20:AI22" si="13">IF(AND(M20&gt;0,N20&lt;0.1),1,0)</f>
        <v>0</v>
      </c>
      <c r="AJ20" s="2340"/>
      <c r="AK20" s="2170">
        <f t="shared" ref="AK20:AK22" si="14">IF(AND(O20&gt;0,P20&lt;0.1),1,0)</f>
        <v>0</v>
      </c>
      <c r="AL20" s="2340"/>
      <c r="AM20" s="2170">
        <f t="shared" ref="AM20:AM22" si="15">IF(AND(Q20&gt;0,R20&lt;0.1),1,0)</f>
        <v>0</v>
      </c>
      <c r="AN20" s="2340"/>
      <c r="AO20" s="2170">
        <f t="shared" ref="AO20:AO22" si="16">IF(AND(S20&gt;0,T20&lt;0.1),1,0)</f>
        <v>0</v>
      </c>
      <c r="AP20" s="2340"/>
      <c r="AQ20" s="2170">
        <f t="shared" ref="AQ20:AQ22" si="17">IF(AND(U20&gt;0,V20&lt;0.1),1,0)</f>
        <v>0</v>
      </c>
      <c r="AR20" s="2340"/>
      <c r="AS20" s="2170">
        <f t="shared" ref="AS20:AS22" si="18">IF(AND(W20&gt;0,X20&lt;0.1),1,0)</f>
        <v>0</v>
      </c>
      <c r="AT20" s="2340"/>
      <c r="AU20" s="2170">
        <f t="shared" ref="AU20:AU22" si="19">IF(AND(Y20&gt;0,Z20&lt;0.1),1,0)</f>
        <v>0</v>
      </c>
      <c r="AV20" s="2340"/>
      <c r="AW20" s="2170">
        <f t="shared" ref="AW20:AW22" si="20">IF(AND(AA20&gt;0,AB20&lt;0.1),1,0)</f>
        <v>0</v>
      </c>
      <c r="AX20" s="2340"/>
      <c r="AY20" s="2170">
        <f t="shared" ref="AY20:AY22" si="21">IF(AND(AC20&gt;0,AD20&lt;0.1),1,0)</f>
        <v>0</v>
      </c>
      <c r="AZ20" s="2340"/>
      <c r="BA20" s="2340"/>
      <c r="BB20" s="2340"/>
      <c r="BC20" s="78"/>
    </row>
    <row r="21" spans="1:55" ht="15">
      <c r="A21" s="886">
        <v>7</v>
      </c>
      <c r="B21" s="1606" t="s">
        <v>2295</v>
      </c>
      <c r="C21" s="1606"/>
      <c r="D21" s="2361">
        <f>SUM(E21:H21)</f>
        <v>0</v>
      </c>
      <c r="E21" s="2362"/>
      <c r="F21" s="1167"/>
      <c r="G21" s="2362"/>
      <c r="H21" s="1167"/>
      <c r="I21" s="2363"/>
      <c r="J21" s="2361">
        <f t="shared" si="11"/>
        <v>0</v>
      </c>
      <c r="K21" s="2362"/>
      <c r="L21" s="2362"/>
      <c r="M21" s="2362"/>
      <c r="N21" s="2362"/>
      <c r="O21" s="2362"/>
      <c r="P21" s="2362"/>
      <c r="Q21" s="2362"/>
      <c r="R21" s="2362"/>
      <c r="S21" s="2362"/>
      <c r="T21" s="2362"/>
      <c r="U21" s="2362"/>
      <c r="V21" s="2362"/>
      <c r="W21" s="2362"/>
      <c r="X21" s="2362"/>
      <c r="Y21" s="2362"/>
      <c r="Z21" s="2362"/>
      <c r="AA21" s="2362"/>
      <c r="AB21" s="2362"/>
      <c r="AC21" s="2362"/>
      <c r="AD21" s="2362"/>
      <c r="AE21" s="2364" t="str">
        <f>IF(D21&lt;&gt;J21,"YES","")</f>
        <v/>
      </c>
      <c r="AF21" s="2340">
        <f>IF(D21&lt;&gt;J21,1,0)</f>
        <v>0</v>
      </c>
      <c r="AG21" s="2170">
        <f t="shared" si="12"/>
        <v>0</v>
      </c>
      <c r="AH21" s="2340"/>
      <c r="AI21" s="2170">
        <f t="shared" si="13"/>
        <v>0</v>
      </c>
      <c r="AJ21" s="2340"/>
      <c r="AK21" s="2170">
        <f t="shared" si="14"/>
        <v>0</v>
      </c>
      <c r="AL21" s="2340"/>
      <c r="AM21" s="2170">
        <f t="shared" si="15"/>
        <v>0</v>
      </c>
      <c r="AN21" s="2340"/>
      <c r="AO21" s="2170">
        <f t="shared" si="16"/>
        <v>0</v>
      </c>
      <c r="AP21" s="2340"/>
      <c r="AQ21" s="2170">
        <f t="shared" si="17"/>
        <v>0</v>
      </c>
      <c r="AR21" s="2340"/>
      <c r="AS21" s="2170">
        <f t="shared" si="18"/>
        <v>0</v>
      </c>
      <c r="AT21" s="2340"/>
      <c r="AU21" s="2170">
        <f t="shared" si="19"/>
        <v>0</v>
      </c>
      <c r="AV21" s="2340"/>
      <c r="AW21" s="2170">
        <f t="shared" si="20"/>
        <v>0</v>
      </c>
      <c r="AX21" s="2340"/>
      <c r="AY21" s="2170">
        <f t="shared" si="21"/>
        <v>0</v>
      </c>
      <c r="AZ21" s="2340"/>
      <c r="BA21" s="2340"/>
      <c r="BB21" s="2340"/>
      <c r="BC21" s="78"/>
    </row>
    <row r="22" spans="1:55" ht="30">
      <c r="A22" s="886">
        <v>8</v>
      </c>
      <c r="B22" s="1606" t="s">
        <v>257</v>
      </c>
      <c r="C22" s="1606" t="s">
        <v>1151</v>
      </c>
      <c r="D22" s="2361">
        <f>SUM(E22:H22)</f>
        <v>0</v>
      </c>
      <c r="E22" s="1167"/>
      <c r="F22" s="1167"/>
      <c r="G22" s="2362"/>
      <c r="H22" s="2362"/>
      <c r="I22" s="2363"/>
      <c r="J22" s="2361">
        <f t="shared" si="11"/>
        <v>0</v>
      </c>
      <c r="K22" s="2362"/>
      <c r="L22" s="2362"/>
      <c r="M22" s="2362"/>
      <c r="N22" s="2362"/>
      <c r="O22" s="2362"/>
      <c r="P22" s="2362"/>
      <c r="Q22" s="2362"/>
      <c r="R22" s="2362"/>
      <c r="S22" s="2362"/>
      <c r="T22" s="2362"/>
      <c r="U22" s="2362"/>
      <c r="V22" s="2362"/>
      <c r="W22" s="2362"/>
      <c r="X22" s="2362"/>
      <c r="Y22" s="2362"/>
      <c r="Z22" s="2362"/>
      <c r="AA22" s="2362"/>
      <c r="AB22" s="2362"/>
      <c r="AC22" s="2362"/>
      <c r="AD22" s="2362"/>
      <c r="AE22" s="2364" t="str">
        <f>IF(D22&lt;&gt;J22,"YES","")</f>
        <v/>
      </c>
      <c r="AF22" s="2340">
        <f>IF(D22&lt;&gt;J22,1,0)</f>
        <v>0</v>
      </c>
      <c r="AG22" s="2170">
        <f t="shared" si="12"/>
        <v>0</v>
      </c>
      <c r="AH22" s="2340"/>
      <c r="AI22" s="2170">
        <f t="shared" si="13"/>
        <v>0</v>
      </c>
      <c r="AJ22" s="2340"/>
      <c r="AK22" s="2170">
        <f t="shared" si="14"/>
        <v>0</v>
      </c>
      <c r="AL22" s="2340"/>
      <c r="AM22" s="2170">
        <f t="shared" si="15"/>
        <v>0</v>
      </c>
      <c r="AN22" s="2340"/>
      <c r="AO22" s="2170">
        <f t="shared" si="16"/>
        <v>0</v>
      </c>
      <c r="AP22" s="2340"/>
      <c r="AQ22" s="2170">
        <f t="shared" si="17"/>
        <v>0</v>
      </c>
      <c r="AR22" s="2340"/>
      <c r="AS22" s="2170">
        <f t="shared" si="18"/>
        <v>0</v>
      </c>
      <c r="AT22" s="2340"/>
      <c r="AU22" s="2170">
        <f t="shared" si="19"/>
        <v>0</v>
      </c>
      <c r="AV22" s="2340"/>
      <c r="AW22" s="2170">
        <f t="shared" si="20"/>
        <v>0</v>
      </c>
      <c r="AX22" s="2340"/>
      <c r="AY22" s="2170">
        <f t="shared" si="21"/>
        <v>0</v>
      </c>
      <c r="AZ22" s="2340"/>
      <c r="BA22" s="2340"/>
      <c r="BB22" s="2340"/>
      <c r="BC22" s="78"/>
    </row>
    <row r="23" spans="1:55" ht="15">
      <c r="A23" s="901"/>
      <c r="B23" s="1614"/>
      <c r="C23" s="1614"/>
      <c r="D23" s="1609"/>
      <c r="E23" s="1615"/>
      <c r="F23" s="1615"/>
      <c r="G23" s="1615"/>
      <c r="H23" s="1615"/>
      <c r="I23" s="2363"/>
      <c r="J23" s="1609"/>
      <c r="K23" s="1615"/>
      <c r="L23" s="1615"/>
      <c r="M23" s="1615"/>
      <c r="N23" s="1615"/>
      <c r="O23" s="1615"/>
      <c r="P23" s="1615"/>
      <c r="Q23" s="1615"/>
      <c r="R23" s="1615"/>
      <c r="S23" s="1615"/>
      <c r="T23" s="1615"/>
      <c r="U23" s="1615"/>
      <c r="V23" s="1615"/>
      <c r="W23" s="1615"/>
      <c r="X23" s="1615"/>
      <c r="Y23" s="1615"/>
      <c r="Z23" s="1615"/>
      <c r="AA23" s="1615"/>
      <c r="AB23" s="1615"/>
      <c r="AC23" s="1615"/>
      <c r="AD23" s="1615"/>
      <c r="AE23" s="1615"/>
      <c r="AF23" s="1615"/>
      <c r="AG23" s="1615"/>
      <c r="AH23" s="1615"/>
      <c r="AI23" s="1615"/>
      <c r="AJ23" s="1615"/>
      <c r="AK23" s="1615"/>
      <c r="AL23" s="1615"/>
      <c r="AM23" s="1615"/>
      <c r="AN23" s="1615"/>
      <c r="AO23" s="1615"/>
      <c r="AP23" s="1615"/>
      <c r="AQ23" s="1615"/>
      <c r="AR23" s="1615"/>
      <c r="AS23" s="1615"/>
      <c r="AT23" s="1615"/>
      <c r="AU23" s="1615"/>
      <c r="AV23" s="1615"/>
      <c r="AW23" s="1615"/>
      <c r="AX23" s="1615"/>
      <c r="AY23" s="1615"/>
      <c r="AZ23" s="1615"/>
      <c r="BA23" s="1615"/>
      <c r="BB23" s="1615"/>
      <c r="BC23" s="78"/>
    </row>
    <row r="24" spans="1:55" ht="31.5">
      <c r="A24" s="901"/>
      <c r="B24" s="1616" t="s">
        <v>1152</v>
      </c>
      <c r="C24" s="1617"/>
      <c r="D24" s="1611"/>
      <c r="E24" s="1612"/>
      <c r="F24" s="1612"/>
      <c r="G24" s="1612"/>
      <c r="H24" s="1612"/>
      <c r="I24" s="2363"/>
      <c r="J24" s="1611"/>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c r="AP24" s="1612"/>
      <c r="AQ24" s="1612"/>
      <c r="AR24" s="1612"/>
      <c r="AS24" s="1612"/>
      <c r="AT24" s="1612"/>
      <c r="AU24" s="1612"/>
      <c r="AV24" s="1612"/>
      <c r="AW24" s="1612"/>
      <c r="AX24" s="1612"/>
      <c r="AY24" s="1612"/>
      <c r="AZ24" s="1612"/>
      <c r="BA24" s="1612"/>
      <c r="BB24" s="1612"/>
      <c r="BC24" s="78"/>
    </row>
    <row r="25" spans="1:55" ht="15">
      <c r="A25" s="886">
        <v>9</v>
      </c>
      <c r="B25" s="1630" t="s">
        <v>1153</v>
      </c>
      <c r="C25" s="1606" t="s">
        <v>1154</v>
      </c>
      <c r="D25" s="2361">
        <f t="shared" ref="D25:D31" si="22">SUM(E25:H25)</f>
        <v>0</v>
      </c>
      <c r="E25" s="2362"/>
      <c r="F25" s="2362"/>
      <c r="G25" s="2362"/>
      <c r="H25" s="2362"/>
      <c r="I25" s="2363"/>
      <c r="J25" s="2361">
        <f t="shared" ref="J25:J31" si="23">K25+M25+O25+Q25+S25+U25+W25+Y25+AA25+AC25</f>
        <v>0</v>
      </c>
      <c r="K25" s="2362"/>
      <c r="L25" s="2362"/>
      <c r="M25" s="2362"/>
      <c r="N25" s="2362"/>
      <c r="O25" s="2362"/>
      <c r="P25" s="2362"/>
      <c r="Q25" s="2362"/>
      <c r="R25" s="2362"/>
      <c r="S25" s="2362"/>
      <c r="T25" s="2362"/>
      <c r="U25" s="2362"/>
      <c r="V25" s="2362"/>
      <c r="W25" s="2362"/>
      <c r="X25" s="2362"/>
      <c r="Y25" s="2362"/>
      <c r="Z25" s="2362"/>
      <c r="AA25" s="2362"/>
      <c r="AB25" s="2362"/>
      <c r="AC25" s="2362"/>
      <c r="AD25" s="2362"/>
      <c r="AE25" s="2364" t="str">
        <f t="shared" ref="AE25:AE31" si="24">IF(D25&lt;&gt;J25,"YES","")</f>
        <v/>
      </c>
      <c r="AF25" s="2340">
        <f t="shared" ref="AF25:AF31" si="25">IF(D25&lt;&gt;J25,1,0)</f>
        <v>0</v>
      </c>
      <c r="AG25" s="2170">
        <f t="shared" ref="AG25:AG31" si="26">IF(AND(K25&gt;0,L25&lt;0.1),1,0)</f>
        <v>0</v>
      </c>
      <c r="AH25" s="2340"/>
      <c r="AI25" s="2170">
        <f t="shared" ref="AI25:AI31" si="27">IF(AND(M25&gt;0,N25&lt;0.1),1,0)</f>
        <v>0</v>
      </c>
      <c r="AJ25" s="2340"/>
      <c r="AK25" s="2170">
        <f t="shared" ref="AK25:AK31" si="28">IF(AND(O25&gt;0,P25&lt;0.1),1,0)</f>
        <v>0</v>
      </c>
      <c r="AL25" s="2340"/>
      <c r="AM25" s="2170">
        <f t="shared" ref="AM25:AM31" si="29">IF(AND(Q25&gt;0,R25&lt;0.1),1,0)</f>
        <v>0</v>
      </c>
      <c r="AN25" s="2340"/>
      <c r="AO25" s="2170">
        <f t="shared" ref="AO25:AO31" si="30">IF(AND(S25&gt;0,T25&lt;0.1),1,0)</f>
        <v>0</v>
      </c>
      <c r="AP25" s="2340"/>
      <c r="AQ25" s="2170">
        <f t="shared" ref="AQ25:AQ31" si="31">IF(AND(U25&gt;0,V25&lt;0.1),1,0)</f>
        <v>0</v>
      </c>
      <c r="AR25" s="2340"/>
      <c r="AS25" s="2170">
        <f t="shared" ref="AS25:AS31" si="32">IF(AND(W25&gt;0,X25&lt;0.1),1,0)</f>
        <v>0</v>
      </c>
      <c r="AT25" s="2340"/>
      <c r="AU25" s="2170">
        <f t="shared" ref="AU25:AU31" si="33">IF(AND(Y25&gt;0,Z25&lt;0.1),1,0)</f>
        <v>0</v>
      </c>
      <c r="AV25" s="2340"/>
      <c r="AW25" s="2170">
        <f t="shared" ref="AW25:AW31" si="34">IF(AND(AA25&gt;0,AB25&lt;0.1),1,0)</f>
        <v>0</v>
      </c>
      <c r="AX25" s="2340"/>
      <c r="AY25" s="2170">
        <f t="shared" ref="AY25:AY31" si="35">IF(AND(AC25&gt;0,AD25&lt;0.1),1,0)</f>
        <v>0</v>
      </c>
      <c r="AZ25" s="2340"/>
      <c r="BA25" s="2340"/>
      <c r="BB25" s="2340"/>
      <c r="BC25" s="78"/>
    </row>
    <row r="26" spans="1:55" ht="15">
      <c r="A26" s="886">
        <v>10</v>
      </c>
      <c r="B26" s="1630" t="s">
        <v>1155</v>
      </c>
      <c r="C26" s="1606" t="s">
        <v>1156</v>
      </c>
      <c r="D26" s="2361">
        <f t="shared" si="22"/>
        <v>0</v>
      </c>
      <c r="E26" s="2362"/>
      <c r="F26" s="2362"/>
      <c r="G26" s="2362"/>
      <c r="H26" s="2362"/>
      <c r="I26" s="2363"/>
      <c r="J26" s="2361">
        <f t="shared" si="23"/>
        <v>0</v>
      </c>
      <c r="K26" s="2362"/>
      <c r="L26" s="2362"/>
      <c r="M26" s="2362"/>
      <c r="N26" s="2362"/>
      <c r="O26" s="2362"/>
      <c r="P26" s="2362"/>
      <c r="Q26" s="2362"/>
      <c r="R26" s="2362"/>
      <c r="S26" s="2362"/>
      <c r="T26" s="2362"/>
      <c r="U26" s="2362"/>
      <c r="V26" s="2362"/>
      <c r="W26" s="2362"/>
      <c r="X26" s="2362"/>
      <c r="Y26" s="2362"/>
      <c r="Z26" s="2362"/>
      <c r="AA26" s="2362"/>
      <c r="AB26" s="2362"/>
      <c r="AC26" s="2362"/>
      <c r="AD26" s="2362"/>
      <c r="AE26" s="2364" t="str">
        <f t="shared" si="24"/>
        <v/>
      </c>
      <c r="AF26" s="2340">
        <f t="shared" si="25"/>
        <v>0</v>
      </c>
      <c r="AG26" s="2170">
        <f t="shared" si="26"/>
        <v>0</v>
      </c>
      <c r="AH26" s="2340"/>
      <c r="AI26" s="2170">
        <f t="shared" si="27"/>
        <v>0</v>
      </c>
      <c r="AJ26" s="2340"/>
      <c r="AK26" s="2170">
        <f t="shared" si="28"/>
        <v>0</v>
      </c>
      <c r="AL26" s="2340"/>
      <c r="AM26" s="2170">
        <f t="shared" si="29"/>
        <v>0</v>
      </c>
      <c r="AN26" s="2340"/>
      <c r="AO26" s="2170">
        <f t="shared" si="30"/>
        <v>0</v>
      </c>
      <c r="AP26" s="2340"/>
      <c r="AQ26" s="2170">
        <f t="shared" si="31"/>
        <v>0</v>
      </c>
      <c r="AR26" s="2340"/>
      <c r="AS26" s="2170">
        <f t="shared" si="32"/>
        <v>0</v>
      </c>
      <c r="AT26" s="2340"/>
      <c r="AU26" s="2170">
        <f t="shared" si="33"/>
        <v>0</v>
      </c>
      <c r="AV26" s="2340"/>
      <c r="AW26" s="2170">
        <f t="shared" si="34"/>
        <v>0</v>
      </c>
      <c r="AX26" s="2340"/>
      <c r="AY26" s="2170">
        <f t="shared" si="35"/>
        <v>0</v>
      </c>
      <c r="AZ26" s="2340"/>
      <c r="BA26" s="2340"/>
      <c r="BB26" s="2340"/>
      <c r="BC26" s="78"/>
    </row>
    <row r="27" spans="1:55" ht="15">
      <c r="A27" s="886">
        <v>11</v>
      </c>
      <c r="B27" s="1630" t="s">
        <v>1157</v>
      </c>
      <c r="C27" s="1606" t="s">
        <v>1158</v>
      </c>
      <c r="D27" s="2361">
        <f t="shared" si="22"/>
        <v>0</v>
      </c>
      <c r="E27" s="2362"/>
      <c r="F27" s="2362"/>
      <c r="G27" s="2362"/>
      <c r="H27" s="2362"/>
      <c r="I27" s="2363"/>
      <c r="J27" s="2361">
        <f t="shared" si="23"/>
        <v>0</v>
      </c>
      <c r="K27" s="2362"/>
      <c r="L27" s="2362"/>
      <c r="M27" s="2362"/>
      <c r="N27" s="2362"/>
      <c r="O27" s="2362"/>
      <c r="P27" s="2362"/>
      <c r="Q27" s="2362"/>
      <c r="R27" s="2362"/>
      <c r="S27" s="2362"/>
      <c r="T27" s="2362"/>
      <c r="U27" s="2362"/>
      <c r="V27" s="2362"/>
      <c r="W27" s="2362"/>
      <c r="X27" s="2362"/>
      <c r="Y27" s="2362"/>
      <c r="Z27" s="2362"/>
      <c r="AA27" s="2362"/>
      <c r="AB27" s="2362"/>
      <c r="AC27" s="2362"/>
      <c r="AD27" s="2362"/>
      <c r="AE27" s="2364" t="str">
        <f t="shared" si="24"/>
        <v/>
      </c>
      <c r="AF27" s="2340">
        <f t="shared" si="25"/>
        <v>0</v>
      </c>
      <c r="AG27" s="2170">
        <f t="shared" si="26"/>
        <v>0</v>
      </c>
      <c r="AH27" s="2340"/>
      <c r="AI27" s="2170">
        <f t="shared" si="27"/>
        <v>0</v>
      </c>
      <c r="AJ27" s="2340"/>
      <c r="AK27" s="2170">
        <f t="shared" si="28"/>
        <v>0</v>
      </c>
      <c r="AL27" s="2340"/>
      <c r="AM27" s="2170">
        <f t="shared" si="29"/>
        <v>0</v>
      </c>
      <c r="AN27" s="2340"/>
      <c r="AO27" s="2170">
        <f t="shared" si="30"/>
        <v>0</v>
      </c>
      <c r="AP27" s="2340"/>
      <c r="AQ27" s="2170">
        <f t="shared" si="31"/>
        <v>0</v>
      </c>
      <c r="AR27" s="2340"/>
      <c r="AS27" s="2170">
        <f t="shared" si="32"/>
        <v>0</v>
      </c>
      <c r="AT27" s="2340"/>
      <c r="AU27" s="2170">
        <f t="shared" si="33"/>
        <v>0</v>
      </c>
      <c r="AV27" s="2340"/>
      <c r="AW27" s="2170">
        <f t="shared" si="34"/>
        <v>0</v>
      </c>
      <c r="AX27" s="2340"/>
      <c r="AY27" s="2170">
        <f t="shared" si="35"/>
        <v>0</v>
      </c>
      <c r="AZ27" s="2340"/>
      <c r="BA27" s="2340"/>
      <c r="BB27" s="2340"/>
      <c r="BC27" s="78"/>
    </row>
    <row r="28" spans="1:55" ht="15">
      <c r="A28" s="886">
        <v>12</v>
      </c>
      <c r="B28" s="1630" t="s">
        <v>1159</v>
      </c>
      <c r="C28" s="1606" t="s">
        <v>1160</v>
      </c>
      <c r="D28" s="2361">
        <f t="shared" si="22"/>
        <v>0</v>
      </c>
      <c r="E28" s="2362"/>
      <c r="F28" s="2362"/>
      <c r="G28" s="2362"/>
      <c r="H28" s="2362"/>
      <c r="I28" s="2363"/>
      <c r="J28" s="2361">
        <f t="shared" si="23"/>
        <v>0</v>
      </c>
      <c r="K28" s="2362"/>
      <c r="L28" s="2362"/>
      <c r="M28" s="2362"/>
      <c r="N28" s="2362"/>
      <c r="O28" s="2362"/>
      <c r="P28" s="2362"/>
      <c r="Q28" s="2362"/>
      <c r="R28" s="2362"/>
      <c r="S28" s="2362"/>
      <c r="T28" s="2362"/>
      <c r="U28" s="2362"/>
      <c r="V28" s="2362"/>
      <c r="W28" s="2362"/>
      <c r="X28" s="2362"/>
      <c r="Y28" s="2362"/>
      <c r="Z28" s="2362"/>
      <c r="AA28" s="2362"/>
      <c r="AB28" s="2362"/>
      <c r="AC28" s="2362"/>
      <c r="AD28" s="2362"/>
      <c r="AE28" s="2364" t="str">
        <f t="shared" si="24"/>
        <v/>
      </c>
      <c r="AF28" s="2340">
        <f t="shared" si="25"/>
        <v>0</v>
      </c>
      <c r="AG28" s="2170">
        <f t="shared" si="26"/>
        <v>0</v>
      </c>
      <c r="AH28" s="2340"/>
      <c r="AI28" s="2170">
        <f t="shared" si="27"/>
        <v>0</v>
      </c>
      <c r="AJ28" s="2340"/>
      <c r="AK28" s="2170">
        <f t="shared" si="28"/>
        <v>0</v>
      </c>
      <c r="AL28" s="2340"/>
      <c r="AM28" s="2170">
        <f t="shared" si="29"/>
        <v>0</v>
      </c>
      <c r="AN28" s="2340"/>
      <c r="AO28" s="2170">
        <f t="shared" si="30"/>
        <v>0</v>
      </c>
      <c r="AP28" s="2340"/>
      <c r="AQ28" s="2170">
        <f t="shared" si="31"/>
        <v>0</v>
      </c>
      <c r="AR28" s="2340"/>
      <c r="AS28" s="2170">
        <f t="shared" si="32"/>
        <v>0</v>
      </c>
      <c r="AT28" s="2340"/>
      <c r="AU28" s="2170">
        <f t="shared" si="33"/>
        <v>0</v>
      </c>
      <c r="AV28" s="2340"/>
      <c r="AW28" s="2170">
        <f t="shared" si="34"/>
        <v>0</v>
      </c>
      <c r="AX28" s="2340"/>
      <c r="AY28" s="2170">
        <f t="shared" si="35"/>
        <v>0</v>
      </c>
      <c r="AZ28" s="2340"/>
      <c r="BA28" s="2340"/>
      <c r="BB28" s="2340"/>
      <c r="BC28" s="78"/>
    </row>
    <row r="29" spans="1:55" ht="15">
      <c r="A29" s="886">
        <v>13</v>
      </c>
      <c r="B29" s="1630" t="s">
        <v>1688</v>
      </c>
      <c r="C29" s="1606" t="s">
        <v>1161</v>
      </c>
      <c r="D29" s="2361">
        <f t="shared" si="22"/>
        <v>0</v>
      </c>
      <c r="E29" s="2362"/>
      <c r="F29" s="2362"/>
      <c r="G29" s="2362"/>
      <c r="H29" s="2362"/>
      <c r="I29" s="2363"/>
      <c r="J29" s="2361">
        <f t="shared" si="23"/>
        <v>0</v>
      </c>
      <c r="K29" s="2362"/>
      <c r="L29" s="2362"/>
      <c r="M29" s="2362"/>
      <c r="N29" s="2362"/>
      <c r="O29" s="2362"/>
      <c r="P29" s="2362"/>
      <c r="Q29" s="2362"/>
      <c r="R29" s="2362"/>
      <c r="S29" s="2362"/>
      <c r="T29" s="2362"/>
      <c r="U29" s="2362"/>
      <c r="V29" s="2362"/>
      <c r="W29" s="2362"/>
      <c r="X29" s="2362"/>
      <c r="Y29" s="2362"/>
      <c r="Z29" s="2362"/>
      <c r="AA29" s="2362"/>
      <c r="AB29" s="2362"/>
      <c r="AC29" s="2362"/>
      <c r="AD29" s="2362"/>
      <c r="AE29" s="2364" t="str">
        <f t="shared" si="24"/>
        <v/>
      </c>
      <c r="AF29" s="2340">
        <f t="shared" si="25"/>
        <v>0</v>
      </c>
      <c r="AG29" s="2170">
        <f t="shared" si="26"/>
        <v>0</v>
      </c>
      <c r="AH29" s="2340"/>
      <c r="AI29" s="2170">
        <f t="shared" si="27"/>
        <v>0</v>
      </c>
      <c r="AJ29" s="2340"/>
      <c r="AK29" s="2170">
        <f t="shared" si="28"/>
        <v>0</v>
      </c>
      <c r="AL29" s="2340"/>
      <c r="AM29" s="2170">
        <f t="shared" si="29"/>
        <v>0</v>
      </c>
      <c r="AN29" s="2340"/>
      <c r="AO29" s="2170">
        <f t="shared" si="30"/>
        <v>0</v>
      </c>
      <c r="AP29" s="2340"/>
      <c r="AQ29" s="2170">
        <f t="shared" si="31"/>
        <v>0</v>
      </c>
      <c r="AR29" s="2340"/>
      <c r="AS29" s="2170">
        <f t="shared" si="32"/>
        <v>0</v>
      </c>
      <c r="AT29" s="2340"/>
      <c r="AU29" s="2170">
        <f t="shared" si="33"/>
        <v>0</v>
      </c>
      <c r="AV29" s="2340"/>
      <c r="AW29" s="2170">
        <f t="shared" si="34"/>
        <v>0</v>
      </c>
      <c r="AX29" s="2340"/>
      <c r="AY29" s="2170">
        <f t="shared" si="35"/>
        <v>0</v>
      </c>
      <c r="AZ29" s="2340"/>
      <c r="BA29" s="2340"/>
      <c r="BB29" s="2340"/>
      <c r="BC29" s="78"/>
    </row>
    <row r="30" spans="1:55" ht="30">
      <c r="A30" s="886">
        <v>14</v>
      </c>
      <c r="B30" s="1630" t="s">
        <v>1162</v>
      </c>
      <c r="C30" s="1606" t="s">
        <v>1163</v>
      </c>
      <c r="D30" s="2361">
        <f t="shared" si="22"/>
        <v>0</v>
      </c>
      <c r="E30" s="2362"/>
      <c r="F30" s="2362"/>
      <c r="G30" s="2362"/>
      <c r="H30" s="2362"/>
      <c r="I30" s="2363"/>
      <c r="J30" s="2361">
        <f t="shared" si="23"/>
        <v>0</v>
      </c>
      <c r="K30" s="2362"/>
      <c r="L30" s="2362"/>
      <c r="M30" s="2362"/>
      <c r="N30" s="2362"/>
      <c r="O30" s="2362"/>
      <c r="P30" s="2362"/>
      <c r="Q30" s="2362"/>
      <c r="R30" s="2362"/>
      <c r="S30" s="2362"/>
      <c r="T30" s="2362"/>
      <c r="U30" s="2362"/>
      <c r="V30" s="2362"/>
      <c r="W30" s="2362"/>
      <c r="X30" s="2362"/>
      <c r="Y30" s="2362"/>
      <c r="Z30" s="2362"/>
      <c r="AA30" s="2362"/>
      <c r="AB30" s="2362"/>
      <c r="AC30" s="2362"/>
      <c r="AD30" s="2362"/>
      <c r="AE30" s="2364" t="str">
        <f t="shared" si="24"/>
        <v/>
      </c>
      <c r="AF30" s="2340">
        <f t="shared" si="25"/>
        <v>0</v>
      </c>
      <c r="AG30" s="2170">
        <f t="shared" si="26"/>
        <v>0</v>
      </c>
      <c r="AH30" s="2340"/>
      <c r="AI30" s="2170">
        <f t="shared" si="27"/>
        <v>0</v>
      </c>
      <c r="AJ30" s="2340"/>
      <c r="AK30" s="2170">
        <f t="shared" si="28"/>
        <v>0</v>
      </c>
      <c r="AL30" s="2340"/>
      <c r="AM30" s="2170">
        <f t="shared" si="29"/>
        <v>0</v>
      </c>
      <c r="AN30" s="2340"/>
      <c r="AO30" s="2170">
        <f t="shared" si="30"/>
        <v>0</v>
      </c>
      <c r="AP30" s="2340"/>
      <c r="AQ30" s="2170">
        <f t="shared" si="31"/>
        <v>0</v>
      </c>
      <c r="AR30" s="2340"/>
      <c r="AS30" s="2170">
        <f t="shared" si="32"/>
        <v>0</v>
      </c>
      <c r="AT30" s="2340"/>
      <c r="AU30" s="2170">
        <f t="shared" si="33"/>
        <v>0</v>
      </c>
      <c r="AV30" s="2340"/>
      <c r="AW30" s="2170">
        <f t="shared" si="34"/>
        <v>0</v>
      </c>
      <c r="AX30" s="2340"/>
      <c r="AY30" s="2170">
        <f t="shared" si="35"/>
        <v>0</v>
      </c>
      <c r="AZ30" s="2340"/>
      <c r="BA30" s="2340"/>
      <c r="BB30" s="2340"/>
      <c r="BC30" s="78"/>
    </row>
    <row r="31" spans="1:55" ht="15">
      <c r="A31" s="886">
        <v>15</v>
      </c>
      <c r="B31" s="1630" t="s">
        <v>1164</v>
      </c>
      <c r="C31" s="1606" t="s">
        <v>1165</v>
      </c>
      <c r="D31" s="2361">
        <f t="shared" si="22"/>
        <v>0</v>
      </c>
      <c r="E31" s="2362"/>
      <c r="F31" s="2362"/>
      <c r="G31" s="2362"/>
      <c r="H31" s="2362"/>
      <c r="I31" s="2363"/>
      <c r="J31" s="2361">
        <f t="shared" si="23"/>
        <v>0</v>
      </c>
      <c r="K31" s="2362"/>
      <c r="L31" s="2362"/>
      <c r="M31" s="2362"/>
      <c r="N31" s="2362"/>
      <c r="O31" s="2362"/>
      <c r="P31" s="2362"/>
      <c r="Q31" s="2362"/>
      <c r="R31" s="2362"/>
      <c r="S31" s="2362"/>
      <c r="T31" s="2362"/>
      <c r="U31" s="2362"/>
      <c r="V31" s="2362"/>
      <c r="W31" s="2362"/>
      <c r="X31" s="2362"/>
      <c r="Y31" s="2362"/>
      <c r="Z31" s="2362"/>
      <c r="AA31" s="2362"/>
      <c r="AB31" s="2362"/>
      <c r="AC31" s="2362"/>
      <c r="AD31" s="2362"/>
      <c r="AE31" s="2364" t="str">
        <f t="shared" si="24"/>
        <v/>
      </c>
      <c r="AF31" s="2340">
        <f t="shared" si="25"/>
        <v>0</v>
      </c>
      <c r="AG31" s="2170">
        <f t="shared" si="26"/>
        <v>0</v>
      </c>
      <c r="AH31" s="2340"/>
      <c r="AI31" s="2170">
        <f t="shared" si="27"/>
        <v>0</v>
      </c>
      <c r="AJ31" s="2340"/>
      <c r="AK31" s="2170">
        <f t="shared" si="28"/>
        <v>0</v>
      </c>
      <c r="AL31" s="2340"/>
      <c r="AM31" s="2170">
        <f t="shared" si="29"/>
        <v>0</v>
      </c>
      <c r="AN31" s="2340"/>
      <c r="AO31" s="2170">
        <f t="shared" si="30"/>
        <v>0</v>
      </c>
      <c r="AP31" s="2340"/>
      <c r="AQ31" s="2170">
        <f t="shared" si="31"/>
        <v>0</v>
      </c>
      <c r="AR31" s="2340"/>
      <c r="AS31" s="2170">
        <f t="shared" si="32"/>
        <v>0</v>
      </c>
      <c r="AT31" s="2340"/>
      <c r="AU31" s="2170">
        <f t="shared" si="33"/>
        <v>0</v>
      </c>
      <c r="AV31" s="2340"/>
      <c r="AW31" s="2170">
        <f t="shared" si="34"/>
        <v>0</v>
      </c>
      <c r="AX31" s="2340"/>
      <c r="AY31" s="2170">
        <f t="shared" si="35"/>
        <v>0</v>
      </c>
      <c r="AZ31" s="2340"/>
      <c r="BA31" s="2340"/>
      <c r="BB31" s="2340"/>
      <c r="BC31" s="78"/>
    </row>
    <row r="32" spans="1:55" ht="15">
      <c r="A32" s="886"/>
      <c r="B32" s="1614"/>
      <c r="C32" s="1614"/>
      <c r="D32" s="1609"/>
      <c r="E32" s="1615"/>
      <c r="F32" s="1615"/>
      <c r="G32" s="1615"/>
      <c r="H32" s="1615"/>
      <c r="I32" s="2363"/>
      <c r="J32" s="1609"/>
      <c r="K32" s="1615"/>
      <c r="L32" s="1615"/>
      <c r="M32" s="1615"/>
      <c r="N32" s="1615"/>
      <c r="O32" s="1615"/>
      <c r="P32" s="1615"/>
      <c r="Q32" s="1615"/>
      <c r="R32" s="1615"/>
      <c r="S32" s="1615"/>
      <c r="T32" s="1615"/>
      <c r="U32" s="1615"/>
      <c r="V32" s="1615"/>
      <c r="W32" s="1615"/>
      <c r="X32" s="1615"/>
      <c r="Y32" s="1615"/>
      <c r="Z32" s="1615"/>
      <c r="AA32" s="1615"/>
      <c r="AB32" s="1615"/>
      <c r="AC32" s="1615"/>
      <c r="AD32" s="1615"/>
      <c r="AE32" s="1615"/>
      <c r="AF32" s="1615"/>
      <c r="AG32" s="1615"/>
      <c r="AH32" s="1615"/>
      <c r="AI32" s="1615"/>
      <c r="AJ32" s="1615"/>
      <c r="AK32" s="1615"/>
      <c r="AL32" s="1615"/>
      <c r="AM32" s="1615"/>
      <c r="AN32" s="1615"/>
      <c r="AO32" s="1615"/>
      <c r="AP32" s="1615"/>
      <c r="AQ32" s="1615"/>
      <c r="AR32" s="1615"/>
      <c r="AS32" s="1615"/>
      <c r="AT32" s="1615"/>
      <c r="AU32" s="1615"/>
      <c r="AV32" s="1615"/>
      <c r="AW32" s="1615"/>
      <c r="AX32" s="1615"/>
      <c r="AY32" s="1615"/>
      <c r="AZ32" s="1615"/>
      <c r="BA32" s="1615"/>
      <c r="BB32" s="1615"/>
      <c r="BC32" s="78"/>
    </row>
    <row r="33" spans="1:55" ht="15.75">
      <c r="A33" s="901"/>
      <c r="B33" s="1621" t="s">
        <v>1166</v>
      </c>
      <c r="C33" s="1602"/>
      <c r="D33" s="1611"/>
      <c r="E33" s="1618"/>
      <c r="F33" s="1618"/>
      <c r="G33" s="1618"/>
      <c r="H33" s="1618"/>
      <c r="I33" s="2363"/>
      <c r="J33" s="1611"/>
      <c r="K33" s="1618"/>
      <c r="L33" s="1618"/>
      <c r="M33" s="1618"/>
      <c r="N33" s="1618"/>
      <c r="O33" s="1618"/>
      <c r="P33" s="1618"/>
      <c r="Q33" s="1618"/>
      <c r="R33" s="1618"/>
      <c r="S33" s="1618"/>
      <c r="T33" s="1618"/>
      <c r="U33" s="1618"/>
      <c r="V33" s="1618"/>
      <c r="W33" s="1618"/>
      <c r="X33" s="1618"/>
      <c r="Y33" s="1618"/>
      <c r="Z33" s="1618"/>
      <c r="AA33" s="1618"/>
      <c r="AB33" s="1618"/>
      <c r="AC33" s="1618"/>
      <c r="AD33" s="1618"/>
      <c r="AE33" s="1618"/>
      <c r="AF33" s="1618"/>
      <c r="AG33" s="1618"/>
      <c r="AH33" s="1618"/>
      <c r="AI33" s="1618"/>
      <c r="AJ33" s="1618"/>
      <c r="AK33" s="1618"/>
      <c r="AL33" s="1618"/>
      <c r="AM33" s="1618"/>
      <c r="AN33" s="1618"/>
      <c r="AO33" s="1618"/>
      <c r="AP33" s="1618"/>
      <c r="AQ33" s="1618"/>
      <c r="AR33" s="1618"/>
      <c r="AS33" s="1618"/>
      <c r="AT33" s="1618"/>
      <c r="AU33" s="1618"/>
      <c r="AV33" s="1618"/>
      <c r="AW33" s="1618"/>
      <c r="AX33" s="1618"/>
      <c r="AY33" s="1618"/>
      <c r="AZ33" s="1618"/>
      <c r="BA33" s="1618"/>
      <c r="BB33" s="1618"/>
      <c r="BC33" s="78"/>
    </row>
    <row r="34" spans="1:55" ht="15">
      <c r="A34" s="886">
        <v>16</v>
      </c>
      <c r="B34" s="1606" t="s">
        <v>16</v>
      </c>
      <c r="C34" s="1605" t="s">
        <v>1167</v>
      </c>
      <c r="D34" s="2361">
        <f>SUM(E34:H34)</f>
        <v>0</v>
      </c>
      <c r="E34" s="2362"/>
      <c r="F34" s="2362"/>
      <c r="G34" s="2362"/>
      <c r="H34" s="2362"/>
      <c r="I34" s="2363"/>
      <c r="J34" s="2361">
        <f t="shared" ref="J34:J36" si="36">K34+M34+O34+Q34+S34+U34+W34+Y34+AA34+AC34</f>
        <v>0</v>
      </c>
      <c r="K34" s="2362"/>
      <c r="L34" s="2362"/>
      <c r="M34" s="2362"/>
      <c r="N34" s="2362"/>
      <c r="O34" s="2362"/>
      <c r="P34" s="2362"/>
      <c r="Q34" s="2362"/>
      <c r="R34" s="2362"/>
      <c r="S34" s="2362"/>
      <c r="T34" s="2362"/>
      <c r="U34" s="2362"/>
      <c r="V34" s="2362"/>
      <c r="W34" s="2362"/>
      <c r="X34" s="2362"/>
      <c r="Y34" s="2362"/>
      <c r="Z34" s="2362"/>
      <c r="AA34" s="2362"/>
      <c r="AB34" s="2362"/>
      <c r="AC34" s="2362"/>
      <c r="AD34" s="2362"/>
      <c r="AE34" s="2364" t="str">
        <f>IF(D34&lt;&gt;J34,"YES","")</f>
        <v/>
      </c>
      <c r="AF34" s="2340">
        <f>IF(D34&lt;&gt;J34,1,0)</f>
        <v>0</v>
      </c>
      <c r="AG34" s="2170">
        <f t="shared" ref="AG34:AG36" si="37">IF(AND(K34&gt;0,L34&lt;0.1),1,0)</f>
        <v>0</v>
      </c>
      <c r="AH34" s="2340"/>
      <c r="AI34" s="2170">
        <f t="shared" ref="AI34:AI36" si="38">IF(AND(M34&gt;0,N34&lt;0.1),1,0)</f>
        <v>0</v>
      </c>
      <c r="AJ34" s="2340"/>
      <c r="AK34" s="2170">
        <f t="shared" ref="AK34:AK36" si="39">IF(AND(O34&gt;0,P34&lt;0.1),1,0)</f>
        <v>0</v>
      </c>
      <c r="AL34" s="2340"/>
      <c r="AM34" s="2170">
        <f t="shared" ref="AM34:AM36" si="40">IF(AND(Q34&gt;0,R34&lt;0.1),1,0)</f>
        <v>0</v>
      </c>
      <c r="AN34" s="2340"/>
      <c r="AO34" s="2170">
        <f t="shared" ref="AO34:AO36" si="41">IF(AND(S34&gt;0,T34&lt;0.1),1,0)</f>
        <v>0</v>
      </c>
      <c r="AP34" s="2340"/>
      <c r="AQ34" s="2170">
        <f t="shared" ref="AQ34:AQ36" si="42">IF(AND(U34&gt;0,V34&lt;0.1),1,0)</f>
        <v>0</v>
      </c>
      <c r="AR34" s="2340"/>
      <c r="AS34" s="2170">
        <f t="shared" ref="AS34:AS36" si="43">IF(AND(W34&gt;0,X34&lt;0.1),1,0)</f>
        <v>0</v>
      </c>
      <c r="AT34" s="2340"/>
      <c r="AU34" s="2170">
        <f t="shared" ref="AU34:AU36" si="44">IF(AND(Y34&gt;0,Z34&lt;0.1),1,0)</f>
        <v>0</v>
      </c>
      <c r="AV34" s="2340"/>
      <c r="AW34" s="2170">
        <f t="shared" ref="AW34:AW36" si="45">IF(AND(AA34&gt;0,AB34&lt;0.1),1,0)</f>
        <v>0</v>
      </c>
      <c r="AX34" s="2340"/>
      <c r="AY34" s="2170">
        <f t="shared" ref="AY34:AY36" si="46">IF(AND(AC34&gt;0,AD34&lt;0.1),1,0)</f>
        <v>0</v>
      </c>
      <c r="AZ34" s="2340"/>
      <c r="BA34" s="2340"/>
      <c r="BB34" s="2340"/>
      <c r="BC34" s="78"/>
    </row>
    <row r="35" spans="1:55" ht="15">
      <c r="A35" s="886">
        <v>17</v>
      </c>
      <c r="B35" s="1606" t="s">
        <v>656</v>
      </c>
      <c r="C35" s="1606" t="s">
        <v>1168</v>
      </c>
      <c r="D35" s="2361">
        <f>SUM(E35:H35)</f>
        <v>0</v>
      </c>
      <c r="E35" s="2362"/>
      <c r="F35" s="2362"/>
      <c r="G35" s="2362"/>
      <c r="H35" s="2362"/>
      <c r="I35" s="2363"/>
      <c r="J35" s="2361">
        <f t="shared" si="36"/>
        <v>0</v>
      </c>
      <c r="K35" s="2362"/>
      <c r="L35" s="2362"/>
      <c r="M35" s="2362"/>
      <c r="N35" s="2362"/>
      <c r="O35" s="2362"/>
      <c r="P35" s="2362"/>
      <c r="Q35" s="2362"/>
      <c r="R35" s="2362"/>
      <c r="S35" s="2362"/>
      <c r="T35" s="2362"/>
      <c r="U35" s="2362"/>
      <c r="V35" s="2362"/>
      <c r="W35" s="2362"/>
      <c r="X35" s="2362"/>
      <c r="Y35" s="2362"/>
      <c r="Z35" s="2362"/>
      <c r="AA35" s="2362"/>
      <c r="AB35" s="2362"/>
      <c r="AC35" s="2362"/>
      <c r="AD35" s="2362"/>
      <c r="AE35" s="2364" t="str">
        <f>IF(D35&lt;&gt;J35,"YES","")</f>
        <v/>
      </c>
      <c r="AF35" s="2340">
        <f>IF(D35&lt;&gt;J35,1,0)</f>
        <v>0</v>
      </c>
      <c r="AG35" s="2170">
        <f t="shared" si="37"/>
        <v>0</v>
      </c>
      <c r="AH35" s="2340"/>
      <c r="AI35" s="2170">
        <f t="shared" si="38"/>
        <v>0</v>
      </c>
      <c r="AJ35" s="2340"/>
      <c r="AK35" s="2170">
        <f t="shared" si="39"/>
        <v>0</v>
      </c>
      <c r="AL35" s="2340"/>
      <c r="AM35" s="2170">
        <f t="shared" si="40"/>
        <v>0</v>
      </c>
      <c r="AN35" s="2340"/>
      <c r="AO35" s="2170">
        <f t="shared" si="41"/>
        <v>0</v>
      </c>
      <c r="AP35" s="2340"/>
      <c r="AQ35" s="2170">
        <f t="shared" si="42"/>
        <v>0</v>
      </c>
      <c r="AR35" s="2340"/>
      <c r="AS35" s="2170">
        <f t="shared" si="43"/>
        <v>0</v>
      </c>
      <c r="AT35" s="2340"/>
      <c r="AU35" s="2170">
        <f t="shared" si="44"/>
        <v>0</v>
      </c>
      <c r="AV35" s="2340"/>
      <c r="AW35" s="2170">
        <f t="shared" si="45"/>
        <v>0</v>
      </c>
      <c r="AX35" s="2340"/>
      <c r="AY35" s="2170">
        <f t="shared" si="46"/>
        <v>0</v>
      </c>
      <c r="AZ35" s="2340"/>
      <c r="BA35" s="2340"/>
      <c r="BB35" s="2340"/>
      <c r="BC35" s="78"/>
    </row>
    <row r="36" spans="1:55" ht="15">
      <c r="A36" s="886">
        <v>18</v>
      </c>
      <c r="B36" s="1606" t="s">
        <v>1169</v>
      </c>
      <c r="C36" s="1606" t="s">
        <v>1170</v>
      </c>
      <c r="D36" s="2361">
        <f>SUM(E36:H36)</f>
        <v>0</v>
      </c>
      <c r="E36" s="2362"/>
      <c r="F36" s="2362"/>
      <c r="G36" s="2362"/>
      <c r="H36" s="2362"/>
      <c r="I36" s="2363"/>
      <c r="J36" s="2361">
        <f t="shared" si="36"/>
        <v>0</v>
      </c>
      <c r="K36" s="2362"/>
      <c r="L36" s="2362"/>
      <c r="M36" s="2362"/>
      <c r="N36" s="2362"/>
      <c r="O36" s="2362"/>
      <c r="P36" s="2362"/>
      <c r="Q36" s="2362"/>
      <c r="R36" s="2362"/>
      <c r="S36" s="2362"/>
      <c r="T36" s="2362"/>
      <c r="U36" s="2362"/>
      <c r="V36" s="2362"/>
      <c r="W36" s="2362"/>
      <c r="X36" s="2362"/>
      <c r="Y36" s="2362"/>
      <c r="Z36" s="2362"/>
      <c r="AA36" s="2362"/>
      <c r="AB36" s="2362"/>
      <c r="AC36" s="2362"/>
      <c r="AD36" s="2362"/>
      <c r="AE36" s="2364" t="str">
        <f>IF(D36&lt;&gt;J36,"YES","")</f>
        <v/>
      </c>
      <c r="AF36" s="2340">
        <f>IF(D36&lt;&gt;J36,1,0)</f>
        <v>0</v>
      </c>
      <c r="AG36" s="2170">
        <f t="shared" si="37"/>
        <v>0</v>
      </c>
      <c r="AH36" s="2340"/>
      <c r="AI36" s="2170">
        <f t="shared" si="38"/>
        <v>0</v>
      </c>
      <c r="AJ36" s="2340"/>
      <c r="AK36" s="2170">
        <f t="shared" si="39"/>
        <v>0</v>
      </c>
      <c r="AL36" s="2340"/>
      <c r="AM36" s="2170">
        <f t="shared" si="40"/>
        <v>0</v>
      </c>
      <c r="AN36" s="2340"/>
      <c r="AO36" s="2170">
        <f t="shared" si="41"/>
        <v>0</v>
      </c>
      <c r="AP36" s="2340"/>
      <c r="AQ36" s="2170">
        <f t="shared" si="42"/>
        <v>0</v>
      </c>
      <c r="AR36" s="2340"/>
      <c r="AS36" s="2170">
        <f t="shared" si="43"/>
        <v>0</v>
      </c>
      <c r="AT36" s="2340"/>
      <c r="AU36" s="2170">
        <f t="shared" si="44"/>
        <v>0</v>
      </c>
      <c r="AV36" s="2340"/>
      <c r="AW36" s="2170">
        <f t="shared" si="45"/>
        <v>0</v>
      </c>
      <c r="AX36" s="2340"/>
      <c r="AY36" s="2170">
        <f t="shared" si="46"/>
        <v>0</v>
      </c>
      <c r="AZ36" s="2340"/>
      <c r="BA36" s="2340"/>
      <c r="BB36" s="2340"/>
      <c r="BC36" s="78"/>
    </row>
    <row r="37" spans="1:55" ht="15">
      <c r="A37" s="901"/>
      <c r="B37" s="1614"/>
      <c r="C37" s="1614"/>
      <c r="D37" s="1609"/>
      <c r="E37" s="1615"/>
      <c r="F37" s="1615"/>
      <c r="G37" s="1615"/>
      <c r="H37" s="1615"/>
      <c r="I37" s="2363"/>
      <c r="J37" s="1609"/>
      <c r="K37" s="1615"/>
      <c r="L37" s="1615"/>
      <c r="M37" s="1615"/>
      <c r="N37" s="1615"/>
      <c r="O37" s="1615"/>
      <c r="P37" s="1615"/>
      <c r="Q37" s="1615"/>
      <c r="R37" s="1615"/>
      <c r="S37" s="1615"/>
      <c r="T37" s="1615"/>
      <c r="U37" s="1615"/>
      <c r="V37" s="1615"/>
      <c r="W37" s="1615"/>
      <c r="X37" s="1615"/>
      <c r="Y37" s="1615"/>
      <c r="Z37" s="1615"/>
      <c r="AA37" s="1615"/>
      <c r="AB37" s="1615"/>
      <c r="AC37" s="1615"/>
      <c r="AD37" s="1615"/>
      <c r="AE37" s="1615"/>
      <c r="AF37" s="1615"/>
      <c r="AG37" s="1615"/>
      <c r="AH37" s="1615"/>
      <c r="AI37" s="1615"/>
      <c r="AJ37" s="1615"/>
      <c r="AK37" s="1615"/>
      <c r="AL37" s="1615"/>
      <c r="AM37" s="1615"/>
      <c r="AN37" s="1615"/>
      <c r="AO37" s="1615"/>
      <c r="AP37" s="1615"/>
      <c r="AQ37" s="1615"/>
      <c r="AR37" s="1615"/>
      <c r="AS37" s="1615"/>
      <c r="AT37" s="1615"/>
      <c r="AU37" s="1615"/>
      <c r="AV37" s="1615"/>
      <c r="AW37" s="1615"/>
      <c r="AX37" s="1615"/>
      <c r="AY37" s="1615"/>
      <c r="AZ37" s="1615"/>
      <c r="BA37" s="1615"/>
      <c r="BB37" s="1615"/>
      <c r="BC37" s="78"/>
    </row>
    <row r="38" spans="1:55" ht="15.75">
      <c r="A38" s="901"/>
      <c r="B38" s="1621" t="s">
        <v>623</v>
      </c>
      <c r="C38" s="1602"/>
      <c r="D38" s="1609"/>
      <c r="E38" s="1619"/>
      <c r="F38" s="1619"/>
      <c r="G38" s="1619"/>
      <c r="H38" s="1619"/>
      <c r="I38" s="2363"/>
      <c r="J38" s="1609"/>
      <c r="K38" s="1619"/>
      <c r="L38" s="1619"/>
      <c r="M38" s="1619"/>
      <c r="N38" s="1619"/>
      <c r="O38" s="1619"/>
      <c r="P38" s="1619"/>
      <c r="Q38" s="1619"/>
      <c r="R38" s="1619"/>
      <c r="S38" s="1619"/>
      <c r="T38" s="1619"/>
      <c r="U38" s="1619"/>
      <c r="V38" s="1619"/>
      <c r="W38" s="1619"/>
      <c r="X38" s="1619"/>
      <c r="Y38" s="1619"/>
      <c r="Z38" s="1619"/>
      <c r="AA38" s="1619"/>
      <c r="AB38" s="1619"/>
      <c r="AC38" s="1619"/>
      <c r="AD38" s="1619"/>
      <c r="AE38" s="1619"/>
      <c r="AF38" s="1619"/>
      <c r="AG38" s="1619"/>
      <c r="AH38" s="1619"/>
      <c r="AI38" s="1619"/>
      <c r="AJ38" s="1619"/>
      <c r="AK38" s="1619"/>
      <c r="AL38" s="1619"/>
      <c r="AM38" s="1619"/>
      <c r="AN38" s="1619"/>
      <c r="AO38" s="1619"/>
      <c r="AP38" s="1619"/>
      <c r="AQ38" s="1619"/>
      <c r="AR38" s="1619"/>
      <c r="AS38" s="1619"/>
      <c r="AT38" s="1619"/>
      <c r="AU38" s="1619"/>
      <c r="AV38" s="1619"/>
      <c r="AW38" s="1619"/>
      <c r="AX38" s="1619"/>
      <c r="AY38" s="1619"/>
      <c r="AZ38" s="1619"/>
      <c r="BA38" s="1619"/>
      <c r="BB38" s="1619"/>
      <c r="BC38" s="78"/>
    </row>
    <row r="39" spans="1:55" ht="15.75">
      <c r="A39" s="901"/>
      <c r="B39" s="1620"/>
      <c r="C39" s="1602"/>
      <c r="D39" s="1609"/>
      <c r="E39" s="1619"/>
      <c r="F39" s="1619"/>
      <c r="G39" s="1619"/>
      <c r="H39" s="1619"/>
      <c r="I39" s="2363"/>
      <c r="J39" s="1609"/>
      <c r="K39" s="1619"/>
      <c r="L39" s="1619"/>
      <c r="M39" s="1619"/>
      <c r="N39" s="1619"/>
      <c r="O39" s="1619"/>
      <c r="P39" s="1619"/>
      <c r="Q39" s="1619"/>
      <c r="R39" s="1619"/>
      <c r="S39" s="1619"/>
      <c r="T39" s="1619"/>
      <c r="U39" s="1619"/>
      <c r="V39" s="1619"/>
      <c r="W39" s="1619"/>
      <c r="X39" s="1619"/>
      <c r="Y39" s="1619"/>
      <c r="Z39" s="1619"/>
      <c r="AA39" s="1619"/>
      <c r="AB39" s="1619"/>
      <c r="AC39" s="1619"/>
      <c r="AD39" s="1619"/>
      <c r="AE39" s="1619"/>
      <c r="AF39" s="1619"/>
      <c r="AG39" s="1619"/>
      <c r="AH39" s="1619"/>
      <c r="AI39" s="1619"/>
      <c r="AJ39" s="1619"/>
      <c r="AK39" s="1619"/>
      <c r="AL39" s="1619"/>
      <c r="AM39" s="1619"/>
      <c r="AN39" s="1619"/>
      <c r="AO39" s="1619"/>
      <c r="AP39" s="1619"/>
      <c r="AQ39" s="1619"/>
      <c r="AR39" s="1619"/>
      <c r="AS39" s="1619"/>
      <c r="AT39" s="1619"/>
      <c r="AU39" s="1619"/>
      <c r="AV39" s="1619"/>
      <c r="AW39" s="1619"/>
      <c r="AX39" s="1619"/>
      <c r="AY39" s="1619"/>
      <c r="AZ39" s="1619"/>
      <c r="BA39" s="1619"/>
      <c r="BB39" s="1619"/>
      <c r="BC39" s="78"/>
    </row>
    <row r="40" spans="1:55" ht="15.75">
      <c r="A40" s="901"/>
      <c r="B40" s="1621" t="s">
        <v>1171</v>
      </c>
      <c r="C40" s="1602"/>
      <c r="D40" s="1611"/>
      <c r="E40" s="1612"/>
      <c r="F40" s="1612"/>
      <c r="G40" s="1612"/>
      <c r="H40" s="1612"/>
      <c r="I40" s="2363"/>
      <c r="J40" s="1611"/>
      <c r="K40" s="1612"/>
      <c r="L40" s="1612"/>
      <c r="M40" s="1612"/>
      <c r="N40" s="1612"/>
      <c r="O40" s="1612"/>
      <c r="P40" s="1612"/>
      <c r="Q40" s="1612"/>
      <c r="R40" s="1612"/>
      <c r="S40" s="1612"/>
      <c r="T40" s="1612"/>
      <c r="U40" s="1612"/>
      <c r="V40" s="1612"/>
      <c r="W40" s="1612"/>
      <c r="X40" s="1612"/>
      <c r="Y40" s="1612"/>
      <c r="Z40" s="1612"/>
      <c r="AA40" s="1612"/>
      <c r="AB40" s="1612"/>
      <c r="AC40" s="1612"/>
      <c r="AD40" s="1612"/>
      <c r="AE40" s="1612"/>
      <c r="AF40" s="1612"/>
      <c r="AG40" s="1612"/>
      <c r="AH40" s="1612"/>
      <c r="AI40" s="1612"/>
      <c r="AJ40" s="1612"/>
      <c r="AK40" s="1612"/>
      <c r="AL40" s="1612"/>
      <c r="AM40" s="1612"/>
      <c r="AN40" s="1612"/>
      <c r="AO40" s="1612"/>
      <c r="AP40" s="1612"/>
      <c r="AQ40" s="1612"/>
      <c r="AR40" s="1612"/>
      <c r="AS40" s="1612"/>
      <c r="AT40" s="1612"/>
      <c r="AU40" s="1612"/>
      <c r="AV40" s="1612"/>
      <c r="AW40" s="1612"/>
      <c r="AX40" s="1612"/>
      <c r="AY40" s="1612"/>
      <c r="AZ40" s="1612"/>
      <c r="BA40" s="1612"/>
      <c r="BB40" s="1612"/>
      <c r="BC40" s="78"/>
    </row>
    <row r="41" spans="1:55" ht="15">
      <c r="A41" s="901">
        <v>19</v>
      </c>
      <c r="B41" s="817" t="s">
        <v>1172</v>
      </c>
      <c r="C41" s="1605" t="s">
        <v>1607</v>
      </c>
      <c r="D41" s="2361">
        <f>SUM(E41:H41)</f>
        <v>0</v>
      </c>
      <c r="E41" s="2362"/>
      <c r="F41" s="2362"/>
      <c r="G41" s="2362"/>
      <c r="H41" s="2362"/>
      <c r="I41" s="2363"/>
      <c r="J41" s="2361">
        <f t="shared" ref="J41" si="47">K41+M41+O41+Q41+S41+U41+W41+Y41+AA41+AC41</f>
        <v>0</v>
      </c>
      <c r="K41" s="2362"/>
      <c r="L41" s="2362"/>
      <c r="M41" s="2362"/>
      <c r="N41" s="2362"/>
      <c r="O41" s="2362"/>
      <c r="P41" s="2362"/>
      <c r="Q41" s="2362"/>
      <c r="R41" s="2362"/>
      <c r="S41" s="2362"/>
      <c r="T41" s="2362"/>
      <c r="U41" s="2362"/>
      <c r="V41" s="2362"/>
      <c r="W41" s="2362"/>
      <c r="X41" s="2362"/>
      <c r="Y41" s="2362"/>
      <c r="Z41" s="2362"/>
      <c r="AA41" s="2362"/>
      <c r="AB41" s="2362"/>
      <c r="AC41" s="2362"/>
      <c r="AD41" s="2362"/>
      <c r="AE41" s="2364" t="str">
        <f>IF(D41&lt;&gt;J41,"YES","")</f>
        <v/>
      </c>
      <c r="AF41" s="2340">
        <f>IF(D41&lt;&gt;J41,1,0)</f>
        <v>0</v>
      </c>
      <c r="AG41" s="2170">
        <f t="shared" ref="AG41" si="48">IF(AND(K41&gt;0,L41&lt;0.1),1,0)</f>
        <v>0</v>
      </c>
      <c r="AH41" s="2340"/>
      <c r="AI41" s="2170">
        <f t="shared" ref="AI41" si="49">IF(AND(M41&gt;0,N41&lt;0.1),1,0)</f>
        <v>0</v>
      </c>
      <c r="AJ41" s="2340"/>
      <c r="AK41" s="2170">
        <f t="shared" ref="AK41" si="50">IF(AND(O41&gt;0,P41&lt;0.1),1,0)</f>
        <v>0</v>
      </c>
      <c r="AL41" s="2340"/>
      <c r="AM41" s="2170">
        <f t="shared" ref="AM41" si="51">IF(AND(Q41&gt;0,R41&lt;0.1),1,0)</f>
        <v>0</v>
      </c>
      <c r="AN41" s="2340"/>
      <c r="AO41" s="2170">
        <f t="shared" ref="AO41" si="52">IF(AND(S41&gt;0,T41&lt;0.1),1,0)</f>
        <v>0</v>
      </c>
      <c r="AP41" s="2340"/>
      <c r="AQ41" s="2170">
        <f t="shared" ref="AQ41" si="53">IF(AND(U41&gt;0,V41&lt;0.1),1,0)</f>
        <v>0</v>
      </c>
      <c r="AR41" s="2340"/>
      <c r="AS41" s="2170">
        <f t="shared" ref="AS41" si="54">IF(AND(W41&gt;0,X41&lt;0.1),1,0)</f>
        <v>0</v>
      </c>
      <c r="AT41" s="2340"/>
      <c r="AU41" s="2170">
        <f t="shared" ref="AU41" si="55">IF(AND(Y41&gt;0,Z41&lt;0.1),1,0)</f>
        <v>0</v>
      </c>
      <c r="AV41" s="2340"/>
      <c r="AW41" s="2170">
        <f t="shared" ref="AW41" si="56">IF(AND(AA41&gt;0,AB41&lt;0.1),1,0)</f>
        <v>0</v>
      </c>
      <c r="AX41" s="2340"/>
      <c r="AY41" s="2170">
        <f t="shared" ref="AY41" si="57">IF(AND(AC41&gt;0,AD41&lt;0.1),1,0)</f>
        <v>0</v>
      </c>
      <c r="AZ41" s="2340"/>
      <c r="BA41" s="2340"/>
      <c r="BB41" s="2340"/>
      <c r="BC41" s="78"/>
    </row>
    <row r="42" spans="1:55" ht="15">
      <c r="A42" s="901"/>
      <c r="B42" s="1614"/>
      <c r="C42" s="1608"/>
      <c r="D42" s="1609"/>
      <c r="E42" s="1610"/>
      <c r="F42" s="1610"/>
      <c r="G42" s="1610"/>
      <c r="H42" s="1610"/>
      <c r="I42" s="2363"/>
      <c r="J42" s="1609"/>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1610"/>
      <c r="AJ42" s="1610"/>
      <c r="AK42" s="1610"/>
      <c r="AL42" s="1610"/>
      <c r="AM42" s="1610"/>
      <c r="AN42" s="1610"/>
      <c r="AO42" s="1610"/>
      <c r="AP42" s="1610"/>
      <c r="AQ42" s="1610"/>
      <c r="AR42" s="1610"/>
      <c r="AS42" s="1610"/>
      <c r="AT42" s="1610"/>
      <c r="AU42" s="1610"/>
      <c r="AV42" s="1610"/>
      <c r="AW42" s="1610"/>
      <c r="AX42" s="1610"/>
      <c r="AY42" s="1610"/>
      <c r="AZ42" s="1610"/>
      <c r="BA42" s="1610"/>
      <c r="BB42" s="1610"/>
      <c r="BC42" s="78"/>
    </row>
    <row r="43" spans="1:55" ht="15.75">
      <c r="A43" s="901"/>
      <c r="B43" s="1621" t="s">
        <v>1065</v>
      </c>
      <c r="C43" s="1622"/>
      <c r="D43" s="1613"/>
      <c r="E43" s="1623"/>
      <c r="F43" s="1623"/>
      <c r="G43" s="1623"/>
      <c r="H43" s="1623"/>
      <c r="I43" s="2363"/>
      <c r="J43" s="1613"/>
      <c r="K43" s="1623"/>
      <c r="L43" s="1623"/>
      <c r="M43" s="1623"/>
      <c r="N43" s="1623"/>
      <c r="O43" s="1623"/>
      <c r="P43" s="1623"/>
      <c r="Q43" s="1623"/>
      <c r="R43" s="1623"/>
      <c r="S43" s="1623"/>
      <c r="T43" s="1623"/>
      <c r="U43" s="1623"/>
      <c r="V43" s="1623"/>
      <c r="W43" s="1623"/>
      <c r="X43" s="1623"/>
      <c r="Y43" s="1623"/>
      <c r="Z43" s="1623"/>
      <c r="AA43" s="1623"/>
      <c r="AB43" s="1623"/>
      <c r="AC43" s="1623"/>
      <c r="AD43" s="1623"/>
      <c r="AE43" s="1623"/>
      <c r="AF43" s="1623"/>
      <c r="AG43" s="1623"/>
      <c r="AH43" s="1623"/>
      <c r="AI43" s="1623"/>
      <c r="AJ43" s="1623"/>
      <c r="AK43" s="1623"/>
      <c r="AL43" s="1623"/>
      <c r="AM43" s="1623"/>
      <c r="AN43" s="1623"/>
      <c r="AO43" s="1623"/>
      <c r="AP43" s="1623"/>
      <c r="AQ43" s="1623"/>
      <c r="AR43" s="1623"/>
      <c r="AS43" s="1623"/>
      <c r="AT43" s="1623"/>
      <c r="AU43" s="1623"/>
      <c r="AV43" s="1623"/>
      <c r="AW43" s="1623"/>
      <c r="AX43" s="1623"/>
      <c r="AY43" s="1623"/>
      <c r="AZ43" s="1623"/>
      <c r="BA43" s="1623"/>
      <c r="BB43" s="1623"/>
      <c r="BC43" s="78"/>
    </row>
    <row r="44" spans="1:55" ht="15">
      <c r="A44" s="901">
        <v>20</v>
      </c>
      <c r="B44" s="1606" t="s">
        <v>1066</v>
      </c>
      <c r="C44" s="1605" t="s">
        <v>429</v>
      </c>
      <c r="D44" s="2361">
        <f>SUM(E44:H44)</f>
        <v>0</v>
      </c>
      <c r="E44" s="2362"/>
      <c r="F44" s="2362"/>
      <c r="G44" s="2362"/>
      <c r="H44" s="2362"/>
      <c r="I44" s="2363"/>
      <c r="J44" s="2361">
        <f t="shared" ref="J44:J47" si="58">K44+M44+O44+Q44+S44+U44+W44+Y44+AA44+AC44</f>
        <v>0</v>
      </c>
      <c r="K44" s="2362"/>
      <c r="L44" s="2362"/>
      <c r="M44" s="2362"/>
      <c r="N44" s="2362"/>
      <c r="O44" s="2362"/>
      <c r="P44" s="2362"/>
      <c r="Q44" s="2362"/>
      <c r="R44" s="2362"/>
      <c r="S44" s="2362"/>
      <c r="T44" s="2362"/>
      <c r="U44" s="2362"/>
      <c r="V44" s="2362"/>
      <c r="W44" s="2362"/>
      <c r="X44" s="2362"/>
      <c r="Y44" s="2362"/>
      <c r="Z44" s="2362"/>
      <c r="AA44" s="2362"/>
      <c r="AB44" s="2362"/>
      <c r="AC44" s="2362"/>
      <c r="AD44" s="2362"/>
      <c r="AE44" s="2364" t="str">
        <f>IF(D44&lt;&gt;J44,"YES","")</f>
        <v/>
      </c>
      <c r="AF44" s="2340">
        <f>IF(D44&lt;&gt;J44,1,0)</f>
        <v>0</v>
      </c>
      <c r="AG44" s="2170">
        <f t="shared" ref="AG44:AG47" si="59">IF(AND(K44&gt;0,L44&lt;0.1),1,0)</f>
        <v>0</v>
      </c>
      <c r="AH44" s="2340"/>
      <c r="AI44" s="2170">
        <f t="shared" ref="AI44:AI47" si="60">IF(AND(M44&gt;0,N44&lt;0.1),1,0)</f>
        <v>0</v>
      </c>
      <c r="AJ44" s="2340"/>
      <c r="AK44" s="2170">
        <f t="shared" ref="AK44:AK47" si="61">IF(AND(O44&gt;0,P44&lt;0.1),1,0)</f>
        <v>0</v>
      </c>
      <c r="AL44" s="2340"/>
      <c r="AM44" s="2170">
        <f t="shared" ref="AM44:AM47" si="62">IF(AND(Q44&gt;0,R44&lt;0.1),1,0)</f>
        <v>0</v>
      </c>
      <c r="AN44" s="2340"/>
      <c r="AO44" s="2170">
        <f t="shared" ref="AO44:AO47" si="63">IF(AND(S44&gt;0,T44&lt;0.1),1,0)</f>
        <v>0</v>
      </c>
      <c r="AP44" s="2340"/>
      <c r="AQ44" s="2170">
        <f t="shared" ref="AQ44:AQ47" si="64">IF(AND(U44&gt;0,V44&lt;0.1),1,0)</f>
        <v>0</v>
      </c>
      <c r="AR44" s="2340"/>
      <c r="AS44" s="2170">
        <f t="shared" ref="AS44:AS47" si="65">IF(AND(W44&gt;0,X44&lt;0.1),1,0)</f>
        <v>0</v>
      </c>
      <c r="AT44" s="2340"/>
      <c r="AU44" s="2170">
        <f t="shared" ref="AU44:AU47" si="66">IF(AND(Y44&gt;0,Z44&lt;0.1),1,0)</f>
        <v>0</v>
      </c>
      <c r="AV44" s="2340"/>
      <c r="AW44" s="2170">
        <f t="shared" ref="AW44:AW47" si="67">IF(AND(AA44&gt;0,AB44&lt;0.1),1,0)</f>
        <v>0</v>
      </c>
      <c r="AX44" s="2340"/>
      <c r="AY44" s="2170">
        <f t="shared" ref="AY44:AY47" si="68">IF(AND(AC44&gt;0,AD44&lt;0.1),1,0)</f>
        <v>0</v>
      </c>
      <c r="AZ44" s="2340"/>
      <c r="BA44" s="2340"/>
      <c r="BB44" s="2340"/>
      <c r="BC44" s="78"/>
    </row>
    <row r="45" spans="1:55" ht="15">
      <c r="A45" s="886">
        <v>21</v>
      </c>
      <c r="B45" s="1606" t="s">
        <v>318</v>
      </c>
      <c r="C45" s="1605" t="s">
        <v>430</v>
      </c>
      <c r="D45" s="2361">
        <f>SUM(E45:H45)</f>
        <v>0</v>
      </c>
      <c r="E45" s="2362"/>
      <c r="F45" s="2362"/>
      <c r="G45" s="2362"/>
      <c r="H45" s="2362"/>
      <c r="I45" s="2363"/>
      <c r="J45" s="2361">
        <f t="shared" si="58"/>
        <v>0</v>
      </c>
      <c r="K45" s="2362"/>
      <c r="L45" s="2362"/>
      <c r="M45" s="2362"/>
      <c r="N45" s="2362"/>
      <c r="O45" s="2362"/>
      <c r="P45" s="2362"/>
      <c r="Q45" s="2362"/>
      <c r="R45" s="2362"/>
      <c r="S45" s="2362"/>
      <c r="T45" s="2362"/>
      <c r="U45" s="2362"/>
      <c r="V45" s="2362"/>
      <c r="W45" s="2362"/>
      <c r="X45" s="2362"/>
      <c r="Y45" s="2362"/>
      <c r="Z45" s="2362"/>
      <c r="AA45" s="2362"/>
      <c r="AB45" s="2362"/>
      <c r="AC45" s="2362"/>
      <c r="AD45" s="2362"/>
      <c r="AE45" s="2364" t="str">
        <f>IF(D45&lt;&gt;J45,"YES","")</f>
        <v/>
      </c>
      <c r="AF45" s="2340">
        <f>IF(D45&lt;&gt;J45,1,0)</f>
        <v>0</v>
      </c>
      <c r="AG45" s="2170">
        <f t="shared" si="59"/>
        <v>0</v>
      </c>
      <c r="AH45" s="2340"/>
      <c r="AI45" s="2170">
        <f t="shared" si="60"/>
        <v>0</v>
      </c>
      <c r="AJ45" s="2340"/>
      <c r="AK45" s="2170">
        <f t="shared" si="61"/>
        <v>0</v>
      </c>
      <c r="AL45" s="2340"/>
      <c r="AM45" s="2170">
        <f t="shared" si="62"/>
        <v>0</v>
      </c>
      <c r="AN45" s="2340"/>
      <c r="AO45" s="2170">
        <f t="shared" si="63"/>
        <v>0</v>
      </c>
      <c r="AP45" s="2340"/>
      <c r="AQ45" s="2170">
        <f t="shared" si="64"/>
        <v>0</v>
      </c>
      <c r="AR45" s="2340"/>
      <c r="AS45" s="2170">
        <f t="shared" si="65"/>
        <v>0</v>
      </c>
      <c r="AT45" s="2340"/>
      <c r="AU45" s="2170">
        <f t="shared" si="66"/>
        <v>0</v>
      </c>
      <c r="AV45" s="2340"/>
      <c r="AW45" s="2170">
        <f t="shared" si="67"/>
        <v>0</v>
      </c>
      <c r="AX45" s="2340"/>
      <c r="AY45" s="2170">
        <f t="shared" si="68"/>
        <v>0</v>
      </c>
      <c r="AZ45" s="2340"/>
      <c r="BA45" s="2340"/>
      <c r="BB45" s="2340"/>
      <c r="BC45" s="78"/>
    </row>
    <row r="46" spans="1:55" ht="15">
      <c r="A46" s="886">
        <v>22</v>
      </c>
      <c r="B46" s="1606" t="s">
        <v>431</v>
      </c>
      <c r="C46" s="1606" t="s">
        <v>432</v>
      </c>
      <c r="D46" s="2361">
        <f>SUM(E46:H46)</f>
        <v>0</v>
      </c>
      <c r="E46" s="2362"/>
      <c r="F46" s="2362"/>
      <c r="G46" s="2362"/>
      <c r="H46" s="2362"/>
      <c r="I46" s="2363"/>
      <c r="J46" s="2361">
        <f t="shared" si="58"/>
        <v>0</v>
      </c>
      <c r="K46" s="2362"/>
      <c r="L46" s="2362"/>
      <c r="M46" s="2362"/>
      <c r="N46" s="2362"/>
      <c r="O46" s="2362"/>
      <c r="P46" s="2362"/>
      <c r="Q46" s="2362"/>
      <c r="R46" s="2362"/>
      <c r="S46" s="2362"/>
      <c r="T46" s="2362"/>
      <c r="U46" s="2362"/>
      <c r="V46" s="2362"/>
      <c r="W46" s="2362"/>
      <c r="X46" s="2362"/>
      <c r="Y46" s="2362"/>
      <c r="Z46" s="2362"/>
      <c r="AA46" s="2362"/>
      <c r="AB46" s="2362"/>
      <c r="AC46" s="2362"/>
      <c r="AD46" s="2362"/>
      <c r="AE46" s="2364" t="str">
        <f>IF(D46&lt;&gt;J46,"YES","")</f>
        <v/>
      </c>
      <c r="AF46" s="2340">
        <f>IF(D46&lt;&gt;J46,1,0)</f>
        <v>0</v>
      </c>
      <c r="AG46" s="2170">
        <f t="shared" si="59"/>
        <v>0</v>
      </c>
      <c r="AH46" s="2340"/>
      <c r="AI46" s="2170">
        <f t="shared" si="60"/>
        <v>0</v>
      </c>
      <c r="AJ46" s="2340"/>
      <c r="AK46" s="2170">
        <f t="shared" si="61"/>
        <v>0</v>
      </c>
      <c r="AL46" s="2340"/>
      <c r="AM46" s="2170">
        <f t="shared" si="62"/>
        <v>0</v>
      </c>
      <c r="AN46" s="2340"/>
      <c r="AO46" s="2170">
        <f t="shared" si="63"/>
        <v>0</v>
      </c>
      <c r="AP46" s="2340"/>
      <c r="AQ46" s="2170">
        <f t="shared" si="64"/>
        <v>0</v>
      </c>
      <c r="AR46" s="2340"/>
      <c r="AS46" s="2170">
        <f t="shared" si="65"/>
        <v>0</v>
      </c>
      <c r="AT46" s="2340"/>
      <c r="AU46" s="2170">
        <f t="shared" si="66"/>
        <v>0</v>
      </c>
      <c r="AV46" s="2340"/>
      <c r="AW46" s="2170">
        <f t="shared" si="67"/>
        <v>0</v>
      </c>
      <c r="AX46" s="2340"/>
      <c r="AY46" s="2170">
        <f t="shared" si="68"/>
        <v>0</v>
      </c>
      <c r="AZ46" s="2340"/>
      <c r="BA46" s="2340"/>
      <c r="BB46" s="2340"/>
      <c r="BC46" s="78"/>
    </row>
    <row r="47" spans="1:55" ht="15">
      <c r="A47" s="886">
        <v>23</v>
      </c>
      <c r="B47" s="1606" t="s">
        <v>433</v>
      </c>
      <c r="C47" s="1606" t="s">
        <v>1170</v>
      </c>
      <c r="D47" s="2361">
        <f>SUM(E47:H47)</f>
        <v>0</v>
      </c>
      <c r="E47" s="2362"/>
      <c r="F47" s="2362"/>
      <c r="G47" s="2362"/>
      <c r="H47" s="2362"/>
      <c r="I47" s="2363"/>
      <c r="J47" s="2361">
        <f t="shared" si="58"/>
        <v>0</v>
      </c>
      <c r="K47" s="2362"/>
      <c r="L47" s="2362"/>
      <c r="M47" s="2362"/>
      <c r="N47" s="2362"/>
      <c r="O47" s="2362"/>
      <c r="P47" s="2362"/>
      <c r="Q47" s="2362"/>
      <c r="R47" s="2362"/>
      <c r="S47" s="2362"/>
      <c r="T47" s="2362"/>
      <c r="U47" s="2362"/>
      <c r="V47" s="2362"/>
      <c r="W47" s="2362"/>
      <c r="X47" s="2362"/>
      <c r="Y47" s="2362"/>
      <c r="Z47" s="2362"/>
      <c r="AA47" s="2362"/>
      <c r="AB47" s="2362"/>
      <c r="AC47" s="2362"/>
      <c r="AD47" s="2362"/>
      <c r="AE47" s="2364" t="str">
        <f>IF(D47&lt;&gt;J47,"YES","")</f>
        <v/>
      </c>
      <c r="AF47" s="2340">
        <f>IF(D47&lt;&gt;J47,1,0)</f>
        <v>0</v>
      </c>
      <c r="AG47" s="2170">
        <f t="shared" si="59"/>
        <v>0</v>
      </c>
      <c r="AH47" s="2340"/>
      <c r="AI47" s="2170">
        <f t="shared" si="60"/>
        <v>0</v>
      </c>
      <c r="AJ47" s="2340"/>
      <c r="AK47" s="2170">
        <f t="shared" si="61"/>
        <v>0</v>
      </c>
      <c r="AL47" s="2340"/>
      <c r="AM47" s="2170">
        <f t="shared" si="62"/>
        <v>0</v>
      </c>
      <c r="AN47" s="2340"/>
      <c r="AO47" s="2170">
        <f t="shared" si="63"/>
        <v>0</v>
      </c>
      <c r="AP47" s="2340"/>
      <c r="AQ47" s="2170">
        <f t="shared" si="64"/>
        <v>0</v>
      </c>
      <c r="AR47" s="2340"/>
      <c r="AS47" s="2170">
        <f t="shared" si="65"/>
        <v>0</v>
      </c>
      <c r="AT47" s="2340"/>
      <c r="AU47" s="2170">
        <f t="shared" si="66"/>
        <v>0</v>
      </c>
      <c r="AV47" s="2340"/>
      <c r="AW47" s="2170">
        <f t="shared" si="67"/>
        <v>0</v>
      </c>
      <c r="AX47" s="2340"/>
      <c r="AY47" s="2170">
        <f t="shared" si="68"/>
        <v>0</v>
      </c>
      <c r="AZ47" s="2340"/>
      <c r="BA47" s="2340"/>
      <c r="BB47" s="2340"/>
      <c r="BC47" s="78"/>
    </row>
    <row r="48" spans="1:55" ht="15">
      <c r="A48" s="901"/>
      <c r="B48" s="1614"/>
      <c r="C48" s="1614"/>
      <c r="D48" s="1609"/>
      <c r="E48" s="1615"/>
      <c r="F48" s="1615"/>
      <c r="G48" s="1615"/>
      <c r="H48" s="1615"/>
      <c r="I48" s="2363"/>
      <c r="J48" s="1609"/>
      <c r="K48" s="1615"/>
      <c r="L48" s="1615"/>
      <c r="M48" s="1615"/>
      <c r="N48" s="1615"/>
      <c r="O48" s="1615"/>
      <c r="P48" s="1615"/>
      <c r="Q48" s="1615"/>
      <c r="R48" s="1615"/>
      <c r="S48" s="1615"/>
      <c r="T48" s="1615"/>
      <c r="U48" s="1615"/>
      <c r="V48" s="1615"/>
      <c r="W48" s="1615"/>
      <c r="X48" s="1615"/>
      <c r="Y48" s="1615"/>
      <c r="Z48" s="1615"/>
      <c r="AA48" s="1615"/>
      <c r="AB48" s="1615"/>
      <c r="AC48" s="1615"/>
      <c r="AD48" s="1615"/>
      <c r="AE48" s="1615"/>
      <c r="AF48" s="1615"/>
      <c r="AG48" s="1615"/>
      <c r="AH48" s="1615"/>
      <c r="AI48" s="1615"/>
      <c r="AJ48" s="1615"/>
      <c r="AK48" s="1615"/>
      <c r="AL48" s="1615"/>
      <c r="AM48" s="1615"/>
      <c r="AN48" s="1615"/>
      <c r="AO48" s="1615"/>
      <c r="AP48" s="1615"/>
      <c r="AQ48" s="1615"/>
      <c r="AR48" s="1615"/>
      <c r="AS48" s="1615"/>
      <c r="AT48" s="1615"/>
      <c r="AU48" s="1615"/>
      <c r="AV48" s="1615"/>
      <c r="AW48" s="1615"/>
      <c r="AX48" s="1615"/>
      <c r="AY48" s="1615"/>
      <c r="AZ48" s="1615"/>
      <c r="BA48" s="1615"/>
      <c r="BB48" s="1615"/>
      <c r="BC48" s="78"/>
    </row>
    <row r="49" spans="1:55" ht="15.75">
      <c r="A49" s="901"/>
      <c r="B49" s="1621" t="s">
        <v>818</v>
      </c>
      <c r="C49" s="1622"/>
      <c r="D49" s="1613"/>
      <c r="E49" s="1623"/>
      <c r="F49" s="1623"/>
      <c r="G49" s="1623"/>
      <c r="H49" s="1623"/>
      <c r="I49" s="2363"/>
      <c r="J49" s="1613"/>
      <c r="K49" s="1623"/>
      <c r="L49" s="1623"/>
      <c r="M49" s="1623"/>
      <c r="N49" s="1623"/>
      <c r="O49" s="1623"/>
      <c r="P49" s="1623"/>
      <c r="Q49" s="1623"/>
      <c r="R49" s="1623"/>
      <c r="S49" s="1623"/>
      <c r="T49" s="1623"/>
      <c r="U49" s="1623"/>
      <c r="V49" s="1623"/>
      <c r="W49" s="1623"/>
      <c r="X49" s="1623"/>
      <c r="Y49" s="1623"/>
      <c r="Z49" s="1623"/>
      <c r="AA49" s="1623"/>
      <c r="AB49" s="1623"/>
      <c r="AC49" s="1623"/>
      <c r="AD49" s="1623"/>
      <c r="AE49" s="1623"/>
      <c r="AF49" s="1623"/>
      <c r="AG49" s="1623"/>
      <c r="AH49" s="1623"/>
      <c r="AI49" s="1623"/>
      <c r="AJ49" s="1623"/>
      <c r="AK49" s="1623"/>
      <c r="AL49" s="1623"/>
      <c r="AM49" s="1623"/>
      <c r="AN49" s="1623"/>
      <c r="AO49" s="1623"/>
      <c r="AP49" s="1623"/>
      <c r="AQ49" s="1623"/>
      <c r="AR49" s="1623"/>
      <c r="AS49" s="1623"/>
      <c r="AT49" s="1623"/>
      <c r="AU49" s="1623"/>
      <c r="AV49" s="1623"/>
      <c r="AW49" s="1623"/>
      <c r="AX49" s="1623"/>
      <c r="AY49" s="1623"/>
      <c r="AZ49" s="1623"/>
      <c r="BA49" s="1623"/>
      <c r="BB49" s="1623"/>
      <c r="BC49" s="78"/>
    </row>
    <row r="50" spans="1:55" ht="15.75">
      <c r="A50" s="886">
        <v>24</v>
      </c>
      <c r="B50" s="1606" t="s">
        <v>434</v>
      </c>
      <c r="C50" s="1605" t="s">
        <v>435</v>
      </c>
      <c r="D50" s="2362"/>
      <c r="E50" s="1623"/>
      <c r="F50" s="1623"/>
      <c r="G50" s="1167"/>
      <c r="H50" s="1167"/>
      <c r="I50" s="2363"/>
      <c r="J50" s="2361">
        <f t="shared" ref="J50:J51" si="69">K50+M50+O50+Q50+S50+U50+W50+Y50+AA50+AC50</f>
        <v>0</v>
      </c>
      <c r="K50" s="2362"/>
      <c r="L50" s="2362"/>
      <c r="M50" s="2362"/>
      <c r="N50" s="2362"/>
      <c r="O50" s="2362"/>
      <c r="P50" s="2362"/>
      <c r="Q50" s="2362"/>
      <c r="R50" s="2362"/>
      <c r="S50" s="2362"/>
      <c r="T50" s="2362"/>
      <c r="U50" s="2362"/>
      <c r="V50" s="2362"/>
      <c r="W50" s="2362"/>
      <c r="X50" s="2362"/>
      <c r="Y50" s="2362"/>
      <c r="Z50" s="2362"/>
      <c r="AA50" s="2362"/>
      <c r="AB50" s="2362"/>
      <c r="AC50" s="2362"/>
      <c r="AD50" s="2362"/>
      <c r="AE50" s="2364" t="str">
        <f>IF(D50&lt;&gt;J50,"YES","")</f>
        <v/>
      </c>
      <c r="AF50" s="2340">
        <f>IF(D50&lt;&gt;J50,1,0)</f>
        <v>0</v>
      </c>
      <c r="AG50" s="2170">
        <f t="shared" ref="AG50:AG51" si="70">IF(AND(K50&gt;0,L50&lt;0.1),1,0)</f>
        <v>0</v>
      </c>
      <c r="AH50" s="2340"/>
      <c r="AI50" s="2170">
        <f t="shared" ref="AI50:AI51" si="71">IF(AND(M50&gt;0,N50&lt;0.1),1,0)</f>
        <v>0</v>
      </c>
      <c r="AJ50" s="2340"/>
      <c r="AK50" s="2170">
        <f t="shared" ref="AK50:AK51" si="72">IF(AND(O50&gt;0,P50&lt;0.1),1,0)</f>
        <v>0</v>
      </c>
      <c r="AL50" s="2340"/>
      <c r="AM50" s="2170">
        <f t="shared" ref="AM50:AM51" si="73">IF(AND(Q50&gt;0,R50&lt;0.1),1,0)</f>
        <v>0</v>
      </c>
      <c r="AN50" s="2340"/>
      <c r="AO50" s="2170">
        <f t="shared" ref="AO50:AO51" si="74">IF(AND(S50&gt;0,T50&lt;0.1),1,0)</f>
        <v>0</v>
      </c>
      <c r="AP50" s="2340"/>
      <c r="AQ50" s="2170">
        <f t="shared" ref="AQ50:AQ51" si="75">IF(AND(U50&gt;0,V50&lt;0.1),1,0)</f>
        <v>0</v>
      </c>
      <c r="AR50" s="2340"/>
      <c r="AS50" s="2170">
        <f t="shared" ref="AS50:AS51" si="76">IF(AND(W50&gt;0,X50&lt;0.1),1,0)</f>
        <v>0</v>
      </c>
      <c r="AT50" s="2340"/>
      <c r="AU50" s="2170">
        <f t="shared" ref="AU50:AU51" si="77">IF(AND(Y50&gt;0,Z50&lt;0.1),1,0)</f>
        <v>0</v>
      </c>
      <c r="AV50" s="2340"/>
      <c r="AW50" s="2170">
        <f t="shared" ref="AW50:AW51" si="78">IF(AND(AA50&gt;0,AB50&lt;0.1),1,0)</f>
        <v>0</v>
      </c>
      <c r="AX50" s="2340"/>
      <c r="AY50" s="2170">
        <f t="shared" ref="AY50:AY51" si="79">IF(AND(AC50&gt;0,AD50&lt;0.1),1,0)</f>
        <v>0</v>
      </c>
      <c r="AZ50" s="2340"/>
      <c r="BA50" s="2340"/>
      <c r="BB50" s="2340"/>
      <c r="BC50" s="78"/>
    </row>
    <row r="51" spans="1:55" ht="15.75">
      <c r="A51" s="886">
        <v>25</v>
      </c>
      <c r="B51" s="1606" t="s">
        <v>1835</v>
      </c>
      <c r="C51" s="1605" t="s">
        <v>1836</v>
      </c>
      <c r="D51" s="2362"/>
      <c r="E51" s="1623"/>
      <c r="F51" s="1623"/>
      <c r="G51" s="1167"/>
      <c r="H51" s="1167"/>
      <c r="I51" s="2363"/>
      <c r="J51" s="2361">
        <f t="shared" si="69"/>
        <v>0</v>
      </c>
      <c r="K51" s="2362"/>
      <c r="L51" s="2362"/>
      <c r="M51" s="2362"/>
      <c r="N51" s="2362"/>
      <c r="O51" s="2362"/>
      <c r="P51" s="2362"/>
      <c r="Q51" s="2362"/>
      <c r="R51" s="2362"/>
      <c r="S51" s="2362"/>
      <c r="T51" s="2362"/>
      <c r="U51" s="2362"/>
      <c r="V51" s="2362"/>
      <c r="W51" s="2362"/>
      <c r="X51" s="2362"/>
      <c r="Y51" s="2362"/>
      <c r="Z51" s="2362"/>
      <c r="AA51" s="2362"/>
      <c r="AB51" s="2362"/>
      <c r="AC51" s="2362"/>
      <c r="AD51" s="2362"/>
      <c r="AE51" s="2364" t="str">
        <f>IF(D51&lt;&gt;J51,"YES","")</f>
        <v/>
      </c>
      <c r="AF51" s="2340">
        <f>IF(D51&lt;&gt;J51,1,0)</f>
        <v>0</v>
      </c>
      <c r="AG51" s="2170">
        <f t="shared" si="70"/>
        <v>0</v>
      </c>
      <c r="AH51" s="2340"/>
      <c r="AI51" s="2170">
        <f t="shared" si="71"/>
        <v>0</v>
      </c>
      <c r="AJ51" s="2340"/>
      <c r="AK51" s="2170">
        <f t="shared" si="72"/>
        <v>0</v>
      </c>
      <c r="AL51" s="2340"/>
      <c r="AM51" s="2170">
        <f t="shared" si="73"/>
        <v>0</v>
      </c>
      <c r="AN51" s="2340"/>
      <c r="AO51" s="2170">
        <f t="shared" si="74"/>
        <v>0</v>
      </c>
      <c r="AP51" s="2340"/>
      <c r="AQ51" s="2170">
        <f t="shared" si="75"/>
        <v>0</v>
      </c>
      <c r="AR51" s="2340"/>
      <c r="AS51" s="2170">
        <f t="shared" si="76"/>
        <v>0</v>
      </c>
      <c r="AT51" s="2340"/>
      <c r="AU51" s="2170">
        <f t="shared" si="77"/>
        <v>0</v>
      </c>
      <c r="AV51" s="2340"/>
      <c r="AW51" s="2170">
        <f t="shared" si="78"/>
        <v>0</v>
      </c>
      <c r="AX51" s="2340"/>
      <c r="AY51" s="2170">
        <f t="shared" si="79"/>
        <v>0</v>
      </c>
      <c r="AZ51" s="2340"/>
      <c r="BA51" s="2340"/>
      <c r="BB51" s="2340"/>
      <c r="BC51" s="78"/>
    </row>
    <row r="52" spans="1:55" ht="15.75">
      <c r="A52" s="901"/>
      <c r="B52" s="1614"/>
      <c r="C52" s="1614"/>
      <c r="D52" s="1609"/>
      <c r="E52" s="1623"/>
      <c r="F52" s="1623"/>
      <c r="G52" s="1167"/>
      <c r="H52" s="1167"/>
      <c r="I52" s="2363"/>
      <c r="J52" s="1609"/>
      <c r="K52" s="1609"/>
      <c r="L52" s="1609"/>
      <c r="M52" s="1609"/>
      <c r="N52" s="1609"/>
      <c r="O52" s="1609"/>
      <c r="P52" s="1609"/>
      <c r="Q52" s="1609"/>
      <c r="R52" s="1609"/>
      <c r="S52" s="1609"/>
      <c r="T52" s="1609"/>
      <c r="U52" s="1609"/>
      <c r="V52" s="1609"/>
      <c r="W52" s="1609"/>
      <c r="X52" s="1609"/>
      <c r="Y52" s="1609"/>
      <c r="Z52" s="1609"/>
      <c r="AA52" s="1609"/>
      <c r="AB52" s="1609"/>
      <c r="AC52" s="1609"/>
      <c r="AD52" s="1609"/>
      <c r="AE52" s="1609"/>
      <c r="AF52" s="1609"/>
      <c r="AG52" s="1609"/>
      <c r="AH52" s="1609"/>
      <c r="AI52" s="1609"/>
      <c r="AJ52" s="1609"/>
      <c r="AK52" s="1609"/>
      <c r="AL52" s="1609"/>
      <c r="AM52" s="1609"/>
      <c r="AN52" s="1609"/>
      <c r="AO52" s="1609"/>
      <c r="AP52" s="1609"/>
      <c r="AQ52" s="1609"/>
      <c r="AR52" s="1609"/>
      <c r="AS52" s="1609"/>
      <c r="AT52" s="1609"/>
      <c r="AU52" s="1609"/>
      <c r="AV52" s="1609"/>
      <c r="AW52" s="1609"/>
      <c r="AX52" s="1609"/>
      <c r="AY52" s="1609"/>
      <c r="AZ52" s="1609"/>
      <c r="BA52" s="1609"/>
      <c r="BB52" s="1609"/>
      <c r="BC52" s="78"/>
    </row>
    <row r="53" spans="1:55" ht="15.75">
      <c r="A53" s="901"/>
      <c r="B53" s="1621" t="s">
        <v>1026</v>
      </c>
      <c r="C53" s="1622"/>
      <c r="D53" s="1613"/>
      <c r="E53" s="1623"/>
      <c r="F53" s="1623"/>
      <c r="G53" s="1623"/>
      <c r="H53" s="1623"/>
      <c r="I53" s="2363"/>
      <c r="J53" s="1613"/>
      <c r="K53" s="1613"/>
      <c r="L53" s="1613"/>
      <c r="M53" s="1613"/>
      <c r="N53" s="1613"/>
      <c r="O53" s="1613"/>
      <c r="P53" s="1613"/>
      <c r="Q53" s="1613"/>
      <c r="R53" s="1613"/>
      <c r="S53" s="1613"/>
      <c r="T53" s="1613"/>
      <c r="U53" s="1613"/>
      <c r="V53" s="1613"/>
      <c r="W53" s="1613"/>
      <c r="X53" s="1613"/>
      <c r="Y53" s="1613"/>
      <c r="Z53" s="1613"/>
      <c r="AA53" s="1613"/>
      <c r="AB53" s="1613"/>
      <c r="AC53" s="1613"/>
      <c r="AD53" s="1613"/>
      <c r="AE53" s="1613"/>
      <c r="AF53" s="1613"/>
      <c r="AG53" s="1613"/>
      <c r="AH53" s="1613"/>
      <c r="AI53" s="1613"/>
      <c r="AJ53" s="1613"/>
      <c r="AK53" s="1613"/>
      <c r="AL53" s="1613"/>
      <c r="AM53" s="1613"/>
      <c r="AN53" s="1613"/>
      <c r="AO53" s="1613"/>
      <c r="AP53" s="1613"/>
      <c r="AQ53" s="1613"/>
      <c r="AR53" s="1613"/>
      <c r="AS53" s="1613"/>
      <c r="AT53" s="1613"/>
      <c r="AU53" s="1613"/>
      <c r="AV53" s="1613"/>
      <c r="AW53" s="1613"/>
      <c r="AX53" s="1613"/>
      <c r="AY53" s="1613"/>
      <c r="AZ53" s="1613"/>
      <c r="BA53" s="1613"/>
      <c r="BB53" s="1613"/>
      <c r="BC53" s="78"/>
    </row>
    <row r="54" spans="1:55" ht="15.75">
      <c r="A54" s="886">
        <v>26</v>
      </c>
      <c r="B54" s="1606" t="s">
        <v>743</v>
      </c>
      <c r="C54" s="1606" t="s">
        <v>1837</v>
      </c>
      <c r="D54" s="2362"/>
      <c r="E54" s="1623"/>
      <c r="F54" s="1623"/>
      <c r="G54" s="1167"/>
      <c r="H54" s="1167"/>
      <c r="I54" s="2363"/>
      <c r="J54" s="2361">
        <f t="shared" ref="J54:J58" si="80">K54+M54+O54+Q54+S54+U54+W54+Y54+AA54+AC54</f>
        <v>0</v>
      </c>
      <c r="K54" s="2362"/>
      <c r="L54" s="1613"/>
      <c r="M54" s="2362"/>
      <c r="N54" s="1613"/>
      <c r="O54" s="2362"/>
      <c r="P54" s="1613"/>
      <c r="Q54" s="2362"/>
      <c r="R54" s="1613"/>
      <c r="S54" s="2362"/>
      <c r="T54" s="1613"/>
      <c r="U54" s="2362"/>
      <c r="V54" s="1613"/>
      <c r="W54" s="2362"/>
      <c r="X54" s="1613"/>
      <c r="Y54" s="2362"/>
      <c r="Z54" s="1613"/>
      <c r="AA54" s="2362"/>
      <c r="AB54" s="1613"/>
      <c r="AC54" s="2362"/>
      <c r="AD54" s="1613"/>
      <c r="AE54" s="2364" t="str">
        <f>IF(D54&lt;&gt;J54,"YES","")</f>
        <v/>
      </c>
      <c r="AF54" s="2340">
        <f>IF(D54&lt;&gt;J54,1,0)</f>
        <v>0</v>
      </c>
      <c r="AG54" s="1613"/>
      <c r="AH54" s="1613"/>
      <c r="AI54" s="1613"/>
      <c r="AJ54" s="2340"/>
      <c r="AK54" s="1613"/>
      <c r="AL54" s="2340"/>
      <c r="AM54" s="1613"/>
      <c r="AN54" s="2340"/>
      <c r="AO54" s="1613"/>
      <c r="AP54" s="2340"/>
      <c r="AQ54" s="1613"/>
      <c r="AR54" s="2340"/>
      <c r="AS54" s="1613"/>
      <c r="AT54" s="2340"/>
      <c r="AU54" s="1613"/>
      <c r="AV54" s="2340"/>
      <c r="AW54" s="1613"/>
      <c r="AX54" s="2340"/>
      <c r="AY54" s="1613"/>
      <c r="AZ54" s="2340"/>
      <c r="BA54" s="2340"/>
      <c r="BB54" s="2340"/>
      <c r="BC54" s="78"/>
    </row>
    <row r="55" spans="1:55" ht="15.75">
      <c r="A55" s="886">
        <v>27</v>
      </c>
      <c r="B55" s="1606" t="s">
        <v>1881</v>
      </c>
      <c r="C55" s="1606" t="s">
        <v>1838</v>
      </c>
      <c r="D55" s="2362"/>
      <c r="E55" s="1623"/>
      <c r="F55" s="1623"/>
      <c r="G55" s="1167"/>
      <c r="H55" s="1167"/>
      <c r="I55" s="2363"/>
      <c r="J55" s="2361">
        <f t="shared" si="80"/>
        <v>0</v>
      </c>
      <c r="K55" s="2362"/>
      <c r="L55" s="2362"/>
      <c r="M55" s="2362"/>
      <c r="N55" s="2362"/>
      <c r="O55" s="2362"/>
      <c r="P55" s="2362"/>
      <c r="Q55" s="2362"/>
      <c r="R55" s="2362"/>
      <c r="S55" s="2362"/>
      <c r="T55" s="2362"/>
      <c r="U55" s="2362"/>
      <c r="V55" s="2362"/>
      <c r="W55" s="2362"/>
      <c r="X55" s="2362"/>
      <c r="Y55" s="2362"/>
      <c r="Z55" s="2362"/>
      <c r="AA55" s="2362"/>
      <c r="AB55" s="2362"/>
      <c r="AC55" s="2362"/>
      <c r="AD55" s="2362"/>
      <c r="AE55" s="2364" t="str">
        <f>IF(D55&lt;&gt;J55,"YES","")</f>
        <v/>
      </c>
      <c r="AF55" s="2340">
        <f>IF(D55&lt;&gt;J55,1,0)</f>
        <v>0</v>
      </c>
      <c r="AG55" s="2170">
        <f t="shared" ref="AG55:AG58" si="81">IF(AND(K55&gt;0,L55&lt;0.1),1,0)</f>
        <v>0</v>
      </c>
      <c r="AH55" s="2340"/>
      <c r="AI55" s="2170">
        <f t="shared" ref="AI55:AI58" si="82">IF(AND(M55&gt;0,N55&lt;0.1),1,0)</f>
        <v>0</v>
      </c>
      <c r="AJ55" s="2340"/>
      <c r="AK55" s="2170">
        <f t="shared" ref="AK55:AK58" si="83">IF(AND(O55&gt;0,P55&lt;0.1),1,0)</f>
        <v>0</v>
      </c>
      <c r="AL55" s="2340"/>
      <c r="AM55" s="2170">
        <f t="shared" ref="AM55:AM58" si="84">IF(AND(Q55&gt;0,R55&lt;0.1),1,0)</f>
        <v>0</v>
      </c>
      <c r="AN55" s="2340"/>
      <c r="AO55" s="2170">
        <f t="shared" ref="AO55:AO58" si="85">IF(AND(S55&gt;0,T55&lt;0.1),1,0)</f>
        <v>0</v>
      </c>
      <c r="AP55" s="2340"/>
      <c r="AQ55" s="2170">
        <f t="shared" ref="AQ55:AQ58" si="86">IF(AND(U55&gt;0,V55&lt;0.1),1,0)</f>
        <v>0</v>
      </c>
      <c r="AR55" s="2340"/>
      <c r="AS55" s="2170">
        <f t="shared" ref="AS55:AS58" si="87">IF(AND(W55&gt;0,X55&lt;0.1),1,0)</f>
        <v>0</v>
      </c>
      <c r="AT55" s="2340"/>
      <c r="AU55" s="2170">
        <f t="shared" ref="AU55:AU58" si="88">IF(AND(Y55&gt;0,Z55&lt;0.1),1,0)</f>
        <v>0</v>
      </c>
      <c r="AV55" s="2340"/>
      <c r="AW55" s="2170">
        <f t="shared" ref="AW55:AW58" si="89">IF(AND(AA55&gt;0,AB55&lt;0.1),1,0)</f>
        <v>0</v>
      </c>
      <c r="AX55" s="2340"/>
      <c r="AY55" s="2170">
        <f t="shared" ref="AY55:AY58" si="90">IF(AND(AC55&gt;0,AD55&lt;0.1),1,0)</f>
        <v>0</v>
      </c>
      <c r="AZ55" s="2340"/>
      <c r="BA55" s="2340"/>
      <c r="BB55" s="2340"/>
      <c r="BC55" s="78"/>
    </row>
    <row r="56" spans="1:55" ht="15.75">
      <c r="A56" s="886">
        <v>28</v>
      </c>
      <c r="B56" s="1606" t="s">
        <v>887</v>
      </c>
      <c r="C56" s="1606" t="s">
        <v>1170</v>
      </c>
      <c r="D56" s="2362"/>
      <c r="E56" s="1623"/>
      <c r="F56" s="1623"/>
      <c r="G56" s="1167"/>
      <c r="H56" s="1167"/>
      <c r="I56" s="2363"/>
      <c r="J56" s="2361">
        <f t="shared" si="80"/>
        <v>0</v>
      </c>
      <c r="K56" s="2362"/>
      <c r="L56" s="2362"/>
      <c r="M56" s="2362"/>
      <c r="N56" s="2362"/>
      <c r="O56" s="2362"/>
      <c r="P56" s="2362"/>
      <c r="Q56" s="2362"/>
      <c r="R56" s="2362"/>
      <c r="S56" s="2362"/>
      <c r="T56" s="2362"/>
      <c r="U56" s="2362"/>
      <c r="V56" s="2362"/>
      <c r="W56" s="2362"/>
      <c r="X56" s="2362"/>
      <c r="Y56" s="2362"/>
      <c r="Z56" s="2362"/>
      <c r="AA56" s="2362"/>
      <c r="AB56" s="2362"/>
      <c r="AC56" s="2362"/>
      <c r="AD56" s="2362"/>
      <c r="AE56" s="2364" t="str">
        <f>IF(D56&lt;&gt;J56,"YES","")</f>
        <v/>
      </c>
      <c r="AF56" s="2340">
        <f>IF(D56&lt;&gt;J56,1,0)</f>
        <v>0</v>
      </c>
      <c r="AG56" s="2170">
        <f t="shared" si="81"/>
        <v>0</v>
      </c>
      <c r="AH56" s="2340"/>
      <c r="AI56" s="2170">
        <f t="shared" si="82"/>
        <v>0</v>
      </c>
      <c r="AJ56" s="2340"/>
      <c r="AK56" s="2170">
        <f t="shared" si="83"/>
        <v>0</v>
      </c>
      <c r="AL56" s="2340"/>
      <c r="AM56" s="2170">
        <f t="shared" si="84"/>
        <v>0</v>
      </c>
      <c r="AN56" s="2340"/>
      <c r="AO56" s="2170">
        <f t="shared" si="85"/>
        <v>0</v>
      </c>
      <c r="AP56" s="2340"/>
      <c r="AQ56" s="2170">
        <f t="shared" si="86"/>
        <v>0</v>
      </c>
      <c r="AR56" s="2340"/>
      <c r="AS56" s="2170">
        <f t="shared" si="87"/>
        <v>0</v>
      </c>
      <c r="AT56" s="2340"/>
      <c r="AU56" s="2170">
        <f t="shared" si="88"/>
        <v>0</v>
      </c>
      <c r="AV56" s="2340"/>
      <c r="AW56" s="2170">
        <f t="shared" si="89"/>
        <v>0</v>
      </c>
      <c r="AX56" s="2340"/>
      <c r="AY56" s="2170">
        <f t="shared" si="90"/>
        <v>0</v>
      </c>
      <c r="AZ56" s="2340"/>
      <c r="BA56" s="2340"/>
      <c r="BB56" s="2340"/>
      <c r="BC56" s="78"/>
    </row>
    <row r="57" spans="1:55" ht="15.75">
      <c r="A57" s="886">
        <v>29</v>
      </c>
      <c r="B57" s="1606" t="s">
        <v>1600</v>
      </c>
      <c r="C57" s="1606" t="s">
        <v>1170</v>
      </c>
      <c r="D57" s="2362"/>
      <c r="E57" s="1623"/>
      <c r="F57" s="1623"/>
      <c r="G57" s="1167"/>
      <c r="H57" s="1167"/>
      <c r="I57" s="2363"/>
      <c r="J57" s="2361">
        <f t="shared" si="80"/>
        <v>0</v>
      </c>
      <c r="K57" s="2362"/>
      <c r="L57" s="2362"/>
      <c r="M57" s="2362"/>
      <c r="N57" s="2362"/>
      <c r="O57" s="2362"/>
      <c r="P57" s="2362"/>
      <c r="Q57" s="2362"/>
      <c r="R57" s="2362"/>
      <c r="S57" s="2362"/>
      <c r="T57" s="2362"/>
      <c r="U57" s="2362"/>
      <c r="V57" s="2362"/>
      <c r="W57" s="2362"/>
      <c r="X57" s="2362"/>
      <c r="Y57" s="2362"/>
      <c r="Z57" s="2362"/>
      <c r="AA57" s="2362"/>
      <c r="AB57" s="2362"/>
      <c r="AC57" s="2362"/>
      <c r="AD57" s="2362"/>
      <c r="AE57" s="2364" t="str">
        <f>IF(D57&lt;&gt;J57,"YES","")</f>
        <v/>
      </c>
      <c r="AF57" s="2340">
        <f>IF(D57&lt;&gt;J57,1,0)</f>
        <v>0</v>
      </c>
      <c r="AG57" s="2170">
        <f t="shared" si="81"/>
        <v>0</v>
      </c>
      <c r="AH57" s="2340"/>
      <c r="AI57" s="2170">
        <f t="shared" si="82"/>
        <v>0</v>
      </c>
      <c r="AJ57" s="2340"/>
      <c r="AK57" s="2170">
        <f t="shared" si="83"/>
        <v>0</v>
      </c>
      <c r="AL57" s="2340"/>
      <c r="AM57" s="2170">
        <f t="shared" si="84"/>
        <v>0</v>
      </c>
      <c r="AN57" s="2340"/>
      <c r="AO57" s="2170">
        <f t="shared" si="85"/>
        <v>0</v>
      </c>
      <c r="AP57" s="2340"/>
      <c r="AQ57" s="2170">
        <f t="shared" si="86"/>
        <v>0</v>
      </c>
      <c r="AR57" s="2340"/>
      <c r="AS57" s="2170">
        <f t="shared" si="87"/>
        <v>0</v>
      </c>
      <c r="AT57" s="2340"/>
      <c r="AU57" s="2170">
        <f t="shared" si="88"/>
        <v>0</v>
      </c>
      <c r="AV57" s="2340"/>
      <c r="AW57" s="2170">
        <f t="shared" si="89"/>
        <v>0</v>
      </c>
      <c r="AX57" s="2340"/>
      <c r="AY57" s="2170">
        <f t="shared" si="90"/>
        <v>0</v>
      </c>
      <c r="AZ57" s="2340"/>
      <c r="BA57" s="2340"/>
      <c r="BB57" s="2340"/>
      <c r="BC57" s="78"/>
    </row>
    <row r="58" spans="1:55" ht="15.75">
      <c r="A58" s="886">
        <v>30</v>
      </c>
      <c r="B58" s="1606" t="s">
        <v>888</v>
      </c>
      <c r="C58" s="1606" t="s">
        <v>1170</v>
      </c>
      <c r="D58" s="2362"/>
      <c r="E58" s="1623"/>
      <c r="F58" s="1623"/>
      <c r="G58" s="1167"/>
      <c r="H58" s="1167"/>
      <c r="I58" s="2363"/>
      <c r="J58" s="2361">
        <f t="shared" si="80"/>
        <v>0</v>
      </c>
      <c r="K58" s="2362"/>
      <c r="L58" s="2362"/>
      <c r="M58" s="2362"/>
      <c r="N58" s="2362"/>
      <c r="O58" s="2362"/>
      <c r="P58" s="2362"/>
      <c r="Q58" s="2362"/>
      <c r="R58" s="2362"/>
      <c r="S58" s="2362"/>
      <c r="T58" s="2362"/>
      <c r="U58" s="2362"/>
      <c r="V58" s="2362"/>
      <c r="W58" s="2362"/>
      <c r="X58" s="2362"/>
      <c r="Y58" s="2362"/>
      <c r="Z58" s="2362"/>
      <c r="AA58" s="2362"/>
      <c r="AB58" s="2362"/>
      <c r="AC58" s="2362"/>
      <c r="AD58" s="2362"/>
      <c r="AE58" s="2364" t="str">
        <f>IF(D58&lt;&gt;J58,"YES","")</f>
        <v/>
      </c>
      <c r="AF58" s="2340">
        <f>IF(D58&lt;&gt;J58,1,0)</f>
        <v>0</v>
      </c>
      <c r="AG58" s="2170">
        <f t="shared" si="81"/>
        <v>0</v>
      </c>
      <c r="AH58" s="2340"/>
      <c r="AI58" s="2170">
        <f t="shared" si="82"/>
        <v>0</v>
      </c>
      <c r="AJ58" s="2340"/>
      <c r="AK58" s="2170">
        <f t="shared" si="83"/>
        <v>0</v>
      </c>
      <c r="AL58" s="2340"/>
      <c r="AM58" s="2170">
        <f t="shared" si="84"/>
        <v>0</v>
      </c>
      <c r="AN58" s="2340"/>
      <c r="AO58" s="2170">
        <f t="shared" si="85"/>
        <v>0</v>
      </c>
      <c r="AP58" s="2340"/>
      <c r="AQ58" s="2170">
        <f t="shared" si="86"/>
        <v>0</v>
      </c>
      <c r="AR58" s="2340"/>
      <c r="AS58" s="2170">
        <f t="shared" si="87"/>
        <v>0</v>
      </c>
      <c r="AT58" s="2340"/>
      <c r="AU58" s="2170">
        <f t="shared" si="88"/>
        <v>0</v>
      </c>
      <c r="AV58" s="2340"/>
      <c r="AW58" s="2170">
        <f t="shared" si="89"/>
        <v>0</v>
      </c>
      <c r="AX58" s="2340"/>
      <c r="AY58" s="2170">
        <f t="shared" si="90"/>
        <v>0</v>
      </c>
      <c r="AZ58" s="2340"/>
      <c r="BA58" s="2340"/>
      <c r="BB58" s="2340"/>
      <c r="BC58" s="78"/>
    </row>
    <row r="59" spans="1:55" ht="15.75">
      <c r="A59" s="901"/>
      <c r="B59" s="1614"/>
      <c r="C59" s="1614"/>
      <c r="D59" s="1609"/>
      <c r="E59" s="1623"/>
      <c r="F59" s="1623"/>
      <c r="G59" s="1167"/>
      <c r="H59" s="1167"/>
      <c r="I59" s="2363"/>
      <c r="J59" s="1609"/>
      <c r="K59" s="1609"/>
      <c r="L59" s="1609"/>
      <c r="M59" s="1609"/>
      <c r="N59" s="1609"/>
      <c r="O59" s="1609"/>
      <c r="P59" s="1609"/>
      <c r="Q59" s="1609"/>
      <c r="R59" s="1609"/>
      <c r="S59" s="1609"/>
      <c r="T59" s="1609"/>
      <c r="U59" s="1609"/>
      <c r="V59" s="1609"/>
      <c r="W59" s="1609"/>
      <c r="X59" s="1609"/>
      <c r="Y59" s="1609"/>
      <c r="Z59" s="1609"/>
      <c r="AA59" s="1609"/>
      <c r="AB59" s="1609"/>
      <c r="AC59" s="1609"/>
      <c r="AD59" s="1609"/>
      <c r="AE59" s="1609"/>
      <c r="AF59" s="1609"/>
      <c r="AG59" s="1609"/>
      <c r="AH59" s="1609"/>
      <c r="AI59" s="1609"/>
      <c r="AJ59" s="1609"/>
      <c r="AK59" s="1609"/>
      <c r="AL59" s="1609"/>
      <c r="AM59" s="1609"/>
      <c r="AN59" s="1609"/>
      <c r="AO59" s="1609"/>
      <c r="AP59" s="1609"/>
      <c r="AQ59" s="1609"/>
      <c r="AR59" s="1609"/>
      <c r="AS59" s="1609"/>
      <c r="AT59" s="1609"/>
      <c r="AU59" s="1609"/>
      <c r="AV59" s="1609"/>
      <c r="AW59" s="1609"/>
      <c r="AX59" s="1609"/>
      <c r="AY59" s="1609"/>
      <c r="AZ59" s="1609"/>
      <c r="BA59" s="1609"/>
      <c r="BB59" s="1609"/>
      <c r="BC59" s="78"/>
    </row>
    <row r="60" spans="1:55" ht="15.75">
      <c r="A60" s="901"/>
      <c r="B60" s="1621" t="s">
        <v>1602</v>
      </c>
      <c r="C60" s="1622"/>
      <c r="D60" s="1609"/>
      <c r="E60" s="1623"/>
      <c r="F60" s="1623"/>
      <c r="G60" s="1167"/>
      <c r="H60" s="1167"/>
      <c r="I60" s="2363"/>
      <c r="J60" s="1609"/>
      <c r="K60" s="1611"/>
      <c r="L60" s="1611"/>
      <c r="M60" s="1611"/>
      <c r="N60" s="1611"/>
      <c r="O60" s="1611"/>
      <c r="P60" s="1611"/>
      <c r="Q60" s="1611"/>
      <c r="R60" s="1611"/>
      <c r="S60" s="1611"/>
      <c r="T60" s="1611"/>
      <c r="U60" s="1611"/>
      <c r="V60" s="1611"/>
      <c r="W60" s="1611"/>
      <c r="X60" s="1611"/>
      <c r="Y60" s="1611"/>
      <c r="Z60" s="1611"/>
      <c r="AA60" s="1611"/>
      <c r="AB60" s="1611"/>
      <c r="AC60" s="1611"/>
      <c r="AD60" s="1611"/>
      <c r="AE60" s="1611"/>
      <c r="AF60" s="1613"/>
      <c r="AG60" s="1613"/>
      <c r="AH60" s="1613"/>
      <c r="AI60" s="1613"/>
      <c r="AJ60" s="1613"/>
      <c r="AK60" s="1613"/>
      <c r="AL60" s="1613"/>
      <c r="AM60" s="1613"/>
      <c r="AN60" s="1613"/>
      <c r="AO60" s="1613"/>
      <c r="AP60" s="1613"/>
      <c r="AQ60" s="1613"/>
      <c r="AR60" s="1613"/>
      <c r="AS60" s="1613"/>
      <c r="AT60" s="1613"/>
      <c r="AU60" s="1613"/>
      <c r="AV60" s="1613"/>
      <c r="AW60" s="1613"/>
      <c r="AX60" s="1613"/>
      <c r="AY60" s="1613"/>
      <c r="AZ60" s="1613"/>
      <c r="BA60" s="1613"/>
      <c r="BB60" s="1613"/>
      <c r="BC60" s="78"/>
    </row>
    <row r="61" spans="1:55" ht="15.75">
      <c r="A61" s="886">
        <v>31</v>
      </c>
      <c r="B61" s="1606" t="s">
        <v>1600</v>
      </c>
      <c r="C61" s="1606" t="s">
        <v>889</v>
      </c>
      <c r="D61" s="2362"/>
      <c r="E61" s="1623"/>
      <c r="F61" s="1623"/>
      <c r="G61" s="1167"/>
      <c r="H61" s="1167"/>
      <c r="I61" s="2363"/>
      <c r="J61" s="2361">
        <f t="shared" ref="J61:J64" si="91">K61+M61+O61+Q61+S61+U61+W61+Y61+AA61+AC61</f>
        <v>0</v>
      </c>
      <c r="K61" s="2362"/>
      <c r="L61" s="2362"/>
      <c r="M61" s="2362"/>
      <c r="N61" s="2362"/>
      <c r="O61" s="2362"/>
      <c r="P61" s="2362"/>
      <c r="Q61" s="2362"/>
      <c r="R61" s="2362"/>
      <c r="S61" s="2362"/>
      <c r="T61" s="2362"/>
      <c r="U61" s="2362"/>
      <c r="V61" s="2362"/>
      <c r="W61" s="2362"/>
      <c r="X61" s="2362"/>
      <c r="Y61" s="2362"/>
      <c r="Z61" s="2362"/>
      <c r="AA61" s="2362"/>
      <c r="AB61" s="2362"/>
      <c r="AC61" s="2362"/>
      <c r="AD61" s="2362"/>
      <c r="AE61" s="2364" t="str">
        <f>IF(D61&lt;&gt;J61,"YES","")</f>
        <v/>
      </c>
      <c r="AF61" s="2340">
        <f>IF(D61&lt;&gt;J61,1,0)</f>
        <v>0</v>
      </c>
      <c r="AG61" s="2170">
        <f t="shared" ref="AG61:AG64" si="92">IF(AND(K61&gt;0,L61&lt;0.1),1,0)</f>
        <v>0</v>
      </c>
      <c r="AH61" s="2340"/>
      <c r="AI61" s="2170">
        <f t="shared" ref="AI61:AI64" si="93">IF(AND(M61&gt;0,N61&lt;0.1),1,0)</f>
        <v>0</v>
      </c>
      <c r="AJ61" s="2340"/>
      <c r="AK61" s="2170">
        <f t="shared" ref="AK61:AK64" si="94">IF(AND(O61&gt;0,P61&lt;0.1),1,0)</f>
        <v>0</v>
      </c>
      <c r="AL61" s="2340"/>
      <c r="AM61" s="2170">
        <f t="shared" ref="AM61:AM64" si="95">IF(AND(Q61&gt;0,R61&lt;0.1),1,0)</f>
        <v>0</v>
      </c>
      <c r="AN61" s="2340"/>
      <c r="AO61" s="2170">
        <f t="shared" ref="AO61:AO64" si="96">IF(AND(S61&gt;0,T61&lt;0.1),1,0)</f>
        <v>0</v>
      </c>
      <c r="AP61" s="2340"/>
      <c r="AQ61" s="2170">
        <f t="shared" ref="AQ61:AQ64" si="97">IF(AND(U61&gt;0,V61&lt;0.1),1,0)</f>
        <v>0</v>
      </c>
      <c r="AR61" s="2340"/>
      <c r="AS61" s="2170">
        <f t="shared" ref="AS61:AS64" si="98">IF(AND(W61&gt;0,X61&lt;0.1),1,0)</f>
        <v>0</v>
      </c>
      <c r="AT61" s="2340"/>
      <c r="AU61" s="2170">
        <f t="shared" ref="AU61:AU64" si="99">IF(AND(Y61&gt;0,Z61&lt;0.1),1,0)</f>
        <v>0</v>
      </c>
      <c r="AV61" s="2340"/>
      <c r="AW61" s="2170">
        <f t="shared" ref="AW61:AW64" si="100">IF(AND(AA61&gt;0,AB61&lt;0.1),1,0)</f>
        <v>0</v>
      </c>
      <c r="AX61" s="2340"/>
      <c r="AY61" s="2170">
        <f t="shared" ref="AY61:AY64" si="101">IF(AND(AC61&gt;0,AD61&lt;0.1),1,0)</f>
        <v>0</v>
      </c>
      <c r="AZ61" s="2340"/>
      <c r="BA61" s="2340"/>
      <c r="BB61" s="2340"/>
      <c r="BC61" s="78"/>
    </row>
    <row r="62" spans="1:55" ht="15.75">
      <c r="A62" s="886">
        <v>32</v>
      </c>
      <c r="B62" s="1606" t="s">
        <v>1025</v>
      </c>
      <c r="C62" s="1606" t="s">
        <v>890</v>
      </c>
      <c r="D62" s="2362"/>
      <c r="E62" s="1623"/>
      <c r="F62" s="1623"/>
      <c r="G62" s="1167"/>
      <c r="H62" s="1167"/>
      <c r="I62" s="2363"/>
      <c r="J62" s="2361">
        <f t="shared" si="91"/>
        <v>0</v>
      </c>
      <c r="K62" s="2362"/>
      <c r="L62" s="2362"/>
      <c r="M62" s="2362"/>
      <c r="N62" s="2362"/>
      <c r="O62" s="2362"/>
      <c r="P62" s="2362"/>
      <c r="Q62" s="2362"/>
      <c r="R62" s="2362"/>
      <c r="S62" s="2362"/>
      <c r="T62" s="2362"/>
      <c r="U62" s="2362"/>
      <c r="V62" s="2362"/>
      <c r="W62" s="2362"/>
      <c r="X62" s="2362"/>
      <c r="Y62" s="2362"/>
      <c r="Z62" s="2362"/>
      <c r="AA62" s="2362"/>
      <c r="AB62" s="2362"/>
      <c r="AC62" s="2362"/>
      <c r="AD62" s="2362"/>
      <c r="AE62" s="2364" t="str">
        <f>IF(D62&lt;&gt;J62,"YES","")</f>
        <v/>
      </c>
      <c r="AF62" s="2340">
        <f>IF(D62&lt;&gt;J62,1,0)</f>
        <v>0</v>
      </c>
      <c r="AG62" s="2170">
        <f t="shared" si="92"/>
        <v>0</v>
      </c>
      <c r="AH62" s="2340"/>
      <c r="AI62" s="2170">
        <f t="shared" si="93"/>
        <v>0</v>
      </c>
      <c r="AJ62" s="2340"/>
      <c r="AK62" s="2170">
        <f t="shared" si="94"/>
        <v>0</v>
      </c>
      <c r="AL62" s="2340"/>
      <c r="AM62" s="2170">
        <f t="shared" si="95"/>
        <v>0</v>
      </c>
      <c r="AN62" s="2340"/>
      <c r="AO62" s="2170">
        <f t="shared" si="96"/>
        <v>0</v>
      </c>
      <c r="AP62" s="2340"/>
      <c r="AQ62" s="2170">
        <f t="shared" si="97"/>
        <v>0</v>
      </c>
      <c r="AR62" s="2340"/>
      <c r="AS62" s="2170">
        <f t="shared" si="98"/>
        <v>0</v>
      </c>
      <c r="AT62" s="2340"/>
      <c r="AU62" s="2170">
        <f t="shared" si="99"/>
        <v>0</v>
      </c>
      <c r="AV62" s="2340"/>
      <c r="AW62" s="2170">
        <f t="shared" si="100"/>
        <v>0</v>
      </c>
      <c r="AX62" s="2340"/>
      <c r="AY62" s="2170">
        <f t="shared" si="101"/>
        <v>0</v>
      </c>
      <c r="AZ62" s="2340"/>
      <c r="BA62" s="2340"/>
      <c r="BB62" s="2340"/>
      <c r="BC62" s="78"/>
    </row>
    <row r="63" spans="1:55" ht="15.75">
      <c r="A63" s="886">
        <v>33</v>
      </c>
      <c r="B63" s="1606" t="s">
        <v>891</v>
      </c>
      <c r="C63" s="1606" t="s">
        <v>892</v>
      </c>
      <c r="D63" s="2362"/>
      <c r="E63" s="1623"/>
      <c r="F63" s="1623"/>
      <c r="G63" s="1167"/>
      <c r="H63" s="1167"/>
      <c r="I63" s="2363"/>
      <c r="J63" s="2361">
        <f t="shared" si="91"/>
        <v>0</v>
      </c>
      <c r="K63" s="2362"/>
      <c r="L63" s="2362"/>
      <c r="M63" s="2362"/>
      <c r="N63" s="2362"/>
      <c r="O63" s="2362"/>
      <c r="P63" s="2362"/>
      <c r="Q63" s="2362"/>
      <c r="R63" s="2362"/>
      <c r="S63" s="2362"/>
      <c r="T63" s="2362"/>
      <c r="U63" s="2362"/>
      <c r="V63" s="2362"/>
      <c r="W63" s="2362"/>
      <c r="X63" s="2362"/>
      <c r="Y63" s="2362"/>
      <c r="Z63" s="2362"/>
      <c r="AA63" s="2362"/>
      <c r="AB63" s="2362"/>
      <c r="AC63" s="2362"/>
      <c r="AD63" s="2362"/>
      <c r="AE63" s="2364" t="str">
        <f>IF(D63&lt;&gt;J63,"YES","")</f>
        <v/>
      </c>
      <c r="AF63" s="2340">
        <f>IF(D63&lt;&gt;J63,1,0)</f>
        <v>0</v>
      </c>
      <c r="AG63" s="2170">
        <f t="shared" si="92"/>
        <v>0</v>
      </c>
      <c r="AH63" s="2340"/>
      <c r="AI63" s="2170">
        <f t="shared" si="93"/>
        <v>0</v>
      </c>
      <c r="AJ63" s="2340"/>
      <c r="AK63" s="2170">
        <f t="shared" si="94"/>
        <v>0</v>
      </c>
      <c r="AL63" s="2340"/>
      <c r="AM63" s="2170">
        <f t="shared" si="95"/>
        <v>0</v>
      </c>
      <c r="AN63" s="2340"/>
      <c r="AO63" s="2170">
        <f t="shared" si="96"/>
        <v>0</v>
      </c>
      <c r="AP63" s="2340"/>
      <c r="AQ63" s="2170">
        <f t="shared" si="97"/>
        <v>0</v>
      </c>
      <c r="AR63" s="2340"/>
      <c r="AS63" s="2170">
        <f t="shared" si="98"/>
        <v>0</v>
      </c>
      <c r="AT63" s="2340"/>
      <c r="AU63" s="2170">
        <f t="shared" si="99"/>
        <v>0</v>
      </c>
      <c r="AV63" s="2340"/>
      <c r="AW63" s="2170">
        <f t="shared" si="100"/>
        <v>0</v>
      </c>
      <c r="AX63" s="2340"/>
      <c r="AY63" s="2170">
        <f t="shared" si="101"/>
        <v>0</v>
      </c>
      <c r="AZ63" s="2340"/>
      <c r="BA63" s="2340"/>
      <c r="BB63" s="2340"/>
      <c r="BC63" s="78"/>
    </row>
    <row r="64" spans="1:55" ht="15.75">
      <c r="A64" s="886">
        <v>34</v>
      </c>
      <c r="B64" s="1606" t="s">
        <v>808</v>
      </c>
      <c r="C64" s="1606" t="s">
        <v>809</v>
      </c>
      <c r="D64" s="2362"/>
      <c r="E64" s="1623"/>
      <c r="F64" s="1623"/>
      <c r="G64" s="1167"/>
      <c r="H64" s="1167"/>
      <c r="I64" s="2363"/>
      <c r="J64" s="2361">
        <f t="shared" si="91"/>
        <v>0</v>
      </c>
      <c r="K64" s="2362"/>
      <c r="L64" s="2362"/>
      <c r="M64" s="2362"/>
      <c r="N64" s="2362"/>
      <c r="O64" s="2362"/>
      <c r="P64" s="2362"/>
      <c r="Q64" s="2362"/>
      <c r="R64" s="2362"/>
      <c r="S64" s="2362"/>
      <c r="T64" s="2362"/>
      <c r="U64" s="2362"/>
      <c r="V64" s="2362"/>
      <c r="W64" s="2362"/>
      <c r="X64" s="2362"/>
      <c r="Y64" s="2362"/>
      <c r="Z64" s="2362"/>
      <c r="AA64" s="2362"/>
      <c r="AB64" s="2362"/>
      <c r="AC64" s="2362"/>
      <c r="AD64" s="2362"/>
      <c r="AE64" s="2364" t="str">
        <f>IF(D64&lt;&gt;J64,"YES","")</f>
        <v/>
      </c>
      <c r="AF64" s="2340">
        <f>IF(D64&lt;&gt;J64,1,0)</f>
        <v>0</v>
      </c>
      <c r="AG64" s="2170">
        <f t="shared" si="92"/>
        <v>0</v>
      </c>
      <c r="AH64" s="2340"/>
      <c r="AI64" s="2170">
        <f t="shared" si="93"/>
        <v>0</v>
      </c>
      <c r="AJ64" s="2340"/>
      <c r="AK64" s="2170">
        <f t="shared" si="94"/>
        <v>0</v>
      </c>
      <c r="AL64" s="2340"/>
      <c r="AM64" s="2170">
        <f t="shared" si="95"/>
        <v>0</v>
      </c>
      <c r="AN64" s="2340"/>
      <c r="AO64" s="2170">
        <f t="shared" si="96"/>
        <v>0</v>
      </c>
      <c r="AP64" s="2340"/>
      <c r="AQ64" s="2170">
        <f t="shared" si="97"/>
        <v>0</v>
      </c>
      <c r="AR64" s="2340"/>
      <c r="AS64" s="2170">
        <f t="shared" si="98"/>
        <v>0</v>
      </c>
      <c r="AT64" s="2340"/>
      <c r="AU64" s="2170">
        <f t="shared" si="99"/>
        <v>0</v>
      </c>
      <c r="AV64" s="2340"/>
      <c r="AW64" s="2170">
        <f t="shared" si="100"/>
        <v>0</v>
      </c>
      <c r="AX64" s="2340"/>
      <c r="AY64" s="2170">
        <f t="shared" si="101"/>
        <v>0</v>
      </c>
      <c r="AZ64" s="2340"/>
      <c r="BA64" s="2340"/>
      <c r="BB64" s="2340"/>
      <c r="BC64" s="78"/>
    </row>
    <row r="65" spans="1:55" ht="15.75">
      <c r="A65" s="901"/>
      <c r="B65" s="1614"/>
      <c r="C65" s="1608"/>
      <c r="D65" s="1609"/>
      <c r="E65" s="1623"/>
      <c r="F65" s="1623"/>
      <c r="G65" s="1610"/>
      <c r="H65" s="1610"/>
      <c r="I65" s="2363"/>
      <c r="J65" s="1609"/>
      <c r="K65" s="1609"/>
      <c r="L65" s="1609"/>
      <c r="M65" s="1609"/>
      <c r="N65" s="1609"/>
      <c r="O65" s="1609"/>
      <c r="P65" s="1609"/>
      <c r="Q65" s="1609"/>
      <c r="R65" s="1609"/>
      <c r="S65" s="1609"/>
      <c r="T65" s="1609"/>
      <c r="U65" s="1609"/>
      <c r="V65" s="1609"/>
      <c r="W65" s="1609"/>
      <c r="X65" s="1609"/>
      <c r="Y65" s="1609"/>
      <c r="Z65" s="1609"/>
      <c r="AA65" s="1609"/>
      <c r="AB65" s="1609"/>
      <c r="AC65" s="1609"/>
      <c r="AD65" s="1609"/>
      <c r="AE65" s="1609"/>
      <c r="AF65" s="1609"/>
      <c r="AG65" s="1609"/>
      <c r="AH65" s="1609"/>
      <c r="AI65" s="1609"/>
      <c r="AJ65" s="1609"/>
      <c r="AK65" s="1609"/>
      <c r="AL65" s="1609"/>
      <c r="AM65" s="1609"/>
      <c r="AN65" s="1609"/>
      <c r="AO65" s="1609"/>
      <c r="AP65" s="1609"/>
      <c r="AQ65" s="1609"/>
      <c r="AR65" s="1609"/>
      <c r="AS65" s="1609"/>
      <c r="AT65" s="1609"/>
      <c r="AU65" s="1609"/>
      <c r="AV65" s="1609"/>
      <c r="AW65" s="1609"/>
      <c r="AX65" s="1609"/>
      <c r="AY65" s="1609"/>
      <c r="AZ65" s="1609"/>
      <c r="BA65" s="1609"/>
      <c r="BB65" s="1609"/>
      <c r="BC65" s="78"/>
    </row>
    <row r="66" spans="1:55" ht="15.75">
      <c r="A66" s="901"/>
      <c r="B66" s="1621" t="s">
        <v>810</v>
      </c>
      <c r="C66" s="1602"/>
      <c r="D66" s="1609"/>
      <c r="E66" s="1623"/>
      <c r="F66" s="1623"/>
      <c r="G66" s="1612"/>
      <c r="H66" s="1612"/>
      <c r="I66" s="2363"/>
      <c r="J66" s="1609"/>
      <c r="K66" s="1611"/>
      <c r="L66" s="1611"/>
      <c r="M66" s="1611"/>
      <c r="N66" s="1611"/>
      <c r="O66" s="1611"/>
      <c r="P66" s="1611"/>
      <c r="Q66" s="1611"/>
      <c r="R66" s="1611"/>
      <c r="S66" s="1611"/>
      <c r="T66" s="1611"/>
      <c r="U66" s="1611"/>
      <c r="V66" s="1611"/>
      <c r="W66" s="1611"/>
      <c r="X66" s="1611"/>
      <c r="Y66" s="1611"/>
      <c r="Z66" s="1611"/>
      <c r="AA66" s="1611"/>
      <c r="AB66" s="1611"/>
      <c r="AC66" s="1611"/>
      <c r="AD66" s="1611"/>
      <c r="AE66" s="1611"/>
      <c r="AF66" s="1613"/>
      <c r="AG66" s="1613"/>
      <c r="AH66" s="1613"/>
      <c r="AI66" s="1613"/>
      <c r="AJ66" s="1613"/>
      <c r="AK66" s="1613"/>
      <c r="AL66" s="1613"/>
      <c r="AM66" s="1613"/>
      <c r="AN66" s="1613"/>
      <c r="AO66" s="1613"/>
      <c r="AP66" s="1613"/>
      <c r="AQ66" s="1613"/>
      <c r="AR66" s="1613"/>
      <c r="AS66" s="1613"/>
      <c r="AT66" s="1613"/>
      <c r="AU66" s="1613"/>
      <c r="AV66" s="1613"/>
      <c r="AW66" s="1613"/>
      <c r="AX66" s="1613"/>
      <c r="AY66" s="1613"/>
      <c r="AZ66" s="1613"/>
      <c r="BA66" s="1613"/>
      <c r="BB66" s="1613"/>
      <c r="BC66" s="78"/>
    </row>
    <row r="67" spans="1:55" ht="15.75">
      <c r="A67" s="886">
        <v>35</v>
      </c>
      <c r="B67" s="1625" t="s">
        <v>1600</v>
      </c>
      <c r="C67" s="1606" t="s">
        <v>811</v>
      </c>
      <c r="D67" s="2362"/>
      <c r="E67" s="1623"/>
      <c r="F67" s="1623"/>
      <c r="G67" s="1624"/>
      <c r="H67" s="1624"/>
      <c r="I67" s="2363"/>
      <c r="J67" s="2361">
        <f t="shared" ref="J67:J69" si="102">K67+M67+O67+Q67+S67+U67+W67+Y67+AA67+AC67</f>
        <v>0</v>
      </c>
      <c r="K67" s="2362"/>
      <c r="L67" s="2362"/>
      <c r="M67" s="2362"/>
      <c r="N67" s="2362"/>
      <c r="O67" s="2362"/>
      <c r="P67" s="2362"/>
      <c r="Q67" s="2362"/>
      <c r="R67" s="2362"/>
      <c r="S67" s="2362"/>
      <c r="T67" s="2362"/>
      <c r="U67" s="2362"/>
      <c r="V67" s="2362"/>
      <c r="W67" s="2362"/>
      <c r="X67" s="2362"/>
      <c r="Y67" s="2362"/>
      <c r="Z67" s="2362"/>
      <c r="AA67" s="2362"/>
      <c r="AB67" s="2362"/>
      <c r="AC67" s="2362"/>
      <c r="AD67" s="2362"/>
      <c r="AE67" s="2364" t="str">
        <f>IF(D67&lt;&gt;J67,"YES","")</f>
        <v/>
      </c>
      <c r="AF67" s="2340">
        <f>IF(D67&lt;&gt;J67,1,0)</f>
        <v>0</v>
      </c>
      <c r="AG67" s="2170">
        <f t="shared" ref="AG67:AG69" si="103">IF(AND(K67&gt;0,L67&lt;0.1),1,0)</f>
        <v>0</v>
      </c>
      <c r="AH67" s="2340"/>
      <c r="AI67" s="2170">
        <f t="shared" ref="AI67:AI69" si="104">IF(AND(M67&gt;0,N67&lt;0.1),1,0)</f>
        <v>0</v>
      </c>
      <c r="AJ67" s="2340"/>
      <c r="AK67" s="2170">
        <f t="shared" ref="AK67:AK69" si="105">IF(AND(O67&gt;0,P67&lt;0.1),1,0)</f>
        <v>0</v>
      </c>
      <c r="AL67" s="2340"/>
      <c r="AM67" s="2170">
        <f t="shared" ref="AM67:AM69" si="106">IF(AND(Q67&gt;0,R67&lt;0.1),1,0)</f>
        <v>0</v>
      </c>
      <c r="AN67" s="2340"/>
      <c r="AO67" s="2170">
        <f t="shared" ref="AO67:AO69" si="107">IF(AND(S67&gt;0,T67&lt;0.1),1,0)</f>
        <v>0</v>
      </c>
      <c r="AP67" s="2340"/>
      <c r="AQ67" s="2170">
        <f t="shared" ref="AQ67:AQ69" si="108">IF(AND(U67&gt;0,V67&lt;0.1),1,0)</f>
        <v>0</v>
      </c>
      <c r="AR67" s="2340"/>
      <c r="AS67" s="2170">
        <f t="shared" ref="AS67:AS69" si="109">IF(AND(W67&gt;0,X67&lt;0.1),1,0)</f>
        <v>0</v>
      </c>
      <c r="AT67" s="2340"/>
      <c r="AU67" s="2170">
        <f t="shared" ref="AU67:AU69" si="110">IF(AND(Y67&gt;0,Z67&lt;0.1),1,0)</f>
        <v>0</v>
      </c>
      <c r="AV67" s="2340"/>
      <c r="AW67" s="2170">
        <f t="shared" ref="AW67:AW69" si="111">IF(AND(AA67&gt;0,AB67&lt;0.1),1,0)</f>
        <v>0</v>
      </c>
      <c r="AX67" s="2340"/>
      <c r="AY67" s="2170">
        <f t="shared" ref="AY67:AY69" si="112">IF(AND(AC67&gt;0,AD67&lt;0.1),1,0)</f>
        <v>0</v>
      </c>
      <c r="AZ67" s="2340"/>
      <c r="BA67" s="2340"/>
      <c r="BB67" s="2340"/>
      <c r="BC67" s="78"/>
    </row>
    <row r="68" spans="1:55" ht="15.75">
      <c r="A68" s="886">
        <v>36</v>
      </c>
      <c r="B68" s="1625" t="s">
        <v>1025</v>
      </c>
      <c r="C68" s="1606" t="s">
        <v>812</v>
      </c>
      <c r="D68" s="2362"/>
      <c r="E68" s="1623"/>
      <c r="F68" s="1623"/>
      <c r="G68" s="1624"/>
      <c r="H68" s="1624"/>
      <c r="I68" s="2363"/>
      <c r="J68" s="2361">
        <f t="shared" si="102"/>
        <v>0</v>
      </c>
      <c r="K68" s="2362"/>
      <c r="L68" s="2362"/>
      <c r="M68" s="2362"/>
      <c r="N68" s="2362"/>
      <c r="O68" s="2362"/>
      <c r="P68" s="2362"/>
      <c r="Q68" s="2362"/>
      <c r="R68" s="2362"/>
      <c r="S68" s="2362"/>
      <c r="T68" s="2362"/>
      <c r="U68" s="2362"/>
      <c r="V68" s="2362"/>
      <c r="W68" s="2362"/>
      <c r="X68" s="2362"/>
      <c r="Y68" s="2362"/>
      <c r="Z68" s="2362"/>
      <c r="AA68" s="2362"/>
      <c r="AB68" s="2362"/>
      <c r="AC68" s="2362"/>
      <c r="AD68" s="2362"/>
      <c r="AE68" s="2364" t="str">
        <f>IF(D68&lt;&gt;J68,"YES","")</f>
        <v/>
      </c>
      <c r="AF68" s="2340">
        <f>IF(D68&lt;&gt;J68,1,0)</f>
        <v>0</v>
      </c>
      <c r="AG68" s="2170">
        <f t="shared" si="103"/>
        <v>0</v>
      </c>
      <c r="AH68" s="2340"/>
      <c r="AI68" s="2170">
        <f t="shared" si="104"/>
        <v>0</v>
      </c>
      <c r="AJ68" s="2340"/>
      <c r="AK68" s="2170">
        <f t="shared" si="105"/>
        <v>0</v>
      </c>
      <c r="AL68" s="2340"/>
      <c r="AM68" s="2170">
        <f t="shared" si="106"/>
        <v>0</v>
      </c>
      <c r="AN68" s="2340"/>
      <c r="AO68" s="2170">
        <f t="shared" si="107"/>
        <v>0</v>
      </c>
      <c r="AP68" s="2340"/>
      <c r="AQ68" s="2170">
        <f t="shared" si="108"/>
        <v>0</v>
      </c>
      <c r="AR68" s="2340"/>
      <c r="AS68" s="2170">
        <f t="shared" si="109"/>
        <v>0</v>
      </c>
      <c r="AT68" s="2340"/>
      <c r="AU68" s="2170">
        <f t="shared" si="110"/>
        <v>0</v>
      </c>
      <c r="AV68" s="2340"/>
      <c r="AW68" s="2170">
        <f t="shared" si="111"/>
        <v>0</v>
      </c>
      <c r="AX68" s="2340"/>
      <c r="AY68" s="2170">
        <f t="shared" si="112"/>
        <v>0</v>
      </c>
      <c r="AZ68" s="2340"/>
      <c r="BA68" s="2340"/>
      <c r="BB68" s="2340"/>
      <c r="BC68" s="78"/>
    </row>
    <row r="69" spans="1:55" ht="15.75">
      <c r="A69" s="886">
        <v>37</v>
      </c>
      <c r="B69" s="1625" t="s">
        <v>1601</v>
      </c>
      <c r="C69" s="1606" t="s">
        <v>423</v>
      </c>
      <c r="D69" s="2362"/>
      <c r="E69" s="1623"/>
      <c r="F69" s="1623"/>
      <c r="G69" s="1624"/>
      <c r="H69" s="1624"/>
      <c r="I69" s="2363"/>
      <c r="J69" s="2361">
        <f t="shared" si="102"/>
        <v>0</v>
      </c>
      <c r="K69" s="2362"/>
      <c r="L69" s="2362"/>
      <c r="M69" s="2362"/>
      <c r="N69" s="2362"/>
      <c r="O69" s="2362"/>
      <c r="P69" s="2362"/>
      <c r="Q69" s="2362"/>
      <c r="R69" s="2362"/>
      <c r="S69" s="2362"/>
      <c r="T69" s="2362"/>
      <c r="U69" s="2362"/>
      <c r="V69" s="2362"/>
      <c r="W69" s="2362"/>
      <c r="X69" s="2362"/>
      <c r="Y69" s="2362"/>
      <c r="Z69" s="2362"/>
      <c r="AA69" s="2362"/>
      <c r="AB69" s="2362"/>
      <c r="AC69" s="2362"/>
      <c r="AD69" s="2362"/>
      <c r="AE69" s="2364" t="str">
        <f>IF(D69&lt;&gt;J69,"YES","")</f>
        <v/>
      </c>
      <c r="AF69" s="2340">
        <f>IF(D69&lt;&gt;J69,1,0)</f>
        <v>0</v>
      </c>
      <c r="AG69" s="2170">
        <f t="shared" si="103"/>
        <v>0</v>
      </c>
      <c r="AH69" s="2340"/>
      <c r="AI69" s="2170">
        <f t="shared" si="104"/>
        <v>0</v>
      </c>
      <c r="AJ69" s="2340"/>
      <c r="AK69" s="2170">
        <f t="shared" si="105"/>
        <v>0</v>
      </c>
      <c r="AL69" s="2340"/>
      <c r="AM69" s="2170">
        <f t="shared" si="106"/>
        <v>0</v>
      </c>
      <c r="AN69" s="2340"/>
      <c r="AO69" s="2170">
        <f t="shared" si="107"/>
        <v>0</v>
      </c>
      <c r="AP69" s="2340"/>
      <c r="AQ69" s="2170">
        <f t="shared" si="108"/>
        <v>0</v>
      </c>
      <c r="AR69" s="2340"/>
      <c r="AS69" s="2170">
        <f t="shared" si="109"/>
        <v>0</v>
      </c>
      <c r="AT69" s="2340"/>
      <c r="AU69" s="2170">
        <f t="shared" si="110"/>
        <v>0</v>
      </c>
      <c r="AV69" s="2340"/>
      <c r="AW69" s="2170">
        <f t="shared" si="111"/>
        <v>0</v>
      </c>
      <c r="AX69" s="2340"/>
      <c r="AY69" s="2170">
        <f t="shared" si="112"/>
        <v>0</v>
      </c>
      <c r="AZ69" s="2340"/>
      <c r="BA69" s="2340"/>
      <c r="BB69" s="2340"/>
      <c r="BC69" s="78"/>
    </row>
    <row r="70" spans="1:55" ht="15.75">
      <c r="A70" s="886"/>
      <c r="B70" s="1620"/>
      <c r="C70" s="1620"/>
      <c r="D70" s="1609"/>
      <c r="E70" s="1623"/>
      <c r="F70" s="1623"/>
      <c r="G70" s="1624"/>
      <c r="H70" s="1624"/>
      <c r="I70" s="2363"/>
      <c r="J70" s="1609"/>
      <c r="K70" s="1613"/>
      <c r="L70" s="1613"/>
      <c r="M70" s="1613"/>
      <c r="N70" s="1613"/>
      <c r="O70" s="1613"/>
      <c r="P70" s="1613"/>
      <c r="Q70" s="1613"/>
      <c r="R70" s="1613"/>
      <c r="S70" s="1613"/>
      <c r="T70" s="1613"/>
      <c r="U70" s="1613"/>
      <c r="V70" s="1613"/>
      <c r="W70" s="1613"/>
      <c r="X70" s="1613"/>
      <c r="Y70" s="1613"/>
      <c r="Z70" s="1613"/>
      <c r="AA70" s="1613"/>
      <c r="AB70" s="1613"/>
      <c r="AC70" s="1613"/>
      <c r="AD70" s="1613"/>
      <c r="AE70" s="1613"/>
      <c r="AF70" s="1613"/>
      <c r="AG70" s="1613"/>
      <c r="AH70" s="1613"/>
      <c r="AI70" s="1613"/>
      <c r="AJ70" s="1613"/>
      <c r="AK70" s="1613"/>
      <c r="AL70" s="1613"/>
      <c r="AM70" s="1613"/>
      <c r="AN70" s="1613"/>
      <c r="AO70" s="1613"/>
      <c r="AP70" s="1613"/>
      <c r="AQ70" s="1613"/>
      <c r="AR70" s="1613"/>
      <c r="AS70" s="1613"/>
      <c r="AT70" s="1613"/>
      <c r="AU70" s="1613"/>
      <c r="AV70" s="1613"/>
      <c r="AW70" s="1613"/>
      <c r="AX70" s="1613"/>
      <c r="AY70" s="1613"/>
      <c r="AZ70" s="1613"/>
      <c r="BA70" s="1613"/>
      <c r="BB70" s="1613"/>
      <c r="BC70" s="78"/>
    </row>
    <row r="71" spans="1:55" ht="15.75">
      <c r="A71" s="901"/>
      <c r="B71" s="1628" t="s">
        <v>609</v>
      </c>
      <c r="C71" s="1626"/>
      <c r="D71" s="1609"/>
      <c r="E71" s="1623"/>
      <c r="F71" s="1623"/>
      <c r="G71" s="1612"/>
      <c r="H71" s="1612"/>
      <c r="I71" s="2363"/>
      <c r="J71" s="1609"/>
      <c r="K71" s="1611"/>
      <c r="L71" s="1611"/>
      <c r="M71" s="1611"/>
      <c r="N71" s="1611"/>
      <c r="O71" s="1611"/>
      <c r="P71" s="1611"/>
      <c r="Q71" s="1611"/>
      <c r="R71" s="1611"/>
      <c r="S71" s="1611"/>
      <c r="T71" s="1611"/>
      <c r="U71" s="1611"/>
      <c r="V71" s="1611"/>
      <c r="W71" s="1611"/>
      <c r="X71" s="1611"/>
      <c r="Y71" s="1611"/>
      <c r="Z71" s="1611"/>
      <c r="AA71" s="1611"/>
      <c r="AB71" s="1611"/>
      <c r="AC71" s="1611"/>
      <c r="AD71" s="1611"/>
      <c r="AE71" s="1611"/>
      <c r="AF71" s="1613"/>
      <c r="AG71" s="1613"/>
      <c r="AH71" s="1613"/>
      <c r="AI71" s="1613"/>
      <c r="AJ71" s="1613"/>
      <c r="AK71" s="1613"/>
      <c r="AL71" s="1613"/>
      <c r="AM71" s="1613"/>
      <c r="AN71" s="1613"/>
      <c r="AO71" s="1613"/>
      <c r="AP71" s="1613"/>
      <c r="AQ71" s="1613"/>
      <c r="AR71" s="1613"/>
      <c r="AS71" s="1613"/>
      <c r="AT71" s="1613"/>
      <c r="AU71" s="1613"/>
      <c r="AV71" s="1613"/>
      <c r="AW71" s="1613"/>
      <c r="AX71" s="1613"/>
      <c r="AY71" s="1613"/>
      <c r="AZ71" s="1613"/>
      <c r="BA71" s="1613"/>
      <c r="BB71" s="1613"/>
      <c r="BC71" s="78"/>
    </row>
    <row r="72" spans="1:55" ht="15.75">
      <c r="A72" s="886">
        <v>38</v>
      </c>
      <c r="B72" s="831" t="s">
        <v>610</v>
      </c>
      <c r="C72" s="1606" t="s">
        <v>611</v>
      </c>
      <c r="D72" s="2362"/>
      <c r="E72" s="1623"/>
      <c r="F72" s="1623"/>
      <c r="G72" s="1624"/>
      <c r="H72" s="1624"/>
      <c r="I72" s="1624"/>
      <c r="J72" s="2361">
        <f t="shared" ref="J72" si="113">K72+M72+O72+Q72+S72+U72+W72+Y72+AA72+AC72</f>
        <v>0</v>
      </c>
      <c r="K72" s="2362"/>
      <c r="L72" s="2362"/>
      <c r="M72" s="2362"/>
      <c r="N72" s="2362"/>
      <c r="O72" s="2362"/>
      <c r="P72" s="2362"/>
      <c r="Q72" s="2362"/>
      <c r="R72" s="2362"/>
      <c r="S72" s="2362"/>
      <c r="T72" s="2362"/>
      <c r="U72" s="2362"/>
      <c r="V72" s="2362"/>
      <c r="W72" s="2362"/>
      <c r="X72" s="2362"/>
      <c r="Y72" s="2362"/>
      <c r="Z72" s="2362"/>
      <c r="AA72" s="2362"/>
      <c r="AB72" s="2362"/>
      <c r="AC72" s="2362"/>
      <c r="AD72" s="2362"/>
      <c r="AE72" s="2364" t="str">
        <f>IF(D72&lt;&gt;J72,"YES","")</f>
        <v/>
      </c>
      <c r="AF72" s="2340">
        <f>IF(D72&lt;&gt;J72,1,0)</f>
        <v>0</v>
      </c>
      <c r="AG72" s="2170">
        <f t="shared" ref="AG72" si="114">IF(AND(K72&gt;0,L72&lt;0.1),1,0)</f>
        <v>0</v>
      </c>
      <c r="AH72" s="2340"/>
      <c r="AI72" s="2170">
        <f t="shared" ref="AI72" si="115">IF(AND(M72&gt;0,N72&lt;0.1),1,0)</f>
        <v>0</v>
      </c>
      <c r="AJ72" s="2340"/>
      <c r="AK72" s="2170">
        <f t="shared" ref="AK72" si="116">IF(AND(O72&gt;0,P72&lt;0.1),1,0)</f>
        <v>0</v>
      </c>
      <c r="AL72" s="2340"/>
      <c r="AM72" s="2170">
        <f t="shared" ref="AM72" si="117">IF(AND(Q72&gt;0,R72&lt;0.1),1,0)</f>
        <v>0</v>
      </c>
      <c r="AN72" s="2340"/>
      <c r="AO72" s="2170">
        <f t="shared" ref="AO72" si="118">IF(AND(S72&gt;0,T72&lt;0.1),1,0)</f>
        <v>0</v>
      </c>
      <c r="AP72" s="2340"/>
      <c r="AQ72" s="2170">
        <f t="shared" ref="AQ72" si="119">IF(AND(U72&gt;0,V72&lt;0.1),1,0)</f>
        <v>0</v>
      </c>
      <c r="AR72" s="2340"/>
      <c r="AS72" s="2170">
        <f t="shared" ref="AS72" si="120">IF(AND(W72&gt;0,X72&lt;0.1),1,0)</f>
        <v>0</v>
      </c>
      <c r="AT72" s="2340"/>
      <c r="AU72" s="2170">
        <f t="shared" ref="AU72" si="121">IF(AND(Y72&gt;0,Z72&lt;0.1),1,0)</f>
        <v>0</v>
      </c>
      <c r="AV72" s="2340"/>
      <c r="AW72" s="2170">
        <f t="shared" ref="AW72" si="122">IF(AND(AA72&gt;0,AB72&lt;0.1),1,0)</f>
        <v>0</v>
      </c>
      <c r="AX72" s="2340"/>
      <c r="AY72" s="2170">
        <f t="shared" ref="AY72" si="123">IF(AND(AC72&gt;0,AD72&lt;0.1),1,0)</f>
        <v>0</v>
      </c>
      <c r="AZ72" s="2377">
        <f>SUM(AG13:AY72)</f>
        <v>0</v>
      </c>
      <c r="BA72" s="2340"/>
      <c r="BB72" s="2340"/>
      <c r="BC72" s="78"/>
    </row>
    <row r="73" spans="1:55" ht="15.75">
      <c r="A73" s="901"/>
      <c r="B73" s="1614"/>
      <c r="C73" s="1614"/>
      <c r="D73" s="1609"/>
      <c r="E73" s="1623"/>
      <c r="F73" s="1623"/>
      <c r="G73" s="1609"/>
      <c r="H73" s="1609"/>
      <c r="I73" s="1627"/>
      <c r="J73" s="1609"/>
      <c r="K73" s="1609"/>
      <c r="L73" s="1609"/>
      <c r="M73" s="1609"/>
      <c r="N73" s="1609"/>
      <c r="O73" s="1609"/>
      <c r="P73" s="1609"/>
      <c r="Q73" s="1609"/>
      <c r="R73" s="1609"/>
      <c r="S73" s="1609"/>
      <c r="T73" s="1609"/>
      <c r="U73" s="1609"/>
      <c r="V73" s="1609"/>
      <c r="W73" s="1609"/>
      <c r="X73" s="1609"/>
      <c r="Y73" s="1609"/>
      <c r="Z73" s="1609"/>
      <c r="AA73" s="1609"/>
      <c r="AB73" s="1609"/>
      <c r="AC73" s="1609"/>
      <c r="AD73" s="1609"/>
      <c r="AE73" s="1609"/>
      <c r="AF73" s="1609"/>
      <c r="AG73" s="1609"/>
      <c r="AH73" s="1609"/>
      <c r="AI73" s="1609"/>
      <c r="AJ73" s="1609"/>
      <c r="AK73" s="1609"/>
      <c r="AL73" s="1609"/>
      <c r="AM73" s="1609"/>
      <c r="AN73" s="1609"/>
      <c r="AO73" s="1609"/>
      <c r="AP73" s="1609"/>
      <c r="AQ73" s="1609"/>
      <c r="AR73" s="1609"/>
      <c r="AS73" s="1609"/>
      <c r="AT73" s="1609"/>
      <c r="AU73" s="1609"/>
      <c r="AV73" s="1609"/>
      <c r="AW73" s="1609"/>
      <c r="AX73" s="1609"/>
      <c r="AY73" s="1609"/>
      <c r="AZ73" s="1609"/>
      <c r="BA73" s="1609"/>
      <c r="BB73" s="1609"/>
      <c r="BC73" s="78"/>
    </row>
    <row r="74" spans="1:55" ht="15.75">
      <c r="A74" s="78"/>
      <c r="B74" s="1621" t="s">
        <v>160</v>
      </c>
      <c r="C74" s="1606"/>
      <c r="D74" s="2365">
        <f>SUM(D13:D72)</f>
        <v>0</v>
      </c>
      <c r="E74" s="1609"/>
      <c r="F74" s="1609"/>
      <c r="G74" s="1609"/>
      <c r="H74" s="1609"/>
      <c r="I74" s="1627"/>
      <c r="J74" s="2365">
        <f>SUM(J13:J72)</f>
        <v>0</v>
      </c>
      <c r="K74" s="1609"/>
      <c r="L74" s="1609"/>
      <c r="M74" s="1609"/>
      <c r="N74" s="1609"/>
      <c r="O74" s="1609"/>
      <c r="P74" s="1609"/>
      <c r="Q74" s="1609"/>
      <c r="R74" s="1609"/>
      <c r="S74" s="1609"/>
      <c r="T74" s="1609"/>
      <c r="U74" s="1609"/>
      <c r="V74" s="1609"/>
      <c r="W74" s="1609"/>
      <c r="X74" s="1609"/>
      <c r="Y74" s="1609"/>
      <c r="Z74" s="1609"/>
      <c r="AA74" s="1609"/>
      <c r="AB74" s="1609"/>
      <c r="AC74" s="1609"/>
      <c r="AD74" s="1609"/>
      <c r="AE74" s="1609"/>
      <c r="AF74" s="2340">
        <f>SUM(AF13:AF72)</f>
        <v>0</v>
      </c>
      <c r="AG74" s="2340"/>
      <c r="AH74" s="2340"/>
      <c r="AI74" s="2340"/>
      <c r="AJ74" s="2340"/>
      <c r="AK74" s="2340"/>
      <c r="AL74" s="2340"/>
      <c r="AM74" s="2340"/>
      <c r="AN74" s="2340"/>
      <c r="AO74" s="2340"/>
      <c r="AP74" s="2340"/>
      <c r="AQ74" s="2340"/>
      <c r="AR74" s="2340"/>
      <c r="AS74" s="2340"/>
      <c r="AT74" s="2340"/>
      <c r="AU74" s="2340"/>
      <c r="AV74" s="2340"/>
      <c r="AW74" s="2340"/>
      <c r="AX74" s="2340"/>
      <c r="AY74" s="2340"/>
      <c r="AZ74" s="2340"/>
      <c r="BA74" s="2340"/>
      <c r="BB74" s="2340"/>
      <c r="BC74" s="78"/>
    </row>
    <row r="75" spans="1:55" ht="15">
      <c r="A75" s="78"/>
      <c r="B75" s="1597" t="s">
        <v>612</v>
      </c>
      <c r="C75" s="1597"/>
      <c r="D75" s="1609"/>
      <c r="E75" s="1627"/>
      <c r="F75" s="1627"/>
      <c r="G75" s="1609"/>
      <c r="H75" s="1609"/>
      <c r="I75" s="1627"/>
      <c r="J75" s="1609"/>
      <c r="K75" s="1627"/>
      <c r="L75" s="1627"/>
      <c r="M75" s="1627"/>
      <c r="N75" s="1627"/>
      <c r="O75" s="1627"/>
      <c r="P75" s="1627"/>
      <c r="Q75" s="1627"/>
      <c r="R75" s="1627"/>
      <c r="S75" s="1627"/>
      <c r="T75" s="1627"/>
      <c r="U75" s="1627"/>
      <c r="V75" s="1627"/>
      <c r="W75" s="1627"/>
      <c r="X75" s="1627"/>
      <c r="Y75" s="1627"/>
      <c r="Z75" s="1627"/>
      <c r="AA75" s="1627"/>
      <c r="AB75" s="1627"/>
      <c r="AC75" s="1627"/>
      <c r="AD75" s="1627"/>
      <c r="AE75" s="1627"/>
      <c r="AF75" s="1597"/>
      <c r="AG75" s="1597"/>
      <c r="AH75" s="1597"/>
      <c r="AI75" s="1597"/>
      <c r="AJ75" s="1597"/>
      <c r="AK75" s="1597"/>
      <c r="AL75" s="1597"/>
      <c r="AM75" s="1597"/>
      <c r="AN75" s="1597"/>
      <c r="AO75" s="1597"/>
      <c r="AP75" s="1597"/>
      <c r="AQ75" s="1597"/>
      <c r="AR75" s="1597"/>
      <c r="AS75" s="1597"/>
      <c r="AT75" s="1597"/>
      <c r="AU75" s="1597"/>
      <c r="AV75" s="1597"/>
      <c r="AW75" s="1597"/>
      <c r="AX75" s="1597"/>
      <c r="AY75" s="1597"/>
      <c r="AZ75" s="1597"/>
      <c r="BA75" s="1597"/>
      <c r="BB75" s="1597"/>
      <c r="BC75" s="78"/>
    </row>
    <row r="76" spans="1:55" ht="15">
      <c r="A76" s="78"/>
      <c r="B76" s="78"/>
      <c r="C76" s="78"/>
      <c r="D76" s="1167"/>
      <c r="E76" s="1167"/>
      <c r="F76" s="1167"/>
      <c r="G76" s="1170"/>
      <c r="H76" s="1170"/>
      <c r="I76" s="1167"/>
      <c r="J76" s="1167"/>
      <c r="K76" s="1167"/>
      <c r="L76" s="1167"/>
      <c r="M76" s="1167"/>
      <c r="N76" s="1167"/>
      <c r="O76" s="1167"/>
      <c r="P76" s="1167"/>
      <c r="Q76" s="1167"/>
      <c r="R76" s="1167"/>
      <c r="S76" s="1167"/>
      <c r="T76" s="1167"/>
      <c r="U76" s="1167"/>
      <c r="V76" s="1167"/>
      <c r="W76" s="1167"/>
      <c r="X76" s="1167"/>
      <c r="Y76" s="1167"/>
      <c r="Z76" s="1167"/>
      <c r="AA76" s="1167"/>
      <c r="AB76" s="1167"/>
      <c r="AC76" s="1167"/>
      <c r="AD76" s="1167"/>
      <c r="AE76" s="1167"/>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row>
  </sheetData>
  <sheetProtection password="C7B7" sheet="1" objects="1" scenarios="1"/>
  <phoneticPr fontId="13" type="noConversion"/>
  <conditionalFormatting sqref="L13">
    <cfRule type="expression" dxfId="360" priority="181">
      <formula>AG13=1</formula>
    </cfRule>
    <cfRule type="expression" dxfId="359" priority="182">
      <formula>"ag13=1"</formula>
    </cfRule>
  </conditionalFormatting>
  <conditionalFormatting sqref="L14:L17">
    <cfRule type="expression" dxfId="358" priority="179">
      <formula>AG14=1</formula>
    </cfRule>
    <cfRule type="expression" dxfId="357" priority="180">
      <formula>"ag13=1"</formula>
    </cfRule>
  </conditionalFormatting>
  <conditionalFormatting sqref="L20:L22">
    <cfRule type="expression" dxfId="356" priority="177">
      <formula>AG20=1</formula>
    </cfRule>
    <cfRule type="expression" dxfId="355" priority="178">
      <formula>"ag13=1"</formula>
    </cfRule>
  </conditionalFormatting>
  <conditionalFormatting sqref="L25:L31">
    <cfRule type="expression" dxfId="354" priority="173">
      <formula>AG25=1</formula>
    </cfRule>
    <cfRule type="expression" dxfId="353" priority="174">
      <formula>"ag13=1"</formula>
    </cfRule>
  </conditionalFormatting>
  <conditionalFormatting sqref="L34:L36">
    <cfRule type="expression" dxfId="352" priority="171">
      <formula>AG34=1</formula>
    </cfRule>
    <cfRule type="expression" dxfId="351" priority="172">
      <formula>"ag13=1"</formula>
    </cfRule>
  </conditionalFormatting>
  <conditionalFormatting sqref="L50:L51 L44:L47 L41">
    <cfRule type="expression" dxfId="350" priority="169">
      <formula>AG41=1</formula>
    </cfRule>
    <cfRule type="expression" dxfId="349" priority="170">
      <formula>"ag13=1"</formula>
    </cfRule>
  </conditionalFormatting>
  <conditionalFormatting sqref="L55:L58">
    <cfRule type="expression" dxfId="348" priority="167">
      <formula>AG55=1</formula>
    </cfRule>
    <cfRule type="expression" dxfId="347" priority="168">
      <formula>"ag13=1"</formula>
    </cfRule>
  </conditionalFormatting>
  <conditionalFormatting sqref="L67:L69 L61:L64">
    <cfRule type="expression" dxfId="346" priority="165">
      <formula>AG61=1</formula>
    </cfRule>
    <cfRule type="expression" dxfId="345" priority="166">
      <formula>"ag13=1"</formula>
    </cfRule>
  </conditionalFormatting>
  <conditionalFormatting sqref="L72">
    <cfRule type="expression" dxfId="344" priority="163">
      <formula>AG72=1</formula>
    </cfRule>
    <cfRule type="expression" dxfId="343" priority="164">
      <formula>"ag13=1"</formula>
    </cfRule>
  </conditionalFormatting>
  <conditionalFormatting sqref="N13">
    <cfRule type="expression" dxfId="342" priority="161">
      <formula>AI13=1</formula>
    </cfRule>
    <cfRule type="expression" dxfId="341" priority="162">
      <formula>"ag13=1"</formula>
    </cfRule>
  </conditionalFormatting>
  <conditionalFormatting sqref="N14:N17">
    <cfRule type="expression" dxfId="340" priority="159">
      <formula>AI14=1</formula>
    </cfRule>
    <cfRule type="expression" dxfId="339" priority="160">
      <formula>"ag13=1"</formula>
    </cfRule>
  </conditionalFormatting>
  <conditionalFormatting sqref="N20:N22">
    <cfRule type="expression" dxfId="338" priority="157">
      <formula>AI20=1</formula>
    </cfRule>
    <cfRule type="expression" dxfId="337" priority="158">
      <formula>"ag13=1"</formula>
    </cfRule>
  </conditionalFormatting>
  <conditionalFormatting sqref="N25:N31">
    <cfRule type="expression" dxfId="336" priority="155">
      <formula>AI25=1</formula>
    </cfRule>
    <cfRule type="expression" dxfId="335" priority="156">
      <formula>"ag13=1"</formula>
    </cfRule>
  </conditionalFormatting>
  <conditionalFormatting sqref="N34:N36">
    <cfRule type="expression" dxfId="334" priority="153">
      <formula>AI34=1</formula>
    </cfRule>
    <cfRule type="expression" dxfId="333" priority="154">
      <formula>"ag13=1"</formula>
    </cfRule>
  </conditionalFormatting>
  <conditionalFormatting sqref="N50:N51 N44:N47 N41">
    <cfRule type="expression" dxfId="332" priority="151">
      <formula>AI41=1</formula>
    </cfRule>
    <cfRule type="expression" dxfId="331" priority="152">
      <formula>"ag13=1"</formula>
    </cfRule>
  </conditionalFormatting>
  <conditionalFormatting sqref="N55:N58">
    <cfRule type="expression" dxfId="330" priority="149">
      <formula>AI55=1</formula>
    </cfRule>
    <cfRule type="expression" dxfId="329" priority="150">
      <formula>"ag13=1"</formula>
    </cfRule>
  </conditionalFormatting>
  <conditionalFormatting sqref="N67:N69 N61:N64">
    <cfRule type="expression" dxfId="328" priority="147">
      <formula>AI61=1</formula>
    </cfRule>
    <cfRule type="expression" dxfId="327" priority="148">
      <formula>"ag13=1"</formula>
    </cfRule>
  </conditionalFormatting>
  <conditionalFormatting sqref="N72">
    <cfRule type="expression" dxfId="326" priority="145">
      <formula>AI72=1</formula>
    </cfRule>
    <cfRule type="expression" dxfId="325" priority="146">
      <formula>"ag13=1"</formula>
    </cfRule>
  </conditionalFormatting>
  <conditionalFormatting sqref="P13">
    <cfRule type="expression" dxfId="324" priority="143">
      <formula>AK13=1</formula>
    </cfRule>
    <cfRule type="expression" dxfId="323" priority="144">
      <formula>"ag13=1"</formula>
    </cfRule>
  </conditionalFormatting>
  <conditionalFormatting sqref="P14:P17">
    <cfRule type="expression" dxfId="322" priority="141">
      <formula>AK14=1</formula>
    </cfRule>
    <cfRule type="expression" dxfId="321" priority="142">
      <formula>"ag13=1"</formula>
    </cfRule>
  </conditionalFormatting>
  <conditionalFormatting sqref="P20:P22">
    <cfRule type="expression" dxfId="320" priority="139">
      <formula>AK20=1</formula>
    </cfRule>
    <cfRule type="expression" dxfId="319" priority="140">
      <formula>"ag13=1"</formula>
    </cfRule>
  </conditionalFormatting>
  <conditionalFormatting sqref="P25:P31">
    <cfRule type="expression" dxfId="318" priority="137">
      <formula>AK25=1</formula>
    </cfRule>
    <cfRule type="expression" dxfId="317" priority="138">
      <formula>"ag13=1"</formula>
    </cfRule>
  </conditionalFormatting>
  <conditionalFormatting sqref="P34:P36">
    <cfRule type="expression" dxfId="316" priority="135">
      <formula>AK34=1</formula>
    </cfRule>
    <cfRule type="expression" dxfId="315" priority="136">
      <formula>"ag13=1"</formula>
    </cfRule>
  </conditionalFormatting>
  <conditionalFormatting sqref="P50:P51 P44:P47 P41">
    <cfRule type="expression" dxfId="314" priority="133">
      <formula>AK41=1</formula>
    </cfRule>
    <cfRule type="expression" dxfId="313" priority="134">
      <formula>"ag13=1"</formula>
    </cfRule>
  </conditionalFormatting>
  <conditionalFormatting sqref="P55:P58">
    <cfRule type="expression" dxfId="312" priority="131">
      <formula>AK55=1</formula>
    </cfRule>
    <cfRule type="expression" dxfId="311" priority="132">
      <formula>"ag13=1"</formula>
    </cfRule>
  </conditionalFormatting>
  <conditionalFormatting sqref="P67:P69 P61:P64">
    <cfRule type="expression" dxfId="310" priority="129">
      <formula>AK61=1</formula>
    </cfRule>
    <cfRule type="expression" dxfId="309" priority="130">
      <formula>"ag13=1"</formula>
    </cfRule>
  </conditionalFormatting>
  <conditionalFormatting sqref="P72">
    <cfRule type="expression" dxfId="308" priority="127">
      <formula>AK72=1</formula>
    </cfRule>
    <cfRule type="expression" dxfId="307" priority="128">
      <formula>"ag13=1"</formula>
    </cfRule>
  </conditionalFormatting>
  <conditionalFormatting sqref="R13">
    <cfRule type="expression" dxfId="306" priority="125">
      <formula>AM13=1</formula>
    </cfRule>
    <cfRule type="expression" dxfId="305" priority="126">
      <formula>"ag13=1"</formula>
    </cfRule>
  </conditionalFormatting>
  <conditionalFormatting sqref="R14:R17">
    <cfRule type="expression" dxfId="304" priority="123">
      <formula>AM14=1</formula>
    </cfRule>
    <cfRule type="expression" dxfId="303" priority="124">
      <formula>"ag13=1"</formula>
    </cfRule>
  </conditionalFormatting>
  <conditionalFormatting sqref="R20:R22">
    <cfRule type="expression" dxfId="302" priority="121">
      <formula>AM20=1</formula>
    </cfRule>
    <cfRule type="expression" dxfId="301" priority="122">
      <formula>"ag13=1"</formula>
    </cfRule>
  </conditionalFormatting>
  <conditionalFormatting sqref="R25:R31">
    <cfRule type="expression" dxfId="300" priority="119">
      <formula>AM25=1</formula>
    </cfRule>
    <cfRule type="expression" dxfId="299" priority="120">
      <formula>"ag13=1"</formula>
    </cfRule>
  </conditionalFormatting>
  <conditionalFormatting sqref="R34:R36">
    <cfRule type="expression" dxfId="298" priority="117">
      <formula>AM34=1</formula>
    </cfRule>
    <cfRule type="expression" dxfId="297" priority="118">
      <formula>"ag13=1"</formula>
    </cfRule>
  </conditionalFormatting>
  <conditionalFormatting sqref="R50:R51 R44:R47 R41">
    <cfRule type="expression" dxfId="296" priority="115">
      <formula>AM41=1</formula>
    </cfRule>
    <cfRule type="expression" dxfId="295" priority="116">
      <formula>"ag13=1"</formula>
    </cfRule>
  </conditionalFormatting>
  <conditionalFormatting sqref="R55:R58">
    <cfRule type="expression" dxfId="294" priority="113">
      <formula>AM55=1</formula>
    </cfRule>
    <cfRule type="expression" dxfId="293" priority="114">
      <formula>"ag13=1"</formula>
    </cfRule>
  </conditionalFormatting>
  <conditionalFormatting sqref="R67:R69 R61:R64">
    <cfRule type="expression" dxfId="292" priority="111">
      <formula>AM61=1</formula>
    </cfRule>
    <cfRule type="expression" dxfId="291" priority="112">
      <formula>"ag13=1"</formula>
    </cfRule>
  </conditionalFormatting>
  <conditionalFormatting sqref="R72">
    <cfRule type="expression" dxfId="290" priority="109">
      <formula>AM72=1</formula>
    </cfRule>
    <cfRule type="expression" dxfId="289" priority="110">
      <formula>"ag13=1"</formula>
    </cfRule>
  </conditionalFormatting>
  <conditionalFormatting sqref="T13">
    <cfRule type="expression" dxfId="288" priority="107">
      <formula>AO13=1</formula>
    </cfRule>
    <cfRule type="expression" dxfId="287" priority="108">
      <formula>"ag13=1"</formula>
    </cfRule>
  </conditionalFormatting>
  <conditionalFormatting sqref="T14:T17">
    <cfRule type="expression" dxfId="286" priority="105">
      <formula>AO14=1</formula>
    </cfRule>
    <cfRule type="expression" dxfId="285" priority="106">
      <formula>"ag13=1"</formula>
    </cfRule>
  </conditionalFormatting>
  <conditionalFormatting sqref="T20:T22">
    <cfRule type="expression" dxfId="284" priority="103">
      <formula>AO20=1</formula>
    </cfRule>
    <cfRule type="expression" dxfId="283" priority="104">
      <formula>"ag13=1"</formula>
    </cfRule>
  </conditionalFormatting>
  <conditionalFormatting sqref="T25:T31">
    <cfRule type="expression" dxfId="282" priority="101">
      <formula>AO25=1</formula>
    </cfRule>
    <cfRule type="expression" dxfId="281" priority="102">
      <formula>"ag13=1"</formula>
    </cfRule>
  </conditionalFormatting>
  <conditionalFormatting sqref="T34:T36">
    <cfRule type="expression" dxfId="280" priority="99">
      <formula>AO34=1</formula>
    </cfRule>
    <cfRule type="expression" dxfId="279" priority="100">
      <formula>"ag13=1"</formula>
    </cfRule>
  </conditionalFormatting>
  <conditionalFormatting sqref="T50:T51 T44:T47 T41">
    <cfRule type="expression" dxfId="278" priority="97">
      <formula>AO41=1</formula>
    </cfRule>
    <cfRule type="expression" dxfId="277" priority="98">
      <formula>"ag13=1"</formula>
    </cfRule>
  </conditionalFormatting>
  <conditionalFormatting sqref="T55:T58">
    <cfRule type="expression" dxfId="276" priority="95">
      <formula>AO55=1</formula>
    </cfRule>
    <cfRule type="expression" dxfId="275" priority="96">
      <formula>"ag13=1"</formula>
    </cfRule>
  </conditionalFormatting>
  <conditionalFormatting sqref="T67:T69 T61:T64">
    <cfRule type="expression" dxfId="274" priority="93">
      <formula>AO61=1</formula>
    </cfRule>
    <cfRule type="expression" dxfId="273" priority="94">
      <formula>"ag13=1"</formula>
    </cfRule>
  </conditionalFormatting>
  <conditionalFormatting sqref="T72">
    <cfRule type="expression" dxfId="272" priority="91">
      <formula>AO72=1</formula>
    </cfRule>
    <cfRule type="expression" dxfId="271" priority="92">
      <formula>"ag13=1"</formula>
    </cfRule>
  </conditionalFormatting>
  <conditionalFormatting sqref="V13">
    <cfRule type="expression" dxfId="270" priority="89">
      <formula>AQ13=1</formula>
    </cfRule>
    <cfRule type="expression" dxfId="269" priority="90">
      <formula>"ag13=1"</formula>
    </cfRule>
  </conditionalFormatting>
  <conditionalFormatting sqref="V14:V17">
    <cfRule type="expression" dxfId="268" priority="87">
      <formula>AQ14=1</formula>
    </cfRule>
    <cfRule type="expression" dxfId="267" priority="88">
      <formula>"ag13=1"</formula>
    </cfRule>
  </conditionalFormatting>
  <conditionalFormatting sqref="V20:V22">
    <cfRule type="expression" dxfId="266" priority="85">
      <formula>AQ20=1</formula>
    </cfRule>
    <cfRule type="expression" dxfId="265" priority="86">
      <formula>"ag13=1"</formula>
    </cfRule>
  </conditionalFormatting>
  <conditionalFormatting sqref="V25:V31">
    <cfRule type="expression" dxfId="264" priority="83">
      <formula>AQ25=1</formula>
    </cfRule>
    <cfRule type="expression" dxfId="263" priority="84">
      <formula>"ag13=1"</formula>
    </cfRule>
  </conditionalFormatting>
  <conditionalFormatting sqref="V34:V36">
    <cfRule type="expression" dxfId="262" priority="81">
      <formula>AQ34=1</formula>
    </cfRule>
    <cfRule type="expression" dxfId="261" priority="82">
      <formula>"ag13=1"</formula>
    </cfRule>
  </conditionalFormatting>
  <conditionalFormatting sqref="V50:V51 V44:V47 V41">
    <cfRule type="expression" dxfId="260" priority="79">
      <formula>AQ41=1</formula>
    </cfRule>
    <cfRule type="expression" dxfId="259" priority="80">
      <formula>"ag13=1"</formula>
    </cfRule>
  </conditionalFormatting>
  <conditionalFormatting sqref="V55:V58">
    <cfRule type="expression" dxfId="258" priority="77">
      <formula>AQ55=1</formula>
    </cfRule>
    <cfRule type="expression" dxfId="257" priority="78">
      <formula>"ag13=1"</formula>
    </cfRule>
  </conditionalFormatting>
  <conditionalFormatting sqref="V67:V69 V61:V64">
    <cfRule type="expression" dxfId="256" priority="75">
      <formula>AQ61=1</formula>
    </cfRule>
    <cfRule type="expression" dxfId="255" priority="76">
      <formula>"ag13=1"</formula>
    </cfRule>
  </conditionalFormatting>
  <conditionalFormatting sqref="V72">
    <cfRule type="expression" dxfId="254" priority="73">
      <formula>AQ72=1</formula>
    </cfRule>
    <cfRule type="expression" dxfId="253" priority="74">
      <formula>"ag13=1"</formula>
    </cfRule>
  </conditionalFormatting>
  <conditionalFormatting sqref="X13">
    <cfRule type="expression" dxfId="252" priority="71">
      <formula>AS13=1</formula>
    </cfRule>
    <cfRule type="expression" dxfId="251" priority="72">
      <formula>"ag13=1"</formula>
    </cfRule>
  </conditionalFormatting>
  <conditionalFormatting sqref="X14:X17">
    <cfRule type="expression" dxfId="250" priority="69">
      <formula>AS14=1</formula>
    </cfRule>
    <cfRule type="expression" dxfId="249" priority="70">
      <formula>"ag13=1"</formula>
    </cfRule>
  </conditionalFormatting>
  <conditionalFormatting sqref="X20:X22">
    <cfRule type="expression" dxfId="248" priority="67">
      <formula>AS20=1</formula>
    </cfRule>
    <cfRule type="expression" dxfId="247" priority="68">
      <formula>"ag13=1"</formula>
    </cfRule>
  </conditionalFormatting>
  <conditionalFormatting sqref="X25:X31">
    <cfRule type="expression" dxfId="246" priority="65">
      <formula>AS25=1</formula>
    </cfRule>
    <cfRule type="expression" dxfId="245" priority="66">
      <formula>"ag13=1"</formula>
    </cfRule>
  </conditionalFormatting>
  <conditionalFormatting sqref="X34:X36">
    <cfRule type="expression" dxfId="244" priority="63">
      <formula>AS34=1</formula>
    </cfRule>
    <cfRule type="expression" dxfId="243" priority="64">
      <formula>"ag13=1"</formula>
    </cfRule>
  </conditionalFormatting>
  <conditionalFormatting sqref="X50:X51 X44:X47 X41">
    <cfRule type="expression" dxfId="242" priority="61">
      <formula>AS41=1</formula>
    </cfRule>
    <cfRule type="expression" dxfId="241" priority="62">
      <formula>"ag13=1"</formula>
    </cfRule>
  </conditionalFormatting>
  <conditionalFormatting sqref="X55:X58">
    <cfRule type="expression" dxfId="240" priority="59">
      <formula>AS55=1</formula>
    </cfRule>
    <cfRule type="expression" dxfId="239" priority="60">
      <formula>"ag13=1"</formula>
    </cfRule>
  </conditionalFormatting>
  <conditionalFormatting sqref="X67:X69 X61:X64">
    <cfRule type="expression" dxfId="238" priority="57">
      <formula>AS61=1</formula>
    </cfRule>
    <cfRule type="expression" dxfId="237" priority="58">
      <formula>"ag13=1"</formula>
    </cfRule>
  </conditionalFormatting>
  <conditionalFormatting sqref="X72">
    <cfRule type="expression" dxfId="236" priority="55">
      <formula>AS72=1</formula>
    </cfRule>
    <cfRule type="expression" dxfId="235" priority="56">
      <formula>"ag13=1"</formula>
    </cfRule>
  </conditionalFormatting>
  <conditionalFormatting sqref="Z13">
    <cfRule type="expression" dxfId="234" priority="53">
      <formula>AU13=1</formula>
    </cfRule>
    <cfRule type="expression" dxfId="233" priority="54">
      <formula>"ag13=1"</formula>
    </cfRule>
  </conditionalFormatting>
  <conditionalFormatting sqref="Z14:Z17">
    <cfRule type="expression" dxfId="232" priority="51">
      <formula>AU14=1</formula>
    </cfRule>
    <cfRule type="expression" dxfId="231" priority="52">
      <formula>"ag13=1"</formula>
    </cfRule>
  </conditionalFormatting>
  <conditionalFormatting sqref="Z20:Z22">
    <cfRule type="expression" dxfId="230" priority="49">
      <formula>AU20=1</formula>
    </cfRule>
    <cfRule type="expression" dxfId="229" priority="50">
      <formula>"ag13=1"</formula>
    </cfRule>
  </conditionalFormatting>
  <conditionalFormatting sqref="Z25:Z31">
    <cfRule type="expression" dxfId="228" priority="47">
      <formula>AU25=1</formula>
    </cfRule>
    <cfRule type="expression" dxfId="227" priority="48">
      <formula>"ag13=1"</formula>
    </cfRule>
  </conditionalFormatting>
  <conditionalFormatting sqref="Z34:Z36">
    <cfRule type="expression" dxfId="226" priority="45">
      <formula>AU34=1</formula>
    </cfRule>
    <cfRule type="expression" dxfId="225" priority="46">
      <formula>"ag13=1"</formula>
    </cfRule>
  </conditionalFormatting>
  <conditionalFormatting sqref="Z50:Z51 Z44:Z47 Z41">
    <cfRule type="expression" dxfId="224" priority="43">
      <formula>AU41=1</formula>
    </cfRule>
    <cfRule type="expression" dxfId="223" priority="44">
      <formula>"ag13=1"</formula>
    </cfRule>
  </conditionalFormatting>
  <conditionalFormatting sqref="Z55:Z58">
    <cfRule type="expression" dxfId="222" priority="41">
      <formula>AU55=1</formula>
    </cfRule>
    <cfRule type="expression" dxfId="221" priority="42">
      <formula>"ag13=1"</formula>
    </cfRule>
  </conditionalFormatting>
  <conditionalFormatting sqref="Z67:Z69 Z61:Z64">
    <cfRule type="expression" dxfId="220" priority="39">
      <formula>AU61=1</formula>
    </cfRule>
    <cfRule type="expression" dxfId="219" priority="40">
      <formula>"ag13=1"</formula>
    </cfRule>
  </conditionalFormatting>
  <conditionalFormatting sqref="Z72">
    <cfRule type="expression" dxfId="218" priority="37">
      <formula>AU72=1</formula>
    </cfRule>
    <cfRule type="expression" dxfId="217" priority="38">
      <formula>"ag13=1"</formula>
    </cfRule>
  </conditionalFormatting>
  <conditionalFormatting sqref="AB13">
    <cfRule type="expression" dxfId="216" priority="35">
      <formula>AW13=1</formula>
    </cfRule>
    <cfRule type="expression" dxfId="215" priority="36">
      <formula>"ag13=1"</formula>
    </cfRule>
  </conditionalFormatting>
  <conditionalFormatting sqref="AB14:AB17">
    <cfRule type="expression" dxfId="214" priority="33">
      <formula>AW14=1</formula>
    </cfRule>
    <cfRule type="expression" dxfId="213" priority="34">
      <formula>"ag13=1"</formula>
    </cfRule>
  </conditionalFormatting>
  <conditionalFormatting sqref="AB20:AB22">
    <cfRule type="expression" dxfId="212" priority="31">
      <formula>AW20=1</formula>
    </cfRule>
    <cfRule type="expression" dxfId="211" priority="32">
      <formula>"ag13=1"</formula>
    </cfRule>
  </conditionalFormatting>
  <conditionalFormatting sqref="AB25:AB31">
    <cfRule type="expression" dxfId="210" priority="29">
      <formula>AW25=1</formula>
    </cfRule>
    <cfRule type="expression" dxfId="209" priority="30">
      <formula>"ag13=1"</formula>
    </cfRule>
  </conditionalFormatting>
  <conditionalFormatting sqref="AB34:AB36">
    <cfRule type="expression" dxfId="208" priority="27">
      <formula>AW34=1</formula>
    </cfRule>
    <cfRule type="expression" dxfId="207" priority="28">
      <formula>"ag13=1"</formula>
    </cfRule>
  </conditionalFormatting>
  <conditionalFormatting sqref="AB50:AB51 AB44:AB47 AB41">
    <cfRule type="expression" dxfId="206" priority="25">
      <formula>AW41=1</formula>
    </cfRule>
    <cfRule type="expression" dxfId="205" priority="26">
      <formula>"ag13=1"</formula>
    </cfRule>
  </conditionalFormatting>
  <conditionalFormatting sqref="AB55:AB58">
    <cfRule type="expression" dxfId="204" priority="23">
      <formula>AW55=1</formula>
    </cfRule>
    <cfRule type="expression" dxfId="203" priority="24">
      <formula>"ag13=1"</formula>
    </cfRule>
  </conditionalFormatting>
  <conditionalFormatting sqref="AB67:AB69 AB61:AB64">
    <cfRule type="expression" dxfId="202" priority="21">
      <formula>AW61=1</formula>
    </cfRule>
    <cfRule type="expression" dxfId="201" priority="22">
      <formula>"ag13=1"</formula>
    </cfRule>
  </conditionalFormatting>
  <conditionalFormatting sqref="AB72">
    <cfRule type="expression" dxfId="200" priority="19">
      <formula>AW72=1</formula>
    </cfRule>
    <cfRule type="expression" dxfId="199" priority="20">
      <formula>"ag13=1"</formula>
    </cfRule>
  </conditionalFormatting>
  <conditionalFormatting sqref="AD13">
    <cfRule type="expression" dxfId="198" priority="17">
      <formula>AY13=1</formula>
    </cfRule>
    <cfRule type="expression" dxfId="197" priority="18">
      <formula>"ag13=1"</formula>
    </cfRule>
  </conditionalFormatting>
  <conditionalFormatting sqref="AD14:AD17">
    <cfRule type="expression" dxfId="196" priority="15">
      <formula>AY14=1</formula>
    </cfRule>
    <cfRule type="expression" dxfId="195" priority="16">
      <formula>"ag13=1"</formula>
    </cfRule>
  </conditionalFormatting>
  <conditionalFormatting sqref="AD20:AD22">
    <cfRule type="expression" dxfId="194" priority="13">
      <formula>AY20=1</formula>
    </cfRule>
    <cfRule type="expression" dxfId="193" priority="14">
      <formula>"ag13=1"</formula>
    </cfRule>
  </conditionalFormatting>
  <conditionalFormatting sqref="AD25:AD31">
    <cfRule type="expression" dxfId="192" priority="11">
      <formula>AY25=1</formula>
    </cfRule>
    <cfRule type="expression" dxfId="191" priority="12">
      <formula>"ag13=1"</formula>
    </cfRule>
  </conditionalFormatting>
  <conditionalFormatting sqref="AD34:AD36">
    <cfRule type="expression" dxfId="190" priority="9">
      <formula>AY34=1</formula>
    </cfRule>
    <cfRule type="expression" dxfId="189" priority="10">
      <formula>"ag13=1"</formula>
    </cfRule>
  </conditionalFormatting>
  <conditionalFormatting sqref="AD50:AD51 AD44:AD47 AD41">
    <cfRule type="expression" dxfId="188" priority="7">
      <formula>AY41=1</formula>
    </cfRule>
    <cfRule type="expression" dxfId="187" priority="8">
      <formula>"ag13=1"</formula>
    </cfRule>
  </conditionalFormatting>
  <conditionalFormatting sqref="AD55:AD58">
    <cfRule type="expression" dxfId="186" priority="5">
      <formula>AY55=1</formula>
    </cfRule>
    <cfRule type="expression" dxfId="185" priority="6">
      <formula>"ag13=1"</formula>
    </cfRule>
  </conditionalFormatting>
  <conditionalFormatting sqref="AD67:AD69 AD61:AD64">
    <cfRule type="expression" dxfId="184" priority="3">
      <formula>AY61=1</formula>
    </cfRule>
    <cfRule type="expression" dxfId="183" priority="4">
      <formula>"ag13=1"</formula>
    </cfRule>
  </conditionalFormatting>
  <conditionalFormatting sqref="AD72">
    <cfRule type="expression" dxfId="182" priority="1">
      <formula>AY72=1</formula>
    </cfRule>
    <cfRule type="expression" dxfId="181" priority="2">
      <formula>"ag13=1"</formula>
    </cfRule>
  </conditionalFormatting>
  <hyperlinks>
    <hyperlink ref="B2" location="NoteAppendixH" display="Ministry of Education"/>
    <hyperlink ref="C1" location="ClassroomAppendixH" display="Classroom"/>
    <hyperlink ref="D1" location="Teacher_Assistants" display="Teacher Assistance"/>
    <hyperlink ref="E1" location="Student_Support___Professionals__Paraprofessionals_and_Technicians" display="Student Support - Professionals, Paraprofessionals and Technicians"/>
    <hyperlink ref="G1" location="NonClassroomAppendixH" display="NON-CLASSROOM"/>
    <hyperlink ref="A4" location="School_Administration" display="School Administration"/>
    <hyperlink ref="A5" location="Continuing_Education" display="Continuing Education"/>
    <hyperlink ref="A7" location="AdministrationAndGovernanceAppendixH" display="Administration and Governance"/>
    <hyperlink ref="A8" location="Pupil_Transportation" display="Pupil Transportation"/>
    <hyperlink ref="B4" location="School_Operations___Maintenance" display="School Operations &amp; Maintenance"/>
    <hyperlink ref="B5" location="Other_Non_Operating" display="Other Non-Operating"/>
    <hyperlink ref="B7" location="TotalApendixH" display="Total"/>
    <hyperlink ref="J1" location="Teacher_Assistants" display="Teacher Assistance"/>
  </hyperlinks>
  <printOptions horizontalCentered="1"/>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3"/>
  <sheetViews>
    <sheetView zoomScaleNormal="100" workbookViewId="0">
      <selection activeCell="B9" sqref="B9"/>
    </sheetView>
  </sheetViews>
  <sheetFormatPr defaultColWidth="0" defaultRowHeight="12.75" zeroHeight="1"/>
  <cols>
    <col min="1" max="1" width="3.7109375" customWidth="1"/>
    <col min="2" max="2" width="69.28515625" bestFit="1" customWidth="1"/>
    <col min="3" max="3" width="21.85546875" bestFit="1" customWidth="1"/>
    <col min="4" max="6" width="9.140625" customWidth="1"/>
    <col min="7" max="7" width="2.42578125" customWidth="1"/>
  </cols>
  <sheetData>
    <row r="1" spans="1:256" ht="13.5" thickBot="1">
      <c r="A1" s="30"/>
      <c r="B1" s="30"/>
      <c r="C1" s="30"/>
      <c r="D1" s="82"/>
      <c r="E1" s="82"/>
      <c r="F1" s="30"/>
      <c r="G1" s="30"/>
    </row>
    <row r="2" spans="1:256" ht="13.5" thickBot="1">
      <c r="A2" s="30"/>
      <c r="B2" s="17" t="s">
        <v>622</v>
      </c>
      <c r="C2" s="149" t="s">
        <v>163</v>
      </c>
      <c r="D2" s="144" t="str">
        <f>+'1 Summary'!G2</f>
        <v/>
      </c>
      <c r="E2" s="160"/>
      <c r="F2" s="161"/>
      <c r="G2" s="30"/>
    </row>
    <row r="3" spans="1:256" ht="18.75" thickBot="1">
      <c r="A3" s="30"/>
      <c r="B3" s="633" t="s">
        <v>2211</v>
      </c>
      <c r="C3" s="149" t="s">
        <v>162</v>
      </c>
      <c r="D3" s="146">
        <f>+'1 Summary'!G3</f>
        <v>0</v>
      </c>
      <c r="E3" s="162"/>
      <c r="F3" s="131"/>
      <c r="G3" s="30"/>
    </row>
    <row r="4" spans="1:256">
      <c r="A4" s="30"/>
      <c r="B4" s="113"/>
      <c r="C4" s="163"/>
      <c r="D4" s="30"/>
      <c r="E4" s="30"/>
      <c r="F4" s="163"/>
      <c r="G4" s="30"/>
    </row>
    <row r="5" spans="1:256" ht="17.25" customHeight="1">
      <c r="A5" s="30"/>
      <c r="B5" s="60"/>
      <c r="C5" s="164"/>
      <c r="D5" s="30"/>
      <c r="E5" s="30"/>
      <c r="F5" s="164"/>
      <c r="G5" s="30"/>
    </row>
    <row r="6" spans="1:256" ht="39" hidden="1" customHeight="1">
      <c r="A6" s="30"/>
      <c r="B6" s="60"/>
      <c r="C6" s="164"/>
      <c r="D6" s="629"/>
      <c r="E6" s="2458" t="s">
        <v>1506</v>
      </c>
      <c r="F6" s="2459"/>
      <c r="G6" s="30"/>
    </row>
    <row r="7" spans="1:256">
      <c r="A7" s="30"/>
      <c r="B7" s="167" t="s">
        <v>2212</v>
      </c>
      <c r="C7" s="166" t="s">
        <v>2213</v>
      </c>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row>
    <row r="8" spans="1:256">
      <c r="A8" s="30"/>
      <c r="B8" s="177" t="s">
        <v>789</v>
      </c>
      <c r="C8" s="634"/>
      <c r="D8" s="30"/>
      <c r="E8" s="30"/>
      <c r="F8" s="30"/>
      <c r="G8" s="30"/>
    </row>
    <row r="9" spans="1:256">
      <c r="A9" s="30"/>
      <c r="B9" s="168" t="s">
        <v>2214</v>
      </c>
      <c r="C9" s="173"/>
      <c r="D9" s="30"/>
      <c r="E9" s="30"/>
      <c r="F9" s="30"/>
      <c r="G9" s="30"/>
    </row>
    <row r="10" spans="1:256">
      <c r="A10" s="30"/>
      <c r="B10" s="168" t="s">
        <v>2215</v>
      </c>
      <c r="C10" s="173"/>
      <c r="D10" s="30"/>
      <c r="E10" s="30"/>
      <c r="F10" s="30"/>
      <c r="G10" s="30"/>
    </row>
    <row r="11" spans="1:256">
      <c r="A11" s="30"/>
      <c r="B11" s="168" t="s">
        <v>2216</v>
      </c>
      <c r="C11" s="173"/>
      <c r="D11" s="30"/>
      <c r="E11" s="30"/>
      <c r="F11" s="30"/>
      <c r="G11" s="30"/>
    </row>
    <row r="12" spans="1:256">
      <c r="A12" s="30"/>
      <c r="B12" s="168" t="s">
        <v>2217</v>
      </c>
      <c r="C12" s="173"/>
      <c r="D12" s="30"/>
      <c r="E12" s="30"/>
      <c r="F12" s="30"/>
      <c r="G12" s="30"/>
    </row>
    <row r="13" spans="1:256" ht="12.75" customHeight="1">
      <c r="A13" s="30"/>
      <c r="B13" s="168" t="s">
        <v>2218</v>
      </c>
      <c r="C13" s="173"/>
      <c r="D13" s="174"/>
      <c r="E13" s="30"/>
      <c r="F13" s="30"/>
      <c r="G13" s="30"/>
    </row>
    <row r="14" spans="1:256">
      <c r="A14" s="30"/>
      <c r="B14" s="168" t="s">
        <v>2219</v>
      </c>
      <c r="C14" s="173"/>
      <c r="D14" s="175"/>
      <c r="E14" s="30"/>
      <c r="F14" s="30"/>
      <c r="G14" s="30"/>
    </row>
    <row r="15" spans="1:256">
      <c r="A15" s="30"/>
      <c r="B15" s="169"/>
      <c r="C15" s="175"/>
      <c r="D15" s="175"/>
      <c r="E15" s="176"/>
      <c r="F15" s="175"/>
      <c r="G15" s="30"/>
    </row>
    <row r="16" spans="1:256">
      <c r="A16" s="30"/>
      <c r="B16" s="167" t="s">
        <v>2239</v>
      </c>
      <c r="C16" s="166" t="s">
        <v>2213</v>
      </c>
      <c r="D16" s="30"/>
      <c r="E16" s="30"/>
      <c r="F16" s="30"/>
      <c r="G16" s="30"/>
    </row>
    <row r="17" spans="1:7">
      <c r="A17" s="30"/>
      <c r="B17" s="177" t="s">
        <v>789</v>
      </c>
      <c r="C17" s="634"/>
      <c r="D17" s="30"/>
      <c r="E17" s="30"/>
      <c r="F17" s="30"/>
      <c r="G17" s="30"/>
    </row>
    <row r="18" spans="1:7">
      <c r="A18" s="30"/>
      <c r="B18" s="168" t="s">
        <v>2214</v>
      </c>
      <c r="C18" s="173"/>
      <c r="D18" s="30"/>
      <c r="E18" s="30"/>
      <c r="F18" s="30"/>
      <c r="G18" s="30"/>
    </row>
    <row r="19" spans="1:7">
      <c r="A19" s="30"/>
      <c r="B19" s="168" t="s">
        <v>2215</v>
      </c>
      <c r="C19" s="173"/>
      <c r="D19" s="30"/>
      <c r="E19" s="30"/>
      <c r="F19" s="30"/>
      <c r="G19" s="30"/>
    </row>
    <row r="20" spans="1:7">
      <c r="A20" s="30"/>
      <c r="B20" s="168" t="s">
        <v>2216</v>
      </c>
      <c r="C20" s="173"/>
      <c r="D20" s="30"/>
      <c r="E20" s="30"/>
      <c r="F20" s="30"/>
      <c r="G20" s="30"/>
    </row>
    <row r="21" spans="1:7" ht="12.75" customHeight="1">
      <c r="A21" s="30"/>
      <c r="B21" s="168" t="s">
        <v>2217</v>
      </c>
      <c r="C21" s="173"/>
      <c r="D21" s="30"/>
      <c r="E21" s="30"/>
      <c r="F21" s="30"/>
      <c r="G21" s="30"/>
    </row>
    <row r="22" spans="1:7" ht="12.75" customHeight="1">
      <c r="A22" s="30"/>
      <c r="B22" s="168" t="s">
        <v>2218</v>
      </c>
      <c r="C22" s="173"/>
      <c r="D22" s="174"/>
      <c r="E22" s="30"/>
      <c r="F22" s="30"/>
      <c r="G22" s="30"/>
    </row>
    <row r="23" spans="1:7">
      <c r="A23" s="30"/>
      <c r="B23" s="168" t="s">
        <v>2219</v>
      </c>
      <c r="C23" s="173"/>
      <c r="D23" s="175"/>
      <c r="E23" s="30"/>
      <c r="F23" s="30"/>
      <c r="G23" s="30"/>
    </row>
    <row r="24" spans="1:7">
      <c r="A24" s="30"/>
      <c r="B24" s="169"/>
      <c r="C24" s="175"/>
      <c r="D24" s="175"/>
      <c r="E24" s="176"/>
      <c r="F24" s="175"/>
      <c r="G24" s="30"/>
    </row>
    <row r="25" spans="1:7">
      <c r="A25" s="30"/>
      <c r="B25" s="169"/>
      <c r="C25" s="170"/>
      <c r="D25" s="170"/>
      <c r="E25" s="170"/>
      <c r="F25" s="164"/>
      <c r="G25" s="30"/>
    </row>
    <row r="26" spans="1:7">
      <c r="A26" s="30"/>
      <c r="B26" s="30"/>
      <c r="C26" s="30"/>
      <c r="D26" s="82"/>
      <c r="E26" s="82"/>
      <c r="F26" s="30"/>
      <c r="G26" s="30"/>
    </row>
    <row r="27" spans="1:7" hidden="1"/>
    <row r="28" spans="1:7" hidden="1"/>
    <row r="29" spans="1:7" hidden="1"/>
    <row r="30" spans="1:7" hidden="1"/>
    <row r="31" spans="1:7" hidden="1"/>
    <row r="32" spans="1:7"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password="C787" sheet="1"/>
  <mergeCells count="1">
    <mergeCell ref="E6:F6"/>
  </mergeCells>
  <pageMargins left="0.7" right="0.7" top="0.75" bottom="0.75" header="0.3" footer="0.3"/>
  <pageSetup scale="74" orientation="portrait" r:id="rId1"/>
  <headerFooter>
    <oddFooter>&amp;L&amp;D, &amp;T
&amp;CPage &amp;P of &amp;N&amp;R2013/14 School Authority Estimates
&amp;A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76"/>
  <sheetViews>
    <sheetView topLeftCell="F56" zoomScaleNormal="100" workbookViewId="0">
      <selection activeCell="K72" sqref="K72"/>
    </sheetView>
  </sheetViews>
  <sheetFormatPr defaultColWidth="0" defaultRowHeight="15" zeroHeight="1"/>
  <cols>
    <col min="1" max="1" width="3.7109375" style="976" customWidth="1"/>
    <col min="2" max="2" width="66.28515625" style="976" customWidth="1"/>
    <col min="3" max="3" width="22.5703125" style="976" customWidth="1"/>
    <col min="4" max="4" width="20.85546875" style="2366" customWidth="1"/>
    <col min="5" max="8" width="22.42578125" style="2366" customWidth="1"/>
    <col min="9" max="9" width="9.140625" style="2366" customWidth="1"/>
    <col min="10" max="31" width="18.140625" style="2366" customWidth="1"/>
    <col min="32" max="54" width="22.42578125" style="976" hidden="1" customWidth="1"/>
    <col min="55" max="55" width="2.42578125" style="976" customWidth="1"/>
    <col min="56" max="85" width="22.42578125" style="976" hidden="1" customWidth="1"/>
    <col min="86" max="16384" width="0" style="976" hidden="1"/>
  </cols>
  <sheetData>
    <row r="1" spans="1:55" ht="15.75" thickBot="1">
      <c r="A1" s="2159" t="s">
        <v>789</v>
      </c>
      <c r="B1" s="2159" t="s">
        <v>2787</v>
      </c>
      <c r="C1" s="2137" t="s">
        <v>2792</v>
      </c>
      <c r="D1" s="2137" t="s">
        <v>2841</v>
      </c>
      <c r="E1" s="2137" t="s">
        <v>1152</v>
      </c>
      <c r="F1" s="2137"/>
      <c r="G1" s="2164" t="s">
        <v>623</v>
      </c>
      <c r="H1" s="2164"/>
      <c r="I1" s="2137"/>
      <c r="J1" s="2137" t="s">
        <v>2841</v>
      </c>
      <c r="K1" s="2137"/>
      <c r="L1" s="2137"/>
      <c r="M1" s="2137"/>
      <c r="N1" s="2137"/>
      <c r="O1" s="2137"/>
      <c r="P1" s="2137"/>
      <c r="Q1" s="2137"/>
      <c r="R1" s="2137"/>
      <c r="S1" s="2137"/>
      <c r="T1" s="2137"/>
      <c r="U1" s="2137"/>
      <c r="V1" s="2137"/>
      <c r="W1" s="2137"/>
      <c r="X1" s="2137"/>
      <c r="Y1" s="2137"/>
      <c r="Z1" s="2137"/>
      <c r="AA1" s="2137"/>
      <c r="AB1" s="2137"/>
      <c r="AC1" s="2137"/>
      <c r="AD1" s="2137"/>
      <c r="AE1" s="2137"/>
      <c r="AF1" s="2137"/>
      <c r="AG1" s="2137"/>
      <c r="AH1" s="2137"/>
      <c r="AI1" s="2137"/>
      <c r="AJ1" s="2137"/>
      <c r="AK1" s="2137"/>
      <c r="AL1" s="2137"/>
      <c r="AM1" s="2137"/>
      <c r="AN1" s="2137"/>
      <c r="AO1" s="2137"/>
      <c r="AP1" s="2137"/>
      <c r="AQ1" s="2137"/>
      <c r="AR1" s="2137"/>
      <c r="AS1" s="2137"/>
      <c r="AT1" s="2137"/>
      <c r="AU1" s="2137"/>
      <c r="AV1" s="2137"/>
      <c r="AW1" s="2137"/>
      <c r="AX1" s="2137"/>
      <c r="AY1" s="2137"/>
      <c r="AZ1" s="2137"/>
      <c r="BA1" s="2137"/>
      <c r="BB1" s="2137"/>
      <c r="BC1" s="2159"/>
    </row>
    <row r="2" spans="1:55" ht="16.5" thickBot="1">
      <c r="A2" s="78"/>
      <c r="B2" s="2167" t="s">
        <v>622</v>
      </c>
      <c r="C2" s="1595"/>
      <c r="D2" s="2209" t="s">
        <v>163</v>
      </c>
      <c r="E2" s="78"/>
      <c r="F2" s="78"/>
      <c r="G2" s="2337" t="str">
        <f>+'1 Summary'!G2</f>
        <v/>
      </c>
      <c r="H2" s="1915"/>
      <c r="I2" s="1410"/>
      <c r="J2" s="2378" t="s">
        <v>789</v>
      </c>
      <c r="K2" s="1410"/>
      <c r="L2" s="1410"/>
      <c r="M2" s="1410"/>
      <c r="N2" s="1410"/>
      <c r="O2" s="1410"/>
      <c r="P2" s="1410"/>
      <c r="Q2" s="1410"/>
      <c r="R2" s="1410"/>
      <c r="S2" s="1410"/>
      <c r="T2" s="1410"/>
      <c r="U2" s="1410"/>
      <c r="V2" s="1410"/>
      <c r="W2" s="1410"/>
      <c r="X2" s="1410"/>
      <c r="Y2" s="1410"/>
      <c r="Z2" s="1410"/>
      <c r="AA2" s="1410"/>
      <c r="AB2" s="1410"/>
      <c r="AC2" s="1410"/>
      <c r="AD2" s="1410"/>
      <c r="AE2" s="1410"/>
      <c r="AF2" s="1410"/>
      <c r="AG2" s="1410"/>
      <c r="AH2" s="1410"/>
      <c r="AI2" s="1410"/>
      <c r="AJ2" s="1410"/>
      <c r="AK2" s="1410"/>
      <c r="AL2" s="1410"/>
      <c r="AM2" s="1410"/>
      <c r="AN2" s="1410"/>
      <c r="AO2" s="1410"/>
      <c r="AP2" s="1410"/>
      <c r="AQ2" s="1410"/>
      <c r="AR2" s="1410"/>
      <c r="AS2" s="1410"/>
      <c r="AT2" s="1410"/>
      <c r="AU2" s="1410"/>
      <c r="AV2" s="1410"/>
      <c r="AW2" s="1410"/>
      <c r="AX2" s="1410"/>
      <c r="AY2" s="1410"/>
      <c r="AZ2" s="1410"/>
      <c r="BA2" s="1410"/>
      <c r="BB2" s="1410"/>
      <c r="BC2" s="78"/>
    </row>
    <row r="3" spans="1:55" ht="18.75" thickBot="1">
      <c r="A3" s="78"/>
      <c r="B3" s="633" t="s">
        <v>3007</v>
      </c>
      <c r="C3" s="1595"/>
      <c r="D3" s="2209" t="s">
        <v>162</v>
      </c>
      <c r="E3" s="78"/>
      <c r="F3" s="78"/>
      <c r="G3" s="851">
        <f>+'1 Summary'!G3</f>
        <v>0</v>
      </c>
      <c r="H3" s="886"/>
      <c r="I3" s="1146"/>
      <c r="J3" s="1596"/>
      <c r="K3" s="1146"/>
      <c r="L3" s="1146"/>
      <c r="M3" s="1146"/>
      <c r="N3" s="1146"/>
      <c r="O3" s="1146"/>
      <c r="P3" s="1146"/>
      <c r="Q3" s="1146"/>
      <c r="R3" s="1146"/>
      <c r="S3" s="1146"/>
      <c r="T3" s="1146"/>
      <c r="U3" s="1146"/>
      <c r="V3" s="1146"/>
      <c r="W3" s="1146"/>
      <c r="X3" s="1146"/>
      <c r="Y3" s="1146"/>
      <c r="Z3" s="1146"/>
      <c r="AA3" s="1146"/>
      <c r="AB3" s="1146"/>
      <c r="AC3" s="1146"/>
      <c r="AD3" s="1146"/>
      <c r="AE3" s="1146"/>
      <c r="AF3" s="1146"/>
      <c r="AG3" s="1146"/>
      <c r="AH3" s="1146"/>
      <c r="AI3" s="1146"/>
      <c r="AJ3" s="1146"/>
      <c r="AK3" s="1146"/>
      <c r="AL3" s="1146"/>
      <c r="AM3" s="1146"/>
      <c r="AN3" s="1146"/>
      <c r="AO3" s="1146"/>
      <c r="AP3" s="1146"/>
      <c r="AQ3" s="1146"/>
      <c r="AR3" s="1146"/>
      <c r="AS3" s="1146"/>
      <c r="AT3" s="1146"/>
      <c r="AU3" s="1146"/>
      <c r="AV3" s="1146"/>
      <c r="AW3" s="1146"/>
      <c r="AX3" s="1146"/>
      <c r="AY3" s="1146"/>
      <c r="AZ3" s="1146"/>
      <c r="BA3" s="1146"/>
      <c r="BB3" s="1146"/>
      <c r="BC3" s="78"/>
    </row>
    <row r="4" spans="1:55" ht="15.75">
      <c r="A4" s="2137" t="s">
        <v>1065</v>
      </c>
      <c r="B4" s="2165" t="s">
        <v>810</v>
      </c>
      <c r="C4" s="1595"/>
      <c r="D4" s="1596"/>
      <c r="E4" s="78"/>
      <c r="F4" s="78"/>
      <c r="G4" s="78"/>
      <c r="H4" s="78"/>
      <c r="I4" s="1596"/>
      <c r="J4" s="1596"/>
      <c r="K4" s="1596"/>
      <c r="L4" s="1596"/>
      <c r="M4" s="1596"/>
      <c r="N4" s="1596"/>
      <c r="O4" s="1596"/>
      <c r="P4" s="1596"/>
      <c r="Q4" s="1596"/>
      <c r="R4" s="1596"/>
      <c r="S4" s="1596"/>
      <c r="T4" s="1596"/>
      <c r="U4" s="1596"/>
      <c r="V4" s="1596"/>
      <c r="W4" s="1596"/>
      <c r="X4" s="1596"/>
      <c r="Y4" s="1596"/>
      <c r="Z4" s="1596"/>
      <c r="AA4" s="1596"/>
      <c r="AB4" s="1596"/>
      <c r="AC4" s="1596"/>
      <c r="AD4" s="1596"/>
      <c r="AE4" s="1596"/>
      <c r="AF4" s="1596"/>
      <c r="AG4" s="1596"/>
      <c r="AH4" s="1596"/>
      <c r="AI4" s="1596"/>
      <c r="AJ4" s="1596"/>
      <c r="AK4" s="1596"/>
      <c r="AL4" s="1596"/>
      <c r="AM4" s="1596"/>
      <c r="AN4" s="1596"/>
      <c r="AO4" s="1596"/>
      <c r="AP4" s="1596"/>
      <c r="AQ4" s="1596"/>
      <c r="AR4" s="1596"/>
      <c r="AS4" s="1596"/>
      <c r="AT4" s="1596"/>
      <c r="AU4" s="1596"/>
      <c r="AV4" s="1596"/>
      <c r="AW4" s="1596"/>
      <c r="AX4" s="1596"/>
      <c r="AY4" s="1596"/>
      <c r="AZ4" s="1596"/>
      <c r="BA4" s="1596"/>
      <c r="BB4" s="1596"/>
      <c r="BC4" s="78"/>
    </row>
    <row r="5" spans="1:55" ht="17.25" customHeight="1">
      <c r="A5" s="2137" t="s">
        <v>818</v>
      </c>
      <c r="B5" s="2165" t="s">
        <v>609</v>
      </c>
      <c r="C5" s="1595"/>
      <c r="D5" s="1597"/>
      <c r="E5" s="78"/>
      <c r="F5" s="78"/>
      <c r="G5" s="78"/>
      <c r="H5" s="78"/>
      <c r="I5" s="1597"/>
      <c r="J5" s="1597"/>
      <c r="K5" s="1597"/>
      <c r="L5" s="1597"/>
      <c r="M5" s="1597"/>
      <c r="N5" s="1597"/>
      <c r="O5" s="1597"/>
      <c r="P5" s="1597"/>
      <c r="Q5" s="1597"/>
      <c r="R5" s="1597"/>
      <c r="S5" s="1597"/>
      <c r="T5" s="1597"/>
      <c r="U5" s="1597"/>
      <c r="V5" s="1597"/>
      <c r="W5" s="1597"/>
      <c r="X5" s="1597"/>
      <c r="Y5" s="1597"/>
      <c r="Z5" s="1597"/>
      <c r="AA5" s="1597"/>
      <c r="AB5" s="1597"/>
      <c r="AC5" s="1597"/>
      <c r="AD5" s="1597"/>
      <c r="AE5" s="1597"/>
      <c r="AF5" s="1597"/>
      <c r="AG5" s="1597"/>
      <c r="AH5" s="1597"/>
      <c r="AI5" s="1597"/>
      <c r="AJ5" s="1597"/>
      <c r="AK5" s="1597"/>
      <c r="AL5" s="1597"/>
      <c r="AM5" s="1597"/>
      <c r="AN5" s="1597"/>
      <c r="AO5" s="1597"/>
      <c r="AP5" s="1597"/>
      <c r="AQ5" s="1597"/>
      <c r="AR5" s="1597"/>
      <c r="AS5" s="1597"/>
      <c r="AT5" s="1597"/>
      <c r="AU5" s="1597"/>
      <c r="AV5" s="1597"/>
      <c r="AW5" s="1597"/>
      <c r="AX5" s="1597"/>
      <c r="AY5" s="1597"/>
      <c r="AZ5" s="1597"/>
      <c r="BA5" s="1597"/>
      <c r="BB5" s="1597"/>
      <c r="BC5" s="78"/>
    </row>
    <row r="6" spans="1:55" ht="61.5" hidden="1" customHeight="1">
      <c r="A6" s="2159"/>
      <c r="B6" s="2166"/>
      <c r="C6" s="1595"/>
      <c r="D6" s="165" t="s">
        <v>2486</v>
      </c>
      <c r="E6" s="2013" t="s">
        <v>807</v>
      </c>
      <c r="F6" s="2013"/>
      <c r="G6" s="2013" t="s">
        <v>1506</v>
      </c>
      <c r="H6" s="2332"/>
      <c r="I6" s="2332"/>
      <c r="J6" s="165" t="s">
        <v>2486</v>
      </c>
      <c r="K6" s="2332"/>
      <c r="L6" s="2332"/>
      <c r="M6" s="2332"/>
      <c r="N6" s="2332"/>
      <c r="O6" s="2332"/>
      <c r="P6" s="2332"/>
      <c r="Q6" s="2332"/>
      <c r="R6" s="2332"/>
      <c r="S6" s="2332"/>
      <c r="T6" s="2332"/>
      <c r="U6" s="2332"/>
      <c r="V6" s="2332"/>
      <c r="W6" s="2332"/>
      <c r="X6" s="2332"/>
      <c r="Y6" s="2332"/>
      <c r="Z6" s="2332"/>
      <c r="AA6" s="2332"/>
      <c r="AB6" s="2332"/>
      <c r="AC6" s="2332"/>
      <c r="AD6" s="2332"/>
      <c r="AE6" s="2332"/>
      <c r="AF6" s="2332"/>
      <c r="AG6" s="2332"/>
      <c r="AH6" s="2332"/>
      <c r="AI6" s="2332"/>
      <c r="AJ6" s="2332"/>
      <c r="AK6" s="2332"/>
      <c r="AL6" s="2332"/>
      <c r="AM6" s="2332"/>
      <c r="AN6" s="2332"/>
      <c r="AO6" s="2332"/>
      <c r="AP6" s="2332"/>
      <c r="AQ6" s="2332"/>
      <c r="AR6" s="2332"/>
      <c r="AS6" s="2332"/>
      <c r="AT6" s="2332"/>
      <c r="AU6" s="2332"/>
      <c r="AV6" s="2332"/>
      <c r="AW6" s="2332"/>
      <c r="AX6" s="2332"/>
      <c r="AY6" s="2332"/>
      <c r="AZ6" s="2332"/>
      <c r="BA6" s="2332"/>
      <c r="BB6" s="2332"/>
      <c r="BC6" s="78"/>
    </row>
    <row r="7" spans="1:55" ht="47.25">
      <c r="A7" s="2137" t="s">
        <v>1026</v>
      </c>
      <c r="B7" s="2165" t="s">
        <v>1001</v>
      </c>
      <c r="C7" s="1595"/>
      <c r="D7" s="165"/>
      <c r="E7" s="2335" t="s">
        <v>3093</v>
      </c>
      <c r="F7" s="2335"/>
      <c r="G7" s="2335" t="s">
        <v>3093</v>
      </c>
      <c r="H7" s="2336"/>
      <c r="I7" s="2332"/>
      <c r="J7" s="165"/>
      <c r="K7" s="2335" t="s">
        <v>3093</v>
      </c>
      <c r="L7" s="2335" t="s">
        <v>3134</v>
      </c>
      <c r="M7" s="2335" t="s">
        <v>3093</v>
      </c>
      <c r="N7" s="2335" t="s">
        <v>3134</v>
      </c>
      <c r="O7" s="2335" t="s">
        <v>3093</v>
      </c>
      <c r="P7" s="2335" t="s">
        <v>3134</v>
      </c>
      <c r="Q7" s="2335" t="s">
        <v>3093</v>
      </c>
      <c r="R7" s="2335" t="s">
        <v>3134</v>
      </c>
      <c r="S7" s="2335" t="s">
        <v>3093</v>
      </c>
      <c r="T7" s="2335" t="s">
        <v>3134</v>
      </c>
      <c r="U7" s="2335" t="s">
        <v>3093</v>
      </c>
      <c r="V7" s="2335" t="s">
        <v>3134</v>
      </c>
      <c r="W7" s="2335" t="s">
        <v>3093</v>
      </c>
      <c r="X7" s="2335" t="s">
        <v>3134</v>
      </c>
      <c r="Y7" s="2335" t="s">
        <v>3093</v>
      </c>
      <c r="Z7" s="2335" t="s">
        <v>3134</v>
      </c>
      <c r="AA7" s="2335" t="s">
        <v>3093</v>
      </c>
      <c r="AB7" s="2335" t="s">
        <v>3134</v>
      </c>
      <c r="AC7" s="2335" t="s">
        <v>3093</v>
      </c>
      <c r="AD7" s="2335" t="s">
        <v>3134</v>
      </c>
      <c r="AE7" s="906" t="s">
        <v>1001</v>
      </c>
      <c r="AF7" s="2339"/>
      <c r="AG7" s="2335" t="s">
        <v>3085</v>
      </c>
      <c r="AH7" s="2335" t="s">
        <v>3134</v>
      </c>
      <c r="AI7" s="2335" t="s">
        <v>3085</v>
      </c>
      <c r="AJ7" s="2335" t="s">
        <v>3134</v>
      </c>
      <c r="AK7" s="2335" t="s">
        <v>3085</v>
      </c>
      <c r="AL7" s="2335" t="s">
        <v>3134</v>
      </c>
      <c r="AM7" s="2335" t="s">
        <v>3085</v>
      </c>
      <c r="AN7" s="2335" t="s">
        <v>3134</v>
      </c>
      <c r="AO7" s="2335" t="s">
        <v>3085</v>
      </c>
      <c r="AP7" s="2335" t="s">
        <v>3134</v>
      </c>
      <c r="AQ7" s="2335" t="s">
        <v>3085</v>
      </c>
      <c r="AR7" s="2335" t="s">
        <v>3134</v>
      </c>
      <c r="AS7" s="2335" t="s">
        <v>3085</v>
      </c>
      <c r="AT7" s="2335" t="s">
        <v>3134</v>
      </c>
      <c r="AU7" s="2335" t="s">
        <v>3085</v>
      </c>
      <c r="AV7" s="2335" t="s">
        <v>3134</v>
      </c>
      <c r="AW7" s="2335" t="s">
        <v>3085</v>
      </c>
      <c r="AX7" s="2335" t="s">
        <v>3134</v>
      </c>
      <c r="AY7" s="2335" t="s">
        <v>3085</v>
      </c>
      <c r="AZ7" s="2335" t="s">
        <v>3134</v>
      </c>
      <c r="BA7" s="2339"/>
      <c r="BB7" s="2339"/>
      <c r="BC7" s="78"/>
    </row>
    <row r="8" spans="1:55" ht="61.5" customHeight="1">
      <c r="A8" s="2137" t="s">
        <v>1602</v>
      </c>
      <c r="B8" s="2159"/>
      <c r="C8" s="78"/>
      <c r="D8" s="165" t="s">
        <v>3172</v>
      </c>
      <c r="E8" s="2052" t="s">
        <v>1507</v>
      </c>
      <c r="F8" s="2052"/>
      <c r="G8" s="2052" t="s">
        <v>13</v>
      </c>
      <c r="H8" s="2342"/>
      <c r="I8" s="2332"/>
      <c r="J8" s="165" t="s">
        <v>3171</v>
      </c>
      <c r="K8" s="2052" t="s">
        <v>3091</v>
      </c>
      <c r="L8" s="2052" t="s">
        <v>3091</v>
      </c>
      <c r="M8" s="2052" t="s">
        <v>1823</v>
      </c>
      <c r="N8" s="2052" t="s">
        <v>1823</v>
      </c>
      <c r="O8" s="2052" t="s">
        <v>3164</v>
      </c>
      <c r="P8" s="2052" t="s">
        <v>3164</v>
      </c>
      <c r="Q8" s="2052" t="s">
        <v>3090</v>
      </c>
      <c r="R8" s="2052" t="s">
        <v>3090</v>
      </c>
      <c r="S8" s="2052" t="s">
        <v>3165</v>
      </c>
      <c r="T8" s="2052" t="s">
        <v>3165</v>
      </c>
      <c r="U8" s="2052" t="s">
        <v>3166</v>
      </c>
      <c r="V8" s="2052" t="s">
        <v>3166</v>
      </c>
      <c r="W8" s="2052" t="s">
        <v>3089</v>
      </c>
      <c r="X8" s="2052" t="s">
        <v>3089</v>
      </c>
      <c r="Y8" s="2052" t="s">
        <v>3088</v>
      </c>
      <c r="Z8" s="2052" t="s">
        <v>3088</v>
      </c>
      <c r="AA8" s="2336" t="s">
        <v>3087</v>
      </c>
      <c r="AB8" s="2336" t="s">
        <v>3087</v>
      </c>
      <c r="AC8" s="2336" t="s">
        <v>3086</v>
      </c>
      <c r="AD8" s="2336" t="s">
        <v>3086</v>
      </c>
      <c r="AE8" s="906" t="s">
        <v>3092</v>
      </c>
      <c r="AF8" s="2339"/>
      <c r="AG8" s="2052" t="s">
        <v>3091</v>
      </c>
      <c r="AH8" s="2052" t="s">
        <v>3091</v>
      </c>
      <c r="AI8" s="2052" t="s">
        <v>1823</v>
      </c>
      <c r="AJ8" s="2052" t="s">
        <v>1823</v>
      </c>
      <c r="AK8" s="2052" t="s">
        <v>3164</v>
      </c>
      <c r="AL8" s="2052" t="s">
        <v>3164</v>
      </c>
      <c r="AM8" s="2052" t="s">
        <v>3090</v>
      </c>
      <c r="AN8" s="2052" t="s">
        <v>3090</v>
      </c>
      <c r="AO8" s="2052" t="s">
        <v>3165</v>
      </c>
      <c r="AP8" s="2052" t="s">
        <v>3165</v>
      </c>
      <c r="AQ8" s="2052" t="s">
        <v>3166</v>
      </c>
      <c r="AR8" s="2052" t="s">
        <v>3166</v>
      </c>
      <c r="AS8" s="2052" t="s">
        <v>3089</v>
      </c>
      <c r="AT8" s="2052" t="s">
        <v>3089</v>
      </c>
      <c r="AU8" s="2052" t="s">
        <v>3088</v>
      </c>
      <c r="AV8" s="2052" t="s">
        <v>3088</v>
      </c>
      <c r="AW8" s="2336" t="s">
        <v>3087</v>
      </c>
      <c r="AX8" s="2336" t="s">
        <v>3087</v>
      </c>
      <c r="AY8" s="2336" t="s">
        <v>3086</v>
      </c>
      <c r="AZ8" s="2336" t="s">
        <v>3086</v>
      </c>
      <c r="BA8" s="2339"/>
      <c r="BB8" s="2339"/>
      <c r="BC8" s="78"/>
    </row>
    <row r="9" spans="1:55" ht="30">
      <c r="A9" s="78"/>
      <c r="B9" s="1630" t="s">
        <v>3155</v>
      </c>
      <c r="C9" s="1598" t="s">
        <v>643</v>
      </c>
      <c r="D9" s="1599" t="s">
        <v>1286</v>
      </c>
      <c r="E9" s="1599" t="s">
        <v>1287</v>
      </c>
      <c r="F9" s="1599" t="s">
        <v>1288</v>
      </c>
      <c r="G9" s="1599" t="s">
        <v>842</v>
      </c>
      <c r="H9" s="1599" t="s">
        <v>843</v>
      </c>
      <c r="I9" s="2333"/>
      <c r="J9" s="1599" t="s">
        <v>844</v>
      </c>
      <c r="K9" s="1599" t="s">
        <v>2122</v>
      </c>
      <c r="L9" s="1599" t="s">
        <v>3133</v>
      </c>
      <c r="M9" s="1599" t="s">
        <v>840</v>
      </c>
      <c r="N9" s="1599" t="s">
        <v>3135</v>
      </c>
      <c r="O9" s="1599" t="s">
        <v>841</v>
      </c>
      <c r="P9" s="1599" t="s">
        <v>3136</v>
      </c>
      <c r="Q9" s="1599" t="s">
        <v>1317</v>
      </c>
      <c r="R9" s="1599" t="s">
        <v>3137</v>
      </c>
      <c r="S9" s="1599" t="s">
        <v>1318</v>
      </c>
      <c r="T9" s="1599" t="s">
        <v>3138</v>
      </c>
      <c r="U9" s="1599" t="s">
        <v>2110</v>
      </c>
      <c r="V9" s="1599" t="s">
        <v>3139</v>
      </c>
      <c r="W9" s="1599" t="s">
        <v>2111</v>
      </c>
      <c r="X9" s="1599" t="s">
        <v>3140</v>
      </c>
      <c r="Y9" s="1599" t="s">
        <v>817</v>
      </c>
      <c r="Z9" s="1599" t="s">
        <v>3167</v>
      </c>
      <c r="AA9" s="1599" t="s">
        <v>75</v>
      </c>
      <c r="AB9" s="1599" t="s">
        <v>3168</v>
      </c>
      <c r="AC9" s="1599" t="s">
        <v>1094</v>
      </c>
      <c r="AD9" s="1599" t="s">
        <v>3169</v>
      </c>
      <c r="AE9" s="1599" t="s">
        <v>3170</v>
      </c>
      <c r="AF9" s="2333"/>
      <c r="AG9" s="2333"/>
      <c r="AH9" s="2333"/>
      <c r="AI9" s="2333"/>
      <c r="AJ9" s="2333"/>
      <c r="AK9" s="2333"/>
      <c r="AL9" s="2333"/>
      <c r="AM9" s="2333"/>
      <c r="AN9" s="2333"/>
      <c r="AO9" s="2333"/>
      <c r="AP9" s="2333"/>
      <c r="AQ9" s="2333"/>
      <c r="AR9" s="2333"/>
      <c r="AS9" s="2333"/>
      <c r="AT9" s="2333"/>
      <c r="AU9" s="2333"/>
      <c r="AV9" s="2333"/>
      <c r="AW9" s="2333"/>
      <c r="AX9" s="2333"/>
      <c r="AY9" s="2333"/>
      <c r="AZ9" s="2333"/>
      <c r="BA9" s="2333"/>
      <c r="BB9" s="2333"/>
      <c r="BC9" s="78"/>
    </row>
    <row r="10" spans="1:55" ht="15.75">
      <c r="A10" s="78"/>
      <c r="B10" s="1621" t="s">
        <v>204</v>
      </c>
      <c r="C10" s="1602"/>
      <c r="D10" s="1609"/>
      <c r="E10" s="1599" t="s">
        <v>3110</v>
      </c>
      <c r="F10" s="1599" t="s">
        <v>982</v>
      </c>
      <c r="G10" s="1599" t="s">
        <v>3110</v>
      </c>
      <c r="H10" s="1599" t="s">
        <v>982</v>
      </c>
      <c r="I10" s="2333"/>
      <c r="J10" s="1600"/>
      <c r="K10" s="1601"/>
      <c r="L10" s="1601"/>
      <c r="M10" s="1601"/>
      <c r="N10" s="1601"/>
      <c r="O10" s="1601"/>
      <c r="P10" s="1601"/>
      <c r="Q10" s="1601"/>
      <c r="R10" s="1601"/>
      <c r="S10" s="1601"/>
      <c r="T10" s="1601"/>
      <c r="U10" s="1601"/>
      <c r="V10" s="1601"/>
      <c r="W10" s="1601"/>
      <c r="X10" s="1601"/>
      <c r="Y10" s="1601"/>
      <c r="Z10" s="1601"/>
      <c r="AA10" s="1601"/>
      <c r="AB10" s="1601"/>
      <c r="AC10" s="1601"/>
      <c r="AD10" s="1601"/>
      <c r="AE10" s="1601"/>
      <c r="AF10" s="1602"/>
      <c r="AG10" s="1602"/>
      <c r="AH10" s="1602"/>
      <c r="AI10" s="1602"/>
      <c r="AJ10" s="1602"/>
      <c r="AK10" s="1602"/>
      <c r="AL10" s="1602"/>
      <c r="AM10" s="1602"/>
      <c r="AN10" s="1602"/>
      <c r="AO10" s="1602"/>
      <c r="AP10" s="1602"/>
      <c r="AQ10" s="1602"/>
      <c r="AR10" s="1602"/>
      <c r="AS10" s="1602"/>
      <c r="AT10" s="1602"/>
      <c r="AU10" s="1602"/>
      <c r="AV10" s="1602"/>
      <c r="AW10" s="1602"/>
      <c r="AX10" s="1602"/>
      <c r="AY10" s="1602"/>
      <c r="AZ10" s="1602"/>
      <c r="BA10" s="1602"/>
      <c r="BB10" s="1602"/>
      <c r="BC10" s="78"/>
    </row>
    <row r="11" spans="1:55" ht="15.75">
      <c r="A11" s="78"/>
      <c r="B11" s="1629"/>
      <c r="C11" s="2338"/>
      <c r="D11" s="2334"/>
      <c r="E11" s="1602"/>
      <c r="F11" s="1602"/>
      <c r="G11" s="1602"/>
      <c r="H11" s="1602"/>
      <c r="I11" s="2333"/>
      <c r="J11" s="2378" t="s">
        <v>3177</v>
      </c>
      <c r="K11" s="1602"/>
      <c r="L11" s="1602"/>
      <c r="M11" s="1602"/>
      <c r="N11" s="1602"/>
      <c r="O11" s="1602"/>
      <c r="P11" s="1602"/>
      <c r="Q11" s="1602"/>
      <c r="R11" s="1602"/>
      <c r="S11" s="1602"/>
      <c r="T11" s="1602"/>
      <c r="U11" s="1602"/>
      <c r="V11" s="1602"/>
      <c r="W11" s="1602" t="s">
        <v>789</v>
      </c>
      <c r="X11" s="1602" t="s">
        <v>789</v>
      </c>
      <c r="Y11" s="1602"/>
      <c r="Z11" s="1602"/>
      <c r="AA11" s="1602"/>
      <c r="AB11" s="1602"/>
      <c r="AC11" s="1602"/>
      <c r="AD11" s="1602"/>
      <c r="AE11" s="1602"/>
      <c r="AF11" s="1602"/>
      <c r="AG11" s="1602"/>
      <c r="AH11" s="1602"/>
      <c r="AI11" s="1602"/>
      <c r="AJ11" s="1602"/>
      <c r="AK11" s="1602"/>
      <c r="AL11" s="1602"/>
      <c r="AM11" s="1602"/>
      <c r="AN11" s="1602"/>
      <c r="AO11" s="1602"/>
      <c r="AP11" s="1602"/>
      <c r="AQ11" s="1602"/>
      <c r="AR11" s="1602"/>
      <c r="AS11" s="1602"/>
      <c r="AT11" s="1602"/>
      <c r="AU11" s="1602"/>
      <c r="AV11" s="1602"/>
      <c r="AW11" s="1602"/>
      <c r="AX11" s="1602"/>
      <c r="AY11" s="1602"/>
      <c r="AZ11" s="1602"/>
      <c r="BA11" s="1602"/>
      <c r="BB11" s="1602"/>
      <c r="BC11" s="78"/>
    </row>
    <row r="12" spans="1:55" ht="15.75">
      <c r="A12" s="78"/>
      <c r="B12" s="817" t="s">
        <v>983</v>
      </c>
      <c r="C12" s="1602"/>
      <c r="D12" s="1603"/>
      <c r="E12" s="1604"/>
      <c r="F12" s="1604"/>
      <c r="G12" s="1604"/>
      <c r="H12" s="1604"/>
      <c r="I12" s="2333"/>
      <c r="J12" s="1603"/>
      <c r="K12" s="1604"/>
      <c r="L12" s="1604"/>
      <c r="M12" s="1604"/>
      <c r="N12" s="1604"/>
      <c r="O12" s="1604"/>
      <c r="P12" s="1604"/>
      <c r="Q12" s="1604"/>
      <c r="R12" s="1604"/>
      <c r="S12" s="1604"/>
      <c r="T12" s="1604"/>
      <c r="U12" s="1604"/>
      <c r="V12" s="1604"/>
      <c r="W12" s="1604"/>
      <c r="X12" s="1604"/>
      <c r="Y12" s="1604"/>
      <c r="Z12" s="1604"/>
      <c r="AA12" s="1604"/>
      <c r="AB12" s="1604"/>
      <c r="AC12" s="1604"/>
      <c r="AD12" s="1604"/>
      <c r="AE12" s="1604"/>
      <c r="AF12" s="1604"/>
      <c r="AG12" s="1604"/>
      <c r="AH12" s="1604"/>
      <c r="AI12" s="1604"/>
      <c r="AJ12" s="1604"/>
      <c r="AK12" s="1604"/>
      <c r="AL12" s="1604"/>
      <c r="AM12" s="1604"/>
      <c r="AN12" s="1604"/>
      <c r="AO12" s="1604"/>
      <c r="AP12" s="1604"/>
      <c r="AQ12" s="1604"/>
      <c r="AR12" s="1604"/>
      <c r="AS12" s="1604"/>
      <c r="AT12" s="1604"/>
      <c r="AU12" s="1604"/>
      <c r="AV12" s="1604"/>
      <c r="AW12" s="1604"/>
      <c r="AX12" s="1604"/>
      <c r="AY12" s="1604"/>
      <c r="AZ12" s="1604"/>
      <c r="BA12" s="1604"/>
      <c r="BB12" s="1604"/>
      <c r="BC12" s="78"/>
    </row>
    <row r="13" spans="1:55">
      <c r="A13" s="901">
        <v>1</v>
      </c>
      <c r="B13" s="1606" t="s">
        <v>1390</v>
      </c>
      <c r="C13" s="1605" t="s">
        <v>1391</v>
      </c>
      <c r="D13" s="2361">
        <f>SUM(E13:H13)</f>
        <v>0</v>
      </c>
      <c r="E13" s="2362"/>
      <c r="F13" s="2362"/>
      <c r="G13" s="2362"/>
      <c r="H13" s="2362"/>
      <c r="I13" s="2363"/>
      <c r="J13" s="2361">
        <f>K13+M13+O13+Q13+S13+U13+W13+Y13+AA13+AC13</f>
        <v>0</v>
      </c>
      <c r="K13" s="2362"/>
      <c r="L13" s="2362"/>
      <c r="M13" s="2362"/>
      <c r="N13" s="2362"/>
      <c r="O13" s="2362"/>
      <c r="P13" s="2362"/>
      <c r="Q13" s="2362"/>
      <c r="R13" s="2362"/>
      <c r="S13" s="2362"/>
      <c r="T13" s="2362"/>
      <c r="U13" s="2362"/>
      <c r="V13" s="2362"/>
      <c r="W13" s="2362"/>
      <c r="X13" s="2362"/>
      <c r="Y13" s="2362"/>
      <c r="Z13" s="2362"/>
      <c r="AA13" s="2362"/>
      <c r="AB13" s="2362"/>
      <c r="AC13" s="2362"/>
      <c r="AD13" s="2362"/>
      <c r="AE13" s="2364" t="str">
        <f>IF(D13&lt;&gt;J13,"YES","")</f>
        <v/>
      </c>
      <c r="AF13" s="2340">
        <f>IF(D13&lt;&gt;J13,1,0)</f>
        <v>0</v>
      </c>
      <c r="AG13" s="2170">
        <f>IF(AND(K13&gt;0,L13&lt;0.1),1,0)</f>
        <v>0</v>
      </c>
      <c r="AH13" s="2340"/>
      <c r="AI13" s="2170">
        <f>IF(AND(M13&gt;0,N13&lt;0.1),1,0)</f>
        <v>0</v>
      </c>
      <c r="AJ13" s="2340"/>
      <c r="AK13" s="2170">
        <f t="shared" ref="AK13:AK17" si="0">IF(AND(O13&gt;0,P13&lt;0.1),1,0)</f>
        <v>0</v>
      </c>
      <c r="AL13" s="2340"/>
      <c r="AM13" s="2170">
        <f t="shared" ref="AM13:AM17" si="1">IF(AND(Q13&gt;0,R13&lt;0.1),1,0)</f>
        <v>0</v>
      </c>
      <c r="AN13" s="2340"/>
      <c r="AO13" s="2170">
        <f t="shared" ref="AO13:AO17" si="2">IF(AND(S13&gt;0,T13&lt;0.1),1,0)</f>
        <v>0</v>
      </c>
      <c r="AP13" s="2340"/>
      <c r="AQ13" s="2170">
        <f t="shared" ref="AQ13:AQ17" si="3">IF(AND(U13&gt;0,V13&lt;0.1),1,0)</f>
        <v>0</v>
      </c>
      <c r="AR13" s="2340"/>
      <c r="AS13" s="2170">
        <f t="shared" ref="AS13:AS17" si="4">IF(AND(W13&gt;0,X13&lt;0.1),1,0)</f>
        <v>0</v>
      </c>
      <c r="AT13" s="2340"/>
      <c r="AU13" s="2170">
        <f t="shared" ref="AU13:AU17" si="5">IF(AND(Y13&gt;0,Z13&lt;0.1),1,0)</f>
        <v>0</v>
      </c>
      <c r="AV13" s="2340"/>
      <c r="AW13" s="2170">
        <f t="shared" ref="AW13:AW17" si="6">IF(AND(AA13&gt;0,AB13&lt;0.1),1,0)</f>
        <v>0</v>
      </c>
      <c r="AX13" s="2340"/>
      <c r="AY13" s="2170">
        <f t="shared" ref="AY13:AY17" si="7">IF(AND(AC13&gt;0,AD13&lt;0.1),1,0)</f>
        <v>0</v>
      </c>
      <c r="AZ13" s="2340"/>
      <c r="BA13" s="2340"/>
      <c r="BB13" s="2340"/>
      <c r="BC13" s="78"/>
    </row>
    <row r="14" spans="1:55">
      <c r="A14" s="901">
        <v>2</v>
      </c>
      <c r="B14" s="1606" t="s">
        <v>1392</v>
      </c>
      <c r="C14" s="1606" t="s">
        <v>1393</v>
      </c>
      <c r="D14" s="2361">
        <f>SUM(E14:H14)</f>
        <v>0</v>
      </c>
      <c r="E14" s="2362"/>
      <c r="F14" s="2362"/>
      <c r="G14" s="2362"/>
      <c r="H14" s="2362"/>
      <c r="I14" s="2363"/>
      <c r="J14" s="2361">
        <f t="shared" ref="J14:J17" si="8">K14+M14+O14+Q14+S14+U14+W14+Y14+AA14+AC14</f>
        <v>0</v>
      </c>
      <c r="K14" s="2362"/>
      <c r="L14" s="2362"/>
      <c r="M14" s="2362"/>
      <c r="N14" s="2362"/>
      <c r="O14" s="2362"/>
      <c r="P14" s="2362"/>
      <c r="Q14" s="2362"/>
      <c r="R14" s="2362"/>
      <c r="S14" s="2362"/>
      <c r="T14" s="2362"/>
      <c r="U14" s="2362"/>
      <c r="V14" s="2362"/>
      <c r="W14" s="2362"/>
      <c r="X14" s="2362"/>
      <c r="Y14" s="2362"/>
      <c r="Z14" s="2362"/>
      <c r="AA14" s="2362"/>
      <c r="AB14" s="2362"/>
      <c r="AC14" s="2362"/>
      <c r="AD14" s="2362"/>
      <c r="AE14" s="2364" t="str">
        <f>IF(D14&lt;&gt;J14,"YES","")</f>
        <v/>
      </c>
      <c r="AF14" s="2340">
        <f>IF(D14&lt;&gt;J14,1,0)</f>
        <v>0</v>
      </c>
      <c r="AG14" s="2170">
        <f t="shared" ref="AG14:AG17" si="9">IF(AND(K14&gt;0,L14&lt;0.1),1,0)</f>
        <v>0</v>
      </c>
      <c r="AH14" s="2340"/>
      <c r="AI14" s="2170">
        <f t="shared" ref="AI14:AI17" si="10">IF(AND(M14&gt;0,N14&lt;0.1),1,0)</f>
        <v>0</v>
      </c>
      <c r="AJ14" s="2340"/>
      <c r="AK14" s="2170">
        <f t="shared" si="0"/>
        <v>0</v>
      </c>
      <c r="AL14" s="2340"/>
      <c r="AM14" s="2170">
        <f t="shared" si="1"/>
        <v>0</v>
      </c>
      <c r="AN14" s="2340"/>
      <c r="AO14" s="2170">
        <f t="shared" si="2"/>
        <v>0</v>
      </c>
      <c r="AP14" s="2340"/>
      <c r="AQ14" s="2170">
        <f t="shared" si="3"/>
        <v>0</v>
      </c>
      <c r="AR14" s="2340"/>
      <c r="AS14" s="2170">
        <f t="shared" si="4"/>
        <v>0</v>
      </c>
      <c r="AT14" s="2340"/>
      <c r="AU14" s="2170">
        <f t="shared" si="5"/>
        <v>0</v>
      </c>
      <c r="AV14" s="2340"/>
      <c r="AW14" s="2170">
        <f t="shared" si="6"/>
        <v>0</v>
      </c>
      <c r="AX14" s="2340"/>
      <c r="AY14" s="2170">
        <f t="shared" si="7"/>
        <v>0</v>
      </c>
      <c r="AZ14" s="2340"/>
      <c r="BA14" s="2340"/>
      <c r="BB14" s="2340"/>
      <c r="BC14" s="78"/>
    </row>
    <row r="15" spans="1:55">
      <c r="A15" s="886">
        <v>3</v>
      </c>
      <c r="B15" s="1606" t="s">
        <v>478</v>
      </c>
      <c r="C15" s="1606" t="s">
        <v>479</v>
      </c>
      <c r="D15" s="2361">
        <f>SUM(E15:H15)</f>
        <v>0</v>
      </c>
      <c r="E15" s="2362"/>
      <c r="F15" s="2362"/>
      <c r="G15" s="2362"/>
      <c r="H15" s="2362"/>
      <c r="I15" s="2363"/>
      <c r="J15" s="2361">
        <f t="shared" si="8"/>
        <v>0</v>
      </c>
      <c r="K15" s="2362"/>
      <c r="L15" s="2362"/>
      <c r="M15" s="2362"/>
      <c r="N15" s="2362"/>
      <c r="O15" s="2362"/>
      <c r="P15" s="2362"/>
      <c r="Q15" s="2362"/>
      <c r="R15" s="2362"/>
      <c r="S15" s="2362"/>
      <c r="T15" s="2362"/>
      <c r="U15" s="2362"/>
      <c r="V15" s="2362"/>
      <c r="W15" s="2362"/>
      <c r="X15" s="2362"/>
      <c r="Y15" s="2362"/>
      <c r="Z15" s="2362"/>
      <c r="AA15" s="2362"/>
      <c r="AB15" s="2362"/>
      <c r="AC15" s="2362"/>
      <c r="AD15" s="2362"/>
      <c r="AE15" s="2364" t="str">
        <f>IF(D15&lt;&gt;J15,"YES","")</f>
        <v/>
      </c>
      <c r="AF15" s="2340">
        <f>IF(D15&lt;&gt;J15,1,0)</f>
        <v>0</v>
      </c>
      <c r="AG15" s="2170">
        <f t="shared" si="9"/>
        <v>0</v>
      </c>
      <c r="AH15" s="2340"/>
      <c r="AI15" s="2170">
        <f t="shared" si="10"/>
        <v>0</v>
      </c>
      <c r="AJ15" s="2340"/>
      <c r="AK15" s="2170">
        <f t="shared" si="0"/>
        <v>0</v>
      </c>
      <c r="AL15" s="2340"/>
      <c r="AM15" s="2170">
        <f t="shared" si="1"/>
        <v>0</v>
      </c>
      <c r="AN15" s="2340"/>
      <c r="AO15" s="2170">
        <f t="shared" si="2"/>
        <v>0</v>
      </c>
      <c r="AP15" s="2340"/>
      <c r="AQ15" s="2170">
        <f t="shared" si="3"/>
        <v>0</v>
      </c>
      <c r="AR15" s="2340"/>
      <c r="AS15" s="2170">
        <f t="shared" si="4"/>
        <v>0</v>
      </c>
      <c r="AT15" s="2340"/>
      <c r="AU15" s="2170">
        <f t="shared" si="5"/>
        <v>0</v>
      </c>
      <c r="AV15" s="2340"/>
      <c r="AW15" s="2170">
        <f t="shared" si="6"/>
        <v>0</v>
      </c>
      <c r="AX15" s="2340"/>
      <c r="AY15" s="2170">
        <f t="shared" si="7"/>
        <v>0</v>
      </c>
      <c r="AZ15" s="2340"/>
      <c r="BA15" s="2340"/>
      <c r="BB15" s="2340"/>
      <c r="BC15" s="78"/>
    </row>
    <row r="16" spans="1:55">
      <c r="A16" s="886">
        <v>4</v>
      </c>
      <c r="B16" s="1606" t="s">
        <v>1145</v>
      </c>
      <c r="C16" s="1606" t="s">
        <v>1146</v>
      </c>
      <c r="D16" s="2361">
        <f>SUM(E16:H16)</f>
        <v>0</v>
      </c>
      <c r="E16" s="2362"/>
      <c r="F16" s="2362"/>
      <c r="G16" s="2362"/>
      <c r="H16" s="2362"/>
      <c r="I16" s="2363"/>
      <c r="J16" s="2361">
        <f t="shared" si="8"/>
        <v>0</v>
      </c>
      <c r="K16" s="2362"/>
      <c r="L16" s="2362"/>
      <c r="M16" s="2362"/>
      <c r="N16" s="2362"/>
      <c r="O16" s="2362"/>
      <c r="P16" s="2362"/>
      <c r="Q16" s="2362"/>
      <c r="R16" s="2362"/>
      <c r="S16" s="2362"/>
      <c r="T16" s="2362"/>
      <c r="U16" s="2362"/>
      <c r="V16" s="2362"/>
      <c r="W16" s="2362"/>
      <c r="X16" s="2362"/>
      <c r="Y16" s="2362"/>
      <c r="Z16" s="2362"/>
      <c r="AA16" s="2362"/>
      <c r="AB16" s="2362"/>
      <c r="AC16" s="2362"/>
      <c r="AD16" s="2362"/>
      <c r="AE16" s="2364" t="str">
        <f>IF(D16&lt;&gt;J16,"YES","")</f>
        <v/>
      </c>
      <c r="AF16" s="2340">
        <f>IF(D16&lt;&gt;J16,1,0)</f>
        <v>0</v>
      </c>
      <c r="AG16" s="2170">
        <f t="shared" si="9"/>
        <v>0</v>
      </c>
      <c r="AH16" s="2340"/>
      <c r="AI16" s="2170">
        <f t="shared" si="10"/>
        <v>0</v>
      </c>
      <c r="AJ16" s="2340"/>
      <c r="AK16" s="2170">
        <f t="shared" si="0"/>
        <v>0</v>
      </c>
      <c r="AL16" s="2340"/>
      <c r="AM16" s="2170">
        <f t="shared" si="1"/>
        <v>0</v>
      </c>
      <c r="AN16" s="2340"/>
      <c r="AO16" s="2170">
        <f t="shared" si="2"/>
        <v>0</v>
      </c>
      <c r="AP16" s="2340"/>
      <c r="AQ16" s="2170">
        <f t="shared" si="3"/>
        <v>0</v>
      </c>
      <c r="AR16" s="2340"/>
      <c r="AS16" s="2170">
        <f t="shared" si="4"/>
        <v>0</v>
      </c>
      <c r="AT16" s="2340"/>
      <c r="AU16" s="2170">
        <f t="shared" si="5"/>
        <v>0</v>
      </c>
      <c r="AV16" s="2340"/>
      <c r="AW16" s="2170">
        <f t="shared" si="6"/>
        <v>0</v>
      </c>
      <c r="AX16" s="2340"/>
      <c r="AY16" s="2170">
        <f t="shared" si="7"/>
        <v>0</v>
      </c>
      <c r="AZ16" s="2340"/>
      <c r="BA16" s="2340"/>
      <c r="BB16" s="2340"/>
      <c r="BC16" s="78"/>
    </row>
    <row r="17" spans="1:55" ht="30">
      <c r="A17" s="886">
        <v>5</v>
      </c>
      <c r="B17" s="1606" t="s">
        <v>1147</v>
      </c>
      <c r="C17" s="1606" t="s">
        <v>1148</v>
      </c>
      <c r="D17" s="2361">
        <f>SUM(E17:H17)</f>
        <v>0</v>
      </c>
      <c r="E17" s="1607"/>
      <c r="F17" s="1607"/>
      <c r="G17" s="2362"/>
      <c r="H17" s="2362"/>
      <c r="I17" s="2363"/>
      <c r="J17" s="2361">
        <f t="shared" si="8"/>
        <v>0</v>
      </c>
      <c r="K17" s="2362"/>
      <c r="L17" s="2362"/>
      <c r="M17" s="2362"/>
      <c r="N17" s="2362"/>
      <c r="O17" s="2362"/>
      <c r="P17" s="2362"/>
      <c r="Q17" s="2362"/>
      <c r="R17" s="2362"/>
      <c r="S17" s="2362"/>
      <c r="T17" s="2362"/>
      <c r="U17" s="2362"/>
      <c r="V17" s="2362"/>
      <c r="W17" s="2362"/>
      <c r="X17" s="2362"/>
      <c r="Y17" s="2362"/>
      <c r="Z17" s="2362"/>
      <c r="AA17" s="2362"/>
      <c r="AB17" s="2362"/>
      <c r="AC17" s="2362"/>
      <c r="AD17" s="2362"/>
      <c r="AE17" s="2364" t="str">
        <f>IF(D17&lt;&gt;J17,"YES","")</f>
        <v/>
      </c>
      <c r="AF17" s="2340">
        <f>IF(D17&lt;&gt;J17,1,0)</f>
        <v>0</v>
      </c>
      <c r="AG17" s="2170">
        <f t="shared" si="9"/>
        <v>0</v>
      </c>
      <c r="AH17" s="2340"/>
      <c r="AI17" s="2170">
        <f t="shared" si="10"/>
        <v>0</v>
      </c>
      <c r="AJ17" s="2340"/>
      <c r="AK17" s="2170">
        <f t="shared" si="0"/>
        <v>0</v>
      </c>
      <c r="AL17" s="2340"/>
      <c r="AM17" s="2170">
        <f t="shared" si="1"/>
        <v>0</v>
      </c>
      <c r="AN17" s="2340"/>
      <c r="AO17" s="2170">
        <f t="shared" si="2"/>
        <v>0</v>
      </c>
      <c r="AP17" s="2340"/>
      <c r="AQ17" s="2170">
        <f t="shared" si="3"/>
        <v>0</v>
      </c>
      <c r="AR17" s="2340"/>
      <c r="AS17" s="2170">
        <f t="shared" si="4"/>
        <v>0</v>
      </c>
      <c r="AT17" s="2340"/>
      <c r="AU17" s="2170">
        <f t="shared" si="5"/>
        <v>0</v>
      </c>
      <c r="AV17" s="2340"/>
      <c r="AW17" s="2170">
        <f t="shared" si="6"/>
        <v>0</v>
      </c>
      <c r="AX17" s="2340"/>
      <c r="AY17" s="2170">
        <f t="shared" si="7"/>
        <v>0</v>
      </c>
      <c r="AZ17" s="2340"/>
      <c r="BA17" s="2340"/>
      <c r="BB17" s="2340"/>
      <c r="BC17" s="78"/>
    </row>
    <row r="18" spans="1:55">
      <c r="A18" s="901"/>
      <c r="B18" s="1614"/>
      <c r="C18" s="1608"/>
      <c r="D18" s="1609"/>
      <c r="E18" s="1610"/>
      <c r="F18" s="1610"/>
      <c r="G18" s="1610"/>
      <c r="H18" s="1610"/>
      <c r="I18" s="2363"/>
      <c r="J18" s="1609"/>
      <c r="K18" s="1610"/>
      <c r="L18" s="1610"/>
      <c r="M18" s="1610"/>
      <c r="N18" s="1610"/>
      <c r="O18" s="1610"/>
      <c r="P18" s="1610"/>
      <c r="Q18" s="1610"/>
      <c r="R18" s="1610"/>
      <c r="S18" s="1610"/>
      <c r="T18" s="1610"/>
      <c r="U18" s="1610"/>
      <c r="V18" s="1610"/>
      <c r="W18" s="1610"/>
      <c r="X18" s="1610"/>
      <c r="Y18" s="1610"/>
      <c r="Z18" s="1610"/>
      <c r="AA18" s="1610"/>
      <c r="AB18" s="1610"/>
      <c r="AC18" s="1610"/>
      <c r="AD18" s="1610"/>
      <c r="AE18" s="1610"/>
      <c r="AF18" s="1610"/>
      <c r="AG18" s="1610"/>
      <c r="AH18" s="1610"/>
      <c r="AI18" s="1610"/>
      <c r="AJ18" s="1610"/>
      <c r="AK18" s="1610"/>
      <c r="AL18" s="1610"/>
      <c r="AM18" s="1610"/>
      <c r="AN18" s="1610"/>
      <c r="AO18" s="1610"/>
      <c r="AP18" s="1610"/>
      <c r="AQ18" s="1610"/>
      <c r="AR18" s="1610"/>
      <c r="AS18" s="1610"/>
      <c r="AT18" s="1610"/>
      <c r="AU18" s="1610"/>
      <c r="AV18" s="1610"/>
      <c r="AW18" s="1610"/>
      <c r="AX18" s="1610"/>
      <c r="AY18" s="1610"/>
      <c r="AZ18" s="1610"/>
      <c r="BA18" s="1610"/>
      <c r="BB18" s="1610"/>
      <c r="BC18" s="78"/>
    </row>
    <row r="19" spans="1:55" ht="15.75">
      <c r="A19" s="901"/>
      <c r="B19" s="1621" t="s">
        <v>1813</v>
      </c>
      <c r="C19" s="1602"/>
      <c r="D19" s="1611"/>
      <c r="E19" s="1612"/>
      <c r="F19" s="1612"/>
      <c r="G19" s="1612"/>
      <c r="H19" s="1612"/>
      <c r="I19" s="2363"/>
      <c r="J19" s="1611"/>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c r="AP19" s="1612"/>
      <c r="AQ19" s="1612"/>
      <c r="AR19" s="1612"/>
      <c r="AS19" s="1612"/>
      <c r="AT19" s="1612"/>
      <c r="AU19" s="1612"/>
      <c r="AV19" s="1612"/>
      <c r="AW19" s="1612"/>
      <c r="AX19" s="1612"/>
      <c r="AY19" s="1612"/>
      <c r="AZ19" s="1612"/>
      <c r="BA19" s="1612"/>
      <c r="BB19" s="1612"/>
      <c r="BC19" s="78"/>
    </row>
    <row r="20" spans="1:55">
      <c r="A20" s="886">
        <v>6</v>
      </c>
      <c r="B20" s="1606" t="s">
        <v>1149</v>
      </c>
      <c r="C20" s="1606" t="s">
        <v>1150</v>
      </c>
      <c r="D20" s="2361">
        <f>SUM(E20:H20)</f>
        <v>0</v>
      </c>
      <c r="E20" s="2362"/>
      <c r="F20" s="2362"/>
      <c r="G20" s="2362"/>
      <c r="H20" s="2362"/>
      <c r="I20" s="2363"/>
      <c r="J20" s="2361">
        <f t="shared" ref="J20:J22" si="11">K20+M20+O20+Q20+S20+U20+W20+Y20+AA20+AC20</f>
        <v>0</v>
      </c>
      <c r="K20" s="2362"/>
      <c r="L20" s="2362"/>
      <c r="M20" s="2362"/>
      <c r="N20" s="2362"/>
      <c r="O20" s="2362"/>
      <c r="P20" s="2362"/>
      <c r="Q20" s="2362"/>
      <c r="R20" s="2362"/>
      <c r="S20" s="2362"/>
      <c r="T20" s="2362"/>
      <c r="U20" s="2362"/>
      <c r="V20" s="2362"/>
      <c r="W20" s="2362"/>
      <c r="X20" s="2362"/>
      <c r="Y20" s="2362"/>
      <c r="Z20" s="2362"/>
      <c r="AA20" s="2362"/>
      <c r="AB20" s="2362"/>
      <c r="AC20" s="2362"/>
      <c r="AD20" s="2362"/>
      <c r="AE20" s="2364" t="str">
        <f>IF(D20&lt;&gt;J20,"YES","")</f>
        <v/>
      </c>
      <c r="AF20" s="2340">
        <f>IF(D20&lt;&gt;J20,1,0)</f>
        <v>0</v>
      </c>
      <c r="AG20" s="2170">
        <f t="shared" ref="AG20:AG22" si="12">IF(AND(K20&gt;0,L20&lt;0.1),1,0)</f>
        <v>0</v>
      </c>
      <c r="AH20" s="2340"/>
      <c r="AI20" s="2170">
        <f t="shared" ref="AI20:AI22" si="13">IF(AND(M20&gt;0,N20&lt;0.1),1,0)</f>
        <v>0</v>
      </c>
      <c r="AJ20" s="2340"/>
      <c r="AK20" s="2170">
        <f t="shared" ref="AK20:AK22" si="14">IF(AND(O20&gt;0,P20&lt;0.1),1,0)</f>
        <v>0</v>
      </c>
      <c r="AL20" s="2340"/>
      <c r="AM20" s="2170">
        <f t="shared" ref="AM20:AM22" si="15">IF(AND(Q20&gt;0,R20&lt;0.1),1,0)</f>
        <v>0</v>
      </c>
      <c r="AN20" s="2340"/>
      <c r="AO20" s="2170">
        <f t="shared" ref="AO20:AO22" si="16">IF(AND(S20&gt;0,T20&lt;0.1),1,0)</f>
        <v>0</v>
      </c>
      <c r="AP20" s="2340"/>
      <c r="AQ20" s="2170">
        <f t="shared" ref="AQ20:AQ22" si="17">IF(AND(U20&gt;0,V20&lt;0.1),1,0)</f>
        <v>0</v>
      </c>
      <c r="AR20" s="2340"/>
      <c r="AS20" s="2170">
        <f t="shared" ref="AS20:AS22" si="18">IF(AND(W20&gt;0,X20&lt;0.1),1,0)</f>
        <v>0</v>
      </c>
      <c r="AT20" s="2340"/>
      <c r="AU20" s="2170">
        <f t="shared" ref="AU20:AU22" si="19">IF(AND(Y20&gt;0,Z20&lt;0.1),1,0)</f>
        <v>0</v>
      </c>
      <c r="AV20" s="2340"/>
      <c r="AW20" s="2170">
        <f t="shared" ref="AW20:AW22" si="20">IF(AND(AA20&gt;0,AB20&lt;0.1),1,0)</f>
        <v>0</v>
      </c>
      <c r="AX20" s="2340"/>
      <c r="AY20" s="2170">
        <f t="shared" ref="AY20:AY22" si="21">IF(AND(AC20&gt;0,AD20&lt;0.1),1,0)</f>
        <v>0</v>
      </c>
      <c r="AZ20" s="2340"/>
      <c r="BA20" s="2340"/>
      <c r="BB20" s="2340"/>
      <c r="BC20" s="78"/>
    </row>
    <row r="21" spans="1:55">
      <c r="A21" s="886">
        <v>7</v>
      </c>
      <c r="B21" s="1606" t="s">
        <v>2295</v>
      </c>
      <c r="C21" s="1606"/>
      <c r="D21" s="2361">
        <f>SUM(E21:H21)</f>
        <v>0</v>
      </c>
      <c r="E21" s="2362"/>
      <c r="F21" s="1167"/>
      <c r="G21" s="2362"/>
      <c r="H21" s="1167"/>
      <c r="I21" s="2363"/>
      <c r="J21" s="2361">
        <f t="shared" si="11"/>
        <v>0</v>
      </c>
      <c r="K21" s="2362"/>
      <c r="L21" s="2362"/>
      <c r="M21" s="2362"/>
      <c r="N21" s="2362"/>
      <c r="O21" s="2362"/>
      <c r="P21" s="2362"/>
      <c r="Q21" s="2362"/>
      <c r="R21" s="2362"/>
      <c r="S21" s="2362"/>
      <c r="T21" s="2362"/>
      <c r="U21" s="2362"/>
      <c r="V21" s="2362"/>
      <c r="W21" s="2362"/>
      <c r="X21" s="2362"/>
      <c r="Y21" s="2362"/>
      <c r="Z21" s="2362"/>
      <c r="AA21" s="2362"/>
      <c r="AB21" s="2362"/>
      <c r="AC21" s="2362"/>
      <c r="AD21" s="2362"/>
      <c r="AE21" s="2364" t="str">
        <f>IF(D21&lt;&gt;J21,"YES","")</f>
        <v/>
      </c>
      <c r="AF21" s="2340">
        <f>IF(D21&lt;&gt;J21,1,0)</f>
        <v>0</v>
      </c>
      <c r="AG21" s="2170">
        <f t="shared" si="12"/>
        <v>0</v>
      </c>
      <c r="AH21" s="2340"/>
      <c r="AI21" s="2170">
        <f t="shared" si="13"/>
        <v>0</v>
      </c>
      <c r="AJ21" s="2340"/>
      <c r="AK21" s="2170">
        <f t="shared" si="14"/>
        <v>0</v>
      </c>
      <c r="AL21" s="2340"/>
      <c r="AM21" s="2170">
        <f t="shared" si="15"/>
        <v>0</v>
      </c>
      <c r="AN21" s="2340"/>
      <c r="AO21" s="2170">
        <f t="shared" si="16"/>
        <v>0</v>
      </c>
      <c r="AP21" s="2340"/>
      <c r="AQ21" s="2170">
        <f t="shared" si="17"/>
        <v>0</v>
      </c>
      <c r="AR21" s="2340"/>
      <c r="AS21" s="2170">
        <f t="shared" si="18"/>
        <v>0</v>
      </c>
      <c r="AT21" s="2340"/>
      <c r="AU21" s="2170">
        <f t="shared" si="19"/>
        <v>0</v>
      </c>
      <c r="AV21" s="2340"/>
      <c r="AW21" s="2170">
        <f t="shared" si="20"/>
        <v>0</v>
      </c>
      <c r="AX21" s="2340"/>
      <c r="AY21" s="2170">
        <f t="shared" si="21"/>
        <v>0</v>
      </c>
      <c r="AZ21" s="2340"/>
      <c r="BA21" s="2340"/>
      <c r="BB21" s="2340"/>
      <c r="BC21" s="78"/>
    </row>
    <row r="22" spans="1:55" ht="30">
      <c r="A22" s="886">
        <v>8</v>
      </c>
      <c r="B22" s="1606" t="s">
        <v>257</v>
      </c>
      <c r="C22" s="1606" t="s">
        <v>1151</v>
      </c>
      <c r="D22" s="2361">
        <f>SUM(E22:H22)</f>
        <v>0</v>
      </c>
      <c r="E22" s="1167"/>
      <c r="F22" s="1167"/>
      <c r="G22" s="2362"/>
      <c r="H22" s="2362"/>
      <c r="I22" s="2363"/>
      <c r="J22" s="2361">
        <f t="shared" si="11"/>
        <v>0</v>
      </c>
      <c r="K22" s="2362"/>
      <c r="L22" s="2362"/>
      <c r="M22" s="2362"/>
      <c r="N22" s="2362"/>
      <c r="O22" s="2362"/>
      <c r="P22" s="2362"/>
      <c r="Q22" s="2362"/>
      <c r="R22" s="2362"/>
      <c r="S22" s="2362"/>
      <c r="T22" s="2362"/>
      <c r="U22" s="2362"/>
      <c r="V22" s="2362"/>
      <c r="W22" s="2362"/>
      <c r="X22" s="2362"/>
      <c r="Y22" s="2362"/>
      <c r="Z22" s="2362"/>
      <c r="AA22" s="2362"/>
      <c r="AB22" s="2362"/>
      <c r="AC22" s="2362"/>
      <c r="AD22" s="2362"/>
      <c r="AE22" s="2364" t="str">
        <f>IF(D22&lt;&gt;J22,"YES","")</f>
        <v/>
      </c>
      <c r="AF22" s="2340">
        <f>IF(D22&lt;&gt;J22,1,0)</f>
        <v>0</v>
      </c>
      <c r="AG22" s="2170">
        <f t="shared" si="12"/>
        <v>0</v>
      </c>
      <c r="AH22" s="2340"/>
      <c r="AI22" s="2170">
        <f t="shared" si="13"/>
        <v>0</v>
      </c>
      <c r="AJ22" s="2340"/>
      <c r="AK22" s="2170">
        <f t="shared" si="14"/>
        <v>0</v>
      </c>
      <c r="AL22" s="2340"/>
      <c r="AM22" s="2170">
        <f t="shared" si="15"/>
        <v>0</v>
      </c>
      <c r="AN22" s="2340"/>
      <c r="AO22" s="2170">
        <f t="shared" si="16"/>
        <v>0</v>
      </c>
      <c r="AP22" s="2340"/>
      <c r="AQ22" s="2170">
        <f t="shared" si="17"/>
        <v>0</v>
      </c>
      <c r="AR22" s="2340"/>
      <c r="AS22" s="2170">
        <f t="shared" si="18"/>
        <v>0</v>
      </c>
      <c r="AT22" s="2340"/>
      <c r="AU22" s="2170">
        <f t="shared" si="19"/>
        <v>0</v>
      </c>
      <c r="AV22" s="2340"/>
      <c r="AW22" s="2170">
        <f t="shared" si="20"/>
        <v>0</v>
      </c>
      <c r="AX22" s="2340"/>
      <c r="AY22" s="2170">
        <f t="shared" si="21"/>
        <v>0</v>
      </c>
      <c r="AZ22" s="2340"/>
      <c r="BA22" s="2340"/>
      <c r="BB22" s="2340"/>
      <c r="BC22" s="78"/>
    </row>
    <row r="23" spans="1:55">
      <c r="A23" s="901"/>
      <c r="B23" s="1614"/>
      <c r="C23" s="1614"/>
      <c r="D23" s="1609"/>
      <c r="E23" s="1615"/>
      <c r="F23" s="1615"/>
      <c r="G23" s="1615"/>
      <c r="H23" s="1615"/>
      <c r="I23" s="2363"/>
      <c r="J23" s="1609"/>
      <c r="K23" s="1615"/>
      <c r="L23" s="1615"/>
      <c r="M23" s="1615"/>
      <c r="N23" s="1615"/>
      <c r="O23" s="1615"/>
      <c r="P23" s="1615"/>
      <c r="Q23" s="1615"/>
      <c r="R23" s="1615"/>
      <c r="S23" s="1615"/>
      <c r="T23" s="1615"/>
      <c r="U23" s="1615"/>
      <c r="V23" s="1615"/>
      <c r="W23" s="1615"/>
      <c r="X23" s="1615"/>
      <c r="Y23" s="1615"/>
      <c r="Z23" s="1615"/>
      <c r="AA23" s="1615"/>
      <c r="AB23" s="1615"/>
      <c r="AC23" s="1615"/>
      <c r="AD23" s="1615"/>
      <c r="AE23" s="1615"/>
      <c r="AF23" s="1615"/>
      <c r="AG23" s="1615"/>
      <c r="AH23" s="1615"/>
      <c r="AI23" s="1615"/>
      <c r="AJ23" s="1615"/>
      <c r="AK23" s="1615"/>
      <c r="AL23" s="1615"/>
      <c r="AM23" s="1615"/>
      <c r="AN23" s="1615"/>
      <c r="AO23" s="1615"/>
      <c r="AP23" s="1615"/>
      <c r="AQ23" s="1615"/>
      <c r="AR23" s="1615"/>
      <c r="AS23" s="1615"/>
      <c r="AT23" s="1615"/>
      <c r="AU23" s="1615"/>
      <c r="AV23" s="1615"/>
      <c r="AW23" s="1615"/>
      <c r="AX23" s="1615"/>
      <c r="AY23" s="1615"/>
      <c r="AZ23" s="1615"/>
      <c r="BA23" s="1615"/>
      <c r="BB23" s="1615"/>
      <c r="BC23" s="78"/>
    </row>
    <row r="24" spans="1:55" ht="31.5">
      <c r="A24" s="901"/>
      <c r="B24" s="1616" t="s">
        <v>1152</v>
      </c>
      <c r="C24" s="1617"/>
      <c r="D24" s="1611"/>
      <c r="E24" s="1612"/>
      <c r="F24" s="1612"/>
      <c r="G24" s="1612"/>
      <c r="H24" s="1612"/>
      <c r="I24" s="2363"/>
      <c r="J24" s="1611"/>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c r="AP24" s="1612"/>
      <c r="AQ24" s="1612"/>
      <c r="AR24" s="1612"/>
      <c r="AS24" s="1612"/>
      <c r="AT24" s="1612"/>
      <c r="AU24" s="1612"/>
      <c r="AV24" s="1612"/>
      <c r="AW24" s="1612"/>
      <c r="AX24" s="1612"/>
      <c r="AY24" s="1612"/>
      <c r="AZ24" s="1612"/>
      <c r="BA24" s="1612"/>
      <c r="BB24" s="1612"/>
      <c r="BC24" s="78"/>
    </row>
    <row r="25" spans="1:55">
      <c r="A25" s="886">
        <v>9</v>
      </c>
      <c r="B25" s="1630" t="s">
        <v>1153</v>
      </c>
      <c r="C25" s="1606" t="s">
        <v>1154</v>
      </c>
      <c r="D25" s="2361">
        <f t="shared" ref="D25:D31" si="22">SUM(E25:H25)</f>
        <v>0</v>
      </c>
      <c r="E25" s="2362"/>
      <c r="F25" s="2362"/>
      <c r="G25" s="2362"/>
      <c r="H25" s="2362"/>
      <c r="I25" s="2363"/>
      <c r="J25" s="2361">
        <f t="shared" ref="J25:J31" si="23">K25+M25+O25+Q25+S25+U25+W25+Y25+AA25+AC25</f>
        <v>0</v>
      </c>
      <c r="K25" s="2362"/>
      <c r="L25" s="2362"/>
      <c r="M25" s="2362"/>
      <c r="N25" s="2362"/>
      <c r="O25" s="2362"/>
      <c r="P25" s="2362"/>
      <c r="Q25" s="2362"/>
      <c r="R25" s="2362"/>
      <c r="S25" s="2362"/>
      <c r="T25" s="2362"/>
      <c r="U25" s="2362"/>
      <c r="V25" s="2362"/>
      <c r="W25" s="2362"/>
      <c r="X25" s="2362"/>
      <c r="Y25" s="2362"/>
      <c r="Z25" s="2362"/>
      <c r="AA25" s="2362"/>
      <c r="AB25" s="2362"/>
      <c r="AC25" s="2362"/>
      <c r="AD25" s="2362"/>
      <c r="AE25" s="2364" t="str">
        <f t="shared" ref="AE25:AE31" si="24">IF(D25&lt;&gt;J25,"YES","")</f>
        <v/>
      </c>
      <c r="AF25" s="2340">
        <f t="shared" ref="AF25:AF31" si="25">IF(D25&lt;&gt;J25,1,0)</f>
        <v>0</v>
      </c>
      <c r="AG25" s="2170">
        <f t="shared" ref="AG25:AG31" si="26">IF(AND(K25&gt;0,L25&lt;0.1),1,0)</f>
        <v>0</v>
      </c>
      <c r="AH25" s="2340"/>
      <c r="AI25" s="2170">
        <f t="shared" ref="AI25:AI31" si="27">IF(AND(M25&gt;0,N25&lt;0.1),1,0)</f>
        <v>0</v>
      </c>
      <c r="AJ25" s="2340"/>
      <c r="AK25" s="2170">
        <f t="shared" ref="AK25:AK31" si="28">IF(AND(O25&gt;0,P25&lt;0.1),1,0)</f>
        <v>0</v>
      </c>
      <c r="AL25" s="2340"/>
      <c r="AM25" s="2170">
        <f t="shared" ref="AM25:AM31" si="29">IF(AND(Q25&gt;0,R25&lt;0.1),1,0)</f>
        <v>0</v>
      </c>
      <c r="AN25" s="2340"/>
      <c r="AO25" s="2170">
        <f t="shared" ref="AO25:AO31" si="30">IF(AND(S25&gt;0,T25&lt;0.1),1,0)</f>
        <v>0</v>
      </c>
      <c r="AP25" s="2340"/>
      <c r="AQ25" s="2170">
        <f t="shared" ref="AQ25:AQ31" si="31">IF(AND(U25&gt;0,V25&lt;0.1),1,0)</f>
        <v>0</v>
      </c>
      <c r="AR25" s="2340"/>
      <c r="AS25" s="2170">
        <f t="shared" ref="AS25:AS31" si="32">IF(AND(W25&gt;0,X25&lt;0.1),1,0)</f>
        <v>0</v>
      </c>
      <c r="AT25" s="2340"/>
      <c r="AU25" s="2170">
        <f t="shared" ref="AU25:AU31" si="33">IF(AND(Y25&gt;0,Z25&lt;0.1),1,0)</f>
        <v>0</v>
      </c>
      <c r="AV25" s="2340"/>
      <c r="AW25" s="2170">
        <f t="shared" ref="AW25:AW31" si="34">IF(AND(AA25&gt;0,AB25&lt;0.1),1,0)</f>
        <v>0</v>
      </c>
      <c r="AX25" s="2340"/>
      <c r="AY25" s="2170">
        <f t="shared" ref="AY25:AY31" si="35">IF(AND(AC25&gt;0,AD25&lt;0.1),1,0)</f>
        <v>0</v>
      </c>
      <c r="AZ25" s="2340"/>
      <c r="BA25" s="2340"/>
      <c r="BB25" s="2340"/>
      <c r="BC25" s="78"/>
    </row>
    <row r="26" spans="1:55">
      <c r="A26" s="886">
        <v>10</v>
      </c>
      <c r="B26" s="1630" t="s">
        <v>1155</v>
      </c>
      <c r="C26" s="1606" t="s">
        <v>1156</v>
      </c>
      <c r="D26" s="2361">
        <f t="shared" si="22"/>
        <v>0</v>
      </c>
      <c r="E26" s="2362"/>
      <c r="F26" s="2362"/>
      <c r="G26" s="2362"/>
      <c r="H26" s="2362"/>
      <c r="I26" s="2363"/>
      <c r="J26" s="2361">
        <f t="shared" si="23"/>
        <v>0</v>
      </c>
      <c r="K26" s="2362"/>
      <c r="L26" s="2362"/>
      <c r="M26" s="2362"/>
      <c r="N26" s="2362"/>
      <c r="O26" s="2362"/>
      <c r="P26" s="2362"/>
      <c r="Q26" s="2362"/>
      <c r="R26" s="2362"/>
      <c r="S26" s="2362"/>
      <c r="T26" s="2362"/>
      <c r="U26" s="2362"/>
      <c r="V26" s="2362"/>
      <c r="W26" s="2362"/>
      <c r="X26" s="2362"/>
      <c r="Y26" s="2362"/>
      <c r="Z26" s="2362"/>
      <c r="AA26" s="2362"/>
      <c r="AB26" s="2362"/>
      <c r="AC26" s="2362"/>
      <c r="AD26" s="2362"/>
      <c r="AE26" s="2364" t="str">
        <f t="shared" si="24"/>
        <v/>
      </c>
      <c r="AF26" s="2340">
        <f t="shared" si="25"/>
        <v>0</v>
      </c>
      <c r="AG26" s="2170">
        <f t="shared" si="26"/>
        <v>0</v>
      </c>
      <c r="AH26" s="2340"/>
      <c r="AI26" s="2170">
        <f t="shared" si="27"/>
        <v>0</v>
      </c>
      <c r="AJ26" s="2340"/>
      <c r="AK26" s="2170">
        <f t="shared" si="28"/>
        <v>0</v>
      </c>
      <c r="AL26" s="2340"/>
      <c r="AM26" s="2170">
        <f t="shared" si="29"/>
        <v>0</v>
      </c>
      <c r="AN26" s="2340"/>
      <c r="AO26" s="2170">
        <f t="shared" si="30"/>
        <v>0</v>
      </c>
      <c r="AP26" s="2340"/>
      <c r="AQ26" s="2170">
        <f t="shared" si="31"/>
        <v>0</v>
      </c>
      <c r="AR26" s="2340"/>
      <c r="AS26" s="2170">
        <f t="shared" si="32"/>
        <v>0</v>
      </c>
      <c r="AT26" s="2340"/>
      <c r="AU26" s="2170">
        <f t="shared" si="33"/>
        <v>0</v>
      </c>
      <c r="AV26" s="2340"/>
      <c r="AW26" s="2170">
        <f t="shared" si="34"/>
        <v>0</v>
      </c>
      <c r="AX26" s="2340"/>
      <c r="AY26" s="2170">
        <f t="shared" si="35"/>
        <v>0</v>
      </c>
      <c r="AZ26" s="2340"/>
      <c r="BA26" s="2340"/>
      <c r="BB26" s="2340"/>
      <c r="BC26" s="78"/>
    </row>
    <row r="27" spans="1:55">
      <c r="A27" s="886">
        <v>11</v>
      </c>
      <c r="B27" s="1630" t="s">
        <v>1157</v>
      </c>
      <c r="C27" s="1606" t="s">
        <v>1158</v>
      </c>
      <c r="D27" s="2361">
        <f t="shared" si="22"/>
        <v>0</v>
      </c>
      <c r="E27" s="2362"/>
      <c r="F27" s="2362"/>
      <c r="G27" s="2362"/>
      <c r="H27" s="2362"/>
      <c r="I27" s="2363"/>
      <c r="J27" s="2361">
        <f t="shared" si="23"/>
        <v>0</v>
      </c>
      <c r="K27" s="2362"/>
      <c r="L27" s="2362"/>
      <c r="M27" s="2362"/>
      <c r="N27" s="2362"/>
      <c r="O27" s="2362"/>
      <c r="P27" s="2362"/>
      <c r="Q27" s="2362"/>
      <c r="R27" s="2362"/>
      <c r="S27" s="2362"/>
      <c r="T27" s="2362"/>
      <c r="U27" s="2362"/>
      <c r="V27" s="2362"/>
      <c r="W27" s="2362"/>
      <c r="X27" s="2362"/>
      <c r="Y27" s="2362"/>
      <c r="Z27" s="2362"/>
      <c r="AA27" s="2362"/>
      <c r="AB27" s="2362"/>
      <c r="AC27" s="2362"/>
      <c r="AD27" s="2362"/>
      <c r="AE27" s="2364" t="str">
        <f t="shared" si="24"/>
        <v/>
      </c>
      <c r="AF27" s="2340">
        <f t="shared" si="25"/>
        <v>0</v>
      </c>
      <c r="AG27" s="2170">
        <f t="shared" si="26"/>
        <v>0</v>
      </c>
      <c r="AH27" s="2340"/>
      <c r="AI27" s="2170">
        <f t="shared" si="27"/>
        <v>0</v>
      </c>
      <c r="AJ27" s="2340"/>
      <c r="AK27" s="2170">
        <f t="shared" si="28"/>
        <v>0</v>
      </c>
      <c r="AL27" s="2340"/>
      <c r="AM27" s="2170">
        <f t="shared" si="29"/>
        <v>0</v>
      </c>
      <c r="AN27" s="2340"/>
      <c r="AO27" s="2170">
        <f t="shared" si="30"/>
        <v>0</v>
      </c>
      <c r="AP27" s="2340"/>
      <c r="AQ27" s="2170">
        <f t="shared" si="31"/>
        <v>0</v>
      </c>
      <c r="AR27" s="2340"/>
      <c r="AS27" s="2170">
        <f t="shared" si="32"/>
        <v>0</v>
      </c>
      <c r="AT27" s="2340"/>
      <c r="AU27" s="2170">
        <f t="shared" si="33"/>
        <v>0</v>
      </c>
      <c r="AV27" s="2340"/>
      <c r="AW27" s="2170">
        <f t="shared" si="34"/>
        <v>0</v>
      </c>
      <c r="AX27" s="2340"/>
      <c r="AY27" s="2170">
        <f t="shared" si="35"/>
        <v>0</v>
      </c>
      <c r="AZ27" s="2340"/>
      <c r="BA27" s="2340"/>
      <c r="BB27" s="2340"/>
      <c r="BC27" s="78"/>
    </row>
    <row r="28" spans="1:55">
      <c r="A28" s="886">
        <v>12</v>
      </c>
      <c r="B28" s="1630" t="s">
        <v>1159</v>
      </c>
      <c r="C28" s="1606" t="s">
        <v>1160</v>
      </c>
      <c r="D28" s="2361">
        <f t="shared" si="22"/>
        <v>0</v>
      </c>
      <c r="E28" s="2362"/>
      <c r="F28" s="2362"/>
      <c r="G28" s="2362"/>
      <c r="H28" s="2362"/>
      <c r="I28" s="2363"/>
      <c r="J28" s="2361">
        <f t="shared" si="23"/>
        <v>0</v>
      </c>
      <c r="K28" s="2362"/>
      <c r="L28" s="2362"/>
      <c r="M28" s="2362"/>
      <c r="N28" s="2362"/>
      <c r="O28" s="2362"/>
      <c r="P28" s="2362"/>
      <c r="Q28" s="2362"/>
      <c r="R28" s="2362"/>
      <c r="S28" s="2362"/>
      <c r="T28" s="2362"/>
      <c r="U28" s="2362"/>
      <c r="V28" s="2362"/>
      <c r="W28" s="2362"/>
      <c r="X28" s="2362"/>
      <c r="Y28" s="2362"/>
      <c r="Z28" s="2362"/>
      <c r="AA28" s="2362"/>
      <c r="AB28" s="2362"/>
      <c r="AC28" s="2362"/>
      <c r="AD28" s="2362"/>
      <c r="AE28" s="2364" t="str">
        <f t="shared" si="24"/>
        <v/>
      </c>
      <c r="AF28" s="2340">
        <f t="shared" si="25"/>
        <v>0</v>
      </c>
      <c r="AG28" s="2170">
        <f t="shared" si="26"/>
        <v>0</v>
      </c>
      <c r="AH28" s="2340"/>
      <c r="AI28" s="2170">
        <f t="shared" si="27"/>
        <v>0</v>
      </c>
      <c r="AJ28" s="2340"/>
      <c r="AK28" s="2170">
        <f t="shared" si="28"/>
        <v>0</v>
      </c>
      <c r="AL28" s="2340"/>
      <c r="AM28" s="2170">
        <f t="shared" si="29"/>
        <v>0</v>
      </c>
      <c r="AN28" s="2340"/>
      <c r="AO28" s="2170">
        <f t="shared" si="30"/>
        <v>0</v>
      </c>
      <c r="AP28" s="2340"/>
      <c r="AQ28" s="2170">
        <f t="shared" si="31"/>
        <v>0</v>
      </c>
      <c r="AR28" s="2340"/>
      <c r="AS28" s="2170">
        <f t="shared" si="32"/>
        <v>0</v>
      </c>
      <c r="AT28" s="2340"/>
      <c r="AU28" s="2170">
        <f t="shared" si="33"/>
        <v>0</v>
      </c>
      <c r="AV28" s="2340"/>
      <c r="AW28" s="2170">
        <f t="shared" si="34"/>
        <v>0</v>
      </c>
      <c r="AX28" s="2340"/>
      <c r="AY28" s="2170">
        <f t="shared" si="35"/>
        <v>0</v>
      </c>
      <c r="AZ28" s="2340"/>
      <c r="BA28" s="2340"/>
      <c r="BB28" s="2340"/>
      <c r="BC28" s="78"/>
    </row>
    <row r="29" spans="1:55">
      <c r="A29" s="886">
        <v>13</v>
      </c>
      <c r="B29" s="1630" t="s">
        <v>1688</v>
      </c>
      <c r="C29" s="1606" t="s">
        <v>1161</v>
      </c>
      <c r="D29" s="2361">
        <f t="shared" si="22"/>
        <v>0</v>
      </c>
      <c r="E29" s="2362"/>
      <c r="F29" s="2362"/>
      <c r="G29" s="2362"/>
      <c r="H29" s="2362"/>
      <c r="I29" s="2363"/>
      <c r="J29" s="2361">
        <f t="shared" si="23"/>
        <v>0</v>
      </c>
      <c r="K29" s="2362"/>
      <c r="L29" s="2362"/>
      <c r="M29" s="2362"/>
      <c r="N29" s="2362"/>
      <c r="O29" s="2362"/>
      <c r="P29" s="2362"/>
      <c r="Q29" s="2362"/>
      <c r="R29" s="2362"/>
      <c r="S29" s="2362"/>
      <c r="T29" s="2362"/>
      <c r="U29" s="2362"/>
      <c r="V29" s="2362"/>
      <c r="W29" s="2362"/>
      <c r="X29" s="2362"/>
      <c r="Y29" s="2362"/>
      <c r="Z29" s="2362"/>
      <c r="AA29" s="2362"/>
      <c r="AB29" s="2362"/>
      <c r="AC29" s="2362"/>
      <c r="AD29" s="2362"/>
      <c r="AE29" s="2364" t="str">
        <f t="shared" si="24"/>
        <v/>
      </c>
      <c r="AF29" s="2340">
        <f t="shared" si="25"/>
        <v>0</v>
      </c>
      <c r="AG29" s="2170">
        <f t="shared" si="26"/>
        <v>0</v>
      </c>
      <c r="AH29" s="2340"/>
      <c r="AI29" s="2170">
        <f t="shared" si="27"/>
        <v>0</v>
      </c>
      <c r="AJ29" s="2340"/>
      <c r="AK29" s="2170">
        <f t="shared" si="28"/>
        <v>0</v>
      </c>
      <c r="AL29" s="2340"/>
      <c r="AM29" s="2170">
        <f t="shared" si="29"/>
        <v>0</v>
      </c>
      <c r="AN29" s="2340"/>
      <c r="AO29" s="2170">
        <f t="shared" si="30"/>
        <v>0</v>
      </c>
      <c r="AP29" s="2340"/>
      <c r="AQ29" s="2170">
        <f t="shared" si="31"/>
        <v>0</v>
      </c>
      <c r="AR29" s="2340"/>
      <c r="AS29" s="2170">
        <f t="shared" si="32"/>
        <v>0</v>
      </c>
      <c r="AT29" s="2340"/>
      <c r="AU29" s="2170">
        <f t="shared" si="33"/>
        <v>0</v>
      </c>
      <c r="AV29" s="2340"/>
      <c r="AW29" s="2170">
        <f t="shared" si="34"/>
        <v>0</v>
      </c>
      <c r="AX29" s="2340"/>
      <c r="AY29" s="2170">
        <f t="shared" si="35"/>
        <v>0</v>
      </c>
      <c r="AZ29" s="2340"/>
      <c r="BA29" s="2340"/>
      <c r="BB29" s="2340"/>
      <c r="BC29" s="78"/>
    </row>
    <row r="30" spans="1:55" ht="30">
      <c r="A30" s="886">
        <v>14</v>
      </c>
      <c r="B30" s="1630" t="s">
        <v>1162</v>
      </c>
      <c r="C30" s="1606" t="s">
        <v>1163</v>
      </c>
      <c r="D30" s="2361">
        <f t="shared" si="22"/>
        <v>0</v>
      </c>
      <c r="E30" s="2362"/>
      <c r="F30" s="2362"/>
      <c r="G30" s="2362"/>
      <c r="H30" s="2362"/>
      <c r="I30" s="2363"/>
      <c r="J30" s="2361">
        <f t="shared" si="23"/>
        <v>0</v>
      </c>
      <c r="K30" s="2362"/>
      <c r="L30" s="2362"/>
      <c r="M30" s="2362"/>
      <c r="N30" s="2362"/>
      <c r="O30" s="2362"/>
      <c r="P30" s="2362"/>
      <c r="Q30" s="2362"/>
      <c r="R30" s="2362"/>
      <c r="S30" s="2362"/>
      <c r="T30" s="2362"/>
      <c r="U30" s="2362"/>
      <c r="V30" s="2362"/>
      <c r="W30" s="2362"/>
      <c r="X30" s="2362"/>
      <c r="Y30" s="2362"/>
      <c r="Z30" s="2362"/>
      <c r="AA30" s="2362"/>
      <c r="AB30" s="2362"/>
      <c r="AC30" s="2362"/>
      <c r="AD30" s="2362"/>
      <c r="AE30" s="2364" t="str">
        <f t="shared" si="24"/>
        <v/>
      </c>
      <c r="AF30" s="2340">
        <f t="shared" si="25"/>
        <v>0</v>
      </c>
      <c r="AG30" s="2170">
        <f t="shared" si="26"/>
        <v>0</v>
      </c>
      <c r="AH30" s="2340"/>
      <c r="AI30" s="2170">
        <f t="shared" si="27"/>
        <v>0</v>
      </c>
      <c r="AJ30" s="2340"/>
      <c r="AK30" s="2170">
        <f t="shared" si="28"/>
        <v>0</v>
      </c>
      <c r="AL30" s="2340"/>
      <c r="AM30" s="2170">
        <f t="shared" si="29"/>
        <v>0</v>
      </c>
      <c r="AN30" s="2340"/>
      <c r="AO30" s="2170">
        <f t="shared" si="30"/>
        <v>0</v>
      </c>
      <c r="AP30" s="2340"/>
      <c r="AQ30" s="2170">
        <f t="shared" si="31"/>
        <v>0</v>
      </c>
      <c r="AR30" s="2340"/>
      <c r="AS30" s="2170">
        <f t="shared" si="32"/>
        <v>0</v>
      </c>
      <c r="AT30" s="2340"/>
      <c r="AU30" s="2170">
        <f t="shared" si="33"/>
        <v>0</v>
      </c>
      <c r="AV30" s="2340"/>
      <c r="AW30" s="2170">
        <f t="shared" si="34"/>
        <v>0</v>
      </c>
      <c r="AX30" s="2340"/>
      <c r="AY30" s="2170">
        <f t="shared" si="35"/>
        <v>0</v>
      </c>
      <c r="AZ30" s="2340"/>
      <c r="BA30" s="2340"/>
      <c r="BB30" s="2340"/>
      <c r="BC30" s="78"/>
    </row>
    <row r="31" spans="1:55">
      <c r="A31" s="886">
        <v>15</v>
      </c>
      <c r="B31" s="1630" t="s">
        <v>1164</v>
      </c>
      <c r="C31" s="1606" t="s">
        <v>1165</v>
      </c>
      <c r="D31" s="2361">
        <f t="shared" si="22"/>
        <v>0</v>
      </c>
      <c r="E31" s="2362"/>
      <c r="F31" s="2362"/>
      <c r="G31" s="2362"/>
      <c r="H31" s="2362"/>
      <c r="I31" s="2363"/>
      <c r="J31" s="2361">
        <f t="shared" si="23"/>
        <v>0</v>
      </c>
      <c r="K31" s="2362"/>
      <c r="L31" s="2362"/>
      <c r="M31" s="2362"/>
      <c r="N31" s="2362"/>
      <c r="O31" s="2362"/>
      <c r="P31" s="2362"/>
      <c r="Q31" s="2362"/>
      <c r="R31" s="2362"/>
      <c r="S31" s="2362"/>
      <c r="T31" s="2362"/>
      <c r="U31" s="2362"/>
      <c r="V31" s="2362"/>
      <c r="W31" s="2362"/>
      <c r="X31" s="2362"/>
      <c r="Y31" s="2362"/>
      <c r="Z31" s="2362"/>
      <c r="AA31" s="2362"/>
      <c r="AB31" s="2362"/>
      <c r="AC31" s="2362"/>
      <c r="AD31" s="2362"/>
      <c r="AE31" s="2364" t="str">
        <f t="shared" si="24"/>
        <v/>
      </c>
      <c r="AF31" s="2340">
        <f t="shared" si="25"/>
        <v>0</v>
      </c>
      <c r="AG31" s="2170">
        <f t="shared" si="26"/>
        <v>0</v>
      </c>
      <c r="AH31" s="2340"/>
      <c r="AI31" s="2170">
        <f t="shared" si="27"/>
        <v>0</v>
      </c>
      <c r="AJ31" s="2340"/>
      <c r="AK31" s="2170">
        <f t="shared" si="28"/>
        <v>0</v>
      </c>
      <c r="AL31" s="2340"/>
      <c r="AM31" s="2170">
        <f t="shared" si="29"/>
        <v>0</v>
      </c>
      <c r="AN31" s="2340"/>
      <c r="AO31" s="2170">
        <f t="shared" si="30"/>
        <v>0</v>
      </c>
      <c r="AP31" s="2340"/>
      <c r="AQ31" s="2170">
        <f t="shared" si="31"/>
        <v>0</v>
      </c>
      <c r="AR31" s="2340"/>
      <c r="AS31" s="2170">
        <f t="shared" si="32"/>
        <v>0</v>
      </c>
      <c r="AT31" s="2340"/>
      <c r="AU31" s="2170">
        <f t="shared" si="33"/>
        <v>0</v>
      </c>
      <c r="AV31" s="2340"/>
      <c r="AW31" s="2170">
        <f t="shared" si="34"/>
        <v>0</v>
      </c>
      <c r="AX31" s="2340"/>
      <c r="AY31" s="2170">
        <f t="shared" si="35"/>
        <v>0</v>
      </c>
      <c r="AZ31" s="2340"/>
      <c r="BA31" s="2340"/>
      <c r="BB31" s="2340"/>
      <c r="BC31" s="78"/>
    </row>
    <row r="32" spans="1:55">
      <c r="A32" s="886"/>
      <c r="B32" s="1614"/>
      <c r="C32" s="1614"/>
      <c r="D32" s="1609"/>
      <c r="E32" s="1615"/>
      <c r="F32" s="1615"/>
      <c r="G32" s="1615"/>
      <c r="H32" s="1615"/>
      <c r="I32" s="2363"/>
      <c r="J32" s="1609"/>
      <c r="K32" s="1615"/>
      <c r="L32" s="1615"/>
      <c r="M32" s="1615"/>
      <c r="N32" s="1615"/>
      <c r="O32" s="1615"/>
      <c r="P32" s="1615"/>
      <c r="Q32" s="1615"/>
      <c r="R32" s="1615"/>
      <c r="S32" s="1615"/>
      <c r="T32" s="1615"/>
      <c r="U32" s="1615"/>
      <c r="V32" s="1615"/>
      <c r="W32" s="1615"/>
      <c r="X32" s="1615"/>
      <c r="Y32" s="1615"/>
      <c r="Z32" s="1615"/>
      <c r="AA32" s="1615"/>
      <c r="AB32" s="1615"/>
      <c r="AC32" s="1615"/>
      <c r="AD32" s="1615"/>
      <c r="AE32" s="1615"/>
      <c r="AF32" s="1615"/>
      <c r="AG32" s="1615"/>
      <c r="AH32" s="1615"/>
      <c r="AI32" s="1615"/>
      <c r="AJ32" s="1615"/>
      <c r="AK32" s="1615"/>
      <c r="AL32" s="1615"/>
      <c r="AM32" s="1615"/>
      <c r="AN32" s="1615"/>
      <c r="AO32" s="1615"/>
      <c r="AP32" s="1615"/>
      <c r="AQ32" s="1615"/>
      <c r="AR32" s="1615"/>
      <c r="AS32" s="1615"/>
      <c r="AT32" s="1615"/>
      <c r="AU32" s="1615"/>
      <c r="AV32" s="1615"/>
      <c r="AW32" s="1615"/>
      <c r="AX32" s="1615"/>
      <c r="AY32" s="1615"/>
      <c r="AZ32" s="1615"/>
      <c r="BA32" s="1615"/>
      <c r="BB32" s="1615"/>
      <c r="BC32" s="78"/>
    </row>
    <row r="33" spans="1:55" ht="15.75">
      <c r="A33" s="901"/>
      <c r="B33" s="1621" t="s">
        <v>1166</v>
      </c>
      <c r="C33" s="1602"/>
      <c r="D33" s="1611"/>
      <c r="E33" s="1618"/>
      <c r="F33" s="1618"/>
      <c r="G33" s="1618"/>
      <c r="H33" s="1618"/>
      <c r="I33" s="2363"/>
      <c r="J33" s="1611"/>
      <c r="K33" s="1618"/>
      <c r="L33" s="1618"/>
      <c r="M33" s="1618"/>
      <c r="N33" s="1618"/>
      <c r="O33" s="1618"/>
      <c r="P33" s="1618"/>
      <c r="Q33" s="1618"/>
      <c r="R33" s="1618"/>
      <c r="S33" s="1618"/>
      <c r="T33" s="1618"/>
      <c r="U33" s="1618"/>
      <c r="V33" s="1618"/>
      <c r="W33" s="1618"/>
      <c r="X33" s="1618"/>
      <c r="Y33" s="1618"/>
      <c r="Z33" s="1618"/>
      <c r="AA33" s="1618"/>
      <c r="AB33" s="1618"/>
      <c r="AC33" s="1618"/>
      <c r="AD33" s="1618"/>
      <c r="AE33" s="1618"/>
      <c r="AF33" s="1618"/>
      <c r="AG33" s="1618"/>
      <c r="AH33" s="1618"/>
      <c r="AI33" s="1618"/>
      <c r="AJ33" s="1618"/>
      <c r="AK33" s="1618"/>
      <c r="AL33" s="1618"/>
      <c r="AM33" s="1618"/>
      <c r="AN33" s="1618"/>
      <c r="AO33" s="1618"/>
      <c r="AP33" s="1618"/>
      <c r="AQ33" s="1618"/>
      <c r="AR33" s="1618"/>
      <c r="AS33" s="1618"/>
      <c r="AT33" s="1618"/>
      <c r="AU33" s="1618"/>
      <c r="AV33" s="1618"/>
      <c r="AW33" s="1618"/>
      <c r="AX33" s="1618"/>
      <c r="AY33" s="1618"/>
      <c r="AZ33" s="1618"/>
      <c r="BA33" s="1618"/>
      <c r="BB33" s="1618"/>
      <c r="BC33" s="78"/>
    </row>
    <row r="34" spans="1:55">
      <c r="A34" s="886">
        <v>16</v>
      </c>
      <c r="B34" s="1606" t="s">
        <v>16</v>
      </c>
      <c r="C34" s="1605" t="s">
        <v>1167</v>
      </c>
      <c r="D34" s="2361">
        <f>SUM(E34:H34)</f>
        <v>0</v>
      </c>
      <c r="E34" s="2362"/>
      <c r="F34" s="2362"/>
      <c r="G34" s="2362"/>
      <c r="H34" s="2362"/>
      <c r="I34" s="2363"/>
      <c r="J34" s="2361">
        <f t="shared" ref="J34:J36" si="36">K34+M34+O34+Q34+S34+U34+W34+Y34+AA34+AC34</f>
        <v>0</v>
      </c>
      <c r="K34" s="2362"/>
      <c r="L34" s="2362"/>
      <c r="M34" s="2362"/>
      <c r="N34" s="2362"/>
      <c r="O34" s="2362"/>
      <c r="P34" s="2362"/>
      <c r="Q34" s="2362"/>
      <c r="R34" s="2362"/>
      <c r="S34" s="2362"/>
      <c r="T34" s="2362"/>
      <c r="U34" s="2362"/>
      <c r="V34" s="2362"/>
      <c r="W34" s="2362"/>
      <c r="X34" s="2362"/>
      <c r="Y34" s="2362"/>
      <c r="Z34" s="2362"/>
      <c r="AA34" s="2362"/>
      <c r="AB34" s="2362"/>
      <c r="AC34" s="2362"/>
      <c r="AD34" s="2362"/>
      <c r="AE34" s="2364" t="str">
        <f>IF(D34&lt;&gt;J34,"YES","")</f>
        <v/>
      </c>
      <c r="AF34" s="2340">
        <f>IF(D34&lt;&gt;J34,1,0)</f>
        <v>0</v>
      </c>
      <c r="AG34" s="2170">
        <f t="shared" ref="AG34:AG36" si="37">IF(AND(K34&gt;0,L34&lt;0.1),1,0)</f>
        <v>0</v>
      </c>
      <c r="AH34" s="2340"/>
      <c r="AI34" s="2170">
        <f t="shared" ref="AI34:AI36" si="38">IF(AND(M34&gt;0,N34&lt;0.1),1,0)</f>
        <v>0</v>
      </c>
      <c r="AJ34" s="2340"/>
      <c r="AK34" s="2170">
        <f t="shared" ref="AK34:AK36" si="39">IF(AND(O34&gt;0,P34&lt;0.1),1,0)</f>
        <v>0</v>
      </c>
      <c r="AL34" s="2340"/>
      <c r="AM34" s="2170">
        <f t="shared" ref="AM34:AM36" si="40">IF(AND(Q34&gt;0,R34&lt;0.1),1,0)</f>
        <v>0</v>
      </c>
      <c r="AN34" s="2340"/>
      <c r="AO34" s="2170">
        <f t="shared" ref="AO34:AO36" si="41">IF(AND(S34&gt;0,T34&lt;0.1),1,0)</f>
        <v>0</v>
      </c>
      <c r="AP34" s="2340"/>
      <c r="AQ34" s="2170">
        <f t="shared" ref="AQ34:AQ36" si="42">IF(AND(U34&gt;0,V34&lt;0.1),1,0)</f>
        <v>0</v>
      </c>
      <c r="AR34" s="2340"/>
      <c r="AS34" s="2170">
        <f t="shared" ref="AS34:AS36" si="43">IF(AND(W34&gt;0,X34&lt;0.1),1,0)</f>
        <v>0</v>
      </c>
      <c r="AT34" s="2340"/>
      <c r="AU34" s="2170">
        <f t="shared" ref="AU34:AU36" si="44">IF(AND(Y34&gt;0,Z34&lt;0.1),1,0)</f>
        <v>0</v>
      </c>
      <c r="AV34" s="2340"/>
      <c r="AW34" s="2170">
        <f t="shared" ref="AW34:AW36" si="45">IF(AND(AA34&gt;0,AB34&lt;0.1),1,0)</f>
        <v>0</v>
      </c>
      <c r="AX34" s="2340"/>
      <c r="AY34" s="2170">
        <f t="shared" ref="AY34:AY36" si="46">IF(AND(AC34&gt;0,AD34&lt;0.1),1,0)</f>
        <v>0</v>
      </c>
      <c r="AZ34" s="2340"/>
      <c r="BA34" s="2340"/>
      <c r="BB34" s="2340"/>
      <c r="BC34" s="78"/>
    </row>
    <row r="35" spans="1:55">
      <c r="A35" s="886">
        <v>17</v>
      </c>
      <c r="B35" s="1606" t="s">
        <v>656</v>
      </c>
      <c r="C35" s="1606" t="s">
        <v>1168</v>
      </c>
      <c r="D35" s="2361">
        <f>SUM(E35:H35)</f>
        <v>0</v>
      </c>
      <c r="E35" s="2362"/>
      <c r="F35" s="2362"/>
      <c r="G35" s="2362"/>
      <c r="H35" s="2362"/>
      <c r="I35" s="2363"/>
      <c r="J35" s="2361">
        <f t="shared" si="36"/>
        <v>0</v>
      </c>
      <c r="K35" s="2362"/>
      <c r="L35" s="2362"/>
      <c r="M35" s="2362"/>
      <c r="N35" s="2362"/>
      <c r="O35" s="2362"/>
      <c r="P35" s="2362"/>
      <c r="Q35" s="2362"/>
      <c r="R35" s="2362"/>
      <c r="S35" s="2362"/>
      <c r="T35" s="2362"/>
      <c r="U35" s="2362"/>
      <c r="V35" s="2362"/>
      <c r="W35" s="2362"/>
      <c r="X35" s="2362"/>
      <c r="Y35" s="2362"/>
      <c r="Z35" s="2362"/>
      <c r="AA35" s="2362"/>
      <c r="AB35" s="2362"/>
      <c r="AC35" s="2362"/>
      <c r="AD35" s="2362"/>
      <c r="AE35" s="2364" t="str">
        <f>IF(D35&lt;&gt;J35,"YES","")</f>
        <v/>
      </c>
      <c r="AF35" s="2340">
        <f>IF(D35&lt;&gt;J35,1,0)</f>
        <v>0</v>
      </c>
      <c r="AG35" s="2170">
        <f t="shared" si="37"/>
        <v>0</v>
      </c>
      <c r="AH35" s="2340"/>
      <c r="AI35" s="2170">
        <f t="shared" si="38"/>
        <v>0</v>
      </c>
      <c r="AJ35" s="2340"/>
      <c r="AK35" s="2170">
        <f t="shared" si="39"/>
        <v>0</v>
      </c>
      <c r="AL35" s="2340"/>
      <c r="AM35" s="2170">
        <f t="shared" si="40"/>
        <v>0</v>
      </c>
      <c r="AN35" s="2340"/>
      <c r="AO35" s="2170">
        <f t="shared" si="41"/>
        <v>0</v>
      </c>
      <c r="AP35" s="2340"/>
      <c r="AQ35" s="2170">
        <f t="shared" si="42"/>
        <v>0</v>
      </c>
      <c r="AR35" s="2340"/>
      <c r="AS35" s="2170">
        <f t="shared" si="43"/>
        <v>0</v>
      </c>
      <c r="AT35" s="2340"/>
      <c r="AU35" s="2170">
        <f t="shared" si="44"/>
        <v>0</v>
      </c>
      <c r="AV35" s="2340"/>
      <c r="AW35" s="2170">
        <f t="shared" si="45"/>
        <v>0</v>
      </c>
      <c r="AX35" s="2340"/>
      <c r="AY35" s="2170">
        <f t="shared" si="46"/>
        <v>0</v>
      </c>
      <c r="AZ35" s="2340"/>
      <c r="BA35" s="2340"/>
      <c r="BB35" s="2340"/>
      <c r="BC35" s="78"/>
    </row>
    <row r="36" spans="1:55">
      <c r="A36" s="886">
        <v>18</v>
      </c>
      <c r="B36" s="1606" t="s">
        <v>1169</v>
      </c>
      <c r="C36" s="1606" t="s">
        <v>1170</v>
      </c>
      <c r="D36" s="2361">
        <f>SUM(E36:H36)</f>
        <v>0</v>
      </c>
      <c r="E36" s="2362"/>
      <c r="F36" s="2362"/>
      <c r="G36" s="2362"/>
      <c r="H36" s="2362"/>
      <c r="I36" s="2363"/>
      <c r="J36" s="2361">
        <f t="shared" si="36"/>
        <v>0</v>
      </c>
      <c r="K36" s="2362"/>
      <c r="L36" s="2362"/>
      <c r="M36" s="2362"/>
      <c r="N36" s="2362"/>
      <c r="O36" s="2362"/>
      <c r="P36" s="2362"/>
      <c r="Q36" s="2362"/>
      <c r="R36" s="2362"/>
      <c r="S36" s="2362"/>
      <c r="T36" s="2362"/>
      <c r="U36" s="2362"/>
      <c r="V36" s="2362"/>
      <c r="W36" s="2362"/>
      <c r="X36" s="2362"/>
      <c r="Y36" s="2362"/>
      <c r="Z36" s="2362"/>
      <c r="AA36" s="2362"/>
      <c r="AB36" s="2362"/>
      <c r="AC36" s="2362"/>
      <c r="AD36" s="2362"/>
      <c r="AE36" s="2364" t="str">
        <f>IF(D36&lt;&gt;J36,"YES","")</f>
        <v/>
      </c>
      <c r="AF36" s="2340">
        <f>IF(D36&lt;&gt;J36,1,0)</f>
        <v>0</v>
      </c>
      <c r="AG36" s="2170">
        <f t="shared" si="37"/>
        <v>0</v>
      </c>
      <c r="AH36" s="2340"/>
      <c r="AI36" s="2170">
        <f t="shared" si="38"/>
        <v>0</v>
      </c>
      <c r="AJ36" s="2340"/>
      <c r="AK36" s="2170">
        <f t="shared" si="39"/>
        <v>0</v>
      </c>
      <c r="AL36" s="2340"/>
      <c r="AM36" s="2170">
        <f t="shared" si="40"/>
        <v>0</v>
      </c>
      <c r="AN36" s="2340"/>
      <c r="AO36" s="2170">
        <f t="shared" si="41"/>
        <v>0</v>
      </c>
      <c r="AP36" s="2340"/>
      <c r="AQ36" s="2170">
        <f t="shared" si="42"/>
        <v>0</v>
      </c>
      <c r="AR36" s="2340"/>
      <c r="AS36" s="2170">
        <f t="shared" si="43"/>
        <v>0</v>
      </c>
      <c r="AT36" s="2340"/>
      <c r="AU36" s="2170">
        <f t="shared" si="44"/>
        <v>0</v>
      </c>
      <c r="AV36" s="2340"/>
      <c r="AW36" s="2170">
        <f t="shared" si="45"/>
        <v>0</v>
      </c>
      <c r="AX36" s="2340"/>
      <c r="AY36" s="2170">
        <f t="shared" si="46"/>
        <v>0</v>
      </c>
      <c r="AZ36" s="2340"/>
      <c r="BA36" s="2340"/>
      <c r="BB36" s="2340"/>
      <c r="BC36" s="78"/>
    </row>
    <row r="37" spans="1:55">
      <c r="A37" s="901"/>
      <c r="B37" s="1614"/>
      <c r="C37" s="1614"/>
      <c r="D37" s="1609"/>
      <c r="E37" s="1615"/>
      <c r="F37" s="1615"/>
      <c r="G37" s="1615"/>
      <c r="H37" s="1615"/>
      <c r="I37" s="2363"/>
      <c r="J37" s="1609"/>
      <c r="K37" s="1615"/>
      <c r="L37" s="1615"/>
      <c r="M37" s="1615"/>
      <c r="N37" s="1615"/>
      <c r="O37" s="1615"/>
      <c r="P37" s="1615"/>
      <c r="Q37" s="1615"/>
      <c r="R37" s="1615"/>
      <c r="S37" s="1615"/>
      <c r="T37" s="1615"/>
      <c r="U37" s="1615"/>
      <c r="V37" s="1615"/>
      <c r="W37" s="1615"/>
      <c r="X37" s="1615"/>
      <c r="Y37" s="1615"/>
      <c r="Z37" s="1615"/>
      <c r="AA37" s="1615"/>
      <c r="AB37" s="1615"/>
      <c r="AC37" s="1615"/>
      <c r="AD37" s="1615"/>
      <c r="AE37" s="1615"/>
      <c r="AF37" s="1615"/>
      <c r="AG37" s="1615"/>
      <c r="AH37" s="1615"/>
      <c r="AI37" s="1615"/>
      <c r="AJ37" s="1615"/>
      <c r="AK37" s="1615"/>
      <c r="AL37" s="1615"/>
      <c r="AM37" s="1615"/>
      <c r="AN37" s="1615"/>
      <c r="AO37" s="1615"/>
      <c r="AP37" s="1615"/>
      <c r="AQ37" s="1615"/>
      <c r="AR37" s="1615"/>
      <c r="AS37" s="1615"/>
      <c r="AT37" s="1615"/>
      <c r="AU37" s="1615"/>
      <c r="AV37" s="1615"/>
      <c r="AW37" s="1615"/>
      <c r="AX37" s="1615"/>
      <c r="AY37" s="1615"/>
      <c r="AZ37" s="1615"/>
      <c r="BA37" s="1615"/>
      <c r="BB37" s="1615"/>
      <c r="BC37" s="78"/>
    </row>
    <row r="38" spans="1:55" ht="15.75">
      <c r="A38" s="901"/>
      <c r="B38" s="1621" t="s">
        <v>623</v>
      </c>
      <c r="C38" s="1602"/>
      <c r="D38" s="1609"/>
      <c r="E38" s="1619"/>
      <c r="F38" s="1619"/>
      <c r="G38" s="1619"/>
      <c r="H38" s="1619"/>
      <c r="I38" s="2363"/>
      <c r="J38" s="1609"/>
      <c r="K38" s="1619"/>
      <c r="L38" s="1619"/>
      <c r="M38" s="1619"/>
      <c r="N38" s="1619"/>
      <c r="O38" s="1619"/>
      <c r="P38" s="1619"/>
      <c r="Q38" s="1619"/>
      <c r="R38" s="1619"/>
      <c r="S38" s="1619"/>
      <c r="T38" s="1619"/>
      <c r="U38" s="1619"/>
      <c r="V38" s="1619"/>
      <c r="W38" s="1619"/>
      <c r="X38" s="1619"/>
      <c r="Y38" s="1619"/>
      <c r="Z38" s="1619"/>
      <c r="AA38" s="1619"/>
      <c r="AB38" s="1619"/>
      <c r="AC38" s="1619"/>
      <c r="AD38" s="1619"/>
      <c r="AE38" s="1619"/>
      <c r="AF38" s="1619"/>
      <c r="AG38" s="1619"/>
      <c r="AH38" s="1619"/>
      <c r="AI38" s="1619"/>
      <c r="AJ38" s="1619"/>
      <c r="AK38" s="1619"/>
      <c r="AL38" s="1619"/>
      <c r="AM38" s="1619"/>
      <c r="AN38" s="1619"/>
      <c r="AO38" s="1619"/>
      <c r="AP38" s="1619"/>
      <c r="AQ38" s="1619"/>
      <c r="AR38" s="1619"/>
      <c r="AS38" s="1619"/>
      <c r="AT38" s="1619"/>
      <c r="AU38" s="1619"/>
      <c r="AV38" s="1619"/>
      <c r="AW38" s="1619"/>
      <c r="AX38" s="1619"/>
      <c r="AY38" s="1619"/>
      <c r="AZ38" s="1619"/>
      <c r="BA38" s="1619"/>
      <c r="BB38" s="1619"/>
      <c r="BC38" s="78"/>
    </row>
    <row r="39" spans="1:55" ht="15.75">
      <c r="A39" s="901"/>
      <c r="B39" s="1620"/>
      <c r="C39" s="1602"/>
      <c r="D39" s="1609"/>
      <c r="E39" s="1619"/>
      <c r="F39" s="1619"/>
      <c r="G39" s="1619"/>
      <c r="H39" s="1619"/>
      <c r="I39" s="2363"/>
      <c r="J39" s="1609"/>
      <c r="K39" s="1619"/>
      <c r="L39" s="1619"/>
      <c r="M39" s="1619"/>
      <c r="N39" s="1619"/>
      <c r="O39" s="1619"/>
      <c r="P39" s="1619"/>
      <c r="Q39" s="1619"/>
      <c r="R39" s="1619"/>
      <c r="S39" s="1619"/>
      <c r="T39" s="1619"/>
      <c r="U39" s="1619"/>
      <c r="V39" s="1619"/>
      <c r="W39" s="1619"/>
      <c r="X39" s="1619"/>
      <c r="Y39" s="1619"/>
      <c r="Z39" s="1619"/>
      <c r="AA39" s="1619"/>
      <c r="AB39" s="1619"/>
      <c r="AC39" s="1619"/>
      <c r="AD39" s="1619"/>
      <c r="AE39" s="1619"/>
      <c r="AF39" s="1619"/>
      <c r="AG39" s="1619"/>
      <c r="AH39" s="1619"/>
      <c r="AI39" s="1619"/>
      <c r="AJ39" s="1619"/>
      <c r="AK39" s="1619"/>
      <c r="AL39" s="1619"/>
      <c r="AM39" s="1619"/>
      <c r="AN39" s="1619"/>
      <c r="AO39" s="1619"/>
      <c r="AP39" s="1619"/>
      <c r="AQ39" s="1619"/>
      <c r="AR39" s="1619"/>
      <c r="AS39" s="1619"/>
      <c r="AT39" s="1619"/>
      <c r="AU39" s="1619"/>
      <c r="AV39" s="1619"/>
      <c r="AW39" s="1619"/>
      <c r="AX39" s="1619"/>
      <c r="AY39" s="1619"/>
      <c r="AZ39" s="1619"/>
      <c r="BA39" s="1619"/>
      <c r="BB39" s="1619"/>
      <c r="BC39" s="78"/>
    </row>
    <row r="40" spans="1:55" ht="15.75">
      <c r="A40" s="901"/>
      <c r="B40" s="1621" t="s">
        <v>1171</v>
      </c>
      <c r="C40" s="1602"/>
      <c r="D40" s="1611"/>
      <c r="E40" s="1612"/>
      <c r="F40" s="1612"/>
      <c r="G40" s="1612"/>
      <c r="H40" s="1612"/>
      <c r="I40" s="2363"/>
      <c r="J40" s="1611"/>
      <c r="K40" s="1612"/>
      <c r="L40" s="1612"/>
      <c r="M40" s="1612"/>
      <c r="N40" s="1612"/>
      <c r="O40" s="1612"/>
      <c r="P40" s="1612"/>
      <c r="Q40" s="1612"/>
      <c r="R40" s="1612"/>
      <c r="S40" s="1612"/>
      <c r="T40" s="1612"/>
      <c r="U40" s="1612"/>
      <c r="V40" s="1612"/>
      <c r="W40" s="1612"/>
      <c r="X40" s="1612"/>
      <c r="Y40" s="1612"/>
      <c r="Z40" s="1612"/>
      <c r="AA40" s="1612"/>
      <c r="AB40" s="1612"/>
      <c r="AC40" s="1612"/>
      <c r="AD40" s="1612"/>
      <c r="AE40" s="1612"/>
      <c r="AF40" s="1612"/>
      <c r="AG40" s="1612"/>
      <c r="AH40" s="1612"/>
      <c r="AI40" s="1612"/>
      <c r="AJ40" s="1612"/>
      <c r="AK40" s="1612"/>
      <c r="AL40" s="1612"/>
      <c r="AM40" s="1612"/>
      <c r="AN40" s="1612"/>
      <c r="AO40" s="1612"/>
      <c r="AP40" s="1612"/>
      <c r="AQ40" s="1612"/>
      <c r="AR40" s="1612"/>
      <c r="AS40" s="1612"/>
      <c r="AT40" s="1612"/>
      <c r="AU40" s="1612"/>
      <c r="AV40" s="1612"/>
      <c r="AW40" s="1612"/>
      <c r="AX40" s="1612"/>
      <c r="AY40" s="1612"/>
      <c r="AZ40" s="1612"/>
      <c r="BA40" s="1612"/>
      <c r="BB40" s="1612"/>
      <c r="BC40" s="78"/>
    </row>
    <row r="41" spans="1:55">
      <c r="A41" s="901">
        <v>19</v>
      </c>
      <c r="B41" s="817" t="s">
        <v>1172</v>
      </c>
      <c r="C41" s="1605" t="s">
        <v>1607</v>
      </c>
      <c r="D41" s="2361">
        <f>SUM(E41:H41)</f>
        <v>0</v>
      </c>
      <c r="E41" s="2362"/>
      <c r="F41" s="2362"/>
      <c r="G41" s="2362"/>
      <c r="H41" s="2362"/>
      <c r="I41" s="2363"/>
      <c r="J41" s="2361">
        <f t="shared" ref="J41" si="47">K41+M41+O41+Q41+S41+U41+W41+Y41+AA41+AC41</f>
        <v>0</v>
      </c>
      <c r="K41" s="2362"/>
      <c r="L41" s="2362"/>
      <c r="M41" s="2362"/>
      <c r="N41" s="2362"/>
      <c r="O41" s="2362"/>
      <c r="P41" s="2362"/>
      <c r="Q41" s="2362"/>
      <c r="R41" s="2362"/>
      <c r="S41" s="2362"/>
      <c r="T41" s="2362"/>
      <c r="U41" s="2362"/>
      <c r="V41" s="2362"/>
      <c r="W41" s="2362"/>
      <c r="X41" s="2362"/>
      <c r="Y41" s="2362"/>
      <c r="Z41" s="2362"/>
      <c r="AA41" s="2362"/>
      <c r="AB41" s="2362"/>
      <c r="AC41" s="2362"/>
      <c r="AD41" s="2362"/>
      <c r="AE41" s="2364" t="str">
        <f>IF(D41&lt;&gt;J41,"YES","")</f>
        <v/>
      </c>
      <c r="AF41" s="2340">
        <f>IF(D41&lt;&gt;J41,1,0)</f>
        <v>0</v>
      </c>
      <c r="AG41" s="2170">
        <f t="shared" ref="AG41" si="48">IF(AND(K41&gt;0,L41&lt;0.1),1,0)</f>
        <v>0</v>
      </c>
      <c r="AH41" s="2340"/>
      <c r="AI41" s="2170">
        <f t="shared" ref="AI41" si="49">IF(AND(M41&gt;0,N41&lt;0.1),1,0)</f>
        <v>0</v>
      </c>
      <c r="AJ41" s="2340"/>
      <c r="AK41" s="2170">
        <f t="shared" ref="AK41" si="50">IF(AND(O41&gt;0,P41&lt;0.1),1,0)</f>
        <v>0</v>
      </c>
      <c r="AL41" s="2340"/>
      <c r="AM41" s="2170">
        <f t="shared" ref="AM41" si="51">IF(AND(Q41&gt;0,R41&lt;0.1),1,0)</f>
        <v>0</v>
      </c>
      <c r="AN41" s="2340"/>
      <c r="AO41" s="2170">
        <f t="shared" ref="AO41" si="52">IF(AND(S41&gt;0,T41&lt;0.1),1,0)</f>
        <v>0</v>
      </c>
      <c r="AP41" s="2340"/>
      <c r="AQ41" s="2170">
        <f t="shared" ref="AQ41" si="53">IF(AND(U41&gt;0,V41&lt;0.1),1,0)</f>
        <v>0</v>
      </c>
      <c r="AR41" s="2340"/>
      <c r="AS41" s="2170">
        <f t="shared" ref="AS41" si="54">IF(AND(W41&gt;0,X41&lt;0.1),1,0)</f>
        <v>0</v>
      </c>
      <c r="AT41" s="2340"/>
      <c r="AU41" s="2170">
        <f t="shared" ref="AU41" si="55">IF(AND(Y41&gt;0,Z41&lt;0.1),1,0)</f>
        <v>0</v>
      </c>
      <c r="AV41" s="2340"/>
      <c r="AW41" s="2170">
        <f t="shared" ref="AW41" si="56">IF(AND(AA41&gt;0,AB41&lt;0.1),1,0)</f>
        <v>0</v>
      </c>
      <c r="AX41" s="2340"/>
      <c r="AY41" s="2170">
        <f t="shared" ref="AY41" si="57">IF(AND(AC41&gt;0,AD41&lt;0.1),1,0)</f>
        <v>0</v>
      </c>
      <c r="AZ41" s="2340"/>
      <c r="BA41" s="2340"/>
      <c r="BB41" s="2340"/>
      <c r="BC41" s="78"/>
    </row>
    <row r="42" spans="1:55">
      <c r="A42" s="901"/>
      <c r="B42" s="1614"/>
      <c r="C42" s="1608"/>
      <c r="D42" s="1609"/>
      <c r="E42" s="1610"/>
      <c r="F42" s="1610"/>
      <c r="G42" s="1610"/>
      <c r="H42" s="1610"/>
      <c r="I42" s="2363"/>
      <c r="J42" s="1609"/>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1610"/>
      <c r="AJ42" s="1610"/>
      <c r="AK42" s="1610"/>
      <c r="AL42" s="1610"/>
      <c r="AM42" s="1610"/>
      <c r="AN42" s="1610"/>
      <c r="AO42" s="1610"/>
      <c r="AP42" s="1610"/>
      <c r="AQ42" s="1610"/>
      <c r="AR42" s="1610"/>
      <c r="AS42" s="1610"/>
      <c r="AT42" s="1610"/>
      <c r="AU42" s="1610"/>
      <c r="AV42" s="1610"/>
      <c r="AW42" s="1610"/>
      <c r="AX42" s="1610"/>
      <c r="AY42" s="1610"/>
      <c r="AZ42" s="1610"/>
      <c r="BA42" s="1610"/>
      <c r="BB42" s="1610"/>
      <c r="BC42" s="78"/>
    </row>
    <row r="43" spans="1:55" ht="15.75">
      <c r="A43" s="901"/>
      <c r="B43" s="1621" t="s">
        <v>1065</v>
      </c>
      <c r="C43" s="1622"/>
      <c r="D43" s="1613"/>
      <c r="E43" s="1623"/>
      <c r="F43" s="1623"/>
      <c r="G43" s="1623"/>
      <c r="H43" s="1623"/>
      <c r="I43" s="2363"/>
      <c r="J43" s="1613"/>
      <c r="K43" s="1623"/>
      <c r="L43" s="1623"/>
      <c r="M43" s="1623"/>
      <c r="N43" s="1623"/>
      <c r="O43" s="1623"/>
      <c r="P43" s="1623"/>
      <c r="Q43" s="1623"/>
      <c r="R43" s="1623"/>
      <c r="S43" s="1623"/>
      <c r="T43" s="1623"/>
      <c r="U43" s="1623"/>
      <c r="V43" s="1623"/>
      <c r="W43" s="1623"/>
      <c r="X43" s="1623"/>
      <c r="Y43" s="1623"/>
      <c r="Z43" s="1623"/>
      <c r="AA43" s="1623"/>
      <c r="AB43" s="1623"/>
      <c r="AC43" s="1623"/>
      <c r="AD43" s="1623"/>
      <c r="AE43" s="1623"/>
      <c r="AF43" s="1623"/>
      <c r="AG43" s="1623"/>
      <c r="AH43" s="1623"/>
      <c r="AI43" s="1623"/>
      <c r="AJ43" s="1623"/>
      <c r="AK43" s="1623"/>
      <c r="AL43" s="1623"/>
      <c r="AM43" s="1623"/>
      <c r="AN43" s="1623"/>
      <c r="AO43" s="1623"/>
      <c r="AP43" s="1623"/>
      <c r="AQ43" s="1623"/>
      <c r="AR43" s="1623"/>
      <c r="AS43" s="1623"/>
      <c r="AT43" s="1623"/>
      <c r="AU43" s="1623"/>
      <c r="AV43" s="1623"/>
      <c r="AW43" s="1623"/>
      <c r="AX43" s="1623"/>
      <c r="AY43" s="1623"/>
      <c r="AZ43" s="1623"/>
      <c r="BA43" s="1623"/>
      <c r="BB43" s="1623"/>
      <c r="BC43" s="78"/>
    </row>
    <row r="44" spans="1:55">
      <c r="A44" s="901">
        <v>20</v>
      </c>
      <c r="B44" s="1606" t="s">
        <v>1066</v>
      </c>
      <c r="C44" s="1605" t="s">
        <v>429</v>
      </c>
      <c r="D44" s="2361">
        <f>SUM(E44:H44)</f>
        <v>0</v>
      </c>
      <c r="E44" s="2362"/>
      <c r="F44" s="2362"/>
      <c r="G44" s="2362"/>
      <c r="H44" s="2362"/>
      <c r="I44" s="2363"/>
      <c r="J44" s="2361">
        <f t="shared" ref="J44:J47" si="58">K44+M44+O44+Q44+S44+U44+W44+Y44+AA44+AC44</f>
        <v>0</v>
      </c>
      <c r="K44" s="2362"/>
      <c r="L44" s="2362"/>
      <c r="M44" s="2362"/>
      <c r="N44" s="2362"/>
      <c r="O44" s="2362"/>
      <c r="P44" s="2362"/>
      <c r="Q44" s="2362"/>
      <c r="R44" s="2362"/>
      <c r="S44" s="2362"/>
      <c r="T44" s="2362"/>
      <c r="U44" s="2362"/>
      <c r="V44" s="2362"/>
      <c r="W44" s="2362"/>
      <c r="X44" s="2362"/>
      <c r="Y44" s="2362"/>
      <c r="Z44" s="2362"/>
      <c r="AA44" s="2362"/>
      <c r="AB44" s="2362"/>
      <c r="AC44" s="2362"/>
      <c r="AD44" s="2362"/>
      <c r="AE44" s="2364" t="str">
        <f>IF(D44&lt;&gt;J44,"YES","")</f>
        <v/>
      </c>
      <c r="AF44" s="2340">
        <f>IF(D44&lt;&gt;J44,1,0)</f>
        <v>0</v>
      </c>
      <c r="AG44" s="2170">
        <f t="shared" ref="AG44:AG47" si="59">IF(AND(K44&gt;0,L44&lt;0.1),1,0)</f>
        <v>0</v>
      </c>
      <c r="AH44" s="2340"/>
      <c r="AI44" s="2170">
        <f t="shared" ref="AI44:AI47" si="60">IF(AND(M44&gt;0,N44&lt;0.1),1,0)</f>
        <v>0</v>
      </c>
      <c r="AJ44" s="2340"/>
      <c r="AK44" s="2170">
        <f t="shared" ref="AK44:AK47" si="61">IF(AND(O44&gt;0,P44&lt;0.1),1,0)</f>
        <v>0</v>
      </c>
      <c r="AL44" s="2340"/>
      <c r="AM44" s="2170">
        <f t="shared" ref="AM44:AM47" si="62">IF(AND(Q44&gt;0,R44&lt;0.1),1,0)</f>
        <v>0</v>
      </c>
      <c r="AN44" s="2340"/>
      <c r="AO44" s="2170">
        <f t="shared" ref="AO44:AO47" si="63">IF(AND(S44&gt;0,T44&lt;0.1),1,0)</f>
        <v>0</v>
      </c>
      <c r="AP44" s="2340"/>
      <c r="AQ44" s="2170">
        <f t="shared" ref="AQ44:AQ47" si="64">IF(AND(U44&gt;0,V44&lt;0.1),1,0)</f>
        <v>0</v>
      </c>
      <c r="AR44" s="2340"/>
      <c r="AS44" s="2170">
        <f t="shared" ref="AS44:AS47" si="65">IF(AND(W44&gt;0,X44&lt;0.1),1,0)</f>
        <v>0</v>
      </c>
      <c r="AT44" s="2340"/>
      <c r="AU44" s="2170">
        <f t="shared" ref="AU44:AU47" si="66">IF(AND(Y44&gt;0,Z44&lt;0.1),1,0)</f>
        <v>0</v>
      </c>
      <c r="AV44" s="2340"/>
      <c r="AW44" s="2170">
        <f t="shared" ref="AW44:AW47" si="67">IF(AND(AA44&gt;0,AB44&lt;0.1),1,0)</f>
        <v>0</v>
      </c>
      <c r="AX44" s="2340"/>
      <c r="AY44" s="2170">
        <f t="shared" ref="AY44:AY47" si="68">IF(AND(AC44&gt;0,AD44&lt;0.1),1,0)</f>
        <v>0</v>
      </c>
      <c r="AZ44" s="2340"/>
      <c r="BA44" s="2340"/>
      <c r="BB44" s="2340"/>
      <c r="BC44" s="78"/>
    </row>
    <row r="45" spans="1:55">
      <c r="A45" s="886">
        <v>21</v>
      </c>
      <c r="B45" s="1606" t="s">
        <v>318</v>
      </c>
      <c r="C45" s="1605" t="s">
        <v>430</v>
      </c>
      <c r="D45" s="2361">
        <f>SUM(E45:H45)</f>
        <v>0</v>
      </c>
      <c r="E45" s="2362"/>
      <c r="F45" s="2362"/>
      <c r="G45" s="2362"/>
      <c r="H45" s="2362"/>
      <c r="I45" s="2363"/>
      <c r="J45" s="2361">
        <f t="shared" si="58"/>
        <v>0</v>
      </c>
      <c r="K45" s="2362"/>
      <c r="L45" s="2362"/>
      <c r="M45" s="2362"/>
      <c r="N45" s="2362"/>
      <c r="O45" s="2362"/>
      <c r="P45" s="2362"/>
      <c r="Q45" s="2362"/>
      <c r="R45" s="2362"/>
      <c r="S45" s="2362"/>
      <c r="T45" s="2362"/>
      <c r="U45" s="2362"/>
      <c r="V45" s="2362"/>
      <c r="W45" s="2362"/>
      <c r="X45" s="2362"/>
      <c r="Y45" s="2362"/>
      <c r="Z45" s="2362"/>
      <c r="AA45" s="2362"/>
      <c r="AB45" s="2362"/>
      <c r="AC45" s="2362"/>
      <c r="AD45" s="2362"/>
      <c r="AE45" s="2364" t="str">
        <f>IF(D45&lt;&gt;J45,"YES","")</f>
        <v/>
      </c>
      <c r="AF45" s="2340">
        <f>IF(D45&lt;&gt;J45,1,0)</f>
        <v>0</v>
      </c>
      <c r="AG45" s="2170">
        <f t="shared" si="59"/>
        <v>0</v>
      </c>
      <c r="AH45" s="2340"/>
      <c r="AI45" s="2170">
        <f t="shared" si="60"/>
        <v>0</v>
      </c>
      <c r="AJ45" s="2340"/>
      <c r="AK45" s="2170">
        <f t="shared" si="61"/>
        <v>0</v>
      </c>
      <c r="AL45" s="2340"/>
      <c r="AM45" s="2170">
        <f t="shared" si="62"/>
        <v>0</v>
      </c>
      <c r="AN45" s="2340"/>
      <c r="AO45" s="2170">
        <f t="shared" si="63"/>
        <v>0</v>
      </c>
      <c r="AP45" s="2340"/>
      <c r="AQ45" s="2170">
        <f t="shared" si="64"/>
        <v>0</v>
      </c>
      <c r="AR45" s="2340"/>
      <c r="AS45" s="2170">
        <f t="shared" si="65"/>
        <v>0</v>
      </c>
      <c r="AT45" s="2340"/>
      <c r="AU45" s="2170">
        <f t="shared" si="66"/>
        <v>0</v>
      </c>
      <c r="AV45" s="2340"/>
      <c r="AW45" s="2170">
        <f t="shared" si="67"/>
        <v>0</v>
      </c>
      <c r="AX45" s="2340"/>
      <c r="AY45" s="2170">
        <f t="shared" si="68"/>
        <v>0</v>
      </c>
      <c r="AZ45" s="2340"/>
      <c r="BA45" s="2340"/>
      <c r="BB45" s="2340"/>
      <c r="BC45" s="78"/>
    </row>
    <row r="46" spans="1:55">
      <c r="A46" s="886">
        <v>22</v>
      </c>
      <c r="B46" s="1606" t="s">
        <v>431</v>
      </c>
      <c r="C46" s="1606" t="s">
        <v>432</v>
      </c>
      <c r="D46" s="2361">
        <f>SUM(E46:H46)</f>
        <v>0</v>
      </c>
      <c r="E46" s="2362"/>
      <c r="F46" s="2362"/>
      <c r="G46" s="2362"/>
      <c r="H46" s="2362"/>
      <c r="I46" s="2363"/>
      <c r="J46" s="2361">
        <f t="shared" si="58"/>
        <v>0</v>
      </c>
      <c r="K46" s="2362"/>
      <c r="L46" s="2362"/>
      <c r="M46" s="2362"/>
      <c r="N46" s="2362"/>
      <c r="O46" s="2362"/>
      <c r="P46" s="2362"/>
      <c r="Q46" s="2362"/>
      <c r="R46" s="2362"/>
      <c r="S46" s="2362"/>
      <c r="T46" s="2362"/>
      <c r="U46" s="2362"/>
      <c r="V46" s="2362"/>
      <c r="W46" s="2362"/>
      <c r="X46" s="2362"/>
      <c r="Y46" s="2362"/>
      <c r="Z46" s="2362"/>
      <c r="AA46" s="2362"/>
      <c r="AB46" s="2362"/>
      <c r="AC46" s="2362"/>
      <c r="AD46" s="2362"/>
      <c r="AE46" s="2364" t="str">
        <f>IF(D46&lt;&gt;J46,"YES","")</f>
        <v/>
      </c>
      <c r="AF46" s="2340">
        <f>IF(D46&lt;&gt;J46,1,0)</f>
        <v>0</v>
      </c>
      <c r="AG46" s="2170">
        <f t="shared" si="59"/>
        <v>0</v>
      </c>
      <c r="AH46" s="2340"/>
      <c r="AI46" s="2170">
        <f t="shared" si="60"/>
        <v>0</v>
      </c>
      <c r="AJ46" s="2340"/>
      <c r="AK46" s="2170">
        <f t="shared" si="61"/>
        <v>0</v>
      </c>
      <c r="AL46" s="2340"/>
      <c r="AM46" s="2170">
        <f t="shared" si="62"/>
        <v>0</v>
      </c>
      <c r="AN46" s="2340"/>
      <c r="AO46" s="2170">
        <f t="shared" si="63"/>
        <v>0</v>
      </c>
      <c r="AP46" s="2340"/>
      <c r="AQ46" s="2170">
        <f t="shared" si="64"/>
        <v>0</v>
      </c>
      <c r="AR46" s="2340"/>
      <c r="AS46" s="2170">
        <f t="shared" si="65"/>
        <v>0</v>
      </c>
      <c r="AT46" s="2340"/>
      <c r="AU46" s="2170">
        <f t="shared" si="66"/>
        <v>0</v>
      </c>
      <c r="AV46" s="2340"/>
      <c r="AW46" s="2170">
        <f t="shared" si="67"/>
        <v>0</v>
      </c>
      <c r="AX46" s="2340"/>
      <c r="AY46" s="2170">
        <f t="shared" si="68"/>
        <v>0</v>
      </c>
      <c r="AZ46" s="2340"/>
      <c r="BA46" s="2340"/>
      <c r="BB46" s="2340"/>
      <c r="BC46" s="78"/>
    </row>
    <row r="47" spans="1:55">
      <c r="A47" s="886">
        <v>23</v>
      </c>
      <c r="B47" s="1606" t="s">
        <v>433</v>
      </c>
      <c r="C47" s="1606" t="s">
        <v>1170</v>
      </c>
      <c r="D47" s="2361">
        <f>SUM(E47:H47)</f>
        <v>0</v>
      </c>
      <c r="E47" s="2362"/>
      <c r="F47" s="2362"/>
      <c r="G47" s="2362"/>
      <c r="H47" s="2362"/>
      <c r="I47" s="2363"/>
      <c r="J47" s="2361">
        <f t="shared" si="58"/>
        <v>0</v>
      </c>
      <c r="K47" s="2362"/>
      <c r="L47" s="2362"/>
      <c r="M47" s="2362"/>
      <c r="N47" s="2362"/>
      <c r="O47" s="2362"/>
      <c r="P47" s="2362"/>
      <c r="Q47" s="2362"/>
      <c r="R47" s="2362"/>
      <c r="S47" s="2362"/>
      <c r="T47" s="2362"/>
      <c r="U47" s="2362"/>
      <c r="V47" s="2362"/>
      <c r="W47" s="2362"/>
      <c r="X47" s="2362"/>
      <c r="Y47" s="2362"/>
      <c r="Z47" s="2362"/>
      <c r="AA47" s="2362"/>
      <c r="AB47" s="2362"/>
      <c r="AC47" s="2362"/>
      <c r="AD47" s="2362"/>
      <c r="AE47" s="2364" t="str">
        <f>IF(D47&lt;&gt;J47,"YES","")</f>
        <v/>
      </c>
      <c r="AF47" s="2340">
        <f>IF(D47&lt;&gt;J47,1,0)</f>
        <v>0</v>
      </c>
      <c r="AG47" s="2170">
        <f t="shared" si="59"/>
        <v>0</v>
      </c>
      <c r="AH47" s="2340"/>
      <c r="AI47" s="2170">
        <f t="shared" si="60"/>
        <v>0</v>
      </c>
      <c r="AJ47" s="2340"/>
      <c r="AK47" s="2170">
        <f t="shared" si="61"/>
        <v>0</v>
      </c>
      <c r="AL47" s="2340"/>
      <c r="AM47" s="2170">
        <f t="shared" si="62"/>
        <v>0</v>
      </c>
      <c r="AN47" s="2340"/>
      <c r="AO47" s="2170">
        <f t="shared" si="63"/>
        <v>0</v>
      </c>
      <c r="AP47" s="2340"/>
      <c r="AQ47" s="2170">
        <f t="shared" si="64"/>
        <v>0</v>
      </c>
      <c r="AR47" s="2340"/>
      <c r="AS47" s="2170">
        <f t="shared" si="65"/>
        <v>0</v>
      </c>
      <c r="AT47" s="2340"/>
      <c r="AU47" s="2170">
        <f t="shared" si="66"/>
        <v>0</v>
      </c>
      <c r="AV47" s="2340"/>
      <c r="AW47" s="2170">
        <f t="shared" si="67"/>
        <v>0</v>
      </c>
      <c r="AX47" s="2340"/>
      <c r="AY47" s="2170">
        <f t="shared" si="68"/>
        <v>0</v>
      </c>
      <c r="AZ47" s="2340"/>
      <c r="BA47" s="2340"/>
      <c r="BB47" s="2340"/>
      <c r="BC47" s="78"/>
    </row>
    <row r="48" spans="1:55">
      <c r="A48" s="901"/>
      <c r="B48" s="1614"/>
      <c r="C48" s="1614"/>
      <c r="D48" s="1609"/>
      <c r="E48" s="1615"/>
      <c r="F48" s="1615"/>
      <c r="G48" s="1615"/>
      <c r="H48" s="1615"/>
      <c r="I48" s="2363"/>
      <c r="J48" s="1609"/>
      <c r="K48" s="1615"/>
      <c r="L48" s="1615"/>
      <c r="M48" s="1615"/>
      <c r="N48" s="1615"/>
      <c r="O48" s="1615"/>
      <c r="P48" s="1615"/>
      <c r="Q48" s="1615"/>
      <c r="R48" s="1615"/>
      <c r="S48" s="1615"/>
      <c r="T48" s="1615"/>
      <c r="U48" s="1615"/>
      <c r="V48" s="1615"/>
      <c r="W48" s="1615"/>
      <c r="X48" s="1615"/>
      <c r="Y48" s="1615"/>
      <c r="Z48" s="1615"/>
      <c r="AA48" s="1615"/>
      <c r="AB48" s="1615"/>
      <c r="AC48" s="1615"/>
      <c r="AD48" s="1615"/>
      <c r="AE48" s="1615"/>
      <c r="AF48" s="1615"/>
      <c r="AG48" s="1615"/>
      <c r="AH48" s="1615"/>
      <c r="AI48" s="1615"/>
      <c r="AJ48" s="1615"/>
      <c r="AK48" s="1615"/>
      <c r="AL48" s="1615"/>
      <c r="AM48" s="1615"/>
      <c r="AN48" s="1615"/>
      <c r="AO48" s="1615"/>
      <c r="AP48" s="1615"/>
      <c r="AQ48" s="1615"/>
      <c r="AR48" s="1615"/>
      <c r="AS48" s="1615"/>
      <c r="AT48" s="1615"/>
      <c r="AU48" s="1615"/>
      <c r="AV48" s="1615"/>
      <c r="AW48" s="1615"/>
      <c r="AX48" s="1615"/>
      <c r="AY48" s="1615"/>
      <c r="AZ48" s="1615"/>
      <c r="BA48" s="1615"/>
      <c r="BB48" s="1615"/>
      <c r="BC48" s="78"/>
    </row>
    <row r="49" spans="1:55" ht="15.75">
      <c r="A49" s="901"/>
      <c r="B49" s="1621" t="s">
        <v>818</v>
      </c>
      <c r="C49" s="1622"/>
      <c r="D49" s="1613"/>
      <c r="E49" s="1623"/>
      <c r="F49" s="1623"/>
      <c r="G49" s="1623"/>
      <c r="H49" s="1623"/>
      <c r="I49" s="2363"/>
      <c r="J49" s="1613"/>
      <c r="K49" s="1623"/>
      <c r="L49" s="1623"/>
      <c r="M49" s="1623"/>
      <c r="N49" s="1623"/>
      <c r="O49" s="1623"/>
      <c r="P49" s="1623"/>
      <c r="Q49" s="1623"/>
      <c r="R49" s="1623"/>
      <c r="S49" s="1623"/>
      <c r="T49" s="1623"/>
      <c r="U49" s="1623"/>
      <c r="V49" s="1623"/>
      <c r="W49" s="1623"/>
      <c r="X49" s="1623"/>
      <c r="Y49" s="1623"/>
      <c r="Z49" s="1623"/>
      <c r="AA49" s="1623"/>
      <c r="AB49" s="1623"/>
      <c r="AC49" s="1623"/>
      <c r="AD49" s="1623"/>
      <c r="AE49" s="1623"/>
      <c r="AF49" s="1623"/>
      <c r="AG49" s="1623"/>
      <c r="AH49" s="1623"/>
      <c r="AI49" s="1623"/>
      <c r="AJ49" s="1623"/>
      <c r="AK49" s="1623"/>
      <c r="AL49" s="1623"/>
      <c r="AM49" s="1623"/>
      <c r="AN49" s="1623"/>
      <c r="AO49" s="1623"/>
      <c r="AP49" s="1623"/>
      <c r="AQ49" s="1623"/>
      <c r="AR49" s="1623"/>
      <c r="AS49" s="1623"/>
      <c r="AT49" s="1623"/>
      <c r="AU49" s="1623"/>
      <c r="AV49" s="1623"/>
      <c r="AW49" s="1623"/>
      <c r="AX49" s="1623"/>
      <c r="AY49" s="1623"/>
      <c r="AZ49" s="1623"/>
      <c r="BA49" s="1623"/>
      <c r="BB49" s="1623"/>
      <c r="BC49" s="78"/>
    </row>
    <row r="50" spans="1:55" ht="15.75">
      <c r="A50" s="886">
        <v>24</v>
      </c>
      <c r="B50" s="1606" t="s">
        <v>434</v>
      </c>
      <c r="C50" s="1605" t="s">
        <v>435</v>
      </c>
      <c r="D50" s="2362"/>
      <c r="E50" s="1623"/>
      <c r="F50" s="1623"/>
      <c r="G50" s="1167"/>
      <c r="H50" s="1167"/>
      <c r="I50" s="2363"/>
      <c r="J50" s="2361">
        <f t="shared" ref="J50:J51" si="69">K50+M50+O50+Q50+S50+U50+W50+Y50+AA50+AC50</f>
        <v>0</v>
      </c>
      <c r="K50" s="2362"/>
      <c r="L50" s="2362"/>
      <c r="M50" s="2362"/>
      <c r="N50" s="2362"/>
      <c r="O50" s="2362"/>
      <c r="P50" s="2362"/>
      <c r="Q50" s="2362"/>
      <c r="R50" s="2362"/>
      <c r="S50" s="2362"/>
      <c r="T50" s="2362"/>
      <c r="U50" s="2362"/>
      <c r="V50" s="2362"/>
      <c r="W50" s="2362"/>
      <c r="X50" s="2362"/>
      <c r="Y50" s="2362"/>
      <c r="Z50" s="2362"/>
      <c r="AA50" s="2362"/>
      <c r="AB50" s="2362"/>
      <c r="AC50" s="2362"/>
      <c r="AD50" s="2362"/>
      <c r="AE50" s="2364" t="str">
        <f>IF(D50&lt;&gt;J50,"YES","")</f>
        <v/>
      </c>
      <c r="AF50" s="2340">
        <f>IF(D50&lt;&gt;J50,1,0)</f>
        <v>0</v>
      </c>
      <c r="AG50" s="2170">
        <f t="shared" ref="AG50:AG51" si="70">IF(AND(K50&gt;0,L50&lt;0.1),1,0)</f>
        <v>0</v>
      </c>
      <c r="AH50" s="2340"/>
      <c r="AI50" s="2170">
        <f t="shared" ref="AI50:AI51" si="71">IF(AND(M50&gt;0,N50&lt;0.1),1,0)</f>
        <v>0</v>
      </c>
      <c r="AJ50" s="2340"/>
      <c r="AK50" s="2170">
        <f t="shared" ref="AK50:AK51" si="72">IF(AND(O50&gt;0,P50&lt;0.1),1,0)</f>
        <v>0</v>
      </c>
      <c r="AL50" s="2340"/>
      <c r="AM50" s="2170">
        <f t="shared" ref="AM50:AM51" si="73">IF(AND(Q50&gt;0,R50&lt;0.1),1,0)</f>
        <v>0</v>
      </c>
      <c r="AN50" s="2340"/>
      <c r="AO50" s="2170">
        <f t="shared" ref="AO50:AO51" si="74">IF(AND(S50&gt;0,T50&lt;0.1),1,0)</f>
        <v>0</v>
      </c>
      <c r="AP50" s="2340"/>
      <c r="AQ50" s="2170">
        <f t="shared" ref="AQ50:AQ51" si="75">IF(AND(U50&gt;0,V50&lt;0.1),1,0)</f>
        <v>0</v>
      </c>
      <c r="AR50" s="2340"/>
      <c r="AS50" s="2170">
        <f t="shared" ref="AS50:AS51" si="76">IF(AND(W50&gt;0,X50&lt;0.1),1,0)</f>
        <v>0</v>
      </c>
      <c r="AT50" s="2340"/>
      <c r="AU50" s="2170">
        <f t="shared" ref="AU50:AU51" si="77">IF(AND(Y50&gt;0,Z50&lt;0.1),1,0)</f>
        <v>0</v>
      </c>
      <c r="AV50" s="2340"/>
      <c r="AW50" s="2170">
        <f t="shared" ref="AW50:AW51" si="78">IF(AND(AA50&gt;0,AB50&lt;0.1),1,0)</f>
        <v>0</v>
      </c>
      <c r="AX50" s="2340"/>
      <c r="AY50" s="2170">
        <f t="shared" ref="AY50:AY51" si="79">IF(AND(AC50&gt;0,AD50&lt;0.1),1,0)</f>
        <v>0</v>
      </c>
      <c r="AZ50" s="2340"/>
      <c r="BA50" s="2340"/>
      <c r="BB50" s="2340"/>
      <c r="BC50" s="78"/>
    </row>
    <row r="51" spans="1:55" ht="15.75">
      <c r="A51" s="886">
        <v>25</v>
      </c>
      <c r="B51" s="1606" t="s">
        <v>1835</v>
      </c>
      <c r="C51" s="1605" t="s">
        <v>1836</v>
      </c>
      <c r="D51" s="2362"/>
      <c r="E51" s="1623"/>
      <c r="F51" s="1623"/>
      <c r="G51" s="1167"/>
      <c r="H51" s="1167"/>
      <c r="I51" s="2363"/>
      <c r="J51" s="2361">
        <f t="shared" si="69"/>
        <v>0</v>
      </c>
      <c r="K51" s="2362"/>
      <c r="L51" s="2362"/>
      <c r="M51" s="2362"/>
      <c r="N51" s="2362"/>
      <c r="O51" s="2362"/>
      <c r="P51" s="2362"/>
      <c r="Q51" s="2362"/>
      <c r="R51" s="2362"/>
      <c r="S51" s="2362"/>
      <c r="T51" s="2362"/>
      <c r="U51" s="2362"/>
      <c r="V51" s="2362"/>
      <c r="W51" s="2362"/>
      <c r="X51" s="2362"/>
      <c r="Y51" s="2362"/>
      <c r="Z51" s="2362"/>
      <c r="AA51" s="2362"/>
      <c r="AB51" s="2362"/>
      <c r="AC51" s="2362"/>
      <c r="AD51" s="2362"/>
      <c r="AE51" s="2364" t="str">
        <f>IF(D51&lt;&gt;J51,"YES","")</f>
        <v/>
      </c>
      <c r="AF51" s="2340">
        <f>IF(D51&lt;&gt;J51,1,0)</f>
        <v>0</v>
      </c>
      <c r="AG51" s="2170">
        <f t="shared" si="70"/>
        <v>0</v>
      </c>
      <c r="AH51" s="2340"/>
      <c r="AI51" s="2170">
        <f t="shared" si="71"/>
        <v>0</v>
      </c>
      <c r="AJ51" s="2340"/>
      <c r="AK51" s="2170">
        <f t="shared" si="72"/>
        <v>0</v>
      </c>
      <c r="AL51" s="2340"/>
      <c r="AM51" s="2170">
        <f t="shared" si="73"/>
        <v>0</v>
      </c>
      <c r="AN51" s="2340"/>
      <c r="AO51" s="2170">
        <f t="shared" si="74"/>
        <v>0</v>
      </c>
      <c r="AP51" s="2340"/>
      <c r="AQ51" s="2170">
        <f t="shared" si="75"/>
        <v>0</v>
      </c>
      <c r="AR51" s="2340"/>
      <c r="AS51" s="2170">
        <f t="shared" si="76"/>
        <v>0</v>
      </c>
      <c r="AT51" s="2340"/>
      <c r="AU51" s="2170">
        <f t="shared" si="77"/>
        <v>0</v>
      </c>
      <c r="AV51" s="2340"/>
      <c r="AW51" s="2170">
        <f t="shared" si="78"/>
        <v>0</v>
      </c>
      <c r="AX51" s="2340"/>
      <c r="AY51" s="2170">
        <f t="shared" si="79"/>
        <v>0</v>
      </c>
      <c r="AZ51" s="2340"/>
      <c r="BA51" s="2340"/>
      <c r="BB51" s="2340"/>
      <c r="BC51" s="78"/>
    </row>
    <row r="52" spans="1:55" ht="15.75">
      <c r="A52" s="901"/>
      <c r="B52" s="1614"/>
      <c r="C52" s="1614"/>
      <c r="D52" s="1609"/>
      <c r="E52" s="1623"/>
      <c r="F52" s="1623"/>
      <c r="G52" s="1167"/>
      <c r="H52" s="1167"/>
      <c r="I52" s="2363"/>
      <c r="J52" s="1609"/>
      <c r="K52" s="1609"/>
      <c r="L52" s="1609"/>
      <c r="M52" s="1609"/>
      <c r="N52" s="1609"/>
      <c r="O52" s="1609"/>
      <c r="P52" s="1609"/>
      <c r="Q52" s="1609"/>
      <c r="R52" s="1609"/>
      <c r="S52" s="1609"/>
      <c r="T52" s="1609"/>
      <c r="U52" s="1609"/>
      <c r="V52" s="1609"/>
      <c r="W52" s="1609"/>
      <c r="X52" s="1609"/>
      <c r="Y52" s="1609"/>
      <c r="Z52" s="1609"/>
      <c r="AA52" s="1609"/>
      <c r="AB52" s="1609"/>
      <c r="AC52" s="1609"/>
      <c r="AD52" s="1609"/>
      <c r="AE52" s="1609"/>
      <c r="AF52" s="1609"/>
      <c r="AG52" s="1609"/>
      <c r="AH52" s="1609"/>
      <c r="AI52" s="1609"/>
      <c r="AJ52" s="1609"/>
      <c r="AK52" s="1609"/>
      <c r="AL52" s="1609"/>
      <c r="AM52" s="1609"/>
      <c r="AN52" s="1609"/>
      <c r="AO52" s="1609"/>
      <c r="AP52" s="1609"/>
      <c r="AQ52" s="1609"/>
      <c r="AR52" s="1609"/>
      <c r="AS52" s="1609"/>
      <c r="AT52" s="1609"/>
      <c r="AU52" s="1609"/>
      <c r="AV52" s="1609"/>
      <c r="AW52" s="1609"/>
      <c r="AX52" s="1609"/>
      <c r="AY52" s="1609"/>
      <c r="AZ52" s="1609"/>
      <c r="BA52" s="1609"/>
      <c r="BB52" s="1609"/>
      <c r="BC52" s="78"/>
    </row>
    <row r="53" spans="1:55" ht="15.75">
      <c r="A53" s="901"/>
      <c r="B53" s="1621" t="s">
        <v>1026</v>
      </c>
      <c r="C53" s="1622"/>
      <c r="D53" s="1613"/>
      <c r="E53" s="1623"/>
      <c r="F53" s="1623"/>
      <c r="G53" s="1623"/>
      <c r="H53" s="1623"/>
      <c r="I53" s="2363"/>
      <c r="J53" s="1613"/>
      <c r="K53" s="1613"/>
      <c r="L53" s="1613"/>
      <c r="M53" s="1613"/>
      <c r="N53" s="1613"/>
      <c r="O53" s="1613"/>
      <c r="P53" s="1613"/>
      <c r="Q53" s="1613"/>
      <c r="R53" s="1613"/>
      <c r="S53" s="1613"/>
      <c r="T53" s="1613"/>
      <c r="U53" s="1613"/>
      <c r="V53" s="1613"/>
      <c r="W53" s="1613"/>
      <c r="X53" s="1613"/>
      <c r="Y53" s="1613"/>
      <c r="Z53" s="1613"/>
      <c r="AA53" s="1613"/>
      <c r="AB53" s="1613"/>
      <c r="AC53" s="1613"/>
      <c r="AD53" s="1613"/>
      <c r="AE53" s="1613"/>
      <c r="AF53" s="1613"/>
      <c r="AG53" s="1613"/>
      <c r="AH53" s="1613"/>
      <c r="AI53" s="1613"/>
      <c r="AJ53" s="1613"/>
      <c r="AK53" s="1613"/>
      <c r="AL53" s="1613"/>
      <c r="AM53" s="1613"/>
      <c r="AN53" s="1613"/>
      <c r="AO53" s="1613"/>
      <c r="AP53" s="1613"/>
      <c r="AQ53" s="1613"/>
      <c r="AR53" s="1613"/>
      <c r="AS53" s="1613"/>
      <c r="AT53" s="1613"/>
      <c r="AU53" s="1613"/>
      <c r="AV53" s="1613"/>
      <c r="AW53" s="1613"/>
      <c r="AX53" s="1613"/>
      <c r="AY53" s="1613"/>
      <c r="AZ53" s="1613"/>
      <c r="BA53" s="1613"/>
      <c r="BB53" s="1613"/>
      <c r="BC53" s="78"/>
    </row>
    <row r="54" spans="1:55" ht="15.75">
      <c r="A54" s="886">
        <v>26</v>
      </c>
      <c r="B54" s="1606" t="s">
        <v>743</v>
      </c>
      <c r="C54" s="1606" t="s">
        <v>1837</v>
      </c>
      <c r="D54" s="2362"/>
      <c r="E54" s="1623"/>
      <c r="F54" s="1623"/>
      <c r="G54" s="1167"/>
      <c r="H54" s="1167"/>
      <c r="I54" s="2363"/>
      <c r="J54" s="2361">
        <f t="shared" ref="J54:J58" si="80">K54+M54+O54+Q54+S54+U54+W54+Y54+AA54+AC54</f>
        <v>0</v>
      </c>
      <c r="K54" s="2362"/>
      <c r="L54" s="1613"/>
      <c r="M54" s="2362"/>
      <c r="N54" s="1613"/>
      <c r="O54" s="2362"/>
      <c r="P54" s="1613"/>
      <c r="Q54" s="2362"/>
      <c r="R54" s="1613"/>
      <c r="S54" s="2362"/>
      <c r="T54" s="1613"/>
      <c r="U54" s="2362"/>
      <c r="V54" s="1613"/>
      <c r="W54" s="2362"/>
      <c r="X54" s="1613"/>
      <c r="Y54" s="2362"/>
      <c r="Z54" s="1613"/>
      <c r="AA54" s="2362"/>
      <c r="AB54" s="1613"/>
      <c r="AC54" s="2362"/>
      <c r="AD54" s="1613"/>
      <c r="AE54" s="2364" t="str">
        <f>IF(D54&lt;&gt;J54,"YES","")</f>
        <v/>
      </c>
      <c r="AF54" s="2340">
        <f>IF(D54&lt;&gt;J54,1,0)</f>
        <v>0</v>
      </c>
      <c r="AG54" s="1613"/>
      <c r="AH54" s="1613"/>
      <c r="AI54" s="1613"/>
      <c r="AJ54" s="2340"/>
      <c r="AK54" s="1613"/>
      <c r="AL54" s="2340"/>
      <c r="AM54" s="1613"/>
      <c r="AN54" s="2340"/>
      <c r="AO54" s="1613"/>
      <c r="AP54" s="2340"/>
      <c r="AQ54" s="1613"/>
      <c r="AR54" s="2340"/>
      <c r="AS54" s="1613"/>
      <c r="AT54" s="2340"/>
      <c r="AU54" s="1613"/>
      <c r="AV54" s="2340"/>
      <c r="AW54" s="1613"/>
      <c r="AX54" s="2340"/>
      <c r="AY54" s="1613"/>
      <c r="AZ54" s="2340"/>
      <c r="BA54" s="2340"/>
      <c r="BB54" s="2340"/>
      <c r="BC54" s="78"/>
    </row>
    <row r="55" spans="1:55" ht="15.75">
      <c r="A55" s="886">
        <v>27</v>
      </c>
      <c r="B55" s="1606" t="s">
        <v>1881</v>
      </c>
      <c r="C55" s="1606" t="s">
        <v>1838</v>
      </c>
      <c r="D55" s="2362"/>
      <c r="E55" s="1623"/>
      <c r="F55" s="1623"/>
      <c r="G55" s="1167"/>
      <c r="H55" s="1167"/>
      <c r="I55" s="2363"/>
      <c r="J55" s="2361">
        <f t="shared" si="80"/>
        <v>0</v>
      </c>
      <c r="K55" s="2362"/>
      <c r="L55" s="2362"/>
      <c r="M55" s="2362"/>
      <c r="N55" s="2362"/>
      <c r="O55" s="2362"/>
      <c r="P55" s="2362"/>
      <c r="Q55" s="2362"/>
      <c r="R55" s="2362"/>
      <c r="S55" s="2362"/>
      <c r="T55" s="2362"/>
      <c r="U55" s="2362"/>
      <c r="V55" s="2362"/>
      <c r="W55" s="2362"/>
      <c r="X55" s="2362"/>
      <c r="Y55" s="2362"/>
      <c r="Z55" s="2362"/>
      <c r="AA55" s="2362"/>
      <c r="AB55" s="2362"/>
      <c r="AC55" s="2362"/>
      <c r="AD55" s="2362"/>
      <c r="AE55" s="2364" t="str">
        <f>IF(D55&lt;&gt;J55,"YES","")</f>
        <v/>
      </c>
      <c r="AF55" s="2340">
        <f>IF(D55&lt;&gt;J55,1,0)</f>
        <v>0</v>
      </c>
      <c r="AG55" s="2170">
        <f t="shared" ref="AG55:AG58" si="81">IF(AND(K55&gt;0,L55&lt;0.1),1,0)</f>
        <v>0</v>
      </c>
      <c r="AH55" s="2340"/>
      <c r="AI55" s="2170">
        <f t="shared" ref="AI55:AI58" si="82">IF(AND(M55&gt;0,N55&lt;0.1),1,0)</f>
        <v>0</v>
      </c>
      <c r="AJ55" s="2340"/>
      <c r="AK55" s="2170">
        <f t="shared" ref="AK55:AK58" si="83">IF(AND(O55&gt;0,P55&lt;0.1),1,0)</f>
        <v>0</v>
      </c>
      <c r="AL55" s="2340"/>
      <c r="AM55" s="2170">
        <f t="shared" ref="AM55:AM58" si="84">IF(AND(Q55&gt;0,R55&lt;0.1),1,0)</f>
        <v>0</v>
      </c>
      <c r="AN55" s="2340"/>
      <c r="AO55" s="2170">
        <f t="shared" ref="AO55:AO58" si="85">IF(AND(S55&gt;0,T55&lt;0.1),1,0)</f>
        <v>0</v>
      </c>
      <c r="AP55" s="2340"/>
      <c r="AQ55" s="2170">
        <f t="shared" ref="AQ55:AQ58" si="86">IF(AND(U55&gt;0,V55&lt;0.1),1,0)</f>
        <v>0</v>
      </c>
      <c r="AR55" s="2340"/>
      <c r="AS55" s="2170">
        <f t="shared" ref="AS55:AS58" si="87">IF(AND(W55&gt;0,X55&lt;0.1),1,0)</f>
        <v>0</v>
      </c>
      <c r="AT55" s="2340"/>
      <c r="AU55" s="2170">
        <f t="shared" ref="AU55:AU58" si="88">IF(AND(Y55&gt;0,Z55&lt;0.1),1,0)</f>
        <v>0</v>
      </c>
      <c r="AV55" s="2340"/>
      <c r="AW55" s="2170">
        <f t="shared" ref="AW55:AW58" si="89">IF(AND(AA55&gt;0,AB55&lt;0.1),1,0)</f>
        <v>0</v>
      </c>
      <c r="AX55" s="2340"/>
      <c r="AY55" s="2170">
        <f t="shared" ref="AY55:AY58" si="90">IF(AND(AC55&gt;0,AD55&lt;0.1),1,0)</f>
        <v>0</v>
      </c>
      <c r="AZ55" s="2340"/>
      <c r="BA55" s="2340"/>
      <c r="BB55" s="2340"/>
      <c r="BC55" s="78"/>
    </row>
    <row r="56" spans="1:55" ht="15.75">
      <c r="A56" s="886">
        <v>28</v>
      </c>
      <c r="B56" s="1606" t="s">
        <v>887</v>
      </c>
      <c r="C56" s="1606" t="s">
        <v>1170</v>
      </c>
      <c r="D56" s="2362"/>
      <c r="E56" s="1623"/>
      <c r="F56" s="1623"/>
      <c r="G56" s="1167"/>
      <c r="H56" s="1167"/>
      <c r="I56" s="2363"/>
      <c r="J56" s="2361">
        <f t="shared" si="80"/>
        <v>0</v>
      </c>
      <c r="K56" s="2362"/>
      <c r="L56" s="2362"/>
      <c r="M56" s="2362"/>
      <c r="N56" s="2362"/>
      <c r="O56" s="2362"/>
      <c r="P56" s="2362"/>
      <c r="Q56" s="2362"/>
      <c r="R56" s="2362"/>
      <c r="S56" s="2362"/>
      <c r="T56" s="2362"/>
      <c r="U56" s="2362"/>
      <c r="V56" s="2362"/>
      <c r="W56" s="2362"/>
      <c r="X56" s="2362"/>
      <c r="Y56" s="2362"/>
      <c r="Z56" s="2362"/>
      <c r="AA56" s="2362"/>
      <c r="AB56" s="2362"/>
      <c r="AC56" s="2362"/>
      <c r="AD56" s="2362"/>
      <c r="AE56" s="2364" t="str">
        <f>IF(D56&lt;&gt;J56,"YES","")</f>
        <v/>
      </c>
      <c r="AF56" s="2340">
        <f>IF(D56&lt;&gt;J56,1,0)</f>
        <v>0</v>
      </c>
      <c r="AG56" s="2170">
        <f t="shared" si="81"/>
        <v>0</v>
      </c>
      <c r="AH56" s="2340"/>
      <c r="AI56" s="2170">
        <f t="shared" si="82"/>
        <v>0</v>
      </c>
      <c r="AJ56" s="2340"/>
      <c r="AK56" s="2170">
        <f t="shared" si="83"/>
        <v>0</v>
      </c>
      <c r="AL56" s="2340"/>
      <c r="AM56" s="2170">
        <f t="shared" si="84"/>
        <v>0</v>
      </c>
      <c r="AN56" s="2340"/>
      <c r="AO56" s="2170">
        <f t="shared" si="85"/>
        <v>0</v>
      </c>
      <c r="AP56" s="2340"/>
      <c r="AQ56" s="2170">
        <f t="shared" si="86"/>
        <v>0</v>
      </c>
      <c r="AR56" s="2340"/>
      <c r="AS56" s="2170">
        <f t="shared" si="87"/>
        <v>0</v>
      </c>
      <c r="AT56" s="2340"/>
      <c r="AU56" s="2170">
        <f t="shared" si="88"/>
        <v>0</v>
      </c>
      <c r="AV56" s="2340"/>
      <c r="AW56" s="2170">
        <f t="shared" si="89"/>
        <v>0</v>
      </c>
      <c r="AX56" s="2340"/>
      <c r="AY56" s="2170">
        <f t="shared" si="90"/>
        <v>0</v>
      </c>
      <c r="AZ56" s="2340"/>
      <c r="BA56" s="2340"/>
      <c r="BB56" s="2340"/>
      <c r="BC56" s="78"/>
    </row>
    <row r="57" spans="1:55" ht="15.75">
      <c r="A57" s="886">
        <v>29</v>
      </c>
      <c r="B57" s="1606" t="s">
        <v>1600</v>
      </c>
      <c r="C57" s="1606" t="s">
        <v>1170</v>
      </c>
      <c r="D57" s="2362"/>
      <c r="E57" s="1623"/>
      <c r="F57" s="1623"/>
      <c r="G57" s="1167"/>
      <c r="H57" s="1167"/>
      <c r="I57" s="2363"/>
      <c r="J57" s="2361">
        <f t="shared" si="80"/>
        <v>0</v>
      </c>
      <c r="K57" s="2362"/>
      <c r="L57" s="2362"/>
      <c r="M57" s="2362"/>
      <c r="N57" s="2362"/>
      <c r="O57" s="2362"/>
      <c r="P57" s="2362"/>
      <c r="Q57" s="2362"/>
      <c r="R57" s="2362"/>
      <c r="S57" s="2362"/>
      <c r="T57" s="2362"/>
      <c r="U57" s="2362"/>
      <c r="V57" s="2362"/>
      <c r="W57" s="2362"/>
      <c r="X57" s="2362"/>
      <c r="Y57" s="2362"/>
      <c r="Z57" s="2362"/>
      <c r="AA57" s="2362"/>
      <c r="AB57" s="2362"/>
      <c r="AC57" s="2362"/>
      <c r="AD57" s="2362"/>
      <c r="AE57" s="2364" t="str">
        <f>IF(D57&lt;&gt;J57,"YES","")</f>
        <v/>
      </c>
      <c r="AF57" s="2340">
        <f>IF(D57&lt;&gt;J57,1,0)</f>
        <v>0</v>
      </c>
      <c r="AG57" s="2170">
        <f t="shared" si="81"/>
        <v>0</v>
      </c>
      <c r="AH57" s="2340"/>
      <c r="AI57" s="2170">
        <f t="shared" si="82"/>
        <v>0</v>
      </c>
      <c r="AJ57" s="2340"/>
      <c r="AK57" s="2170">
        <f t="shared" si="83"/>
        <v>0</v>
      </c>
      <c r="AL57" s="2340"/>
      <c r="AM57" s="2170">
        <f t="shared" si="84"/>
        <v>0</v>
      </c>
      <c r="AN57" s="2340"/>
      <c r="AO57" s="2170">
        <f t="shared" si="85"/>
        <v>0</v>
      </c>
      <c r="AP57" s="2340"/>
      <c r="AQ57" s="2170">
        <f t="shared" si="86"/>
        <v>0</v>
      </c>
      <c r="AR57" s="2340"/>
      <c r="AS57" s="2170">
        <f t="shared" si="87"/>
        <v>0</v>
      </c>
      <c r="AT57" s="2340"/>
      <c r="AU57" s="2170">
        <f t="shared" si="88"/>
        <v>0</v>
      </c>
      <c r="AV57" s="2340"/>
      <c r="AW57" s="2170">
        <f t="shared" si="89"/>
        <v>0</v>
      </c>
      <c r="AX57" s="2340"/>
      <c r="AY57" s="2170">
        <f t="shared" si="90"/>
        <v>0</v>
      </c>
      <c r="AZ57" s="2340"/>
      <c r="BA57" s="2340"/>
      <c r="BB57" s="2340"/>
      <c r="BC57" s="78"/>
    </row>
    <row r="58" spans="1:55" ht="15.75">
      <c r="A58" s="886">
        <v>30</v>
      </c>
      <c r="B58" s="1606" t="s">
        <v>888</v>
      </c>
      <c r="C58" s="1606" t="s">
        <v>1170</v>
      </c>
      <c r="D58" s="2362"/>
      <c r="E58" s="1623"/>
      <c r="F58" s="1623"/>
      <c r="G58" s="1167"/>
      <c r="H58" s="1167"/>
      <c r="I58" s="2363"/>
      <c r="J58" s="2361">
        <f t="shared" si="80"/>
        <v>0</v>
      </c>
      <c r="K58" s="2362"/>
      <c r="L58" s="2362"/>
      <c r="M58" s="2362"/>
      <c r="N58" s="2362"/>
      <c r="O58" s="2362"/>
      <c r="P58" s="2362"/>
      <c r="Q58" s="2362"/>
      <c r="R58" s="2362"/>
      <c r="S58" s="2362"/>
      <c r="T58" s="2362"/>
      <c r="U58" s="2362"/>
      <c r="V58" s="2362"/>
      <c r="W58" s="2362"/>
      <c r="X58" s="2362"/>
      <c r="Y58" s="2362"/>
      <c r="Z58" s="2362"/>
      <c r="AA58" s="2362"/>
      <c r="AB58" s="2362"/>
      <c r="AC58" s="2362"/>
      <c r="AD58" s="2362"/>
      <c r="AE58" s="2364" t="str">
        <f>IF(D58&lt;&gt;J58,"YES","")</f>
        <v/>
      </c>
      <c r="AF58" s="2340">
        <f>IF(D58&lt;&gt;J58,1,0)</f>
        <v>0</v>
      </c>
      <c r="AG58" s="2170">
        <f t="shared" si="81"/>
        <v>0</v>
      </c>
      <c r="AH58" s="2340"/>
      <c r="AI58" s="2170">
        <f t="shared" si="82"/>
        <v>0</v>
      </c>
      <c r="AJ58" s="2340"/>
      <c r="AK58" s="2170">
        <f t="shared" si="83"/>
        <v>0</v>
      </c>
      <c r="AL58" s="2340"/>
      <c r="AM58" s="2170">
        <f t="shared" si="84"/>
        <v>0</v>
      </c>
      <c r="AN58" s="2340"/>
      <c r="AO58" s="2170">
        <f t="shared" si="85"/>
        <v>0</v>
      </c>
      <c r="AP58" s="2340"/>
      <c r="AQ58" s="2170">
        <f t="shared" si="86"/>
        <v>0</v>
      </c>
      <c r="AR58" s="2340"/>
      <c r="AS58" s="2170">
        <f t="shared" si="87"/>
        <v>0</v>
      </c>
      <c r="AT58" s="2340"/>
      <c r="AU58" s="2170">
        <f t="shared" si="88"/>
        <v>0</v>
      </c>
      <c r="AV58" s="2340"/>
      <c r="AW58" s="2170">
        <f t="shared" si="89"/>
        <v>0</v>
      </c>
      <c r="AX58" s="2340"/>
      <c r="AY58" s="2170">
        <f t="shared" si="90"/>
        <v>0</v>
      </c>
      <c r="AZ58" s="2340"/>
      <c r="BA58" s="2340"/>
      <c r="BB58" s="2340"/>
      <c r="BC58" s="78"/>
    </row>
    <row r="59" spans="1:55" ht="15.75">
      <c r="A59" s="901"/>
      <c r="B59" s="1614"/>
      <c r="C59" s="1614"/>
      <c r="D59" s="1609"/>
      <c r="E59" s="1623"/>
      <c r="F59" s="1623"/>
      <c r="G59" s="1167"/>
      <c r="H59" s="1167"/>
      <c r="I59" s="2363"/>
      <c r="J59" s="1609"/>
      <c r="K59" s="1609"/>
      <c r="L59" s="1609"/>
      <c r="M59" s="1609"/>
      <c r="N59" s="1609"/>
      <c r="O59" s="1609"/>
      <c r="P59" s="1609"/>
      <c r="Q59" s="1609"/>
      <c r="R59" s="1609"/>
      <c r="S59" s="1609"/>
      <c r="T59" s="1609"/>
      <c r="U59" s="1609"/>
      <c r="V59" s="1609"/>
      <c r="W59" s="1609"/>
      <c r="X59" s="1609"/>
      <c r="Y59" s="1609"/>
      <c r="Z59" s="1609"/>
      <c r="AA59" s="1609"/>
      <c r="AB59" s="1609"/>
      <c r="AC59" s="1609"/>
      <c r="AD59" s="1609"/>
      <c r="AE59" s="1609"/>
      <c r="AF59" s="1609"/>
      <c r="AG59" s="1609"/>
      <c r="AH59" s="1609"/>
      <c r="AI59" s="1609"/>
      <c r="AJ59" s="1609"/>
      <c r="AK59" s="1609"/>
      <c r="AL59" s="1609"/>
      <c r="AM59" s="1609"/>
      <c r="AN59" s="1609"/>
      <c r="AO59" s="1609"/>
      <c r="AP59" s="1609"/>
      <c r="AQ59" s="1609"/>
      <c r="AR59" s="1609"/>
      <c r="AS59" s="1609"/>
      <c r="AT59" s="1609"/>
      <c r="AU59" s="1609"/>
      <c r="AV59" s="1609"/>
      <c r="AW59" s="1609"/>
      <c r="AX59" s="1609"/>
      <c r="AY59" s="1609"/>
      <c r="AZ59" s="1609"/>
      <c r="BA59" s="1609"/>
      <c r="BB59" s="1609"/>
      <c r="BC59" s="78"/>
    </row>
    <row r="60" spans="1:55" ht="15.75">
      <c r="A60" s="901"/>
      <c r="B60" s="1621" t="s">
        <v>1602</v>
      </c>
      <c r="C60" s="1622"/>
      <c r="D60" s="1609"/>
      <c r="E60" s="1623"/>
      <c r="F60" s="1623"/>
      <c r="G60" s="1167"/>
      <c r="H60" s="1167"/>
      <c r="I60" s="2363"/>
      <c r="J60" s="1609"/>
      <c r="K60" s="1611"/>
      <c r="L60" s="1611"/>
      <c r="M60" s="1611"/>
      <c r="N60" s="1611"/>
      <c r="O60" s="1611"/>
      <c r="P60" s="1611"/>
      <c r="Q60" s="1611"/>
      <c r="R60" s="1611"/>
      <c r="S60" s="1611"/>
      <c r="T60" s="1611"/>
      <c r="U60" s="1611"/>
      <c r="V60" s="1611"/>
      <c r="W60" s="1611"/>
      <c r="X60" s="1611"/>
      <c r="Y60" s="1611"/>
      <c r="Z60" s="1611"/>
      <c r="AA60" s="1611"/>
      <c r="AB60" s="1611"/>
      <c r="AC60" s="1611"/>
      <c r="AD60" s="1611"/>
      <c r="AE60" s="1611"/>
      <c r="AF60" s="1613"/>
      <c r="AG60" s="1613"/>
      <c r="AH60" s="1613"/>
      <c r="AI60" s="1613"/>
      <c r="AJ60" s="1613"/>
      <c r="AK60" s="1613"/>
      <c r="AL60" s="1613"/>
      <c r="AM60" s="1613"/>
      <c r="AN60" s="1613"/>
      <c r="AO60" s="1613"/>
      <c r="AP60" s="1613"/>
      <c r="AQ60" s="1613"/>
      <c r="AR60" s="1613"/>
      <c r="AS60" s="1613"/>
      <c r="AT60" s="1613"/>
      <c r="AU60" s="1613"/>
      <c r="AV60" s="1613"/>
      <c r="AW60" s="1613"/>
      <c r="AX60" s="1613"/>
      <c r="AY60" s="1613"/>
      <c r="AZ60" s="1613"/>
      <c r="BA60" s="1613"/>
      <c r="BB60" s="1613"/>
      <c r="BC60" s="78"/>
    </row>
    <row r="61" spans="1:55" ht="15.75">
      <c r="A61" s="886">
        <v>31</v>
      </c>
      <c r="B61" s="1606" t="s">
        <v>1600</v>
      </c>
      <c r="C61" s="1606" t="s">
        <v>889</v>
      </c>
      <c r="D61" s="2362"/>
      <c r="E61" s="1623"/>
      <c r="F61" s="1623"/>
      <c r="G61" s="1167"/>
      <c r="H61" s="1167"/>
      <c r="I61" s="2363"/>
      <c r="J61" s="2361">
        <f t="shared" ref="J61:J64" si="91">K61+M61+O61+Q61+S61+U61+W61+Y61+AA61+AC61</f>
        <v>0</v>
      </c>
      <c r="K61" s="2362"/>
      <c r="L61" s="2362"/>
      <c r="M61" s="2362"/>
      <c r="N61" s="2362"/>
      <c r="O61" s="2362"/>
      <c r="P61" s="2362"/>
      <c r="Q61" s="2362"/>
      <c r="R61" s="2362"/>
      <c r="S61" s="2362"/>
      <c r="T61" s="2362"/>
      <c r="U61" s="2362"/>
      <c r="V61" s="2362"/>
      <c r="W61" s="2362"/>
      <c r="X61" s="2362"/>
      <c r="Y61" s="2362"/>
      <c r="Z61" s="2362"/>
      <c r="AA61" s="2362"/>
      <c r="AB61" s="2362"/>
      <c r="AC61" s="2362"/>
      <c r="AD61" s="2362"/>
      <c r="AE61" s="2364" t="str">
        <f>IF(D61&lt;&gt;J61,"YES","")</f>
        <v/>
      </c>
      <c r="AF61" s="2340">
        <f>IF(D61&lt;&gt;J61,1,0)</f>
        <v>0</v>
      </c>
      <c r="AG61" s="2170">
        <f t="shared" ref="AG61:AG64" si="92">IF(AND(K61&gt;0,L61&lt;0.1),1,0)</f>
        <v>0</v>
      </c>
      <c r="AH61" s="2340"/>
      <c r="AI61" s="2170">
        <f t="shared" ref="AI61:AI64" si="93">IF(AND(M61&gt;0,N61&lt;0.1),1,0)</f>
        <v>0</v>
      </c>
      <c r="AJ61" s="2340"/>
      <c r="AK61" s="2170">
        <f t="shared" ref="AK61:AK64" si="94">IF(AND(O61&gt;0,P61&lt;0.1),1,0)</f>
        <v>0</v>
      </c>
      <c r="AL61" s="2340"/>
      <c r="AM61" s="2170">
        <f t="shared" ref="AM61:AM64" si="95">IF(AND(Q61&gt;0,R61&lt;0.1),1,0)</f>
        <v>0</v>
      </c>
      <c r="AN61" s="2340"/>
      <c r="AO61" s="2170">
        <f t="shared" ref="AO61:AO64" si="96">IF(AND(S61&gt;0,T61&lt;0.1),1,0)</f>
        <v>0</v>
      </c>
      <c r="AP61" s="2340"/>
      <c r="AQ61" s="2170">
        <f t="shared" ref="AQ61:AQ64" si="97">IF(AND(U61&gt;0,V61&lt;0.1),1,0)</f>
        <v>0</v>
      </c>
      <c r="AR61" s="2340"/>
      <c r="AS61" s="2170">
        <f t="shared" ref="AS61:AS64" si="98">IF(AND(W61&gt;0,X61&lt;0.1),1,0)</f>
        <v>0</v>
      </c>
      <c r="AT61" s="2340"/>
      <c r="AU61" s="2170">
        <f t="shared" ref="AU61:AU64" si="99">IF(AND(Y61&gt;0,Z61&lt;0.1),1,0)</f>
        <v>0</v>
      </c>
      <c r="AV61" s="2340"/>
      <c r="AW61" s="2170">
        <f t="shared" ref="AW61:AW64" si="100">IF(AND(AA61&gt;0,AB61&lt;0.1),1,0)</f>
        <v>0</v>
      </c>
      <c r="AX61" s="2340"/>
      <c r="AY61" s="2170">
        <f t="shared" ref="AY61:AY64" si="101">IF(AND(AC61&gt;0,AD61&lt;0.1),1,0)</f>
        <v>0</v>
      </c>
      <c r="AZ61" s="2340"/>
      <c r="BA61" s="2340"/>
      <c r="BB61" s="2340"/>
      <c r="BC61" s="78"/>
    </row>
    <row r="62" spans="1:55" ht="15.75">
      <c r="A62" s="886">
        <v>32</v>
      </c>
      <c r="B62" s="1606" t="s">
        <v>1025</v>
      </c>
      <c r="C62" s="1606" t="s">
        <v>890</v>
      </c>
      <c r="D62" s="2362"/>
      <c r="E62" s="1623"/>
      <c r="F62" s="1623"/>
      <c r="G62" s="1167"/>
      <c r="H62" s="1167"/>
      <c r="I62" s="2363"/>
      <c r="J62" s="2361">
        <f t="shared" si="91"/>
        <v>0</v>
      </c>
      <c r="K62" s="2362"/>
      <c r="L62" s="2362"/>
      <c r="M62" s="2362"/>
      <c r="N62" s="2362"/>
      <c r="O62" s="2362"/>
      <c r="P62" s="2362"/>
      <c r="Q62" s="2362"/>
      <c r="R62" s="2362"/>
      <c r="S62" s="2362"/>
      <c r="T62" s="2362"/>
      <c r="U62" s="2362"/>
      <c r="V62" s="2362"/>
      <c r="W62" s="2362"/>
      <c r="X62" s="2362"/>
      <c r="Y62" s="2362"/>
      <c r="Z62" s="2362"/>
      <c r="AA62" s="2362"/>
      <c r="AB62" s="2362"/>
      <c r="AC62" s="2362"/>
      <c r="AD62" s="2362"/>
      <c r="AE62" s="2364" t="str">
        <f>IF(D62&lt;&gt;J62,"YES","")</f>
        <v/>
      </c>
      <c r="AF62" s="2340">
        <f>IF(D62&lt;&gt;J62,1,0)</f>
        <v>0</v>
      </c>
      <c r="AG62" s="2170">
        <f t="shared" si="92"/>
        <v>0</v>
      </c>
      <c r="AH62" s="2340"/>
      <c r="AI62" s="2170">
        <f t="shared" si="93"/>
        <v>0</v>
      </c>
      <c r="AJ62" s="2340"/>
      <c r="AK62" s="2170">
        <f t="shared" si="94"/>
        <v>0</v>
      </c>
      <c r="AL62" s="2340"/>
      <c r="AM62" s="2170">
        <f t="shared" si="95"/>
        <v>0</v>
      </c>
      <c r="AN62" s="2340"/>
      <c r="AO62" s="2170">
        <f t="shared" si="96"/>
        <v>0</v>
      </c>
      <c r="AP62" s="2340"/>
      <c r="AQ62" s="2170">
        <f t="shared" si="97"/>
        <v>0</v>
      </c>
      <c r="AR62" s="2340"/>
      <c r="AS62" s="2170">
        <f t="shared" si="98"/>
        <v>0</v>
      </c>
      <c r="AT62" s="2340"/>
      <c r="AU62" s="2170">
        <f t="shared" si="99"/>
        <v>0</v>
      </c>
      <c r="AV62" s="2340"/>
      <c r="AW62" s="2170">
        <f t="shared" si="100"/>
        <v>0</v>
      </c>
      <c r="AX62" s="2340"/>
      <c r="AY62" s="2170">
        <f t="shared" si="101"/>
        <v>0</v>
      </c>
      <c r="AZ62" s="2340"/>
      <c r="BA62" s="2340"/>
      <c r="BB62" s="2340"/>
      <c r="BC62" s="78"/>
    </row>
    <row r="63" spans="1:55" ht="15.75">
      <c r="A63" s="886">
        <v>33</v>
      </c>
      <c r="B63" s="1606" t="s">
        <v>891</v>
      </c>
      <c r="C63" s="1606" t="s">
        <v>892</v>
      </c>
      <c r="D63" s="2362"/>
      <c r="E63" s="1623"/>
      <c r="F63" s="1623"/>
      <c r="G63" s="1167"/>
      <c r="H63" s="1167"/>
      <c r="I63" s="2363"/>
      <c r="J63" s="2361">
        <f t="shared" si="91"/>
        <v>0</v>
      </c>
      <c r="K63" s="2362"/>
      <c r="L63" s="2362"/>
      <c r="M63" s="2362"/>
      <c r="N63" s="2362"/>
      <c r="O63" s="2362"/>
      <c r="P63" s="2362"/>
      <c r="Q63" s="2362"/>
      <c r="R63" s="2362"/>
      <c r="S63" s="2362"/>
      <c r="T63" s="2362"/>
      <c r="U63" s="2362"/>
      <c r="V63" s="2362"/>
      <c r="W63" s="2362"/>
      <c r="X63" s="2362"/>
      <c r="Y63" s="2362"/>
      <c r="Z63" s="2362"/>
      <c r="AA63" s="2362"/>
      <c r="AB63" s="2362"/>
      <c r="AC63" s="2362"/>
      <c r="AD63" s="2362"/>
      <c r="AE63" s="2364" t="str">
        <f>IF(D63&lt;&gt;J63,"YES","")</f>
        <v/>
      </c>
      <c r="AF63" s="2340">
        <f>IF(D63&lt;&gt;J63,1,0)</f>
        <v>0</v>
      </c>
      <c r="AG63" s="2170">
        <f t="shared" si="92"/>
        <v>0</v>
      </c>
      <c r="AH63" s="2340"/>
      <c r="AI63" s="2170">
        <f t="shared" si="93"/>
        <v>0</v>
      </c>
      <c r="AJ63" s="2340"/>
      <c r="AK63" s="2170">
        <f t="shared" si="94"/>
        <v>0</v>
      </c>
      <c r="AL63" s="2340"/>
      <c r="AM63" s="2170">
        <f t="shared" si="95"/>
        <v>0</v>
      </c>
      <c r="AN63" s="2340"/>
      <c r="AO63" s="2170">
        <f t="shared" si="96"/>
        <v>0</v>
      </c>
      <c r="AP63" s="2340"/>
      <c r="AQ63" s="2170">
        <f t="shared" si="97"/>
        <v>0</v>
      </c>
      <c r="AR63" s="2340"/>
      <c r="AS63" s="2170">
        <f t="shared" si="98"/>
        <v>0</v>
      </c>
      <c r="AT63" s="2340"/>
      <c r="AU63" s="2170">
        <f t="shared" si="99"/>
        <v>0</v>
      </c>
      <c r="AV63" s="2340"/>
      <c r="AW63" s="2170">
        <f t="shared" si="100"/>
        <v>0</v>
      </c>
      <c r="AX63" s="2340"/>
      <c r="AY63" s="2170">
        <f t="shared" si="101"/>
        <v>0</v>
      </c>
      <c r="AZ63" s="2340"/>
      <c r="BA63" s="2340"/>
      <c r="BB63" s="2340"/>
      <c r="BC63" s="78"/>
    </row>
    <row r="64" spans="1:55" ht="15.75">
      <c r="A64" s="886">
        <v>34</v>
      </c>
      <c r="B64" s="1606" t="s">
        <v>808</v>
      </c>
      <c r="C64" s="1606" t="s">
        <v>809</v>
      </c>
      <c r="D64" s="2362"/>
      <c r="E64" s="1623"/>
      <c r="F64" s="1623"/>
      <c r="G64" s="1167"/>
      <c r="H64" s="1167"/>
      <c r="I64" s="2363"/>
      <c r="J64" s="2361">
        <f t="shared" si="91"/>
        <v>0</v>
      </c>
      <c r="K64" s="2362"/>
      <c r="L64" s="2362"/>
      <c r="M64" s="2362"/>
      <c r="N64" s="2362"/>
      <c r="O64" s="2362"/>
      <c r="P64" s="2362"/>
      <c r="Q64" s="2362"/>
      <c r="R64" s="2362"/>
      <c r="S64" s="2362"/>
      <c r="T64" s="2362"/>
      <c r="U64" s="2362"/>
      <c r="V64" s="2362"/>
      <c r="W64" s="2362"/>
      <c r="X64" s="2362"/>
      <c r="Y64" s="2362"/>
      <c r="Z64" s="2362"/>
      <c r="AA64" s="2362"/>
      <c r="AB64" s="2362"/>
      <c r="AC64" s="2362"/>
      <c r="AD64" s="2362"/>
      <c r="AE64" s="2364" t="str">
        <f>IF(D64&lt;&gt;J64,"YES","")</f>
        <v/>
      </c>
      <c r="AF64" s="2340">
        <f>IF(D64&lt;&gt;J64,1,0)</f>
        <v>0</v>
      </c>
      <c r="AG64" s="2170">
        <f t="shared" si="92"/>
        <v>0</v>
      </c>
      <c r="AH64" s="2340"/>
      <c r="AI64" s="2170">
        <f t="shared" si="93"/>
        <v>0</v>
      </c>
      <c r="AJ64" s="2340"/>
      <c r="AK64" s="2170">
        <f t="shared" si="94"/>
        <v>0</v>
      </c>
      <c r="AL64" s="2340"/>
      <c r="AM64" s="2170">
        <f t="shared" si="95"/>
        <v>0</v>
      </c>
      <c r="AN64" s="2340"/>
      <c r="AO64" s="2170">
        <f t="shared" si="96"/>
        <v>0</v>
      </c>
      <c r="AP64" s="2340"/>
      <c r="AQ64" s="2170">
        <f t="shared" si="97"/>
        <v>0</v>
      </c>
      <c r="AR64" s="2340"/>
      <c r="AS64" s="2170">
        <f t="shared" si="98"/>
        <v>0</v>
      </c>
      <c r="AT64" s="2340"/>
      <c r="AU64" s="2170">
        <f t="shared" si="99"/>
        <v>0</v>
      </c>
      <c r="AV64" s="2340"/>
      <c r="AW64" s="2170">
        <f t="shared" si="100"/>
        <v>0</v>
      </c>
      <c r="AX64" s="2340"/>
      <c r="AY64" s="2170">
        <f t="shared" si="101"/>
        <v>0</v>
      </c>
      <c r="AZ64" s="2340"/>
      <c r="BA64" s="2340"/>
      <c r="BB64" s="2340"/>
      <c r="BC64" s="78"/>
    </row>
    <row r="65" spans="1:55" ht="15.75">
      <c r="A65" s="901"/>
      <c r="B65" s="1614"/>
      <c r="C65" s="1608"/>
      <c r="D65" s="1609"/>
      <c r="E65" s="1623"/>
      <c r="F65" s="1623"/>
      <c r="G65" s="1610"/>
      <c r="H65" s="1610"/>
      <c r="I65" s="2363"/>
      <c r="J65" s="1609"/>
      <c r="K65" s="1609"/>
      <c r="L65" s="1609"/>
      <c r="M65" s="1609"/>
      <c r="N65" s="1609"/>
      <c r="O65" s="1609"/>
      <c r="P65" s="1609"/>
      <c r="Q65" s="1609"/>
      <c r="R65" s="1609"/>
      <c r="S65" s="1609"/>
      <c r="T65" s="1609"/>
      <c r="U65" s="1609"/>
      <c r="V65" s="1609"/>
      <c r="W65" s="1609"/>
      <c r="X65" s="1609"/>
      <c r="Y65" s="1609"/>
      <c r="Z65" s="1609"/>
      <c r="AA65" s="1609"/>
      <c r="AB65" s="1609"/>
      <c r="AC65" s="1609"/>
      <c r="AD65" s="1609"/>
      <c r="AE65" s="1609"/>
      <c r="AF65" s="1609"/>
      <c r="AG65" s="1609"/>
      <c r="AH65" s="1609"/>
      <c r="AI65" s="1609"/>
      <c r="AJ65" s="1609"/>
      <c r="AK65" s="1609"/>
      <c r="AL65" s="1609"/>
      <c r="AM65" s="1609"/>
      <c r="AN65" s="1609"/>
      <c r="AO65" s="1609"/>
      <c r="AP65" s="1609"/>
      <c r="AQ65" s="1609"/>
      <c r="AR65" s="1609"/>
      <c r="AS65" s="1609"/>
      <c r="AT65" s="1609"/>
      <c r="AU65" s="1609"/>
      <c r="AV65" s="1609"/>
      <c r="AW65" s="1609"/>
      <c r="AX65" s="1609"/>
      <c r="AY65" s="1609"/>
      <c r="AZ65" s="1609"/>
      <c r="BA65" s="1609"/>
      <c r="BB65" s="1609"/>
      <c r="BC65" s="78"/>
    </row>
    <row r="66" spans="1:55" ht="15.75">
      <c r="A66" s="901"/>
      <c r="B66" s="1621" t="s">
        <v>810</v>
      </c>
      <c r="C66" s="1602"/>
      <c r="D66" s="1609"/>
      <c r="E66" s="1623"/>
      <c r="F66" s="1623"/>
      <c r="G66" s="1612"/>
      <c r="H66" s="1612"/>
      <c r="I66" s="2363"/>
      <c r="J66" s="1609"/>
      <c r="K66" s="1611"/>
      <c r="L66" s="1611"/>
      <c r="M66" s="1611"/>
      <c r="N66" s="1611"/>
      <c r="O66" s="1611"/>
      <c r="P66" s="1611"/>
      <c r="Q66" s="1611"/>
      <c r="R66" s="1611"/>
      <c r="S66" s="1611"/>
      <c r="T66" s="1611"/>
      <c r="U66" s="1611"/>
      <c r="V66" s="1611"/>
      <c r="W66" s="1611"/>
      <c r="X66" s="1611"/>
      <c r="Y66" s="1611"/>
      <c r="Z66" s="1611"/>
      <c r="AA66" s="1611"/>
      <c r="AB66" s="1611"/>
      <c r="AC66" s="1611"/>
      <c r="AD66" s="1611"/>
      <c r="AE66" s="1611"/>
      <c r="AF66" s="1613"/>
      <c r="AG66" s="1613"/>
      <c r="AH66" s="1613"/>
      <c r="AI66" s="1613"/>
      <c r="AJ66" s="1613"/>
      <c r="AK66" s="1613"/>
      <c r="AL66" s="1613"/>
      <c r="AM66" s="1613"/>
      <c r="AN66" s="1613"/>
      <c r="AO66" s="1613"/>
      <c r="AP66" s="1613"/>
      <c r="AQ66" s="1613"/>
      <c r="AR66" s="1613"/>
      <c r="AS66" s="1613"/>
      <c r="AT66" s="1613"/>
      <c r="AU66" s="1613"/>
      <c r="AV66" s="1613"/>
      <c r="AW66" s="1613"/>
      <c r="AX66" s="1613"/>
      <c r="AY66" s="1613"/>
      <c r="AZ66" s="1613"/>
      <c r="BA66" s="1613"/>
      <c r="BB66" s="1613"/>
      <c r="BC66" s="78"/>
    </row>
    <row r="67" spans="1:55" ht="15.75">
      <c r="A67" s="886">
        <v>35</v>
      </c>
      <c r="B67" s="1625" t="s">
        <v>1600</v>
      </c>
      <c r="C67" s="1606" t="s">
        <v>811</v>
      </c>
      <c r="D67" s="2362"/>
      <c r="E67" s="1623"/>
      <c r="F67" s="1623"/>
      <c r="G67" s="1624"/>
      <c r="H67" s="1624"/>
      <c r="I67" s="2363"/>
      <c r="J67" s="2361">
        <f t="shared" ref="J67:J69" si="102">K67+M67+O67+Q67+S67+U67+W67+Y67+AA67+AC67</f>
        <v>0</v>
      </c>
      <c r="K67" s="2362"/>
      <c r="L67" s="2362"/>
      <c r="M67" s="2362"/>
      <c r="N67" s="2362"/>
      <c r="O67" s="2362"/>
      <c r="P67" s="2362"/>
      <c r="Q67" s="2362"/>
      <c r="R67" s="2362"/>
      <c r="S67" s="2362"/>
      <c r="T67" s="2362"/>
      <c r="U67" s="2362"/>
      <c r="V67" s="2362"/>
      <c r="W67" s="2362"/>
      <c r="X67" s="2362"/>
      <c r="Y67" s="2362"/>
      <c r="Z67" s="2362"/>
      <c r="AA67" s="2362"/>
      <c r="AB67" s="2362"/>
      <c r="AC67" s="2362"/>
      <c r="AD67" s="2362"/>
      <c r="AE67" s="2364" t="str">
        <f>IF(D67&lt;&gt;J67,"YES","")</f>
        <v/>
      </c>
      <c r="AF67" s="2340">
        <f>IF(D67&lt;&gt;J67,1,0)</f>
        <v>0</v>
      </c>
      <c r="AG67" s="2170">
        <f t="shared" ref="AG67:AG69" si="103">IF(AND(K67&gt;0,L67&lt;0.1),1,0)</f>
        <v>0</v>
      </c>
      <c r="AH67" s="2340"/>
      <c r="AI67" s="2170">
        <f t="shared" ref="AI67:AI69" si="104">IF(AND(M67&gt;0,N67&lt;0.1),1,0)</f>
        <v>0</v>
      </c>
      <c r="AJ67" s="2340"/>
      <c r="AK67" s="2170">
        <f t="shared" ref="AK67:AK69" si="105">IF(AND(O67&gt;0,P67&lt;0.1),1,0)</f>
        <v>0</v>
      </c>
      <c r="AL67" s="2340"/>
      <c r="AM67" s="2170">
        <f t="shared" ref="AM67:AM69" si="106">IF(AND(Q67&gt;0,R67&lt;0.1),1,0)</f>
        <v>0</v>
      </c>
      <c r="AN67" s="2340"/>
      <c r="AO67" s="2170">
        <f t="shared" ref="AO67:AO69" si="107">IF(AND(S67&gt;0,T67&lt;0.1),1,0)</f>
        <v>0</v>
      </c>
      <c r="AP67" s="2340"/>
      <c r="AQ67" s="2170">
        <f t="shared" ref="AQ67:AQ69" si="108">IF(AND(U67&gt;0,V67&lt;0.1),1,0)</f>
        <v>0</v>
      </c>
      <c r="AR67" s="2340"/>
      <c r="AS67" s="2170">
        <f t="shared" ref="AS67:AS69" si="109">IF(AND(W67&gt;0,X67&lt;0.1),1,0)</f>
        <v>0</v>
      </c>
      <c r="AT67" s="2340"/>
      <c r="AU67" s="2170">
        <f t="shared" ref="AU67:AU69" si="110">IF(AND(Y67&gt;0,Z67&lt;0.1),1,0)</f>
        <v>0</v>
      </c>
      <c r="AV67" s="2340"/>
      <c r="AW67" s="2170">
        <f t="shared" ref="AW67:AW69" si="111">IF(AND(AA67&gt;0,AB67&lt;0.1),1,0)</f>
        <v>0</v>
      </c>
      <c r="AX67" s="2340"/>
      <c r="AY67" s="2170">
        <f t="shared" ref="AY67:AY69" si="112">IF(AND(AC67&gt;0,AD67&lt;0.1),1,0)</f>
        <v>0</v>
      </c>
      <c r="AZ67" s="2340"/>
      <c r="BA67" s="2340"/>
      <c r="BB67" s="2340"/>
      <c r="BC67" s="78"/>
    </row>
    <row r="68" spans="1:55" ht="15.75">
      <c r="A68" s="886">
        <v>36</v>
      </c>
      <c r="B68" s="1625" t="s">
        <v>1025</v>
      </c>
      <c r="C68" s="1606" t="s">
        <v>812</v>
      </c>
      <c r="D68" s="2362"/>
      <c r="E68" s="1623"/>
      <c r="F68" s="1623"/>
      <c r="G68" s="1624"/>
      <c r="H68" s="1624"/>
      <c r="I68" s="2363"/>
      <c r="J68" s="2361">
        <f t="shared" si="102"/>
        <v>0</v>
      </c>
      <c r="K68" s="2362"/>
      <c r="L68" s="2362"/>
      <c r="M68" s="2362"/>
      <c r="N68" s="2362"/>
      <c r="O68" s="2362"/>
      <c r="P68" s="2362"/>
      <c r="Q68" s="2362"/>
      <c r="R68" s="2362"/>
      <c r="S68" s="2362"/>
      <c r="T68" s="2362"/>
      <c r="U68" s="2362"/>
      <c r="V68" s="2362"/>
      <c r="W68" s="2362"/>
      <c r="X68" s="2362"/>
      <c r="Y68" s="2362"/>
      <c r="Z68" s="2362"/>
      <c r="AA68" s="2362"/>
      <c r="AB68" s="2362"/>
      <c r="AC68" s="2362"/>
      <c r="AD68" s="2362"/>
      <c r="AE68" s="2364" t="str">
        <f>IF(D68&lt;&gt;J68,"YES","")</f>
        <v/>
      </c>
      <c r="AF68" s="2340">
        <f>IF(D68&lt;&gt;J68,1,0)</f>
        <v>0</v>
      </c>
      <c r="AG68" s="2170">
        <f t="shared" si="103"/>
        <v>0</v>
      </c>
      <c r="AH68" s="2340"/>
      <c r="AI68" s="2170">
        <f t="shared" si="104"/>
        <v>0</v>
      </c>
      <c r="AJ68" s="2340"/>
      <c r="AK68" s="2170">
        <f t="shared" si="105"/>
        <v>0</v>
      </c>
      <c r="AL68" s="2340"/>
      <c r="AM68" s="2170">
        <f t="shared" si="106"/>
        <v>0</v>
      </c>
      <c r="AN68" s="2340"/>
      <c r="AO68" s="2170">
        <f t="shared" si="107"/>
        <v>0</v>
      </c>
      <c r="AP68" s="2340"/>
      <c r="AQ68" s="2170">
        <f t="shared" si="108"/>
        <v>0</v>
      </c>
      <c r="AR68" s="2340"/>
      <c r="AS68" s="2170">
        <f t="shared" si="109"/>
        <v>0</v>
      </c>
      <c r="AT68" s="2340"/>
      <c r="AU68" s="2170">
        <f t="shared" si="110"/>
        <v>0</v>
      </c>
      <c r="AV68" s="2340"/>
      <c r="AW68" s="2170">
        <f t="shared" si="111"/>
        <v>0</v>
      </c>
      <c r="AX68" s="2340"/>
      <c r="AY68" s="2170">
        <f t="shared" si="112"/>
        <v>0</v>
      </c>
      <c r="AZ68" s="2340"/>
      <c r="BA68" s="2340"/>
      <c r="BB68" s="2340"/>
      <c r="BC68" s="78"/>
    </row>
    <row r="69" spans="1:55" ht="15.75">
      <c r="A69" s="886">
        <v>37</v>
      </c>
      <c r="B69" s="1625" t="s">
        <v>1601</v>
      </c>
      <c r="C69" s="1606" t="s">
        <v>423</v>
      </c>
      <c r="D69" s="2362"/>
      <c r="E69" s="1623"/>
      <c r="F69" s="1623"/>
      <c r="G69" s="1624"/>
      <c r="H69" s="1624"/>
      <c r="I69" s="2363"/>
      <c r="J69" s="2361">
        <f t="shared" si="102"/>
        <v>0</v>
      </c>
      <c r="K69" s="2362"/>
      <c r="L69" s="2362"/>
      <c r="M69" s="2362"/>
      <c r="N69" s="2362"/>
      <c r="O69" s="2362"/>
      <c r="P69" s="2362"/>
      <c r="Q69" s="2362"/>
      <c r="R69" s="2362"/>
      <c r="S69" s="2362"/>
      <c r="T69" s="2362"/>
      <c r="U69" s="2362"/>
      <c r="V69" s="2362"/>
      <c r="W69" s="2362"/>
      <c r="X69" s="2362"/>
      <c r="Y69" s="2362"/>
      <c r="Z69" s="2362"/>
      <c r="AA69" s="2362"/>
      <c r="AB69" s="2362"/>
      <c r="AC69" s="2362"/>
      <c r="AD69" s="2362"/>
      <c r="AE69" s="2364" t="str">
        <f>IF(D69&lt;&gt;J69,"YES","")</f>
        <v/>
      </c>
      <c r="AF69" s="2340">
        <f>IF(D69&lt;&gt;J69,1,0)</f>
        <v>0</v>
      </c>
      <c r="AG69" s="2170">
        <f t="shared" si="103"/>
        <v>0</v>
      </c>
      <c r="AH69" s="2340"/>
      <c r="AI69" s="2170">
        <f t="shared" si="104"/>
        <v>0</v>
      </c>
      <c r="AJ69" s="2340"/>
      <c r="AK69" s="2170">
        <f t="shared" si="105"/>
        <v>0</v>
      </c>
      <c r="AL69" s="2340"/>
      <c r="AM69" s="2170">
        <f t="shared" si="106"/>
        <v>0</v>
      </c>
      <c r="AN69" s="2340"/>
      <c r="AO69" s="2170">
        <f t="shared" si="107"/>
        <v>0</v>
      </c>
      <c r="AP69" s="2340"/>
      <c r="AQ69" s="2170">
        <f t="shared" si="108"/>
        <v>0</v>
      </c>
      <c r="AR69" s="2340"/>
      <c r="AS69" s="2170">
        <f t="shared" si="109"/>
        <v>0</v>
      </c>
      <c r="AT69" s="2340"/>
      <c r="AU69" s="2170">
        <f t="shared" si="110"/>
        <v>0</v>
      </c>
      <c r="AV69" s="2340"/>
      <c r="AW69" s="2170">
        <f t="shared" si="111"/>
        <v>0</v>
      </c>
      <c r="AX69" s="2340"/>
      <c r="AY69" s="2170">
        <f t="shared" si="112"/>
        <v>0</v>
      </c>
      <c r="AZ69" s="2340"/>
      <c r="BA69" s="2340"/>
      <c r="BB69" s="2340"/>
      <c r="BC69" s="78"/>
    </row>
    <row r="70" spans="1:55" ht="15.75">
      <c r="A70" s="886"/>
      <c r="B70" s="1620"/>
      <c r="C70" s="1620"/>
      <c r="D70" s="1609"/>
      <c r="E70" s="1623"/>
      <c r="F70" s="1623"/>
      <c r="G70" s="1624"/>
      <c r="H70" s="1624"/>
      <c r="I70" s="2363"/>
      <c r="J70" s="1609"/>
      <c r="K70" s="1613"/>
      <c r="L70" s="1613"/>
      <c r="M70" s="1613"/>
      <c r="N70" s="1613"/>
      <c r="O70" s="1613"/>
      <c r="P70" s="1613"/>
      <c r="Q70" s="1613"/>
      <c r="R70" s="1613"/>
      <c r="S70" s="1613"/>
      <c r="T70" s="1613"/>
      <c r="U70" s="1613"/>
      <c r="V70" s="1613"/>
      <c r="W70" s="1613"/>
      <c r="X70" s="1613"/>
      <c r="Y70" s="1613"/>
      <c r="Z70" s="1613"/>
      <c r="AA70" s="1613"/>
      <c r="AB70" s="1613"/>
      <c r="AC70" s="1613"/>
      <c r="AD70" s="1613"/>
      <c r="AE70" s="1613"/>
      <c r="AF70" s="1613"/>
      <c r="AG70" s="1613"/>
      <c r="AH70" s="1613"/>
      <c r="AI70" s="1613"/>
      <c r="AJ70" s="1613"/>
      <c r="AK70" s="1613"/>
      <c r="AL70" s="1613"/>
      <c r="AM70" s="1613"/>
      <c r="AN70" s="1613"/>
      <c r="AO70" s="1613"/>
      <c r="AP70" s="1613"/>
      <c r="AQ70" s="1613"/>
      <c r="AR70" s="1613"/>
      <c r="AS70" s="1613"/>
      <c r="AT70" s="1613"/>
      <c r="AU70" s="1613"/>
      <c r="AV70" s="1613"/>
      <c r="AW70" s="1613"/>
      <c r="AX70" s="1613"/>
      <c r="AY70" s="1613"/>
      <c r="AZ70" s="1613"/>
      <c r="BA70" s="1613"/>
      <c r="BB70" s="1613"/>
      <c r="BC70" s="78"/>
    </row>
    <row r="71" spans="1:55" ht="15.75">
      <c r="A71" s="901"/>
      <c r="B71" s="1628" t="s">
        <v>609</v>
      </c>
      <c r="C71" s="1626"/>
      <c r="D71" s="1609"/>
      <c r="E71" s="1623"/>
      <c r="F71" s="1623"/>
      <c r="G71" s="1612"/>
      <c r="H71" s="1612"/>
      <c r="I71" s="2363"/>
      <c r="J71" s="1609"/>
      <c r="K71" s="1611"/>
      <c r="L71" s="1611"/>
      <c r="M71" s="1611"/>
      <c r="N71" s="1611"/>
      <c r="O71" s="1611"/>
      <c r="P71" s="1611"/>
      <c r="Q71" s="1611"/>
      <c r="R71" s="1611"/>
      <c r="S71" s="1611"/>
      <c r="T71" s="1611"/>
      <c r="U71" s="1611"/>
      <c r="V71" s="1611"/>
      <c r="W71" s="1611"/>
      <c r="X71" s="1611"/>
      <c r="Y71" s="1611"/>
      <c r="Z71" s="1611"/>
      <c r="AA71" s="1611"/>
      <c r="AB71" s="1611"/>
      <c r="AC71" s="1611"/>
      <c r="AD71" s="1611"/>
      <c r="AE71" s="1611"/>
      <c r="AF71" s="1613"/>
      <c r="AG71" s="1613"/>
      <c r="AH71" s="1613"/>
      <c r="AI71" s="1613"/>
      <c r="AJ71" s="1613"/>
      <c r="AK71" s="1613"/>
      <c r="AL71" s="1613"/>
      <c r="AM71" s="1613"/>
      <c r="AN71" s="1613"/>
      <c r="AO71" s="1613"/>
      <c r="AP71" s="1613"/>
      <c r="AQ71" s="1613"/>
      <c r="AR71" s="1613"/>
      <c r="AS71" s="1613"/>
      <c r="AT71" s="1613"/>
      <c r="AU71" s="1613"/>
      <c r="AV71" s="1613"/>
      <c r="AW71" s="1613"/>
      <c r="AX71" s="1613"/>
      <c r="AY71" s="1613"/>
      <c r="AZ71" s="1613"/>
      <c r="BA71" s="1613"/>
      <c r="BB71" s="1613"/>
      <c r="BC71" s="78"/>
    </row>
    <row r="72" spans="1:55" ht="15.75">
      <c r="A72" s="886">
        <v>38</v>
      </c>
      <c r="B72" s="831" t="s">
        <v>610</v>
      </c>
      <c r="C72" s="1606" t="s">
        <v>611</v>
      </c>
      <c r="D72" s="2362"/>
      <c r="E72" s="1623"/>
      <c r="F72" s="1623"/>
      <c r="G72" s="1624"/>
      <c r="H72" s="1624"/>
      <c r="I72" s="1624"/>
      <c r="J72" s="2361">
        <f t="shared" ref="J72" si="113">K72+M72+O72+Q72+S72+U72+W72+Y72+AA72+AC72</f>
        <v>0</v>
      </c>
      <c r="K72" s="2362"/>
      <c r="L72" s="2362"/>
      <c r="M72" s="2362"/>
      <c r="N72" s="2362"/>
      <c r="O72" s="2362"/>
      <c r="P72" s="2362"/>
      <c r="Q72" s="2362"/>
      <c r="R72" s="2362"/>
      <c r="S72" s="2362"/>
      <c r="T72" s="2362"/>
      <c r="U72" s="2362"/>
      <c r="V72" s="2362"/>
      <c r="W72" s="2362"/>
      <c r="X72" s="2362"/>
      <c r="Y72" s="2362"/>
      <c r="Z72" s="2362"/>
      <c r="AA72" s="2362"/>
      <c r="AB72" s="2362"/>
      <c r="AC72" s="2362"/>
      <c r="AD72" s="2362"/>
      <c r="AE72" s="2364" t="str">
        <f>IF(D72&lt;&gt;J72,"YES","")</f>
        <v/>
      </c>
      <c r="AF72" s="2340">
        <f>IF(D72&lt;&gt;J72,1,0)</f>
        <v>0</v>
      </c>
      <c r="AG72" s="2170">
        <f t="shared" ref="AG72" si="114">IF(AND(K72&gt;0,L72&lt;0.1),1,0)</f>
        <v>0</v>
      </c>
      <c r="AH72" s="2340"/>
      <c r="AI72" s="2170">
        <f t="shared" ref="AI72" si="115">IF(AND(M72&gt;0,N72&lt;0.1),1,0)</f>
        <v>0</v>
      </c>
      <c r="AJ72" s="2340"/>
      <c r="AK72" s="2170">
        <f t="shared" ref="AK72" si="116">IF(AND(O72&gt;0,P72&lt;0.1),1,0)</f>
        <v>0</v>
      </c>
      <c r="AL72" s="2340"/>
      <c r="AM72" s="2170">
        <f t="shared" ref="AM72" si="117">IF(AND(Q72&gt;0,R72&lt;0.1),1,0)</f>
        <v>0</v>
      </c>
      <c r="AN72" s="2340"/>
      <c r="AO72" s="2170">
        <f t="shared" ref="AO72" si="118">IF(AND(S72&gt;0,T72&lt;0.1),1,0)</f>
        <v>0</v>
      </c>
      <c r="AP72" s="2340"/>
      <c r="AQ72" s="2170">
        <f t="shared" ref="AQ72" si="119">IF(AND(U72&gt;0,V72&lt;0.1),1,0)</f>
        <v>0</v>
      </c>
      <c r="AR72" s="2340"/>
      <c r="AS72" s="2170">
        <f t="shared" ref="AS72" si="120">IF(AND(W72&gt;0,X72&lt;0.1),1,0)</f>
        <v>0</v>
      </c>
      <c r="AT72" s="2340"/>
      <c r="AU72" s="2170">
        <f t="shared" ref="AU72" si="121">IF(AND(Y72&gt;0,Z72&lt;0.1),1,0)</f>
        <v>0</v>
      </c>
      <c r="AV72" s="2340"/>
      <c r="AW72" s="2170">
        <f t="shared" ref="AW72" si="122">IF(AND(AA72&gt;0,AB72&lt;0.1),1,0)</f>
        <v>0</v>
      </c>
      <c r="AX72" s="2340"/>
      <c r="AY72" s="2170">
        <f t="shared" ref="AY72" si="123">IF(AND(AC72&gt;0,AD72&lt;0.1),1,0)</f>
        <v>0</v>
      </c>
      <c r="AZ72" s="2377">
        <f>SUM(AG13:AY72)</f>
        <v>0</v>
      </c>
      <c r="BA72" s="2340"/>
      <c r="BB72" s="2340"/>
      <c r="BC72" s="78"/>
    </row>
    <row r="73" spans="1:55" ht="15.75">
      <c r="A73" s="901"/>
      <c r="B73" s="1614"/>
      <c r="C73" s="1614"/>
      <c r="D73" s="1609"/>
      <c r="E73" s="1623"/>
      <c r="F73" s="1623"/>
      <c r="G73" s="1609"/>
      <c r="H73" s="1609"/>
      <c r="I73" s="1627"/>
      <c r="J73" s="1609"/>
      <c r="K73" s="1609"/>
      <c r="L73" s="1609"/>
      <c r="M73" s="1609"/>
      <c r="N73" s="1609"/>
      <c r="O73" s="1609"/>
      <c r="P73" s="1609"/>
      <c r="Q73" s="1609"/>
      <c r="R73" s="1609"/>
      <c r="S73" s="1609"/>
      <c r="T73" s="1609"/>
      <c r="U73" s="1609"/>
      <c r="V73" s="1609"/>
      <c r="W73" s="1609"/>
      <c r="X73" s="1609"/>
      <c r="Y73" s="1609"/>
      <c r="Z73" s="1609"/>
      <c r="AA73" s="1609"/>
      <c r="AB73" s="1609"/>
      <c r="AC73" s="1609"/>
      <c r="AD73" s="1609"/>
      <c r="AE73" s="1609"/>
      <c r="AF73" s="1609"/>
      <c r="AG73" s="1609"/>
      <c r="AH73" s="1609"/>
      <c r="AI73" s="1609"/>
      <c r="AJ73" s="1609"/>
      <c r="AK73" s="1609"/>
      <c r="AL73" s="1609"/>
      <c r="AM73" s="1609"/>
      <c r="AN73" s="1609"/>
      <c r="AO73" s="1609"/>
      <c r="AP73" s="1609"/>
      <c r="AQ73" s="1609"/>
      <c r="AR73" s="1609"/>
      <c r="AS73" s="1609"/>
      <c r="AT73" s="1609"/>
      <c r="AU73" s="1609"/>
      <c r="AV73" s="1609"/>
      <c r="AW73" s="1609"/>
      <c r="AX73" s="1609"/>
      <c r="AY73" s="1609"/>
      <c r="AZ73" s="1609"/>
      <c r="BA73" s="1609"/>
      <c r="BB73" s="1609"/>
      <c r="BC73" s="78"/>
    </row>
    <row r="74" spans="1:55" ht="15.75">
      <c r="A74" s="78"/>
      <c r="B74" s="1621" t="s">
        <v>160</v>
      </c>
      <c r="C74" s="1606"/>
      <c r="D74" s="2365">
        <f>SUM(D13:D72)</f>
        <v>0</v>
      </c>
      <c r="E74" s="1609"/>
      <c r="F74" s="1609"/>
      <c r="G74" s="1609"/>
      <c r="H74" s="1609"/>
      <c r="I74" s="1627"/>
      <c r="J74" s="2365">
        <f>SUM(J13:J72)</f>
        <v>0</v>
      </c>
      <c r="K74" s="1609"/>
      <c r="L74" s="1609"/>
      <c r="M74" s="1609"/>
      <c r="N74" s="1609"/>
      <c r="O74" s="1609"/>
      <c r="P74" s="1609"/>
      <c r="Q74" s="1609"/>
      <c r="R74" s="1609"/>
      <c r="S74" s="1609"/>
      <c r="T74" s="1609"/>
      <c r="U74" s="1609"/>
      <c r="V74" s="1609"/>
      <c r="W74" s="1609"/>
      <c r="X74" s="1609"/>
      <c r="Y74" s="1609"/>
      <c r="Z74" s="1609"/>
      <c r="AA74" s="1609"/>
      <c r="AB74" s="1609"/>
      <c r="AC74" s="1609"/>
      <c r="AD74" s="1609"/>
      <c r="AE74" s="1609"/>
      <c r="AF74" s="2340">
        <f>SUM(AF13:AF72)</f>
        <v>0</v>
      </c>
      <c r="AG74" s="2340"/>
      <c r="AH74" s="2340"/>
      <c r="AI74" s="2340"/>
      <c r="AJ74" s="2340"/>
      <c r="AK74" s="2340"/>
      <c r="AL74" s="2340"/>
      <c r="AM74" s="2340"/>
      <c r="AN74" s="2340"/>
      <c r="AO74" s="2340"/>
      <c r="AP74" s="2340"/>
      <c r="AQ74" s="2340"/>
      <c r="AR74" s="2340"/>
      <c r="AS74" s="2340"/>
      <c r="AT74" s="2340"/>
      <c r="AU74" s="2340"/>
      <c r="AV74" s="2340"/>
      <c r="AW74" s="2340"/>
      <c r="AX74" s="2340"/>
      <c r="AY74" s="2340"/>
      <c r="AZ74" s="2340"/>
      <c r="BA74" s="2340"/>
      <c r="BB74" s="2340"/>
      <c r="BC74" s="78"/>
    </row>
    <row r="75" spans="1:55">
      <c r="A75" s="78"/>
      <c r="B75" s="1597" t="s">
        <v>612</v>
      </c>
      <c r="C75" s="1597"/>
      <c r="D75" s="1609"/>
      <c r="E75" s="1627"/>
      <c r="F75" s="1627"/>
      <c r="G75" s="1609"/>
      <c r="H75" s="1609"/>
      <c r="I75" s="1627"/>
      <c r="J75" s="1609"/>
      <c r="K75" s="1627"/>
      <c r="L75" s="1627"/>
      <c r="M75" s="1627"/>
      <c r="N75" s="1627"/>
      <c r="O75" s="1627"/>
      <c r="P75" s="1627"/>
      <c r="Q75" s="1627"/>
      <c r="R75" s="1627"/>
      <c r="S75" s="1627"/>
      <c r="T75" s="1627"/>
      <c r="U75" s="1627"/>
      <c r="V75" s="1627"/>
      <c r="W75" s="1627"/>
      <c r="X75" s="1627"/>
      <c r="Y75" s="1627"/>
      <c r="Z75" s="1627"/>
      <c r="AA75" s="1627"/>
      <c r="AB75" s="1627"/>
      <c r="AC75" s="1627"/>
      <c r="AD75" s="1627"/>
      <c r="AE75" s="1627"/>
      <c r="AF75" s="1597"/>
      <c r="AG75" s="1597"/>
      <c r="AH75" s="1597"/>
      <c r="AI75" s="1597"/>
      <c r="AJ75" s="1597"/>
      <c r="AK75" s="1597"/>
      <c r="AL75" s="1597"/>
      <c r="AM75" s="1597"/>
      <c r="AN75" s="1597"/>
      <c r="AO75" s="1597"/>
      <c r="AP75" s="1597"/>
      <c r="AQ75" s="1597"/>
      <c r="AR75" s="1597"/>
      <c r="AS75" s="1597"/>
      <c r="AT75" s="1597"/>
      <c r="AU75" s="1597"/>
      <c r="AV75" s="1597"/>
      <c r="AW75" s="1597"/>
      <c r="AX75" s="1597"/>
      <c r="AY75" s="1597"/>
      <c r="AZ75" s="1597"/>
      <c r="BA75" s="1597"/>
      <c r="BB75" s="1597"/>
      <c r="BC75" s="78"/>
    </row>
    <row r="76" spans="1:55">
      <c r="A76" s="78"/>
      <c r="B76" s="78"/>
      <c r="C76" s="78"/>
      <c r="D76" s="1167"/>
      <c r="E76" s="1167"/>
      <c r="F76" s="1167"/>
      <c r="G76" s="1170"/>
      <c r="H76" s="1170"/>
      <c r="I76" s="1167"/>
      <c r="J76" s="1167"/>
      <c r="K76" s="1167"/>
      <c r="L76" s="1167"/>
      <c r="M76" s="1167"/>
      <c r="N76" s="1167"/>
      <c r="O76" s="1167"/>
      <c r="P76" s="1167"/>
      <c r="Q76" s="1167"/>
      <c r="R76" s="1167"/>
      <c r="S76" s="1167"/>
      <c r="T76" s="1167"/>
      <c r="U76" s="1167"/>
      <c r="V76" s="1167"/>
      <c r="W76" s="1167"/>
      <c r="X76" s="1167"/>
      <c r="Y76" s="1167"/>
      <c r="Z76" s="1167"/>
      <c r="AA76" s="1167"/>
      <c r="AB76" s="1167"/>
      <c r="AC76" s="1167"/>
      <c r="AD76" s="1167"/>
      <c r="AE76" s="1167"/>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row>
  </sheetData>
  <sheetProtection password="C7B7" sheet="1" objects="1" scenarios="1"/>
  <conditionalFormatting sqref="L13">
    <cfRule type="expression" dxfId="180" priority="179">
      <formula>AG13=1</formula>
    </cfRule>
    <cfRule type="expression" dxfId="179" priority="180">
      <formula>"ag13=1"</formula>
    </cfRule>
  </conditionalFormatting>
  <conditionalFormatting sqref="L14:L17">
    <cfRule type="expression" dxfId="178" priority="177">
      <formula>AG14=1</formula>
    </cfRule>
    <cfRule type="expression" dxfId="177" priority="178">
      <formula>"ag13=1"</formula>
    </cfRule>
  </conditionalFormatting>
  <conditionalFormatting sqref="L20:L22">
    <cfRule type="expression" dxfId="176" priority="175">
      <formula>AG20=1</formula>
    </cfRule>
    <cfRule type="expression" dxfId="175" priority="176">
      <formula>"ag13=1"</formula>
    </cfRule>
  </conditionalFormatting>
  <conditionalFormatting sqref="L25:L31">
    <cfRule type="expression" dxfId="174" priority="173">
      <formula>AG25=1</formula>
    </cfRule>
    <cfRule type="expression" dxfId="173" priority="174">
      <formula>"ag13=1"</formula>
    </cfRule>
  </conditionalFormatting>
  <conditionalFormatting sqref="L34:L36">
    <cfRule type="expression" dxfId="172" priority="171">
      <formula>AG34=1</formula>
    </cfRule>
    <cfRule type="expression" dxfId="171" priority="172">
      <formula>"ag13=1"</formula>
    </cfRule>
  </conditionalFormatting>
  <conditionalFormatting sqref="L50:L51 L44:L47 L41">
    <cfRule type="expression" dxfId="170" priority="169">
      <formula>AG41=1</formula>
    </cfRule>
    <cfRule type="expression" dxfId="169" priority="170">
      <formula>"ag13=1"</formula>
    </cfRule>
  </conditionalFormatting>
  <conditionalFormatting sqref="L55:L58">
    <cfRule type="expression" dxfId="168" priority="167">
      <formula>AG55=1</formula>
    </cfRule>
    <cfRule type="expression" dxfId="167" priority="168">
      <formula>"ag13=1"</formula>
    </cfRule>
  </conditionalFormatting>
  <conditionalFormatting sqref="L67:L69 L61:L64">
    <cfRule type="expression" dxfId="166" priority="165">
      <formula>AG61=1</formula>
    </cfRule>
    <cfRule type="expression" dxfId="165" priority="166">
      <formula>"ag13=1"</formula>
    </cfRule>
  </conditionalFormatting>
  <conditionalFormatting sqref="L72">
    <cfRule type="expression" dxfId="164" priority="163">
      <formula>AG72=1</formula>
    </cfRule>
    <cfRule type="expression" dxfId="163" priority="164">
      <formula>"ag13=1"</formula>
    </cfRule>
  </conditionalFormatting>
  <conditionalFormatting sqref="N13">
    <cfRule type="expression" dxfId="162" priority="161">
      <formula>AI13=1</formula>
    </cfRule>
    <cfRule type="expression" dxfId="161" priority="162">
      <formula>"ag13=1"</formula>
    </cfRule>
  </conditionalFormatting>
  <conditionalFormatting sqref="N14:N17">
    <cfRule type="expression" dxfId="160" priority="159">
      <formula>AI14=1</formula>
    </cfRule>
    <cfRule type="expression" dxfId="159" priority="160">
      <formula>"ag13=1"</formula>
    </cfRule>
  </conditionalFormatting>
  <conditionalFormatting sqref="N20:N22">
    <cfRule type="expression" dxfId="158" priority="157">
      <formula>AI20=1</formula>
    </cfRule>
    <cfRule type="expression" dxfId="157" priority="158">
      <formula>"ag13=1"</formula>
    </cfRule>
  </conditionalFormatting>
  <conditionalFormatting sqref="N25:N31">
    <cfRule type="expression" dxfId="156" priority="155">
      <formula>AI25=1</formula>
    </cfRule>
    <cfRule type="expression" dxfId="155" priority="156">
      <formula>"ag13=1"</formula>
    </cfRule>
  </conditionalFormatting>
  <conditionalFormatting sqref="N34:N36">
    <cfRule type="expression" dxfId="154" priority="153">
      <formula>AI34=1</formula>
    </cfRule>
    <cfRule type="expression" dxfId="153" priority="154">
      <formula>"ag13=1"</formula>
    </cfRule>
  </conditionalFormatting>
  <conditionalFormatting sqref="N50:N51 N44:N47 N41">
    <cfRule type="expression" dxfId="152" priority="151">
      <formula>AI41=1</formula>
    </cfRule>
    <cfRule type="expression" dxfId="151" priority="152">
      <formula>"ag13=1"</formula>
    </cfRule>
  </conditionalFormatting>
  <conditionalFormatting sqref="N55:N58">
    <cfRule type="expression" dxfId="150" priority="149">
      <formula>AI55=1</formula>
    </cfRule>
    <cfRule type="expression" dxfId="149" priority="150">
      <formula>"ag13=1"</formula>
    </cfRule>
  </conditionalFormatting>
  <conditionalFormatting sqref="N67:N69 N61:N64">
    <cfRule type="expression" dxfId="148" priority="147">
      <formula>AI61=1</formula>
    </cfRule>
    <cfRule type="expression" dxfId="147" priority="148">
      <formula>"ag13=1"</formula>
    </cfRule>
  </conditionalFormatting>
  <conditionalFormatting sqref="N72">
    <cfRule type="expression" dxfId="146" priority="145">
      <formula>AI72=1</formula>
    </cfRule>
    <cfRule type="expression" dxfId="145" priority="146">
      <formula>"ag13=1"</formula>
    </cfRule>
  </conditionalFormatting>
  <conditionalFormatting sqref="P13">
    <cfRule type="expression" dxfId="144" priority="143">
      <formula>AK13=1</formula>
    </cfRule>
    <cfRule type="expression" dxfId="143" priority="144">
      <formula>"ag13=1"</formula>
    </cfRule>
  </conditionalFormatting>
  <conditionalFormatting sqref="P14:P17">
    <cfRule type="expression" dxfId="142" priority="141">
      <formula>AK14=1</formula>
    </cfRule>
    <cfRule type="expression" dxfId="141" priority="142">
      <formula>"ag13=1"</formula>
    </cfRule>
  </conditionalFormatting>
  <conditionalFormatting sqref="P20:P22">
    <cfRule type="expression" dxfId="140" priority="139">
      <formula>AK20=1</formula>
    </cfRule>
    <cfRule type="expression" dxfId="139" priority="140">
      <formula>"ag13=1"</formula>
    </cfRule>
  </conditionalFormatting>
  <conditionalFormatting sqref="P25:P31">
    <cfRule type="expression" dxfId="138" priority="137">
      <formula>AK25=1</formula>
    </cfRule>
    <cfRule type="expression" dxfId="137" priority="138">
      <formula>"ag13=1"</formula>
    </cfRule>
  </conditionalFormatting>
  <conditionalFormatting sqref="P34:P36">
    <cfRule type="expression" dxfId="136" priority="135">
      <formula>AK34=1</formula>
    </cfRule>
    <cfRule type="expression" dxfId="135" priority="136">
      <formula>"ag13=1"</formula>
    </cfRule>
  </conditionalFormatting>
  <conditionalFormatting sqref="P50:P51 P44:P47 P41">
    <cfRule type="expression" dxfId="134" priority="133">
      <formula>AK41=1</formula>
    </cfRule>
    <cfRule type="expression" dxfId="133" priority="134">
      <formula>"ag13=1"</formula>
    </cfRule>
  </conditionalFormatting>
  <conditionalFormatting sqref="P55:P58">
    <cfRule type="expression" dxfId="132" priority="131">
      <formula>AK55=1</formula>
    </cfRule>
    <cfRule type="expression" dxfId="131" priority="132">
      <formula>"ag13=1"</formula>
    </cfRule>
  </conditionalFormatting>
  <conditionalFormatting sqref="P67:P69 P61:P64">
    <cfRule type="expression" dxfId="130" priority="129">
      <formula>AK61=1</formula>
    </cfRule>
    <cfRule type="expression" dxfId="129" priority="130">
      <formula>"ag13=1"</formula>
    </cfRule>
  </conditionalFormatting>
  <conditionalFormatting sqref="P72">
    <cfRule type="expression" dxfId="128" priority="127">
      <formula>AK72=1</formula>
    </cfRule>
    <cfRule type="expression" dxfId="127" priority="128">
      <formula>"ag13=1"</formula>
    </cfRule>
  </conditionalFormatting>
  <conditionalFormatting sqref="R13">
    <cfRule type="expression" dxfId="126" priority="125">
      <formula>AM13=1</formula>
    </cfRule>
    <cfRule type="expression" dxfId="125" priority="126">
      <formula>"ag13=1"</formula>
    </cfRule>
  </conditionalFormatting>
  <conditionalFormatting sqref="R14:R17">
    <cfRule type="expression" dxfId="124" priority="123">
      <formula>AM14=1</formula>
    </cfRule>
    <cfRule type="expression" dxfId="123" priority="124">
      <formula>"ag13=1"</formula>
    </cfRule>
  </conditionalFormatting>
  <conditionalFormatting sqref="R20:R22">
    <cfRule type="expression" dxfId="122" priority="121">
      <formula>AM20=1</formula>
    </cfRule>
    <cfRule type="expression" dxfId="121" priority="122">
      <formula>"ag13=1"</formula>
    </cfRule>
  </conditionalFormatting>
  <conditionalFormatting sqref="R25:R31">
    <cfRule type="expression" dxfId="120" priority="119">
      <formula>AM25=1</formula>
    </cfRule>
    <cfRule type="expression" dxfId="119" priority="120">
      <formula>"ag13=1"</formula>
    </cfRule>
  </conditionalFormatting>
  <conditionalFormatting sqref="R34:R36">
    <cfRule type="expression" dxfId="118" priority="117">
      <formula>AM34=1</formula>
    </cfRule>
    <cfRule type="expression" dxfId="117" priority="118">
      <formula>"ag13=1"</formula>
    </cfRule>
  </conditionalFormatting>
  <conditionalFormatting sqref="R50:R51 R44:R47 R41">
    <cfRule type="expression" dxfId="116" priority="115">
      <formula>AM41=1</formula>
    </cfRule>
    <cfRule type="expression" dxfId="115" priority="116">
      <formula>"ag13=1"</formula>
    </cfRule>
  </conditionalFormatting>
  <conditionalFormatting sqref="R55:R58">
    <cfRule type="expression" dxfId="114" priority="113">
      <formula>AM55=1</formula>
    </cfRule>
    <cfRule type="expression" dxfId="113" priority="114">
      <formula>"ag13=1"</formula>
    </cfRule>
  </conditionalFormatting>
  <conditionalFormatting sqref="R67:R69 R61:R64">
    <cfRule type="expression" dxfId="112" priority="111">
      <formula>AM61=1</formula>
    </cfRule>
    <cfRule type="expression" dxfId="111" priority="112">
      <formula>"ag13=1"</formula>
    </cfRule>
  </conditionalFormatting>
  <conditionalFormatting sqref="R72">
    <cfRule type="expression" dxfId="110" priority="109">
      <formula>AM72=1</formula>
    </cfRule>
    <cfRule type="expression" dxfId="109" priority="110">
      <formula>"ag13=1"</formula>
    </cfRule>
  </conditionalFormatting>
  <conditionalFormatting sqref="T13">
    <cfRule type="expression" dxfId="108" priority="107">
      <formula>AO13=1</formula>
    </cfRule>
    <cfRule type="expression" dxfId="107" priority="108">
      <formula>"ag13=1"</formula>
    </cfRule>
  </conditionalFormatting>
  <conditionalFormatting sqref="T14:T17">
    <cfRule type="expression" dxfId="106" priority="105">
      <formula>AO14=1</formula>
    </cfRule>
    <cfRule type="expression" dxfId="105" priority="106">
      <formula>"ag13=1"</formula>
    </cfRule>
  </conditionalFormatting>
  <conditionalFormatting sqref="T20:T22">
    <cfRule type="expression" dxfId="104" priority="103">
      <formula>AO20=1</formula>
    </cfRule>
    <cfRule type="expression" dxfId="103" priority="104">
      <formula>"ag13=1"</formula>
    </cfRule>
  </conditionalFormatting>
  <conditionalFormatting sqref="T25:T31">
    <cfRule type="expression" dxfId="102" priority="101">
      <formula>AO25=1</formula>
    </cfRule>
    <cfRule type="expression" dxfId="101" priority="102">
      <formula>"ag13=1"</formula>
    </cfRule>
  </conditionalFormatting>
  <conditionalFormatting sqref="T34:T36">
    <cfRule type="expression" dxfId="100" priority="99">
      <formula>AO34=1</formula>
    </cfRule>
    <cfRule type="expression" dxfId="99" priority="100">
      <formula>"ag13=1"</formula>
    </cfRule>
  </conditionalFormatting>
  <conditionalFormatting sqref="T50:T51 T44:T47 T41">
    <cfRule type="expression" dxfId="98" priority="97">
      <formula>AO41=1</formula>
    </cfRule>
    <cfRule type="expression" dxfId="97" priority="98">
      <formula>"ag13=1"</formula>
    </cfRule>
  </conditionalFormatting>
  <conditionalFormatting sqref="T55:T58">
    <cfRule type="expression" dxfId="96" priority="95">
      <formula>AO55=1</formula>
    </cfRule>
    <cfRule type="expression" dxfId="95" priority="96">
      <formula>"ag13=1"</formula>
    </cfRule>
  </conditionalFormatting>
  <conditionalFormatting sqref="T67:T69 T61:T64">
    <cfRule type="expression" dxfId="94" priority="93">
      <formula>AO61=1</formula>
    </cfRule>
    <cfRule type="expression" dxfId="93" priority="94">
      <formula>"ag13=1"</formula>
    </cfRule>
  </conditionalFormatting>
  <conditionalFormatting sqref="T72">
    <cfRule type="expression" dxfId="92" priority="91">
      <formula>AO72=1</formula>
    </cfRule>
    <cfRule type="expression" dxfId="91" priority="92">
      <formula>"ag13=1"</formula>
    </cfRule>
  </conditionalFormatting>
  <conditionalFormatting sqref="V13">
    <cfRule type="expression" dxfId="90" priority="89">
      <formula>AQ13=1</formula>
    </cfRule>
    <cfRule type="expression" dxfId="89" priority="90">
      <formula>"ag13=1"</formula>
    </cfRule>
  </conditionalFormatting>
  <conditionalFormatting sqref="V14:V17">
    <cfRule type="expression" dxfId="88" priority="87">
      <formula>AQ14=1</formula>
    </cfRule>
    <cfRule type="expression" dxfId="87" priority="88">
      <formula>"ag13=1"</formula>
    </cfRule>
  </conditionalFormatting>
  <conditionalFormatting sqref="V20:V22">
    <cfRule type="expression" dxfId="86" priority="85">
      <formula>AQ20=1</formula>
    </cfRule>
    <cfRule type="expression" dxfId="85" priority="86">
      <formula>"ag13=1"</formula>
    </cfRule>
  </conditionalFormatting>
  <conditionalFormatting sqref="V25:V31">
    <cfRule type="expression" dxfId="84" priority="83">
      <formula>AQ25=1</formula>
    </cfRule>
    <cfRule type="expression" dxfId="83" priority="84">
      <formula>"ag13=1"</formula>
    </cfRule>
  </conditionalFormatting>
  <conditionalFormatting sqref="V34:V36">
    <cfRule type="expression" dxfId="82" priority="81">
      <formula>AQ34=1</formula>
    </cfRule>
    <cfRule type="expression" dxfId="81" priority="82">
      <formula>"ag13=1"</formula>
    </cfRule>
  </conditionalFormatting>
  <conditionalFormatting sqref="V50:V51 V44:V47 V41">
    <cfRule type="expression" dxfId="80" priority="79">
      <formula>AQ41=1</formula>
    </cfRule>
    <cfRule type="expression" dxfId="79" priority="80">
      <formula>"ag13=1"</formula>
    </cfRule>
  </conditionalFormatting>
  <conditionalFormatting sqref="V55:V58">
    <cfRule type="expression" dxfId="78" priority="77">
      <formula>AQ55=1</formula>
    </cfRule>
    <cfRule type="expression" dxfId="77" priority="78">
      <formula>"ag13=1"</formula>
    </cfRule>
  </conditionalFormatting>
  <conditionalFormatting sqref="V67:V69 V61:V64">
    <cfRule type="expression" dxfId="76" priority="75">
      <formula>AQ61=1</formula>
    </cfRule>
    <cfRule type="expression" dxfId="75" priority="76">
      <formula>"ag13=1"</formula>
    </cfRule>
  </conditionalFormatting>
  <conditionalFormatting sqref="V72">
    <cfRule type="expression" dxfId="74" priority="73">
      <formula>AQ72=1</formula>
    </cfRule>
    <cfRule type="expression" dxfId="73" priority="74">
      <formula>"ag13=1"</formula>
    </cfRule>
  </conditionalFormatting>
  <conditionalFormatting sqref="X13">
    <cfRule type="expression" dxfId="72" priority="71">
      <formula>AS13=1</formula>
    </cfRule>
    <cfRule type="expression" dxfId="71" priority="72">
      <formula>"ag13=1"</formula>
    </cfRule>
  </conditionalFormatting>
  <conditionalFormatting sqref="X14:X17">
    <cfRule type="expression" dxfId="70" priority="69">
      <formula>AS14=1</formula>
    </cfRule>
    <cfRule type="expression" dxfId="69" priority="70">
      <formula>"ag13=1"</formula>
    </cfRule>
  </conditionalFormatting>
  <conditionalFormatting sqref="X20:X22">
    <cfRule type="expression" dxfId="68" priority="67">
      <formula>AS20=1</formula>
    </cfRule>
    <cfRule type="expression" dxfId="67" priority="68">
      <formula>"ag13=1"</formula>
    </cfRule>
  </conditionalFormatting>
  <conditionalFormatting sqref="X25:X31">
    <cfRule type="expression" dxfId="66" priority="65">
      <formula>AS25=1</formula>
    </cfRule>
    <cfRule type="expression" dxfId="65" priority="66">
      <formula>"ag13=1"</formula>
    </cfRule>
  </conditionalFormatting>
  <conditionalFormatting sqref="X34:X36">
    <cfRule type="expression" dxfId="64" priority="63">
      <formula>AS34=1</formula>
    </cfRule>
    <cfRule type="expression" dxfId="63" priority="64">
      <formula>"ag13=1"</formula>
    </cfRule>
  </conditionalFormatting>
  <conditionalFormatting sqref="X50:X51 X44:X47 X41">
    <cfRule type="expression" dxfId="62" priority="61">
      <formula>AS41=1</formula>
    </cfRule>
    <cfRule type="expression" dxfId="61" priority="62">
      <formula>"ag13=1"</formula>
    </cfRule>
  </conditionalFormatting>
  <conditionalFormatting sqref="X55:X58">
    <cfRule type="expression" dxfId="60" priority="59">
      <formula>AS55=1</formula>
    </cfRule>
    <cfRule type="expression" dxfId="59" priority="60">
      <formula>"ag13=1"</formula>
    </cfRule>
  </conditionalFormatting>
  <conditionalFormatting sqref="X67:X69 X61:X64">
    <cfRule type="expression" dxfId="58" priority="57">
      <formula>AS61=1</formula>
    </cfRule>
    <cfRule type="expression" dxfId="57" priority="58">
      <formula>"ag13=1"</formula>
    </cfRule>
  </conditionalFormatting>
  <conditionalFormatting sqref="X72">
    <cfRule type="expression" dxfId="56" priority="55">
      <formula>AS72=1</formula>
    </cfRule>
    <cfRule type="expression" dxfId="55" priority="56">
      <formula>"ag13=1"</formula>
    </cfRule>
  </conditionalFormatting>
  <conditionalFormatting sqref="Z13">
    <cfRule type="expression" dxfId="54" priority="53">
      <formula>AU13=1</formula>
    </cfRule>
    <cfRule type="expression" dxfId="53" priority="54">
      <formula>"ag13=1"</formula>
    </cfRule>
  </conditionalFormatting>
  <conditionalFormatting sqref="Z14:Z17">
    <cfRule type="expression" dxfId="52" priority="51">
      <formula>AU14=1</formula>
    </cfRule>
    <cfRule type="expression" dxfId="51" priority="52">
      <formula>"ag13=1"</formula>
    </cfRule>
  </conditionalFormatting>
  <conditionalFormatting sqref="Z20:Z22">
    <cfRule type="expression" dxfId="50" priority="49">
      <formula>AU20=1</formula>
    </cfRule>
    <cfRule type="expression" dxfId="49" priority="50">
      <formula>"ag13=1"</formula>
    </cfRule>
  </conditionalFormatting>
  <conditionalFormatting sqref="Z25:Z31">
    <cfRule type="expression" dxfId="48" priority="47">
      <formula>AU25=1</formula>
    </cfRule>
    <cfRule type="expression" dxfId="47" priority="48">
      <formula>"ag13=1"</formula>
    </cfRule>
  </conditionalFormatting>
  <conditionalFormatting sqref="Z34:Z36">
    <cfRule type="expression" dxfId="46" priority="45">
      <formula>AU34=1</formula>
    </cfRule>
    <cfRule type="expression" dxfId="45" priority="46">
      <formula>"ag13=1"</formula>
    </cfRule>
  </conditionalFormatting>
  <conditionalFormatting sqref="Z50:Z51 Z44:Z47 Z41">
    <cfRule type="expression" dxfId="44" priority="43">
      <formula>AU41=1</formula>
    </cfRule>
    <cfRule type="expression" dxfId="43" priority="44">
      <formula>"ag13=1"</formula>
    </cfRule>
  </conditionalFormatting>
  <conditionalFormatting sqref="Z55:Z58">
    <cfRule type="expression" dxfId="42" priority="41">
      <formula>AU55=1</formula>
    </cfRule>
    <cfRule type="expression" dxfId="41" priority="42">
      <formula>"ag13=1"</formula>
    </cfRule>
  </conditionalFormatting>
  <conditionalFormatting sqref="Z67:Z69 Z61:Z64">
    <cfRule type="expression" dxfId="40" priority="39">
      <formula>AU61=1</formula>
    </cfRule>
    <cfRule type="expression" dxfId="39" priority="40">
      <formula>"ag13=1"</formula>
    </cfRule>
  </conditionalFormatting>
  <conditionalFormatting sqref="Z72">
    <cfRule type="expression" dxfId="38" priority="37">
      <formula>AU72=1</formula>
    </cfRule>
    <cfRule type="expression" dxfId="37" priority="38">
      <formula>"ag13=1"</formula>
    </cfRule>
  </conditionalFormatting>
  <conditionalFormatting sqref="AB13">
    <cfRule type="expression" dxfId="36" priority="35">
      <formula>AW13=1</formula>
    </cfRule>
    <cfRule type="expression" dxfId="35" priority="36">
      <formula>"ag13=1"</formula>
    </cfRule>
  </conditionalFormatting>
  <conditionalFormatting sqref="AB14:AB17">
    <cfRule type="expression" dxfId="34" priority="33">
      <formula>AW14=1</formula>
    </cfRule>
    <cfRule type="expression" dxfId="33" priority="34">
      <formula>"ag13=1"</formula>
    </cfRule>
  </conditionalFormatting>
  <conditionalFormatting sqref="AB20:AB22">
    <cfRule type="expression" dxfId="32" priority="31">
      <formula>AW20=1</formula>
    </cfRule>
    <cfRule type="expression" dxfId="31" priority="32">
      <formula>"ag13=1"</formula>
    </cfRule>
  </conditionalFormatting>
  <conditionalFormatting sqref="AB25:AB31">
    <cfRule type="expression" dxfId="30" priority="29">
      <formula>AW25=1</formula>
    </cfRule>
    <cfRule type="expression" dxfId="29" priority="30">
      <formula>"ag13=1"</formula>
    </cfRule>
  </conditionalFormatting>
  <conditionalFormatting sqref="AB34:AB36">
    <cfRule type="expression" dxfId="28" priority="27">
      <formula>AW34=1</formula>
    </cfRule>
    <cfRule type="expression" dxfId="27" priority="28">
      <formula>"ag13=1"</formula>
    </cfRule>
  </conditionalFormatting>
  <conditionalFormatting sqref="AB50:AB51 AB44:AB47 AB41">
    <cfRule type="expression" dxfId="26" priority="25">
      <formula>AW41=1</formula>
    </cfRule>
    <cfRule type="expression" dxfId="25" priority="26">
      <formula>"ag13=1"</formula>
    </cfRule>
  </conditionalFormatting>
  <conditionalFormatting sqref="AB55:AB58">
    <cfRule type="expression" dxfId="24" priority="23">
      <formula>AW55=1</formula>
    </cfRule>
    <cfRule type="expression" dxfId="23" priority="24">
      <formula>"ag13=1"</formula>
    </cfRule>
  </conditionalFormatting>
  <conditionalFormatting sqref="AB67:AB69 AB61:AB64">
    <cfRule type="expression" dxfId="22" priority="21">
      <formula>AW61=1</formula>
    </cfRule>
    <cfRule type="expression" dxfId="21" priority="22">
      <formula>"ag13=1"</formula>
    </cfRule>
  </conditionalFormatting>
  <conditionalFormatting sqref="AB72">
    <cfRule type="expression" dxfId="20" priority="19">
      <formula>AW72=1</formula>
    </cfRule>
    <cfRule type="expression" dxfId="19" priority="20">
      <formula>"ag13=1"</formula>
    </cfRule>
  </conditionalFormatting>
  <conditionalFormatting sqref="AD13">
    <cfRule type="expression" dxfId="18" priority="17">
      <formula>AY13=1</formula>
    </cfRule>
    <cfRule type="expression" dxfId="17" priority="18">
      <formula>"ag13=1"</formula>
    </cfRule>
  </conditionalFormatting>
  <conditionalFormatting sqref="AD14:AD17">
    <cfRule type="expression" dxfId="16" priority="15">
      <formula>AY14=1</formula>
    </cfRule>
    <cfRule type="expression" dxfId="15" priority="16">
      <formula>"ag13=1"</formula>
    </cfRule>
  </conditionalFormatting>
  <conditionalFormatting sqref="AD20:AD22">
    <cfRule type="expression" dxfId="14" priority="13">
      <formula>AY20=1</formula>
    </cfRule>
    <cfRule type="expression" dxfId="13" priority="14">
      <formula>"ag13=1"</formula>
    </cfRule>
  </conditionalFormatting>
  <conditionalFormatting sqref="AD25:AD31">
    <cfRule type="expression" dxfId="12" priority="11">
      <formula>AY25=1</formula>
    </cfRule>
    <cfRule type="expression" dxfId="11" priority="12">
      <formula>"ag13=1"</formula>
    </cfRule>
  </conditionalFormatting>
  <conditionalFormatting sqref="AD34:AD36">
    <cfRule type="expression" dxfId="10" priority="9">
      <formula>AY34=1</formula>
    </cfRule>
    <cfRule type="expression" dxfId="9" priority="10">
      <formula>"ag13=1"</formula>
    </cfRule>
  </conditionalFormatting>
  <conditionalFormatting sqref="AD50:AD51 AD44:AD47 AD41">
    <cfRule type="expression" dxfId="8" priority="7">
      <formula>AY41=1</formula>
    </cfRule>
    <cfRule type="expression" dxfId="7" priority="8">
      <formula>"ag13=1"</formula>
    </cfRule>
  </conditionalFormatting>
  <conditionalFormatting sqref="AD55:AD58">
    <cfRule type="expression" dxfId="6" priority="5">
      <formula>AY55=1</formula>
    </cfRule>
    <cfRule type="expression" dxfId="5" priority="6">
      <formula>"ag13=1"</formula>
    </cfRule>
  </conditionalFormatting>
  <conditionalFormatting sqref="AD67:AD69 AD61:AD64">
    <cfRule type="expression" dxfId="4" priority="3">
      <formula>AY61=1</formula>
    </cfRule>
    <cfRule type="expression" dxfId="3" priority="4">
      <formula>"ag13=1"</formula>
    </cfRule>
  </conditionalFormatting>
  <conditionalFormatting sqref="AD72">
    <cfRule type="expression" dxfId="2" priority="1">
      <formula>AY72=1</formula>
    </cfRule>
    <cfRule type="expression" dxfId="1" priority="2">
      <formula>"ag13=1"</formula>
    </cfRule>
  </conditionalFormatting>
  <hyperlinks>
    <hyperlink ref="B2" location="NoteAppendixH" display="Ministry of Education"/>
    <hyperlink ref="C1" location="ClassroomAppendixH" display="Classroom"/>
    <hyperlink ref="D1" location="Teacher_Assistants" display="Teacher Assistance"/>
    <hyperlink ref="E1" location="Student_Support___Professionals__Paraprofessionals_and_Technicians" display="Student Support - Professionals, Paraprofessionals and Technicians"/>
    <hyperlink ref="G1" location="NonClassroomAppendixH" display="NON-CLASSROOM"/>
    <hyperlink ref="A4" location="School_Administration" display="School Administration"/>
    <hyperlink ref="A5" location="Continuing_Education" display="Continuing Education"/>
    <hyperlink ref="A7" location="AdministrationAndGovernanceAppendixH" display="Administration and Governance"/>
    <hyperlink ref="A8" location="Pupil_Transportation" display="Pupil Transportation"/>
    <hyperlink ref="B4" location="School_Operations___Maintenance" display="School Operations &amp; Maintenance"/>
    <hyperlink ref="B5" location="Other_Non_Operating" display="Other Non-Operating"/>
    <hyperlink ref="B7" location="TotalApendixH" display="Total"/>
    <hyperlink ref="J1" location="Teacher_Assistants" display="Teacher Assistance"/>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L175"/>
  <sheetViews>
    <sheetView tabSelected="1" topLeftCell="A5" zoomScale="75" zoomScaleNormal="75" workbookViewId="0">
      <selection activeCell="I26" sqref="I26"/>
    </sheetView>
  </sheetViews>
  <sheetFormatPr defaultColWidth="0" defaultRowHeight="15" zeroHeight="1"/>
  <cols>
    <col min="1" max="1" width="3.5703125" style="976" customWidth="1"/>
    <col min="2" max="2" width="64.5703125" style="976" customWidth="1"/>
    <col min="3" max="3" width="15.85546875" style="976" customWidth="1"/>
    <col min="4" max="4" width="13.140625" style="976" customWidth="1"/>
    <col min="5" max="5" width="16" style="976" customWidth="1"/>
    <col min="6" max="6" width="2.7109375" style="976" customWidth="1"/>
    <col min="7" max="7" width="21.85546875" style="976" customWidth="1"/>
    <col min="8" max="8" width="2.5703125" style="976" customWidth="1"/>
    <col min="9" max="9" width="21.85546875" style="976" customWidth="1"/>
    <col min="10" max="10" width="2.7109375" style="976" customWidth="1"/>
    <col min="11" max="11" width="16.7109375" style="976" customWidth="1"/>
    <col min="12" max="12" width="7.28515625" style="976" customWidth="1"/>
    <col min="13" max="16384" width="0" style="976" hidden="1"/>
  </cols>
  <sheetData>
    <row r="1" spans="1:12" ht="9" customHeight="1" thickBot="1">
      <c r="A1" s="2168" t="s">
        <v>2842</v>
      </c>
      <c r="B1" s="1264"/>
      <c r="C1" s="1264"/>
      <c r="D1" s="1631"/>
      <c r="E1" s="1632"/>
      <c r="F1" s="1264"/>
      <c r="G1" s="1633"/>
      <c r="H1" s="1634"/>
      <c r="I1" s="1635"/>
      <c r="J1" s="1634"/>
      <c r="K1" s="123"/>
      <c r="L1" s="1634"/>
    </row>
    <row r="2" spans="1:12" ht="16.5" thickBot="1">
      <c r="A2" s="104"/>
      <c r="B2" s="1595"/>
      <c r="C2" s="805"/>
      <c r="D2" s="1636" t="s">
        <v>163</v>
      </c>
      <c r="E2" s="941"/>
      <c r="F2" s="78"/>
      <c r="G2" s="936" t="str">
        <f>'1 Summary'!G2</f>
        <v/>
      </c>
      <c r="H2" s="943"/>
      <c r="I2" s="1637"/>
      <c r="J2" s="1638"/>
      <c r="K2" s="1639"/>
      <c r="L2" s="1634"/>
    </row>
    <row r="3" spans="1:12" ht="16.5" thickBot="1">
      <c r="A3" s="104"/>
      <c r="B3" s="1264"/>
      <c r="C3" s="1264"/>
      <c r="D3" s="1636" t="s">
        <v>162</v>
      </c>
      <c r="E3" s="941"/>
      <c r="F3" s="78"/>
      <c r="G3" s="851">
        <f>'1 Summary'!G3</f>
        <v>0</v>
      </c>
      <c r="H3" s="200"/>
      <c r="I3" s="1019"/>
      <c r="J3" s="1638"/>
      <c r="K3" s="1640"/>
      <c r="L3" s="1634"/>
    </row>
    <row r="4" spans="1:12" ht="9.9499999999999993" customHeight="1">
      <c r="A4" s="805"/>
      <c r="B4" s="805"/>
      <c r="C4" s="805"/>
      <c r="D4" s="1641"/>
      <c r="E4" s="1264"/>
      <c r="F4" s="1264"/>
      <c r="G4" s="1634"/>
      <c r="H4" s="1634"/>
      <c r="I4" s="1634"/>
      <c r="J4" s="114"/>
      <c r="K4" s="1642"/>
      <c r="L4" s="114"/>
    </row>
    <row r="5" spans="1:12" ht="9.9499999999999993" customHeight="1">
      <c r="A5" s="1264"/>
      <c r="B5" s="1264"/>
      <c r="C5" s="1264"/>
      <c r="D5" s="1631"/>
      <c r="E5" s="1632"/>
      <c r="F5" s="1264"/>
      <c r="G5" s="1633"/>
      <c r="H5" s="1634"/>
      <c r="I5" s="1635"/>
      <c r="J5" s="1634"/>
      <c r="K5" s="123"/>
      <c r="L5" s="1634"/>
    </row>
    <row r="6" spans="1:12" ht="15.75">
      <c r="A6" s="805"/>
      <c r="B6" s="805" t="s">
        <v>102</v>
      </c>
      <c r="C6" s="805"/>
      <c r="D6" s="1641"/>
      <c r="E6" s="1643"/>
      <c r="F6" s="805"/>
      <c r="G6" s="1644"/>
      <c r="H6" s="114"/>
      <c r="I6" s="1645"/>
      <c r="J6" s="114"/>
      <c r="K6" s="1642"/>
      <c r="L6" s="114"/>
    </row>
    <row r="7" spans="1:12" ht="9.9499999999999993" customHeight="1">
      <c r="A7" s="805"/>
      <c r="B7" s="805"/>
      <c r="C7" s="805"/>
      <c r="D7" s="1641"/>
      <c r="E7" s="1643"/>
      <c r="F7" s="805"/>
      <c r="G7" s="1633"/>
      <c r="H7" s="114"/>
      <c r="I7" s="1635"/>
      <c r="J7" s="114"/>
      <c r="K7" s="1642"/>
      <c r="L7" s="114"/>
    </row>
    <row r="8" spans="1:12" ht="15.75">
      <c r="A8" s="1646"/>
      <c r="B8" s="805" t="s">
        <v>103</v>
      </c>
      <c r="C8" s="1264"/>
      <c r="D8" s="1631"/>
      <c r="E8" s="1632"/>
      <c r="F8" s="1264"/>
      <c r="G8" s="1633"/>
      <c r="H8" s="1634"/>
      <c r="I8" s="1635"/>
      <c r="J8" s="1634"/>
      <c r="K8" s="123"/>
      <c r="L8" s="114"/>
    </row>
    <row r="9" spans="1:12" ht="9.9499999999999993" customHeight="1" thickBot="1">
      <c r="A9" s="1264"/>
      <c r="B9" s="1264"/>
      <c r="C9" s="1264"/>
      <c r="D9" s="1631"/>
      <c r="E9" s="1632"/>
      <c r="F9" s="1264"/>
      <c r="G9" s="1633"/>
      <c r="H9" s="1634"/>
      <c r="I9" s="1635"/>
      <c r="J9" s="1634"/>
      <c r="K9" s="123"/>
      <c r="L9" s="114"/>
    </row>
    <row r="10" spans="1:12" ht="16.5" thickBot="1">
      <c r="A10" s="805"/>
      <c r="B10" s="805"/>
      <c r="C10" s="1647" t="s">
        <v>104</v>
      </c>
      <c r="D10" s="1648"/>
      <c r="E10" s="1649" t="s">
        <v>105</v>
      </c>
      <c r="F10" s="805"/>
      <c r="G10" s="1650" t="s">
        <v>106</v>
      </c>
      <c r="H10" s="1651"/>
      <c r="I10" s="1652" t="s">
        <v>107</v>
      </c>
      <c r="J10" s="114"/>
      <c r="K10" s="1642"/>
      <c r="L10" s="114"/>
    </row>
    <row r="11" spans="1:12" ht="6.95" customHeight="1">
      <c r="A11" s="1264"/>
      <c r="B11" s="1264"/>
      <c r="C11" s="1264"/>
      <c r="D11" s="1631"/>
      <c r="E11" s="1632"/>
      <c r="F11" s="1264"/>
      <c r="G11" s="1633"/>
      <c r="H11" s="1634"/>
      <c r="I11" s="1635"/>
      <c r="J11" s="1634"/>
      <c r="K11" s="123"/>
      <c r="L11" s="1634"/>
    </row>
    <row r="12" spans="1:12" ht="105" hidden="1">
      <c r="A12" s="1653">
        <v>1</v>
      </c>
      <c r="B12" s="1261" t="s">
        <v>1377</v>
      </c>
      <c r="C12" s="1261" t="s">
        <v>1378</v>
      </c>
      <c r="D12" s="1654" t="s">
        <v>108</v>
      </c>
      <c r="E12" s="1261" t="s">
        <v>872</v>
      </c>
      <c r="F12" s="1655"/>
      <c r="G12" s="1656" t="s">
        <v>981</v>
      </c>
      <c r="H12" s="1654"/>
      <c r="I12" s="1656" t="s">
        <v>873</v>
      </c>
      <c r="J12" s="1657"/>
      <c r="K12" s="1658" t="s">
        <v>142</v>
      </c>
      <c r="L12" s="1654">
        <f>A12</f>
        <v>1</v>
      </c>
    </row>
    <row r="13" spans="1:12" hidden="1">
      <c r="A13" s="1653"/>
      <c r="B13" s="1261"/>
      <c r="C13" s="1261"/>
      <c r="D13" s="1654"/>
      <c r="E13" s="1261"/>
      <c r="F13" s="1655"/>
      <c r="G13" s="1656"/>
      <c r="H13" s="1654"/>
      <c r="I13" s="1656"/>
      <c r="J13" s="1657"/>
      <c r="K13" s="1658"/>
      <c r="L13" s="1654"/>
    </row>
    <row r="14" spans="1:12" ht="105" hidden="1">
      <c r="A14" s="1653">
        <f>+A12+1</f>
        <v>2</v>
      </c>
      <c r="B14" s="1261" t="s">
        <v>206</v>
      </c>
      <c r="C14" s="1261" t="s">
        <v>207</v>
      </c>
      <c r="D14" s="1654" t="s">
        <v>108</v>
      </c>
      <c r="E14" s="1261" t="s">
        <v>208</v>
      </c>
      <c r="F14" s="1655"/>
      <c r="G14" s="1656" t="s">
        <v>408</v>
      </c>
      <c r="H14" s="1654"/>
      <c r="I14" s="1656" t="s">
        <v>294</v>
      </c>
      <c r="J14" s="1657"/>
      <c r="K14" s="1658" t="s">
        <v>295</v>
      </c>
      <c r="L14" s="1654">
        <f>A14</f>
        <v>2</v>
      </c>
    </row>
    <row r="15" spans="1:12" hidden="1">
      <c r="A15" s="1653"/>
      <c r="B15" s="1261"/>
      <c r="C15" s="1261"/>
      <c r="D15" s="1654"/>
      <c r="E15" s="1261"/>
      <c r="F15" s="1655"/>
      <c r="G15" s="1656"/>
      <c r="H15" s="1654"/>
      <c r="I15" s="1656"/>
      <c r="J15" s="1657"/>
      <c r="K15" s="1658"/>
      <c r="L15" s="1654"/>
    </row>
    <row r="16" spans="1:12" ht="60" hidden="1">
      <c r="A16" s="1653">
        <f>+A14+1</f>
        <v>3</v>
      </c>
      <c r="B16" s="1655" t="s">
        <v>296</v>
      </c>
      <c r="C16" s="1655" t="s">
        <v>297</v>
      </c>
      <c r="D16" s="1654"/>
      <c r="E16" s="1655" t="s">
        <v>298</v>
      </c>
      <c r="F16" s="1632"/>
      <c r="G16" s="1656" t="s">
        <v>409</v>
      </c>
      <c r="H16" s="1654"/>
      <c r="I16" s="1659" t="s">
        <v>410</v>
      </c>
      <c r="J16" s="1654"/>
      <c r="K16" s="1658" t="s">
        <v>923</v>
      </c>
      <c r="L16" s="1654">
        <f>A16</f>
        <v>3</v>
      </c>
    </row>
    <row r="17" spans="1:12" hidden="1">
      <c r="A17" s="1653"/>
      <c r="B17" s="1655"/>
      <c r="C17" s="1655"/>
      <c r="D17" s="1654"/>
      <c r="E17" s="1655"/>
      <c r="F17" s="1632"/>
      <c r="G17" s="1656"/>
      <c r="H17" s="1654"/>
      <c r="I17" s="1659"/>
      <c r="J17" s="1654"/>
      <c r="K17" s="1658"/>
      <c r="L17" s="1654"/>
    </row>
    <row r="18" spans="1:12" ht="60" hidden="1">
      <c r="A18" s="1653">
        <f>+A16+1</f>
        <v>4</v>
      </c>
      <c r="B18" s="1655" t="s">
        <v>383</v>
      </c>
      <c r="C18" s="1655" t="s">
        <v>384</v>
      </c>
      <c r="D18" s="1654"/>
      <c r="E18" s="1655" t="s">
        <v>385</v>
      </c>
      <c r="F18" s="1632"/>
      <c r="G18" s="1656" t="s">
        <v>411</v>
      </c>
      <c r="H18" s="1654"/>
      <c r="I18" s="1659" t="s">
        <v>2200</v>
      </c>
      <c r="J18" s="1654"/>
      <c r="K18" s="1658" t="s">
        <v>386</v>
      </c>
      <c r="L18" s="1654">
        <f>A18</f>
        <v>4</v>
      </c>
    </row>
    <row r="19" spans="1:12" hidden="1">
      <c r="A19" s="1653"/>
      <c r="B19" s="1655"/>
      <c r="C19" s="1655"/>
      <c r="D19" s="1654"/>
      <c r="E19" s="1655"/>
      <c r="F19" s="1632"/>
      <c r="G19" s="1656"/>
      <c r="H19" s="1654"/>
      <c r="I19" s="1659"/>
      <c r="J19" s="1654"/>
      <c r="K19" s="1658"/>
      <c r="L19" s="1654"/>
    </row>
    <row r="20" spans="1:12" ht="105" hidden="1">
      <c r="A20" s="1653">
        <f>+A18+1</f>
        <v>5</v>
      </c>
      <c r="B20" s="1261" t="s">
        <v>462</v>
      </c>
      <c r="C20" s="1261" t="s">
        <v>1862</v>
      </c>
      <c r="D20" s="1654" t="s">
        <v>108</v>
      </c>
      <c r="E20" s="1261" t="s">
        <v>1783</v>
      </c>
      <c r="F20" s="1655"/>
      <c r="G20" s="1656" t="s">
        <v>869</v>
      </c>
      <c r="H20" s="1654"/>
      <c r="I20" s="1656" t="s">
        <v>1716</v>
      </c>
      <c r="J20" s="1657"/>
      <c r="K20" s="1658" t="s">
        <v>1717</v>
      </c>
      <c r="L20" s="1654">
        <f>A20</f>
        <v>5</v>
      </c>
    </row>
    <row r="21" spans="1:12">
      <c r="A21" s="1653"/>
      <c r="B21" s="1261"/>
      <c r="C21" s="1261"/>
      <c r="D21" s="1654"/>
      <c r="E21" s="1261"/>
      <c r="F21" s="1655"/>
      <c r="G21" s="1656"/>
      <c r="H21" s="1654"/>
      <c r="I21" s="1656"/>
      <c r="J21" s="1657"/>
      <c r="K21" s="1658"/>
      <c r="L21" s="1654"/>
    </row>
    <row r="22" spans="1:12" ht="75">
      <c r="A22" s="1653">
        <v>1</v>
      </c>
      <c r="B22" s="1261" t="s">
        <v>1173</v>
      </c>
      <c r="C22" s="1261" t="s">
        <v>1174</v>
      </c>
      <c r="D22" s="1654" t="s">
        <v>108</v>
      </c>
      <c r="E22" s="1261" t="s">
        <v>1175</v>
      </c>
      <c r="F22" s="1655"/>
      <c r="G22" s="1656">
        <f>'Schedule 1.1 Cons Stmt of Ops.'!D27</f>
        <v>47042</v>
      </c>
      <c r="H22" s="1654"/>
      <c r="I22" s="1656">
        <f>'Schedule 9'!E116-'Sch. 10 Operating Fund - Exp'!M55</f>
        <v>47042</v>
      </c>
      <c r="J22" s="1657"/>
      <c r="K22" s="1658" t="str">
        <f>IF(G22&lt;&gt;I22,"ERROR","")</f>
        <v/>
      </c>
      <c r="L22" s="1654">
        <f>A22</f>
        <v>1</v>
      </c>
    </row>
    <row r="23" spans="1:12">
      <c r="A23" s="1653"/>
      <c r="B23" s="1261"/>
      <c r="C23" s="1261"/>
      <c r="D23" s="1654"/>
      <c r="E23" s="1261"/>
      <c r="F23" s="1655"/>
      <c r="G23" s="1656"/>
      <c r="H23" s="1654"/>
      <c r="I23" s="1656"/>
      <c r="J23" s="1657"/>
      <c r="K23" s="1658"/>
      <c r="L23" s="1654"/>
    </row>
    <row r="24" spans="1:12" ht="45">
      <c r="A24" s="1653">
        <f>+A22+1</f>
        <v>2</v>
      </c>
      <c r="B24" s="2041" t="s">
        <v>3239</v>
      </c>
      <c r="C24" s="2041" t="s">
        <v>3238</v>
      </c>
      <c r="D24" s="1654" t="s">
        <v>789</v>
      </c>
      <c r="E24" s="2041" t="s">
        <v>789</v>
      </c>
      <c r="F24" s="1655"/>
      <c r="G24" s="1656" t="s">
        <v>789</v>
      </c>
      <c r="H24" s="1654"/>
      <c r="I24" s="1656" t="s">
        <v>789</v>
      </c>
      <c r="J24" s="1657"/>
      <c r="K24" s="1658" t="str">
        <f>IF('Schedule 5.1'!I90&gt;0,"ERROR","")</f>
        <v/>
      </c>
      <c r="L24" s="1654">
        <f>A24</f>
        <v>2</v>
      </c>
    </row>
    <row r="25" spans="1:12">
      <c r="A25" s="1653"/>
      <c r="B25" s="2041"/>
      <c r="C25" s="2041"/>
      <c r="D25" s="1654"/>
      <c r="E25" s="2041"/>
      <c r="F25" s="1655"/>
      <c r="G25" s="1656"/>
      <c r="H25" s="1654"/>
      <c r="I25" s="1656"/>
      <c r="J25" s="1657"/>
      <c r="K25" s="1658"/>
      <c r="L25" s="1654"/>
    </row>
    <row r="26" spans="1:12" ht="75">
      <c r="A26" s="1653">
        <f>+A24+1</f>
        <v>3</v>
      </c>
      <c r="B26" s="1261" t="s">
        <v>2422</v>
      </c>
      <c r="C26" s="1261" t="s">
        <v>2423</v>
      </c>
      <c r="D26" s="1654" t="s">
        <v>108</v>
      </c>
      <c r="E26" s="1261" t="s">
        <v>2424</v>
      </c>
      <c r="F26" s="1655"/>
      <c r="G26" s="1656">
        <f>'Sch. 10 Operating Fund - Exp'!L24+'Sch. 10 Operating Fund - Exp'!L31+'Sch. 10 Operating Fund - Exp'!L37+'Sch. 10 Operating Fund - Exp'!L46+'Sch. 10 Operating Fund - Exp'!L52</f>
        <v>0</v>
      </c>
      <c r="H26" s="1654"/>
      <c r="I26" s="1656">
        <f>'Sch 3C Tang Cap Asset Con'!D44+'Sch 3C Tang Cap Asset Con'!C84+'Sch 3C Tang Cap Asset Con'!D84</f>
        <v>0</v>
      </c>
      <c r="J26" s="1657"/>
      <c r="K26" s="1658" t="str">
        <f>IF(G26&lt;&gt;I26,"ERROR","")</f>
        <v/>
      </c>
      <c r="L26" s="1654">
        <f>A26</f>
        <v>3</v>
      </c>
    </row>
    <row r="27" spans="1:12">
      <c r="A27" s="1653"/>
      <c r="B27" s="1261"/>
      <c r="C27" s="1261"/>
      <c r="D27" s="1654"/>
      <c r="E27" s="1261"/>
      <c r="F27" s="1655"/>
      <c r="G27" s="1656"/>
      <c r="H27" s="1654"/>
      <c r="I27" s="1656"/>
      <c r="J27" s="1657"/>
      <c r="K27" s="1658"/>
      <c r="L27" s="1654"/>
    </row>
    <row r="28" spans="1:12" ht="45">
      <c r="A28" s="1653">
        <f>+A26+1</f>
        <v>4</v>
      </c>
      <c r="B28" s="1261" t="s">
        <v>2382</v>
      </c>
      <c r="C28" s="1655" t="s">
        <v>2383</v>
      </c>
      <c r="D28" s="1654" t="s">
        <v>108</v>
      </c>
      <c r="E28" s="1655" t="s">
        <v>2420</v>
      </c>
      <c r="F28" s="1632"/>
      <c r="G28" s="1656">
        <f>+'Sch 10ADJ  Oper. Fund- Adj.'!G27+'Sch 10ADJ  Oper. Fund- Adj.'!G34+'Sch 10ADJ  Oper. Fund- Adj.'!G40+'Sch 10ADJ  Oper. Fund- Adj.'!G49+'Sch 10ADJ  Oper. Fund- Adj.'!G55</f>
        <v>0</v>
      </c>
      <c r="H28" s="1656"/>
      <c r="I28" s="1656">
        <f>ROUND(-'Sch. 10G Amort of Liab'!C70,0)</f>
        <v>0</v>
      </c>
      <c r="J28" s="1654"/>
      <c r="K28" s="1658" t="str">
        <f>IF(G28&lt;&gt;I28,"ERROR","")</f>
        <v/>
      </c>
      <c r="L28" s="1654">
        <f>A28</f>
        <v>4</v>
      </c>
    </row>
    <row r="29" spans="1:12">
      <c r="A29" s="1653"/>
      <c r="B29" s="1655"/>
      <c r="C29" s="1655"/>
      <c r="D29" s="1654"/>
      <c r="E29" s="1655"/>
      <c r="F29" s="1632"/>
      <c r="G29" s="1660"/>
      <c r="H29" s="1654"/>
      <c r="I29" s="1660"/>
      <c r="J29" s="1654"/>
      <c r="K29" s="1658"/>
      <c r="L29" s="1654"/>
    </row>
    <row r="30" spans="1:12" ht="45">
      <c r="A30" s="1653">
        <f>+A28+1</f>
        <v>5</v>
      </c>
      <c r="B30" s="1261" t="s">
        <v>2384</v>
      </c>
      <c r="C30" s="1655" t="s">
        <v>2385</v>
      </c>
      <c r="D30" s="1654" t="s">
        <v>108</v>
      </c>
      <c r="E30" s="1655" t="s">
        <v>2421</v>
      </c>
      <c r="F30" s="1632"/>
      <c r="G30" s="1656">
        <f>ROUND(+'Sch 10ADJ  Oper. Fund- Adj.'!I27+'Sch 10ADJ  Oper. Fund- Adj.'!I34+'Sch 10ADJ  Oper. Fund- Adj.'!I40+'Sch 10ADJ  Oper. Fund- Adj.'!I49+'Sch 10ADJ  Oper. Fund- Adj.'!I55,0)</f>
        <v>0</v>
      </c>
      <c r="H30" s="1656"/>
      <c r="I30" s="1656">
        <f>ROUND(-'Sch. 10G Amort of Liab'!C61,0)</f>
        <v>0</v>
      </c>
      <c r="J30" s="1654"/>
      <c r="K30" s="1658" t="str">
        <f>IF(G30&lt;&gt;I30,"ERROR","")</f>
        <v/>
      </c>
      <c r="L30" s="1654">
        <f>A30</f>
        <v>5</v>
      </c>
    </row>
    <row r="31" spans="1:12">
      <c r="A31" s="1653"/>
      <c r="B31" s="1655"/>
      <c r="C31" s="1655"/>
      <c r="D31" s="1654"/>
      <c r="E31" s="1655"/>
      <c r="F31" s="1632"/>
      <c r="G31" s="1660"/>
      <c r="H31" s="1654"/>
      <c r="I31" s="1660"/>
      <c r="J31" s="1654"/>
      <c r="K31" s="1658"/>
      <c r="L31" s="1654"/>
    </row>
    <row r="32" spans="1:12" ht="30">
      <c r="A32" s="1653">
        <f>+A30+1</f>
        <v>6</v>
      </c>
      <c r="B32" s="1261" t="s">
        <v>2386</v>
      </c>
      <c r="C32" s="1655" t="s">
        <v>789</v>
      </c>
      <c r="D32" s="1654" t="s">
        <v>789</v>
      </c>
      <c r="E32" s="1655" t="s">
        <v>789</v>
      </c>
      <c r="F32" s="1632"/>
      <c r="G32" s="1660" t="s">
        <v>789</v>
      </c>
      <c r="H32" s="1654"/>
      <c r="I32" s="1660" t="s">
        <v>789</v>
      </c>
      <c r="J32" s="1654"/>
      <c r="K32" s="1658" t="str">
        <f>IF(AND('Sch. 10G Amort of Liab'!C58&gt;0,'Sch. 10G Amort of Liab'!C60=0),"ERROR","")</f>
        <v/>
      </c>
      <c r="L32" s="1654">
        <f>A32</f>
        <v>6</v>
      </c>
    </row>
    <row r="33" spans="1:12">
      <c r="A33" s="1653"/>
      <c r="B33" s="1655"/>
      <c r="C33" s="1655"/>
      <c r="D33" s="1654"/>
      <c r="E33" s="1655"/>
      <c r="F33" s="1632"/>
      <c r="G33" s="1660"/>
      <c r="H33" s="1654"/>
      <c r="I33" s="1660"/>
      <c r="J33" s="1654"/>
      <c r="K33" s="1658"/>
      <c r="L33" s="1654" t="s">
        <v>789</v>
      </c>
    </row>
    <row r="34" spans="1:12" ht="30">
      <c r="A34" s="1653">
        <f>+A32+1</f>
        <v>7</v>
      </c>
      <c r="B34" s="1261" t="s">
        <v>2387</v>
      </c>
      <c r="C34" s="1655" t="s">
        <v>789</v>
      </c>
      <c r="D34" s="1654" t="s">
        <v>789</v>
      </c>
      <c r="E34" s="1655" t="s">
        <v>789</v>
      </c>
      <c r="F34" s="1632"/>
      <c r="G34" s="1660" t="s">
        <v>789</v>
      </c>
      <c r="H34" s="1654"/>
      <c r="I34" s="1660" t="s">
        <v>789</v>
      </c>
      <c r="J34" s="1654"/>
      <c r="K34" s="1658" t="str">
        <f>IF(AND('Sch. 10G Amort of Liab'!D58&gt;0,'Sch. 10G Amort of Liab'!D60=0),"ERROR","")</f>
        <v/>
      </c>
      <c r="L34" s="1654">
        <f>A34</f>
        <v>7</v>
      </c>
    </row>
    <row r="35" spans="1:12">
      <c r="A35" s="1653"/>
      <c r="B35" s="1655"/>
      <c r="C35" s="1655"/>
      <c r="D35" s="1654"/>
      <c r="E35" s="1655"/>
      <c r="F35" s="1632"/>
      <c r="G35" s="1660"/>
      <c r="H35" s="1654"/>
      <c r="I35" s="1660"/>
      <c r="J35" s="1654"/>
      <c r="K35" s="1658"/>
      <c r="L35" s="1654"/>
    </row>
    <row r="36" spans="1:12" ht="45">
      <c r="A36" s="1653">
        <f>+A34+1</f>
        <v>8</v>
      </c>
      <c r="B36" s="1261" t="s">
        <v>2388</v>
      </c>
      <c r="C36" s="1655" t="s">
        <v>789</v>
      </c>
      <c r="D36" s="1654" t="s">
        <v>789</v>
      </c>
      <c r="E36" s="1655" t="s">
        <v>789</v>
      </c>
      <c r="F36" s="1632"/>
      <c r="G36" s="1660" t="s">
        <v>789</v>
      </c>
      <c r="H36" s="1654"/>
      <c r="I36" s="1660" t="s">
        <v>789</v>
      </c>
      <c r="J36" s="1654"/>
      <c r="K36" s="1658" t="str">
        <f>IF(AND('Sch. 10G Amort of Liab'!C67&gt;0,'Sch. 10G Amort of Liab'!C69=0),"ERROR","")</f>
        <v/>
      </c>
      <c r="L36" s="1654">
        <f>A36</f>
        <v>8</v>
      </c>
    </row>
    <row r="37" spans="1:12">
      <c r="A37" s="1653"/>
      <c r="B37" s="1655"/>
      <c r="C37" s="1655"/>
      <c r="D37" s="1654"/>
      <c r="E37" s="1655"/>
      <c r="F37" s="1632"/>
      <c r="G37" s="1660"/>
      <c r="H37" s="1654"/>
      <c r="I37" s="1660"/>
      <c r="J37" s="1654"/>
      <c r="K37" s="1658"/>
      <c r="L37" s="1654"/>
    </row>
    <row r="38" spans="1:12" ht="45">
      <c r="A38" s="1653">
        <f>+A36+1</f>
        <v>9</v>
      </c>
      <c r="B38" s="1655" t="s">
        <v>948</v>
      </c>
      <c r="C38" s="1655" t="s">
        <v>1508</v>
      </c>
      <c r="D38" s="1654" t="s">
        <v>108</v>
      </c>
      <c r="E38" s="1655" t="s">
        <v>1512</v>
      </c>
      <c r="F38" s="1632"/>
      <c r="G38" s="1660">
        <f>+'Sch 13 Enrolment'!P79</f>
        <v>0</v>
      </c>
      <c r="H38" s="1654"/>
      <c r="I38" s="1660">
        <f>+'Sch 13 Enrolment'!P54</f>
        <v>0</v>
      </c>
      <c r="J38" s="1654"/>
      <c r="K38" s="1658" t="str">
        <f>IF(G38&lt;&gt;I38,"ERROR","")</f>
        <v/>
      </c>
      <c r="L38" s="1654">
        <f>A38</f>
        <v>9</v>
      </c>
    </row>
    <row r="39" spans="1:12">
      <c r="A39" s="1653"/>
      <c r="B39" s="1655"/>
      <c r="C39" s="1655"/>
      <c r="D39" s="1654"/>
      <c r="E39" s="1655"/>
      <c r="F39" s="1632"/>
      <c r="G39" s="1660"/>
      <c r="H39" s="1654"/>
      <c r="I39" s="1660"/>
      <c r="J39" s="1654"/>
      <c r="K39" s="1658"/>
      <c r="L39" s="1654"/>
    </row>
    <row r="40" spans="1:12" ht="45">
      <c r="A40" s="1653">
        <f>+A38+1</f>
        <v>10</v>
      </c>
      <c r="B40" s="1655" t="s">
        <v>555</v>
      </c>
      <c r="C40" s="1655" t="s">
        <v>1509</v>
      </c>
      <c r="D40" s="1654" t="s">
        <v>108</v>
      </c>
      <c r="E40" s="1655" t="s">
        <v>1513</v>
      </c>
      <c r="F40" s="1632"/>
      <c r="G40" s="1660">
        <f>'Sch 13 Enrolment'!R79</f>
        <v>0</v>
      </c>
      <c r="H40" s="1654"/>
      <c r="I40" s="1660">
        <f>'Sch 13 Enrolment'!R54</f>
        <v>0</v>
      </c>
      <c r="J40" s="1654"/>
      <c r="K40" s="1658" t="str">
        <f>IF(G40&lt;&gt;I40,"ERROR","")</f>
        <v/>
      </c>
      <c r="L40" s="1654">
        <f>A40</f>
        <v>10</v>
      </c>
    </row>
    <row r="41" spans="1:12">
      <c r="A41" s="1653"/>
      <c r="B41" s="1655"/>
      <c r="C41" s="1655"/>
      <c r="D41" s="1654"/>
      <c r="E41" s="1655"/>
      <c r="F41" s="1632"/>
      <c r="G41" s="1660"/>
      <c r="H41" s="1654"/>
      <c r="I41" s="1660"/>
      <c r="J41" s="1654"/>
      <c r="K41" s="1658"/>
      <c r="L41" s="1654"/>
    </row>
    <row r="42" spans="1:12" ht="45">
      <c r="A42" s="1653">
        <f>+A40+1</f>
        <v>11</v>
      </c>
      <c r="B42" s="1655" t="s">
        <v>949</v>
      </c>
      <c r="C42" s="1655" t="s">
        <v>1510</v>
      </c>
      <c r="D42" s="1654" t="s">
        <v>108</v>
      </c>
      <c r="E42" s="1655" t="s">
        <v>1514</v>
      </c>
      <c r="F42" s="1632"/>
      <c r="G42" s="1660">
        <f>'Sch 13 Enrolment'!P84</f>
        <v>0</v>
      </c>
      <c r="H42" s="1654"/>
      <c r="I42" s="1660">
        <f>'Sch 13 Enrolment'!R68</f>
        <v>0</v>
      </c>
      <c r="J42" s="1654"/>
      <c r="K42" s="1658" t="str">
        <f>IF(G42&lt;&gt;I42,"ERROR","")</f>
        <v/>
      </c>
      <c r="L42" s="1654">
        <f>A42</f>
        <v>11</v>
      </c>
    </row>
    <row r="43" spans="1:12">
      <c r="A43" s="1653"/>
      <c r="B43" s="1655"/>
      <c r="C43" s="1655"/>
      <c r="D43" s="1654"/>
      <c r="E43" s="1655"/>
      <c r="F43" s="1632"/>
      <c r="G43" s="1660"/>
      <c r="H43" s="1654"/>
      <c r="I43" s="1660"/>
      <c r="J43" s="1654"/>
      <c r="K43" s="1658"/>
      <c r="L43" s="1654" t="s">
        <v>789</v>
      </c>
    </row>
    <row r="44" spans="1:12" ht="45">
      <c r="A44" s="1653">
        <f>+A42+1</f>
        <v>12</v>
      </c>
      <c r="B44" s="1655" t="s">
        <v>950</v>
      </c>
      <c r="C44" s="1655" t="s">
        <v>1511</v>
      </c>
      <c r="D44" s="1654" t="s">
        <v>108</v>
      </c>
      <c r="E44" s="1655" t="s">
        <v>1515</v>
      </c>
      <c r="F44" s="1632"/>
      <c r="G44" s="1660">
        <f>+'Sch 13 Enrolment'!R84</f>
        <v>0</v>
      </c>
      <c r="H44" s="1654"/>
      <c r="I44" s="1660">
        <f>+'Sch 13 Enrolment'!T68</f>
        <v>0</v>
      </c>
      <c r="J44" s="1654"/>
      <c r="K44" s="1658" t="str">
        <f>IF(G44&lt;&gt;I44,"ERROR","")</f>
        <v/>
      </c>
      <c r="L44" s="1654">
        <f>A44</f>
        <v>12</v>
      </c>
    </row>
    <row r="45" spans="1:12">
      <c r="A45" s="1653"/>
      <c r="B45" s="1655"/>
      <c r="C45" s="1655"/>
      <c r="D45" s="1654"/>
      <c r="E45" s="1655"/>
      <c r="F45" s="1632"/>
      <c r="G45" s="1660"/>
      <c r="H45" s="1654"/>
      <c r="I45" s="1660"/>
      <c r="J45" s="1654"/>
      <c r="K45" s="1658"/>
      <c r="L45" s="1654"/>
    </row>
    <row r="46" spans="1:12">
      <c r="A46" s="1653">
        <f>+A44+1</f>
        <v>13</v>
      </c>
      <c r="B46" s="1655" t="s">
        <v>80</v>
      </c>
      <c r="C46" s="1655" t="s">
        <v>81</v>
      </c>
      <c r="D46" s="1654"/>
      <c r="E46" s="1655"/>
      <c r="F46" s="1655"/>
      <c r="G46" s="1656">
        <f>+'1 Summary'!K62</f>
        <v>0</v>
      </c>
      <c r="H46" s="1654"/>
      <c r="I46" s="1659"/>
      <c r="J46" s="1654"/>
      <c r="K46" s="1658" t="str">
        <f>IF(G46=0,"","ERROR")</f>
        <v/>
      </c>
      <c r="L46" s="1654">
        <f>A46</f>
        <v>13</v>
      </c>
    </row>
    <row r="47" spans="1:12">
      <c r="A47" s="1653"/>
      <c r="B47" s="1655"/>
      <c r="C47" s="1655"/>
      <c r="D47" s="1654"/>
      <c r="E47" s="1655"/>
      <c r="F47" s="1655"/>
      <c r="G47" s="1656"/>
      <c r="H47" s="1654"/>
      <c r="I47" s="1659"/>
      <c r="J47" s="1654"/>
      <c r="K47" s="1658"/>
      <c r="L47" s="1654" t="s">
        <v>789</v>
      </c>
    </row>
    <row r="48" spans="1:12" ht="45">
      <c r="A48" s="1653">
        <f>+A46+1</f>
        <v>14</v>
      </c>
      <c r="B48" s="1655" t="s">
        <v>3120</v>
      </c>
      <c r="C48" s="1655" t="s">
        <v>789</v>
      </c>
      <c r="D48" s="1654"/>
      <c r="E48" s="1655"/>
      <c r="F48" s="1655"/>
      <c r="G48" s="1656" t="s">
        <v>789</v>
      </c>
      <c r="H48" s="1654"/>
      <c r="I48" s="1659"/>
      <c r="J48" s="1654"/>
      <c r="K48" s="1658" t="str">
        <f>IF('App H - Staffing Oct 31'!AF74&gt;0,"ERROR","")</f>
        <v/>
      </c>
      <c r="L48" s="1654">
        <f>A48</f>
        <v>14</v>
      </c>
    </row>
    <row r="49" spans="1:12">
      <c r="A49" s="1653"/>
      <c r="B49" s="1655"/>
      <c r="C49" s="1655"/>
      <c r="D49" s="1654"/>
      <c r="E49" s="1655"/>
      <c r="F49" s="1655"/>
      <c r="G49" s="1656"/>
      <c r="H49" s="1654"/>
      <c r="I49" s="1659"/>
      <c r="J49" s="1654"/>
      <c r="K49" s="1658"/>
      <c r="L49" s="1654" t="s">
        <v>789</v>
      </c>
    </row>
    <row r="50" spans="1:12" ht="45">
      <c r="A50" s="1653">
        <f>+A48+1</f>
        <v>15</v>
      </c>
      <c r="B50" s="1655" t="s">
        <v>3121</v>
      </c>
      <c r="C50" s="1655"/>
      <c r="D50" s="1654"/>
      <c r="E50" s="1655"/>
      <c r="F50" s="1655"/>
      <c r="G50" s="1656"/>
      <c r="H50" s="1654"/>
      <c r="I50" s="1659"/>
      <c r="J50" s="1654"/>
      <c r="K50" s="1658" t="str">
        <f>IF('App H - Staffing Mar 31'!AF74&gt;0,"ERROR","")</f>
        <v/>
      </c>
      <c r="L50" s="1654">
        <f>A50</f>
        <v>15</v>
      </c>
    </row>
    <row r="51" spans="1:12">
      <c r="A51" s="1653"/>
      <c r="B51" s="1655"/>
      <c r="C51" s="1655"/>
      <c r="D51" s="1654"/>
      <c r="E51" s="1655"/>
      <c r="F51" s="1655"/>
      <c r="G51" s="1656"/>
      <c r="H51" s="1654"/>
      <c r="I51" s="1659"/>
      <c r="J51" s="1654"/>
      <c r="K51" s="1658"/>
      <c r="L51" s="1654"/>
    </row>
    <row r="52" spans="1:12" hidden="1"/>
    <row r="53" spans="1:12" hidden="1"/>
    <row r="54" spans="1:12" hidden="1"/>
    <row r="55" spans="1:12" hidden="1"/>
    <row r="56" spans="1:12" hidden="1"/>
    <row r="57" spans="1:12" hidden="1"/>
    <row r="58" spans="1:12" hidden="1"/>
    <row r="59" spans="1:12" hidden="1"/>
    <row r="60" spans="1:12" hidden="1"/>
    <row r="61" spans="1:12" hidden="1"/>
    <row r="62" spans="1:12" hidden="1"/>
    <row r="63" spans="1:12" hidden="1"/>
    <row r="64" spans="1: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t="70.5" hidden="1" customHeight="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t="16.5" hidden="1" customHeight="1"/>
    <row r="159" ht="16.5" hidden="1" customHeight="1"/>
    <row r="160" ht="18.75" hidden="1" customHeight="1"/>
    <row r="161" ht="16.5" hidden="1" customHeight="1"/>
    <row r="162" ht="22.5" hidden="1" customHeight="1"/>
    <row r="163" hidden="1"/>
    <row r="164" hidden="1"/>
    <row r="165" hidden="1"/>
    <row r="166" hidden="1"/>
    <row r="167" hidden="1"/>
    <row r="168" hidden="1"/>
    <row r="169" hidden="1"/>
    <row r="170" hidden="1"/>
    <row r="171" hidden="1"/>
    <row r="172" hidden="1"/>
    <row r="173" hidden="1"/>
    <row r="174" hidden="1"/>
    <row r="175" hidden="1"/>
  </sheetData>
  <sheetProtection password="C7B7" sheet="1" objects="1" scenarios="1"/>
  <phoneticPr fontId="13"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0"/>
  <sheetViews>
    <sheetView workbookViewId="0">
      <selection activeCell="I10" sqref="I10"/>
    </sheetView>
  </sheetViews>
  <sheetFormatPr defaultColWidth="0" defaultRowHeight="12.75" zeroHeight="1"/>
  <cols>
    <col min="1" max="1" width="3.42578125" style="69" customWidth="1"/>
    <col min="2" max="2" width="6.5703125" style="69" customWidth="1"/>
    <col min="3" max="3" width="48.28515625" style="69" customWidth="1"/>
    <col min="4" max="4" width="3.140625" style="69" customWidth="1"/>
    <col min="5" max="5" width="15.7109375" style="69" customWidth="1"/>
    <col min="6" max="6" width="2.7109375" style="69" customWidth="1"/>
    <col min="7" max="7" width="15.7109375" style="69" customWidth="1"/>
    <col min="8" max="8" width="2.7109375" style="69" customWidth="1"/>
    <col min="9" max="9" width="15.7109375" style="69" customWidth="1"/>
    <col min="10" max="10" width="2.7109375" style="69" customWidth="1"/>
  </cols>
  <sheetData>
    <row r="1" spans="1:10" ht="15">
      <c r="A1" s="3"/>
      <c r="B1" s="11"/>
      <c r="C1" s="3"/>
      <c r="D1" s="3"/>
      <c r="E1" s="1703" t="s">
        <v>163</v>
      </c>
      <c r="F1" s="2435" t="str">
        <f>'1 Summary'!G2</f>
        <v/>
      </c>
      <c r="G1" s="2436"/>
      <c r="H1" s="2436"/>
      <c r="I1" s="2437"/>
      <c r="J1" s="3"/>
    </row>
    <row r="2" spans="1:10" ht="15">
      <c r="A2" s="3"/>
      <c r="B2" s="11"/>
      <c r="C2" s="3"/>
      <c r="D2" s="3"/>
      <c r="E2" s="13" t="s">
        <v>653</v>
      </c>
      <c r="F2" s="2431">
        <f>'1 Summary'!G3</f>
        <v>0</v>
      </c>
      <c r="G2" s="2432"/>
      <c r="H2" s="15"/>
      <c r="I2" s="1763"/>
      <c r="J2" s="3"/>
    </row>
    <row r="3" spans="1:10" ht="15">
      <c r="A3" s="3"/>
      <c r="B3" s="11"/>
      <c r="C3" s="3"/>
      <c r="D3" s="3"/>
      <c r="E3" s="1764"/>
      <c r="F3" s="3"/>
      <c r="G3" s="1764"/>
      <c r="H3" s="3"/>
      <c r="I3" s="1764"/>
      <c r="J3" s="3"/>
    </row>
    <row r="4" spans="1:10" ht="15">
      <c r="A4" s="3"/>
      <c r="B4" s="11"/>
      <c r="C4" s="3"/>
      <c r="D4" s="3"/>
      <c r="E4" s="1764"/>
      <c r="F4" s="3"/>
      <c r="G4" s="1764"/>
      <c r="H4" s="3"/>
      <c r="I4" s="1764"/>
      <c r="J4" s="3"/>
    </row>
    <row r="5" spans="1:10">
      <c r="A5" s="2438" t="s">
        <v>2548</v>
      </c>
      <c r="B5" s="2438"/>
      <c r="C5" s="2438"/>
      <c r="D5" s="2438"/>
      <c r="E5" s="2438"/>
      <c r="F5" s="2438"/>
      <c r="G5" s="2438"/>
      <c r="H5" s="2438"/>
      <c r="I5" s="1765"/>
      <c r="J5" s="1765"/>
    </row>
    <row r="6" spans="1:10">
      <c r="A6" s="2439" t="s">
        <v>2549</v>
      </c>
      <c r="B6" s="2439"/>
      <c r="C6" s="2439"/>
      <c r="D6" s="2439"/>
      <c r="E6" s="2439"/>
      <c r="F6" s="2439"/>
      <c r="G6" s="2439"/>
      <c r="H6" s="2439"/>
      <c r="I6" s="1765"/>
      <c r="J6" s="1765"/>
    </row>
    <row r="7" spans="1:10">
      <c r="A7" s="2439" t="s">
        <v>329</v>
      </c>
      <c r="B7" s="2439"/>
      <c r="C7" s="2439"/>
      <c r="D7" s="2439"/>
      <c r="E7" s="2439"/>
      <c r="F7" s="2439"/>
      <c r="G7" s="2439"/>
      <c r="H7" s="2439"/>
      <c r="I7" s="1765"/>
      <c r="J7" s="1765"/>
    </row>
    <row r="8" spans="1:10">
      <c r="A8" s="1765"/>
      <c r="B8" s="1765"/>
      <c r="C8" s="1765"/>
      <c r="D8" s="1765"/>
      <c r="E8" s="1765"/>
      <c r="F8" s="1765"/>
      <c r="G8" s="1765"/>
      <c r="H8" s="1765"/>
      <c r="I8" s="1765"/>
      <c r="J8" s="1765"/>
    </row>
    <row r="9" spans="1:10">
      <c r="A9" s="3"/>
      <c r="B9" s="11"/>
      <c r="C9" s="3"/>
      <c r="D9" s="3"/>
      <c r="E9" s="1766"/>
      <c r="F9" s="3"/>
      <c r="G9" s="2327" t="s">
        <v>3055</v>
      </c>
      <c r="H9" s="3"/>
      <c r="I9" s="2327" t="s">
        <v>3056</v>
      </c>
      <c r="J9" s="3"/>
    </row>
    <row r="10" spans="1:10">
      <c r="A10" s="3"/>
      <c r="B10" s="11"/>
      <c r="C10" s="3"/>
      <c r="D10" s="3"/>
      <c r="E10" s="1766"/>
      <c r="F10" s="3"/>
      <c r="G10" s="1767" t="s">
        <v>1286</v>
      </c>
      <c r="H10" s="3"/>
      <c r="I10" s="1767" t="s">
        <v>1287</v>
      </c>
      <c r="J10" s="3"/>
    </row>
    <row r="11" spans="1:10">
      <c r="A11" s="3"/>
      <c r="B11" s="11"/>
      <c r="C11" s="3"/>
      <c r="D11" s="3"/>
      <c r="E11" s="1766"/>
      <c r="F11" s="3"/>
      <c r="G11" s="1767"/>
      <c r="H11" s="3"/>
      <c r="I11" s="1767"/>
      <c r="J11" s="3"/>
    </row>
    <row r="12" spans="1:10">
      <c r="A12" s="3"/>
      <c r="B12" s="101">
        <v>1</v>
      </c>
      <c r="C12" s="1" t="s">
        <v>334</v>
      </c>
      <c r="D12" s="1"/>
      <c r="E12" s="1768"/>
      <c r="F12" s="1"/>
      <c r="G12" s="1769">
        <f>'Schedule 1.1 Cons Stmt of Ops.'!D28</f>
        <v>0</v>
      </c>
      <c r="H12" s="3"/>
      <c r="I12" s="1769">
        <f>'Schedule 1.1 Cons Stmt of Ops.'!E28</f>
        <v>0</v>
      </c>
      <c r="J12" s="3"/>
    </row>
    <row r="13" spans="1:10">
      <c r="A13" s="3"/>
      <c r="B13" s="101"/>
      <c r="C13" s="1"/>
      <c r="D13" s="1"/>
      <c r="E13" s="1768"/>
      <c r="F13" s="1"/>
      <c r="G13" s="1766"/>
      <c r="H13" s="3"/>
      <c r="I13" s="1766"/>
      <c r="J13" s="3"/>
    </row>
    <row r="14" spans="1:10">
      <c r="A14" s="3"/>
      <c r="B14" s="101">
        <v>2</v>
      </c>
      <c r="C14" s="1" t="s">
        <v>2550</v>
      </c>
      <c r="D14" s="1"/>
      <c r="E14" s="1770"/>
      <c r="F14" s="66"/>
      <c r="G14" s="1766"/>
      <c r="H14" s="15"/>
      <c r="I14" s="1766"/>
      <c r="J14" s="3"/>
    </row>
    <row r="15" spans="1:10">
      <c r="A15" s="3"/>
      <c r="B15" s="101">
        <v>2.1</v>
      </c>
      <c r="C15" s="30" t="s">
        <v>2551</v>
      </c>
      <c r="D15" s="30"/>
      <c r="E15" s="1768"/>
      <c r="F15" s="30"/>
      <c r="G15" s="2325">
        <f>-'Sch 3C Tang Cap Asset Con'!C42</f>
        <v>0</v>
      </c>
      <c r="H15" s="3"/>
      <c r="I15" s="1772"/>
      <c r="J15" s="3"/>
    </row>
    <row r="16" spans="1:10">
      <c r="A16" s="3"/>
      <c r="B16" s="101">
        <v>2.2000000000000002</v>
      </c>
      <c r="C16" s="30" t="s">
        <v>2552</v>
      </c>
      <c r="D16" s="30"/>
      <c r="E16" s="1768"/>
      <c r="F16" s="30"/>
      <c r="G16" s="2326">
        <f>-'Sch 3C Tang Cap Asset Con'!C82</f>
        <v>0</v>
      </c>
      <c r="H16" s="3"/>
      <c r="I16" s="1772"/>
      <c r="J16" s="3"/>
    </row>
    <row r="17" spans="1:10">
      <c r="A17" s="3"/>
      <c r="B17" s="101">
        <v>2.2999999999999998</v>
      </c>
      <c r="C17" s="30" t="s">
        <v>2553</v>
      </c>
      <c r="D17" s="30"/>
      <c r="E17" s="1768"/>
      <c r="F17" s="30"/>
      <c r="G17" s="2325">
        <f>('Sch 3C Tang Cap Asset Con'!E123+'Sch 3C Tang Cap Asset Con'!F123)*-1</f>
        <v>0</v>
      </c>
      <c r="H17" s="3"/>
      <c r="I17" s="1772"/>
      <c r="J17" s="3"/>
    </row>
    <row r="18" spans="1:10">
      <c r="A18" s="3"/>
      <c r="B18" s="101">
        <v>2.4</v>
      </c>
      <c r="C18" s="30" t="s">
        <v>2534</v>
      </c>
      <c r="D18" s="30"/>
      <c r="E18" s="1768"/>
      <c r="F18" s="30"/>
      <c r="G18" s="2325">
        <f>'Sch 3C Tang Cap Asset Con'!D123</f>
        <v>0</v>
      </c>
      <c r="H18" s="3"/>
      <c r="I18" s="1772"/>
      <c r="J18" s="3"/>
    </row>
    <row r="19" spans="1:10">
      <c r="A19" s="3"/>
      <c r="B19" s="101">
        <v>2.5</v>
      </c>
      <c r="C19" s="30" t="s">
        <v>2554</v>
      </c>
      <c r="D19" s="30"/>
      <c r="E19" s="1768"/>
      <c r="F19" s="30"/>
      <c r="G19" s="2325">
        <f>'Sch 3C Tang Cap Asset Con'!D82+'Sch 3C Tang Cap Asset Con'!E42</f>
        <v>0</v>
      </c>
      <c r="H19" s="3"/>
      <c r="I19" s="1773"/>
      <c r="J19" s="3"/>
    </row>
    <row r="20" spans="1:10">
      <c r="A20" s="3"/>
      <c r="B20" s="101">
        <v>2.6</v>
      </c>
      <c r="C20" s="1751" t="s">
        <v>2555</v>
      </c>
      <c r="D20" s="16"/>
      <c r="E20" s="1768"/>
      <c r="F20" s="16"/>
      <c r="G20" s="1771">
        <f>SUM(G15:G19)</f>
        <v>0</v>
      </c>
      <c r="H20" s="3"/>
      <c r="I20" s="1771">
        <f>SUM(I15:I19)</f>
        <v>0</v>
      </c>
      <c r="J20" s="3"/>
    </row>
    <row r="21" spans="1:10">
      <c r="A21" s="3"/>
      <c r="B21" s="101"/>
      <c r="C21" s="30"/>
      <c r="D21" s="88"/>
      <c r="E21" s="1768"/>
      <c r="F21" s="88"/>
      <c r="G21" s="1774"/>
      <c r="H21" s="15"/>
      <c r="I21" s="1774"/>
      <c r="J21" s="3"/>
    </row>
    <row r="22" spans="1:10">
      <c r="A22" s="3"/>
      <c r="B22" s="1775"/>
      <c r="C22" s="1"/>
      <c r="D22" s="66"/>
      <c r="E22" s="1768"/>
      <c r="F22" s="66"/>
      <c r="G22" s="1774"/>
      <c r="H22" s="15"/>
      <c r="I22" s="1774"/>
      <c r="J22" s="3"/>
    </row>
    <row r="23" spans="1:10">
      <c r="A23" s="3"/>
      <c r="B23" s="11"/>
      <c r="C23" s="3"/>
      <c r="D23" s="3"/>
      <c r="E23" s="1774"/>
      <c r="F23" s="3"/>
      <c r="G23" s="1776"/>
      <c r="H23" s="3"/>
      <c r="I23" s="1776"/>
      <c r="J23" s="3"/>
    </row>
    <row r="24" spans="1:10">
      <c r="A24" s="3"/>
      <c r="B24" s="11">
        <v>3</v>
      </c>
      <c r="C24" s="1" t="s">
        <v>2556</v>
      </c>
      <c r="D24" s="1"/>
      <c r="E24" s="1774"/>
      <c r="F24" s="1"/>
      <c r="G24" s="1777"/>
      <c r="H24" s="3"/>
      <c r="I24" s="1777"/>
      <c r="J24" s="3"/>
    </row>
    <row r="25" spans="1:10">
      <c r="A25" s="3"/>
      <c r="B25" s="11">
        <v>3.1</v>
      </c>
      <c r="C25" s="3" t="s">
        <v>2557</v>
      </c>
      <c r="D25" s="3"/>
      <c r="E25" s="1768"/>
      <c r="F25" s="3"/>
      <c r="G25" s="1773"/>
      <c r="H25" s="3"/>
      <c r="I25" s="1773"/>
      <c r="J25" s="3"/>
    </row>
    <row r="26" spans="1:10">
      <c r="A26" s="3"/>
      <c r="B26" s="11">
        <v>3.2</v>
      </c>
      <c r="C26" s="3" t="s">
        <v>2558</v>
      </c>
      <c r="D26" s="3"/>
      <c r="E26" s="1768"/>
      <c r="F26" s="3"/>
      <c r="G26" s="1773"/>
      <c r="H26" s="3"/>
      <c r="I26" s="1772"/>
      <c r="J26" s="3"/>
    </row>
    <row r="27" spans="1:10">
      <c r="A27" s="3"/>
      <c r="B27" s="11">
        <v>3.3</v>
      </c>
      <c r="C27" s="3" t="s">
        <v>2559</v>
      </c>
      <c r="D27" s="3"/>
      <c r="E27" s="1768"/>
      <c r="F27" s="3"/>
      <c r="G27" s="1773"/>
      <c r="H27" s="3"/>
      <c r="I27" s="1772"/>
      <c r="J27" s="3"/>
    </row>
    <row r="28" spans="1:10">
      <c r="A28" s="3"/>
      <c r="B28" s="11">
        <v>3.4</v>
      </c>
      <c r="C28" s="3" t="s">
        <v>2560</v>
      </c>
      <c r="D28" s="3"/>
      <c r="E28" s="1768"/>
      <c r="F28" s="3"/>
      <c r="G28" s="1773"/>
      <c r="H28" s="3"/>
      <c r="I28" s="1772"/>
      <c r="J28" s="3"/>
    </row>
    <row r="29" spans="1:10">
      <c r="A29" s="3"/>
      <c r="B29" s="11">
        <v>3.5</v>
      </c>
      <c r="C29" s="1" t="s">
        <v>2561</v>
      </c>
      <c r="D29" s="3"/>
      <c r="E29" s="1768"/>
      <c r="F29" s="3"/>
      <c r="G29" s="1771">
        <f>SUM(G25:G28)</f>
        <v>0</v>
      </c>
      <c r="H29" s="3"/>
      <c r="I29" s="1771">
        <f>SUM(I25:I28)</f>
        <v>0</v>
      </c>
      <c r="J29" s="3"/>
    </row>
    <row r="30" spans="1:10">
      <c r="A30" s="3"/>
      <c r="B30" s="11"/>
      <c r="C30" s="88"/>
      <c r="D30" s="88"/>
      <c r="E30" s="1768"/>
      <c r="F30" s="88"/>
      <c r="G30" s="1774"/>
      <c r="H30" s="15"/>
      <c r="I30" s="1774"/>
      <c r="J30" s="3"/>
    </row>
    <row r="31" spans="1:10">
      <c r="A31" s="3"/>
      <c r="B31" s="101">
        <v>4</v>
      </c>
      <c r="C31" s="3" t="s">
        <v>2562</v>
      </c>
      <c r="D31" s="3"/>
      <c r="E31" s="1768"/>
      <c r="F31" s="3"/>
      <c r="G31" s="1771">
        <f>G12+G20+G29</f>
        <v>0</v>
      </c>
      <c r="H31" s="3"/>
      <c r="I31" s="1771">
        <f>I12+I20+I29</f>
        <v>0</v>
      </c>
      <c r="J31" s="3"/>
    </row>
    <row r="32" spans="1:10">
      <c r="A32" s="3"/>
      <c r="B32" s="101"/>
      <c r="C32" s="1"/>
      <c r="D32" s="1"/>
      <c r="E32" s="1768"/>
      <c r="F32" s="66"/>
      <c r="G32" s="1774"/>
      <c r="H32" s="15"/>
      <c r="I32" s="1774"/>
      <c r="J32" s="3"/>
    </row>
    <row r="33" spans="1:10">
      <c r="A33" s="3"/>
      <c r="B33" s="11">
        <v>4.0999999999999996</v>
      </c>
      <c r="C33" s="3" t="s">
        <v>2563</v>
      </c>
      <c r="D33" s="3"/>
      <c r="E33" s="1768"/>
      <c r="F33" s="3"/>
      <c r="G33" s="1771">
        <f>I35</f>
        <v>0</v>
      </c>
      <c r="H33" s="3"/>
      <c r="I33" s="1771">
        <f>+I35-I31</f>
        <v>0</v>
      </c>
      <c r="J33" s="3"/>
    </row>
    <row r="34" spans="1:10">
      <c r="A34" s="3"/>
      <c r="B34" s="11"/>
      <c r="C34" s="1"/>
      <c r="D34" s="1"/>
      <c r="E34" s="1768"/>
      <c r="F34" s="66"/>
      <c r="G34" s="1774"/>
      <c r="H34" s="15"/>
      <c r="I34" s="1774"/>
      <c r="J34" s="3"/>
    </row>
    <row r="35" spans="1:10">
      <c r="A35" s="3"/>
      <c r="B35" s="101">
        <v>4.2</v>
      </c>
      <c r="C35" s="30" t="s">
        <v>2564</v>
      </c>
      <c r="D35" s="30"/>
      <c r="E35" s="1768"/>
      <c r="F35" s="30"/>
      <c r="G35" s="1771">
        <f>G33+G31</f>
        <v>0</v>
      </c>
      <c r="H35" s="3"/>
      <c r="I35" s="1771">
        <f>'Schedule 1 Stmt of Fin Pos.'!F29</f>
        <v>0</v>
      </c>
      <c r="J35" s="3"/>
    </row>
    <row r="36" spans="1:10">
      <c r="A36" s="3"/>
      <c r="B36" s="1778"/>
      <c r="C36" s="88"/>
      <c r="D36" s="88"/>
      <c r="E36" s="1768"/>
      <c r="F36" s="88"/>
      <c r="G36" s="1774"/>
      <c r="H36" s="1779"/>
      <c r="I36" s="1774"/>
      <c r="J36" s="1779"/>
    </row>
    <row r="37" spans="1:10">
      <c r="A37" s="3"/>
      <c r="B37" s="1778"/>
      <c r="C37" s="88"/>
      <c r="D37" s="88"/>
      <c r="E37" s="1774"/>
      <c r="F37" s="88"/>
      <c r="G37" s="1774"/>
      <c r="H37" s="1779"/>
      <c r="I37" s="1774"/>
      <c r="J37" s="1779"/>
    </row>
    <row r="38" spans="1:10">
      <c r="A38" s="3"/>
      <c r="B38" s="1778"/>
      <c r="C38" s="88"/>
      <c r="D38" s="88"/>
      <c r="E38" s="1768"/>
      <c r="F38" s="88"/>
      <c r="G38" s="1774"/>
      <c r="H38" s="15"/>
      <c r="I38" s="1774"/>
      <c r="J38" s="15"/>
    </row>
    <row r="39" spans="1:10">
      <c r="A39" s="3"/>
      <c r="B39" s="11"/>
      <c r="C39" s="1780"/>
      <c r="D39" s="1780"/>
      <c r="E39" s="1749"/>
      <c r="F39" s="1780"/>
      <c r="G39" s="1750"/>
      <c r="H39" s="124"/>
      <c r="I39" s="1750"/>
      <c r="J39" s="3"/>
    </row>
    <row r="40" spans="1:10">
      <c r="A40" s="3"/>
      <c r="B40" s="3"/>
      <c r="C40" s="3"/>
      <c r="D40" s="3"/>
      <c r="E40" s="3"/>
      <c r="F40" s="3"/>
      <c r="G40" s="3"/>
      <c r="H40" s="3"/>
      <c r="I40" s="3"/>
      <c r="J40" s="3"/>
    </row>
  </sheetData>
  <mergeCells count="5">
    <mergeCell ref="F1:I1"/>
    <mergeCell ref="F2:G2"/>
    <mergeCell ref="A5:H5"/>
    <mergeCell ref="A6:H6"/>
    <mergeCell ref="A7:H7"/>
  </mergeCells>
  <pageMargins left="0.7" right="0.7" top="0.75" bottom="0.75" header="0.3" footer="0.3"/>
  <legacy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68"/>
  <sheetViews>
    <sheetView topLeftCell="A8" zoomScale="75" zoomScaleNormal="75" workbookViewId="0">
      <selection activeCell="H21" sqref="H21"/>
    </sheetView>
  </sheetViews>
  <sheetFormatPr defaultColWidth="0" defaultRowHeight="15" zeroHeight="1"/>
  <cols>
    <col min="1" max="1" width="7.85546875" style="976" bestFit="1" customWidth="1"/>
    <col min="2" max="2" width="51.5703125" style="976" customWidth="1"/>
    <col min="3" max="3" width="5.42578125" style="976" customWidth="1"/>
    <col min="4" max="4" width="20.140625" style="976" customWidth="1"/>
    <col min="5" max="5" width="9.140625" style="976" customWidth="1"/>
    <col min="6" max="6" width="18.28515625" style="976" customWidth="1"/>
    <col min="7" max="7" width="2.28515625" style="976" customWidth="1"/>
    <col min="8" max="8" width="22" style="976" customWidth="1"/>
    <col min="9" max="9" width="4.140625" style="976" customWidth="1"/>
    <col min="10" max="10" width="22.85546875" style="976" customWidth="1"/>
    <col min="11" max="11" width="3" style="976" customWidth="1"/>
    <col min="12" max="12" width="16.5703125" style="976" customWidth="1"/>
    <col min="13" max="13" width="5.7109375" style="976" customWidth="1"/>
    <col min="14" max="16384" width="0" style="976" hidden="1"/>
  </cols>
  <sheetData>
    <row r="1" spans="1:13" ht="15.75" thickBot="1">
      <c r="A1" s="2168" t="s">
        <v>2843</v>
      </c>
      <c r="B1" s="1264"/>
      <c r="C1" s="1264"/>
      <c r="D1" s="1264"/>
      <c r="E1" s="1631"/>
      <c r="F1" s="1632"/>
      <c r="G1" s="1264"/>
      <c r="H1" s="1633"/>
      <c r="I1" s="1634"/>
      <c r="J1" s="1635"/>
      <c r="K1" s="1634"/>
      <c r="L1" s="123"/>
      <c r="M1" s="1634"/>
    </row>
    <row r="2" spans="1:13" ht="16.5" thickBot="1">
      <c r="A2" s="104"/>
      <c r="B2" s="1595"/>
      <c r="C2" s="1595"/>
      <c r="D2" s="805"/>
      <c r="E2" s="1636" t="s">
        <v>163</v>
      </c>
      <c r="F2" s="941"/>
      <c r="G2" s="78"/>
      <c r="H2" s="936" t="str">
        <f>'1 Summary'!G2</f>
        <v/>
      </c>
      <c r="I2" s="943"/>
      <c r="J2" s="1637"/>
      <c r="K2" s="1638"/>
      <c r="L2" s="1639"/>
      <c r="M2" s="1634"/>
    </row>
    <row r="3" spans="1:13" ht="16.5" thickBot="1">
      <c r="A3" s="104"/>
      <c r="B3" s="1264"/>
      <c r="C3" s="1264"/>
      <c r="D3" s="1264"/>
      <c r="E3" s="1636" t="s">
        <v>162</v>
      </c>
      <c r="F3" s="941"/>
      <c r="G3" s="78"/>
      <c r="H3" s="851">
        <f>'1 Summary'!G3</f>
        <v>0</v>
      </c>
      <c r="I3" s="200"/>
      <c r="J3" s="1019"/>
      <c r="K3" s="1638"/>
      <c r="L3" s="1640"/>
      <c r="M3" s="1634"/>
    </row>
    <row r="4" spans="1:13" ht="15.75">
      <c r="A4" s="805"/>
      <c r="B4" s="805"/>
      <c r="C4" s="805"/>
      <c r="D4" s="805"/>
      <c r="E4" s="1641"/>
      <c r="F4" s="1264"/>
      <c r="G4" s="1264"/>
      <c r="H4" s="1634"/>
      <c r="I4" s="1634"/>
      <c r="J4" s="1634"/>
      <c r="K4" s="114"/>
      <c r="L4" s="1642"/>
      <c r="M4" s="114"/>
    </row>
    <row r="5" spans="1:13">
      <c r="A5" s="1264"/>
      <c r="B5" s="1264"/>
      <c r="C5" s="1264"/>
      <c r="D5" s="1264"/>
      <c r="E5" s="1631"/>
      <c r="F5" s="1632"/>
      <c r="G5" s="1264"/>
      <c r="H5" s="1633"/>
      <c r="I5" s="1634"/>
      <c r="J5" s="1635"/>
      <c r="K5" s="1634"/>
      <c r="L5" s="123"/>
      <c r="M5" s="1634"/>
    </row>
    <row r="6" spans="1:13" ht="15.75">
      <c r="A6" s="805"/>
      <c r="B6" s="805" t="s">
        <v>491</v>
      </c>
      <c r="C6" s="805"/>
      <c r="D6" s="805"/>
      <c r="E6" s="1641"/>
      <c r="F6" s="1643"/>
      <c r="G6" s="805"/>
      <c r="H6" s="1644"/>
      <c r="I6" s="114"/>
      <c r="J6" s="1645"/>
      <c r="K6" s="114"/>
      <c r="L6" s="1642"/>
      <c r="M6" s="114"/>
    </row>
    <row r="7" spans="1:13" ht="15.75">
      <c r="A7" s="805"/>
      <c r="B7" s="805"/>
      <c r="C7" s="805"/>
      <c r="D7" s="805"/>
      <c r="E7" s="1641"/>
      <c r="F7" s="1643"/>
      <c r="G7" s="805"/>
      <c r="H7" s="1633"/>
      <c r="I7" s="114"/>
      <c r="J7" s="1635"/>
      <c r="K7" s="114"/>
      <c r="L7" s="1642"/>
      <c r="M7" s="114"/>
    </row>
    <row r="8" spans="1:13" ht="15.75">
      <c r="A8" s="1646"/>
      <c r="B8" s="805" t="s">
        <v>103</v>
      </c>
      <c r="C8" s="805"/>
      <c r="D8" s="1264"/>
      <c r="E8" s="1631"/>
      <c r="F8" s="1632"/>
      <c r="G8" s="1264"/>
      <c r="H8" s="1633"/>
      <c r="I8" s="1634"/>
      <c r="J8" s="1635"/>
      <c r="K8" s="1634"/>
      <c r="L8" s="123"/>
      <c r="M8" s="114"/>
    </row>
    <row r="9" spans="1:13" ht="16.5" thickBot="1">
      <c r="A9" s="1264"/>
      <c r="B9" s="1264"/>
      <c r="C9" s="1264"/>
      <c r="D9" s="1264"/>
      <c r="E9" s="1631"/>
      <c r="F9" s="1632"/>
      <c r="G9" s="1264"/>
      <c r="H9" s="1633"/>
      <c r="I9" s="1634"/>
      <c r="J9" s="1635"/>
      <c r="K9" s="1634"/>
      <c r="L9" s="123"/>
      <c r="M9" s="114"/>
    </row>
    <row r="10" spans="1:13" ht="16.5" thickBot="1">
      <c r="A10" s="805"/>
      <c r="B10" s="805"/>
      <c r="C10" s="805"/>
      <c r="D10" s="1647" t="s">
        <v>104</v>
      </c>
      <c r="E10" s="1648"/>
      <c r="F10" s="1649" t="s">
        <v>105</v>
      </c>
      <c r="G10" s="805"/>
      <c r="H10" s="1650" t="s">
        <v>106</v>
      </c>
      <c r="I10" s="1651"/>
      <c r="J10" s="1652" t="s">
        <v>107</v>
      </c>
      <c r="K10" s="114"/>
      <c r="L10" s="1642"/>
      <c r="M10" s="114"/>
    </row>
    <row r="11" spans="1:13" ht="15.75">
      <c r="A11" s="805"/>
      <c r="B11" s="805"/>
      <c r="C11" s="805"/>
      <c r="D11" s="1661"/>
      <c r="E11" s="1648"/>
      <c r="F11" s="1662"/>
      <c r="G11" s="805"/>
      <c r="H11" s="1663"/>
      <c r="I11" s="1664"/>
      <c r="J11" s="1665"/>
      <c r="K11" s="114"/>
      <c r="L11" s="1642"/>
      <c r="M11" s="114"/>
    </row>
    <row r="12" spans="1:13" ht="60" hidden="1">
      <c r="A12" s="1653">
        <v>1</v>
      </c>
      <c r="B12" s="1261" t="s">
        <v>267</v>
      </c>
      <c r="C12" s="1261"/>
      <c r="D12" s="1261" t="s">
        <v>268</v>
      </c>
      <c r="E12" s="1634" t="s">
        <v>108</v>
      </c>
      <c r="F12" s="1261" t="s">
        <v>177</v>
      </c>
      <c r="G12" s="1653"/>
      <c r="H12" s="1633" t="s">
        <v>870</v>
      </c>
      <c r="I12" s="1634"/>
      <c r="J12" s="1633" t="s">
        <v>871</v>
      </c>
      <c r="K12" s="1666"/>
      <c r="L12" s="1658" t="s">
        <v>178</v>
      </c>
      <c r="M12" s="1634">
        <f>A12</f>
        <v>1</v>
      </c>
    </row>
    <row r="13" spans="1:13" hidden="1">
      <c r="A13" s="1653"/>
      <c r="B13" s="1261"/>
      <c r="C13" s="1261"/>
      <c r="D13" s="1261"/>
      <c r="E13" s="1634"/>
      <c r="F13" s="1261"/>
      <c r="G13" s="1653"/>
      <c r="H13" s="1633"/>
      <c r="I13" s="1634"/>
      <c r="J13" s="1633"/>
      <c r="K13" s="1666"/>
      <c r="L13" s="1658"/>
      <c r="M13" s="1634"/>
    </row>
    <row r="14" spans="1:13" ht="45" hidden="1">
      <c r="A14" s="1653">
        <f>+A12+1</f>
        <v>2</v>
      </c>
      <c r="B14" s="1261" t="s">
        <v>1911</v>
      </c>
      <c r="C14" s="1261"/>
      <c r="D14" s="1261" t="s">
        <v>1912</v>
      </c>
      <c r="E14" s="1634" t="s">
        <v>108</v>
      </c>
      <c r="F14" s="1261" t="s">
        <v>1913</v>
      </c>
      <c r="G14" s="1653"/>
      <c r="H14" s="1633" t="s">
        <v>1241</v>
      </c>
      <c r="I14" s="1634"/>
      <c r="J14" s="1633" t="s">
        <v>1899</v>
      </c>
      <c r="K14" s="1666"/>
      <c r="L14" s="1658" t="s">
        <v>1110</v>
      </c>
      <c r="M14" s="1634">
        <f>A14</f>
        <v>2</v>
      </c>
    </row>
    <row r="15" spans="1:13">
      <c r="A15" s="1653"/>
      <c r="B15" s="1261"/>
      <c r="C15" s="1261"/>
      <c r="D15" s="1261"/>
      <c r="E15" s="1634"/>
      <c r="F15" s="1261"/>
      <c r="G15" s="1653"/>
      <c r="H15" s="1633"/>
      <c r="I15" s="1634"/>
      <c r="J15" s="1633"/>
      <c r="K15" s="1666"/>
      <c r="L15" s="1658"/>
      <c r="M15" s="1634"/>
    </row>
    <row r="16" spans="1:13">
      <c r="A16" s="1653"/>
      <c r="B16" s="1261"/>
      <c r="C16" s="1261"/>
      <c r="D16" s="1261"/>
      <c r="E16" s="1634"/>
      <c r="F16" s="1261"/>
      <c r="G16" s="1653"/>
      <c r="H16" s="1633"/>
      <c r="I16" s="1634"/>
      <c r="J16" s="1633"/>
      <c r="K16" s="1666"/>
      <c r="L16" s="1658"/>
      <c r="M16" s="1634"/>
    </row>
    <row r="17" spans="1:13">
      <c r="A17" s="1653"/>
      <c r="B17" s="1261"/>
      <c r="C17" s="1261"/>
      <c r="D17" s="1261"/>
      <c r="E17" s="1634"/>
      <c r="F17" s="1261"/>
      <c r="G17" s="1653"/>
      <c r="H17" s="1633"/>
      <c r="I17" s="1634"/>
      <c r="J17" s="1633"/>
      <c r="K17" s="1666"/>
      <c r="L17" s="1658"/>
      <c r="M17" s="1634"/>
    </row>
    <row r="18" spans="1:13">
      <c r="A18" s="1653"/>
      <c r="B18" s="1261"/>
      <c r="C18" s="1261"/>
      <c r="D18" s="1261"/>
      <c r="E18" s="1634"/>
      <c r="F18" s="1261"/>
      <c r="G18" s="1653"/>
      <c r="H18" s="1633"/>
      <c r="I18" s="1634"/>
      <c r="J18" s="1633"/>
      <c r="K18" s="1666"/>
      <c r="L18" s="1658"/>
      <c r="M18" s="1634"/>
    </row>
    <row r="19" spans="1:13" ht="45">
      <c r="A19" s="1653">
        <v>1</v>
      </c>
      <c r="B19" s="1655" t="s">
        <v>470</v>
      </c>
      <c r="C19" s="1655"/>
      <c r="D19" s="1655" t="s">
        <v>966</v>
      </c>
      <c r="E19" s="1654"/>
      <c r="F19" s="1655" t="s">
        <v>746</v>
      </c>
      <c r="G19" s="1653"/>
      <c r="H19" s="1633">
        <f>'Sch. 10A Spec Ed Expense - Elem'!J48</f>
        <v>0</v>
      </c>
      <c r="I19" s="1634"/>
      <c r="J19" s="1667">
        <f>'Sch 13 Enrolment'!T79</f>
        <v>0</v>
      </c>
      <c r="K19" s="1634"/>
      <c r="L19" s="1658" t="str">
        <f>IF('Sch 13 Enrolment'!T54&gt;0,IF('Sch. 10A Spec Ed Expense - Elem'!$J$48=0,"WARNING Expenditures not reported",""),"")</f>
        <v/>
      </c>
      <c r="M19" s="1634">
        <f>A19</f>
        <v>1</v>
      </c>
    </row>
    <row r="20" spans="1:13">
      <c r="A20" s="1653"/>
      <c r="B20" s="1655"/>
      <c r="C20" s="1655"/>
      <c r="D20" s="1655"/>
      <c r="E20" s="1654"/>
      <c r="F20" s="1655"/>
      <c r="G20" s="1653"/>
      <c r="H20" s="1633"/>
      <c r="I20" s="1634"/>
      <c r="J20" s="1635"/>
      <c r="K20" s="1634"/>
      <c r="L20" s="1658"/>
      <c r="M20" s="1634"/>
    </row>
    <row r="21" spans="1:13" ht="48.75" customHeight="1">
      <c r="A21" s="1653">
        <f>+A19+1</f>
        <v>2</v>
      </c>
      <c r="B21" s="1655" t="s">
        <v>1394</v>
      </c>
      <c r="C21" s="1655"/>
      <c r="D21" s="1655" t="s">
        <v>1395</v>
      </c>
      <c r="E21" s="1654"/>
      <c r="F21" s="1655" t="s">
        <v>492</v>
      </c>
      <c r="G21" s="1264"/>
      <c r="H21" s="1633">
        <f>'Sch. 10B Spec Ed Expense - Sec'!J46</f>
        <v>0</v>
      </c>
      <c r="I21" s="1634"/>
      <c r="J21" s="1667">
        <f>'Sch 13 Enrolment'!T84</f>
        <v>0</v>
      </c>
      <c r="K21" s="1634"/>
      <c r="L21" s="1658" t="str">
        <f>IF('Sch 13 Enrolment'!V68&gt;0,IF('Sch. 10B Spec Ed Expense - Sec'!$J$46=0,"WARNING Expenditures not reported",""),"")</f>
        <v/>
      </c>
      <c r="M21" s="1634">
        <f>A21</f>
        <v>2</v>
      </c>
    </row>
    <row r="22" spans="1:13">
      <c r="A22" s="1653"/>
      <c r="B22" s="1655"/>
      <c r="C22" s="1655"/>
      <c r="D22" s="1655"/>
      <c r="E22" s="1654"/>
      <c r="F22" s="1655"/>
      <c r="G22" s="1653"/>
      <c r="H22" s="1633"/>
      <c r="I22" s="1634"/>
      <c r="J22" s="1635"/>
      <c r="K22" s="1634"/>
      <c r="L22" s="1658"/>
      <c r="M22" s="1634"/>
    </row>
    <row r="23" spans="1:13" ht="75">
      <c r="A23" s="1653">
        <f>+A21+1</f>
        <v>3</v>
      </c>
      <c r="B23" s="1655" t="s">
        <v>391</v>
      </c>
      <c r="C23" s="1655"/>
      <c r="D23" s="1655" t="s">
        <v>8</v>
      </c>
      <c r="E23" s="1654" t="s">
        <v>108</v>
      </c>
      <c r="F23" s="1655" t="s">
        <v>1675</v>
      </c>
      <c r="G23" s="1653"/>
      <c r="H23" s="1633">
        <f>'Sch. 10A Spec Ed Expense - Elem'!I48+'Sch. 10B Spec Ed Expense - Sec'!I46</f>
        <v>0</v>
      </c>
      <c r="I23" s="1634"/>
      <c r="J23" s="1635">
        <f>'App B1 Tuition Fees'!M30</f>
        <v>0</v>
      </c>
      <c r="K23" s="1634"/>
      <c r="L23" s="1658" t="str">
        <f>IF(H23&lt;&gt;J23,"WARNING","")</f>
        <v/>
      </c>
      <c r="M23" s="1634">
        <f>A23</f>
        <v>3</v>
      </c>
    </row>
    <row r="24" spans="1:13">
      <c r="A24" s="1653"/>
      <c r="B24" s="1655"/>
      <c r="C24" s="1655"/>
      <c r="D24" s="1655"/>
      <c r="E24" s="1654"/>
      <c r="F24" s="1655"/>
      <c r="G24" s="1653"/>
      <c r="H24" s="1633"/>
      <c r="I24" s="1634"/>
      <c r="J24" s="1635"/>
      <c r="K24" s="1634"/>
      <c r="L24" s="1658"/>
      <c r="M24" s="1634"/>
    </row>
    <row r="25" spans="1:13" ht="60">
      <c r="A25" s="1653">
        <f>+A23+1</f>
        <v>4</v>
      </c>
      <c r="B25" s="1655" t="s">
        <v>356</v>
      </c>
      <c r="C25" s="1655"/>
      <c r="D25" s="1655" t="s">
        <v>2426</v>
      </c>
      <c r="E25" s="1654" t="s">
        <v>493</v>
      </c>
      <c r="F25" s="1655" t="s">
        <v>2428</v>
      </c>
      <c r="G25" s="1653"/>
      <c r="H25" s="1633">
        <f>'Sch. 10A Spec Ed Expense - Elem'!H35+'Sch. 10B Spec Ed Expense - Sec'!H34</f>
        <v>0</v>
      </c>
      <c r="I25" s="1634"/>
      <c r="J25" s="1635">
        <f>'Sch 10ADJ  Oper. Fund- Adj.'!K13</f>
        <v>0</v>
      </c>
      <c r="K25" s="1634"/>
      <c r="L25" s="1658" t="str">
        <f>IF(H25&lt;=J25,"","WARNING")</f>
        <v/>
      </c>
      <c r="M25" s="1634">
        <f>A25</f>
        <v>4</v>
      </c>
    </row>
    <row r="26" spans="1:13">
      <c r="A26" s="1653"/>
      <c r="B26" s="1655"/>
      <c r="C26" s="1655"/>
      <c r="D26" s="1655"/>
      <c r="E26" s="1654"/>
      <c r="F26" s="1655"/>
      <c r="G26" s="1653"/>
      <c r="H26" s="1633"/>
      <c r="I26" s="1634"/>
      <c r="J26" s="1635"/>
      <c r="K26" s="1634"/>
      <c r="L26" s="1658"/>
      <c r="M26" s="1634"/>
    </row>
    <row r="27" spans="1:13" ht="60">
      <c r="A27" s="1653">
        <f>+A25+1</f>
        <v>5</v>
      </c>
      <c r="B27" s="1655" t="s">
        <v>2425</v>
      </c>
      <c r="C27" s="1655"/>
      <c r="D27" s="1655" t="s">
        <v>2427</v>
      </c>
      <c r="E27" s="1654" t="s">
        <v>493</v>
      </c>
      <c r="F27" s="1655" t="s">
        <v>2429</v>
      </c>
      <c r="G27" s="1653"/>
      <c r="H27" s="1633">
        <f>+'Sch. 10A Spec Ed Expense - Elem'!H36</f>
        <v>0</v>
      </c>
      <c r="I27" s="1634"/>
      <c r="J27" s="1635">
        <f>+'Sch 10ADJ  Oper. Fund- Adj.'!K14</f>
        <v>0</v>
      </c>
      <c r="K27" s="1634"/>
      <c r="L27" s="1658" t="str">
        <f>IF(H27&lt;=J27,"","WARNING")</f>
        <v/>
      </c>
      <c r="M27" s="1634">
        <f>A27</f>
        <v>5</v>
      </c>
    </row>
    <row r="28" spans="1:13">
      <c r="A28" s="1653"/>
      <c r="B28" s="1655"/>
      <c r="C28" s="1655"/>
      <c r="D28" s="1655"/>
      <c r="E28" s="1654"/>
      <c r="F28" s="1655"/>
      <c r="G28" s="1653"/>
      <c r="H28" s="1633"/>
      <c r="I28" s="1634"/>
      <c r="J28" s="1635"/>
      <c r="K28" s="1634"/>
      <c r="L28" s="1658"/>
      <c r="M28" s="1634"/>
    </row>
    <row r="29" spans="1:13" ht="45">
      <c r="A29" s="1653">
        <f>+A27+1</f>
        <v>6</v>
      </c>
      <c r="B29" s="1655" t="s">
        <v>350</v>
      </c>
      <c r="C29" s="1655"/>
      <c r="D29" s="1655" t="s">
        <v>351</v>
      </c>
      <c r="E29" s="1634" t="s">
        <v>996</v>
      </c>
      <c r="F29" s="1655" t="s">
        <v>352</v>
      </c>
      <c r="G29" s="1653"/>
      <c r="H29" s="1633">
        <f>+'Sch. 10C Oper. &amp; Maintenance'!F32</f>
        <v>0</v>
      </c>
      <c r="I29" s="1634"/>
      <c r="J29" s="1633">
        <f>'Sch. 10 Operating Fund - Exp'!M41</f>
        <v>0</v>
      </c>
      <c r="K29" s="1634"/>
      <c r="L29" s="1658" t="str">
        <f>IF(H29&lt;&gt;J29,"WARNING","")</f>
        <v/>
      </c>
      <c r="M29" s="1634">
        <f>A29</f>
        <v>6</v>
      </c>
    </row>
    <row r="30" spans="1:13">
      <c r="A30" s="1653"/>
      <c r="B30" s="1655"/>
      <c r="C30" s="1655"/>
      <c r="D30" s="1655"/>
      <c r="E30" s="1634"/>
      <c r="F30" s="1655"/>
      <c r="G30" s="1264"/>
      <c r="H30" s="1633"/>
      <c r="I30" s="1634"/>
      <c r="J30" s="1635"/>
      <c r="K30" s="1634"/>
      <c r="L30" s="1658"/>
      <c r="M30" s="1634"/>
    </row>
    <row r="31" spans="1:13" ht="60" customHeight="1">
      <c r="A31" s="1653">
        <f>+A29+1</f>
        <v>7</v>
      </c>
      <c r="B31" s="1655" t="s">
        <v>616</v>
      </c>
      <c r="C31" s="1655"/>
      <c r="D31" s="1655" t="s">
        <v>1385</v>
      </c>
      <c r="E31" s="1634" t="s">
        <v>996</v>
      </c>
      <c r="F31" s="1655" t="s">
        <v>1386</v>
      </c>
      <c r="G31" s="1653"/>
      <c r="H31" s="1633">
        <f>+'Sch. 10F Employee Benefits'!T28</f>
        <v>0</v>
      </c>
      <c r="I31" s="1634"/>
      <c r="J31" s="1633">
        <f>+'Sch. 10 Operating Fund - Exp'!D55</f>
        <v>0</v>
      </c>
      <c r="K31" s="1634"/>
      <c r="L31" s="1668" t="str">
        <f>IF(H31&lt;&gt;J31,"WARNING","")</f>
        <v/>
      </c>
      <c r="M31" s="1634">
        <f>A31</f>
        <v>7</v>
      </c>
    </row>
    <row r="32" spans="1:13">
      <c r="A32" s="1653"/>
      <c r="B32" s="1261"/>
      <c r="C32" s="1261"/>
      <c r="D32" s="1261"/>
      <c r="E32" s="1634"/>
      <c r="F32" s="1261"/>
      <c r="G32" s="1653"/>
      <c r="H32" s="1633"/>
      <c r="I32" s="1634"/>
      <c r="J32" s="1633"/>
      <c r="K32" s="1666"/>
      <c r="L32" s="1658"/>
      <c r="M32" s="1634"/>
    </row>
    <row r="33" spans="1:13" ht="60">
      <c r="A33" s="1653">
        <f>+A31+1</f>
        <v>8</v>
      </c>
      <c r="B33" s="1655" t="s">
        <v>3111</v>
      </c>
      <c r="C33" s="1655"/>
      <c r="D33" s="1655" t="s">
        <v>2255</v>
      </c>
      <c r="E33" s="1634" t="s">
        <v>108</v>
      </c>
      <c r="F33" s="1655" t="s">
        <v>943</v>
      </c>
      <c r="G33" s="1264"/>
      <c r="H33" s="1669">
        <f>'7 Teacher Compensation'!R47</f>
        <v>0</v>
      </c>
      <c r="I33" s="1669"/>
      <c r="J33" s="1670">
        <f>'App H - Staffing Oct 31'!E14+'App H - Staffing Oct 31'!G14+'App H - Staffing Oct 31'!E15+'App H - Staffing Oct 31'!G15</f>
        <v>0</v>
      </c>
      <c r="K33" s="1634"/>
      <c r="L33" s="1658" t="str">
        <f>IF(H33&lt;&gt;J33,"WARNING","")</f>
        <v/>
      </c>
      <c r="M33" s="1634">
        <f>A33</f>
        <v>8</v>
      </c>
    </row>
    <row r="34" spans="1:13">
      <c r="A34" s="1653"/>
      <c r="B34" s="1655"/>
      <c r="C34" s="1655"/>
      <c r="D34" s="1655"/>
      <c r="E34" s="1634"/>
      <c r="F34" s="1655"/>
      <c r="G34" s="1264"/>
      <c r="H34" s="1669"/>
      <c r="I34" s="1669"/>
      <c r="J34" s="1670"/>
      <c r="K34" s="1634"/>
      <c r="L34" s="1658"/>
      <c r="M34" s="1634"/>
    </row>
    <row r="35" spans="1:13" ht="60">
      <c r="A35" s="1653">
        <f>+A33+1</f>
        <v>9</v>
      </c>
      <c r="B35" s="1655" t="s">
        <v>3112</v>
      </c>
      <c r="C35" s="1655"/>
      <c r="D35" s="1655" t="s">
        <v>2256</v>
      </c>
      <c r="E35" s="1634" t="s">
        <v>108</v>
      </c>
      <c r="F35" s="1655" t="s">
        <v>1676</v>
      </c>
      <c r="G35" s="1264"/>
      <c r="H35" s="1669">
        <f>'7 Teacher Compensation'!R48</f>
        <v>0</v>
      </c>
      <c r="I35" s="1669"/>
      <c r="J35" s="1670">
        <f>'App H - Staffing Oct 31'!E13+'App H - Staffing Oct 31'!E14+'App H - Staffing Oct 31'!E15+'App H - Staffing Oct 31'!E16+'App H - Staffing Oct 31'!G13+'App H - Staffing Oct 31'!G14+'App H - Staffing Oct 31'!G15+'App H - Staffing Oct 31'!G16</f>
        <v>0</v>
      </c>
      <c r="K35" s="1634"/>
      <c r="L35" s="1658" t="str">
        <f>IF(H35&lt;&gt;J35,"WARNING","")</f>
        <v/>
      </c>
      <c r="M35" s="1634">
        <f>A35</f>
        <v>9</v>
      </c>
    </row>
    <row r="36" spans="1:13">
      <c r="A36" s="1653"/>
      <c r="B36" s="1671"/>
      <c r="C36" s="1671"/>
      <c r="D36" s="1671"/>
      <c r="E36" s="1654"/>
      <c r="F36" s="1671"/>
      <c r="G36" s="1671"/>
      <c r="H36" s="1660"/>
      <c r="I36" s="1660"/>
      <c r="J36" s="1660"/>
      <c r="K36" s="1671"/>
      <c r="L36" s="1658"/>
      <c r="M36" s="1634"/>
    </row>
    <row r="37" spans="1:13" ht="60">
      <c r="A37" s="1653">
        <f>+A35+1</f>
        <v>10</v>
      </c>
      <c r="B37" s="1655" t="s">
        <v>3113</v>
      </c>
      <c r="C37" s="1655"/>
      <c r="D37" s="1655" t="s">
        <v>3115</v>
      </c>
      <c r="E37" s="1634" t="s">
        <v>108</v>
      </c>
      <c r="F37" s="1655" t="s">
        <v>3117</v>
      </c>
      <c r="G37" s="1264"/>
      <c r="H37" s="1669">
        <f>'7 Teacher Compensation'!R88</f>
        <v>0</v>
      </c>
      <c r="I37" s="1669"/>
      <c r="J37" s="1670">
        <f>'App H - Staffing Oct 31'!F14+'App H - Staffing Oct 31'!H14+'App H - Staffing Oct 31'!F15+'App H - Staffing Oct 31'!H15</f>
        <v>0</v>
      </c>
      <c r="K37" s="1634"/>
      <c r="L37" s="1658" t="str">
        <f>IF(H37&lt;&gt;J37,"WARNING","")</f>
        <v/>
      </c>
      <c r="M37" s="1634">
        <f>A37</f>
        <v>10</v>
      </c>
    </row>
    <row r="38" spans="1:13">
      <c r="A38" s="1653"/>
      <c r="B38" s="1655"/>
      <c r="C38" s="1655"/>
      <c r="D38" s="1655"/>
      <c r="E38" s="1634"/>
      <c r="F38" s="1655"/>
      <c r="G38" s="1264"/>
      <c r="H38" s="1669"/>
      <c r="I38" s="1669"/>
      <c r="J38" s="1670"/>
      <c r="K38" s="1634"/>
      <c r="L38" s="1658"/>
      <c r="M38" s="1634"/>
    </row>
    <row r="39" spans="1:13" ht="60">
      <c r="A39" s="1653">
        <f>+A37+1</f>
        <v>11</v>
      </c>
      <c r="B39" s="1655" t="s">
        <v>3114</v>
      </c>
      <c r="C39" s="1655"/>
      <c r="D39" s="1655" t="s">
        <v>3116</v>
      </c>
      <c r="E39" s="1634" t="s">
        <v>108</v>
      </c>
      <c r="F39" s="1655" t="s">
        <v>3118</v>
      </c>
      <c r="G39" s="1264"/>
      <c r="H39" s="1669">
        <f>'7 Teacher Compensation'!R89</f>
        <v>0</v>
      </c>
      <c r="I39" s="1669"/>
      <c r="J39" s="1670">
        <f>'App H - Staffing Oct 31'!F13+'App H - Staffing Oct 31'!F14+'App H - Staffing Oct 31'!F15+'App H - Staffing Oct 31'!F16+'App H - Staffing Oct 31'!H13+'App H - Staffing Oct 31'!H14+'App H - Staffing Oct 31'!H15+'App H - Staffing Oct 31'!H16</f>
        <v>0</v>
      </c>
      <c r="K39" s="1634"/>
      <c r="L39" s="1658" t="str">
        <f>IF(H39&lt;&gt;J39,"WARNING","")</f>
        <v/>
      </c>
      <c r="M39" s="1634">
        <f>A39</f>
        <v>11</v>
      </c>
    </row>
    <row r="40" spans="1:13">
      <c r="A40" s="1653"/>
      <c r="B40" s="1671"/>
      <c r="C40" s="1671"/>
      <c r="D40" s="1671"/>
      <c r="E40" s="1654"/>
      <c r="F40" s="1671"/>
      <c r="G40" s="1671"/>
      <c r="H40" s="1660"/>
      <c r="I40" s="1660"/>
      <c r="J40" s="1660"/>
      <c r="K40" s="1671"/>
      <c r="L40" s="1658"/>
      <c r="M40" s="1634"/>
    </row>
    <row r="41" spans="1:13" ht="75">
      <c r="A41" s="1653">
        <f>+A39+1</f>
        <v>12</v>
      </c>
      <c r="B41" s="1655" t="s">
        <v>839</v>
      </c>
      <c r="C41" s="1655"/>
      <c r="D41" s="1655" t="s">
        <v>1754</v>
      </c>
      <c r="E41" s="1634" t="s">
        <v>108</v>
      </c>
      <c r="F41" s="1655" t="s">
        <v>9</v>
      </c>
      <c r="G41" s="1653"/>
      <c r="H41" s="1633">
        <f>'9 Transportation'!G12+'9 Transportation'!G31+'9 Transportation'!G43</f>
        <v>0</v>
      </c>
      <c r="I41" s="1634"/>
      <c r="J41" s="1635">
        <f>'Sch 10ADJ  Oper. Fund- Adj.'!K36</f>
        <v>0</v>
      </c>
      <c r="K41" s="1634"/>
      <c r="L41" s="1658" t="str">
        <f>IF(H41&lt;&gt;J41,"WARNING","")</f>
        <v/>
      </c>
      <c r="M41" s="1634">
        <f>A41</f>
        <v>12</v>
      </c>
    </row>
    <row r="42" spans="1:13">
      <c r="A42" s="1653"/>
      <c r="B42" s="1655"/>
      <c r="C42" s="1655"/>
      <c r="D42" s="1655"/>
      <c r="E42" s="1634"/>
      <c r="F42" s="1655"/>
      <c r="G42" s="1653"/>
      <c r="H42" s="1633"/>
      <c r="I42" s="1634"/>
      <c r="J42" s="1635"/>
      <c r="K42" s="1634"/>
      <c r="L42" s="1658"/>
      <c r="M42" s="1634"/>
    </row>
    <row r="43" spans="1:13" ht="60">
      <c r="A43" s="1653">
        <f>+A41+1</f>
        <v>13</v>
      </c>
      <c r="B43" s="1671" t="s">
        <v>490</v>
      </c>
      <c r="C43" s="1671"/>
      <c r="D43" s="1671" t="s">
        <v>2141</v>
      </c>
      <c r="E43" s="1634" t="s">
        <v>108</v>
      </c>
      <c r="F43" s="1655" t="s">
        <v>2430</v>
      </c>
      <c r="G43" s="1264"/>
      <c r="H43" s="1633">
        <f>'9 Transportation'!G15</f>
        <v>0</v>
      </c>
      <c r="I43" s="1634"/>
      <c r="J43" s="1635">
        <f>'Schedule 9'!D62+'Schedule 9'!D77+'Schedule 9'!D90</f>
        <v>0</v>
      </c>
      <c r="K43" s="1264"/>
      <c r="L43" s="1658" t="str">
        <f>IF(OR(J43=0,J43&lt;0),"",IF(H43&lt;&gt;J43,"Warning",""))</f>
        <v/>
      </c>
      <c r="M43" s="1634">
        <f>A43</f>
        <v>13</v>
      </c>
    </row>
    <row r="44" spans="1:13">
      <c r="A44" s="1653"/>
      <c r="B44" s="1264"/>
      <c r="C44" s="1264"/>
      <c r="D44" s="1264"/>
      <c r="E44" s="1264"/>
      <c r="F44" s="1264"/>
      <c r="G44" s="1264"/>
      <c r="H44" s="1264"/>
      <c r="I44" s="1264"/>
      <c r="J44" s="1264"/>
      <c r="K44" s="1264"/>
      <c r="L44" s="1264"/>
      <c r="M44" s="1634"/>
    </row>
    <row r="45" spans="1:13" ht="45">
      <c r="A45" s="1653">
        <f>+A43+1</f>
        <v>14</v>
      </c>
      <c r="B45" s="1671" t="s">
        <v>2433</v>
      </c>
      <c r="C45" s="1671"/>
      <c r="D45" s="1671" t="s">
        <v>2431</v>
      </c>
      <c r="E45" s="1634" t="s">
        <v>108</v>
      </c>
      <c r="F45" s="1671" t="s">
        <v>1866</v>
      </c>
      <c r="G45" s="1671"/>
      <c r="H45" s="1660">
        <f>ROUND('App B1 Tuition Fees'!E20,2)</f>
        <v>0</v>
      </c>
      <c r="I45" s="1660"/>
      <c r="J45" s="1667">
        <f>ROUND('Sch 13 Enrolment'!R54,2)</f>
        <v>0</v>
      </c>
      <c r="K45" s="1671"/>
      <c r="L45" s="1658" t="str">
        <f>IF(H45&lt;&gt;J45,"WARNING","")</f>
        <v/>
      </c>
      <c r="M45" s="1634">
        <f>A45</f>
        <v>14</v>
      </c>
    </row>
    <row r="46" spans="1:13">
      <c r="A46" s="1653"/>
      <c r="B46" s="1671" t="s">
        <v>868</v>
      </c>
      <c r="C46" s="1671"/>
      <c r="D46" s="1671"/>
      <c r="E46" s="1634"/>
      <c r="F46" s="1671"/>
      <c r="G46" s="1671"/>
      <c r="H46" s="1660"/>
      <c r="I46" s="1660"/>
      <c r="J46" s="1667"/>
      <c r="K46" s="1671"/>
      <c r="L46" s="1658"/>
      <c r="M46" s="1634"/>
    </row>
    <row r="47" spans="1:13" ht="45">
      <c r="A47" s="1653">
        <f>+A45+1</f>
        <v>15</v>
      </c>
      <c r="B47" s="1671" t="s">
        <v>2434</v>
      </c>
      <c r="C47" s="1671"/>
      <c r="D47" s="1671" t="s">
        <v>2432</v>
      </c>
      <c r="E47" s="1634" t="s">
        <v>108</v>
      </c>
      <c r="F47" s="1671" t="s">
        <v>1946</v>
      </c>
      <c r="G47" s="1671"/>
      <c r="H47" s="1660">
        <f>ROUND('App B1 Tuition Fees'!G20,2)</f>
        <v>0</v>
      </c>
      <c r="I47" s="1660"/>
      <c r="J47" s="1667">
        <f>ROUND('Sch 13 Enrolment'!T68,2)</f>
        <v>0</v>
      </c>
      <c r="K47" s="1671"/>
      <c r="L47" s="1658" t="str">
        <f>IF(H47&lt;&gt;J47,"WARNING","")</f>
        <v/>
      </c>
      <c r="M47" s="1634">
        <f>A47</f>
        <v>15</v>
      </c>
    </row>
    <row r="48" spans="1:13">
      <c r="A48" s="1653"/>
      <c r="B48" s="1671"/>
      <c r="C48" s="1671"/>
      <c r="D48" s="1671"/>
      <c r="E48" s="1634"/>
      <c r="F48" s="1671"/>
      <c r="G48" s="1671"/>
      <c r="H48" s="1660"/>
      <c r="I48" s="1660"/>
      <c r="J48" s="1667"/>
      <c r="K48" s="1671"/>
      <c r="L48" s="1658"/>
      <c r="M48" s="1634"/>
    </row>
    <row r="49" spans="1:13" ht="45">
      <c r="A49" s="1653">
        <f>+A47+1</f>
        <v>16</v>
      </c>
      <c r="B49" s="1655" t="s">
        <v>2435</v>
      </c>
      <c r="C49" s="1655"/>
      <c r="D49" s="1655" t="s">
        <v>2436</v>
      </c>
      <c r="E49" s="1634"/>
      <c r="F49" s="1655" t="s">
        <v>1644</v>
      </c>
      <c r="G49" s="1653"/>
      <c r="H49" s="1633">
        <f>'App B1 Tuition Fees'!M22</f>
        <v>0</v>
      </c>
      <c r="I49" s="1634"/>
      <c r="J49" s="1667">
        <f>+'Sch 13 Enrolment'!R100</f>
        <v>0</v>
      </c>
      <c r="K49" s="1634"/>
      <c r="L49" s="1658" t="str">
        <f>IF(H49&lt;&gt;J49,"WARNING","")</f>
        <v/>
      </c>
      <c r="M49" s="1634">
        <f>A49</f>
        <v>16</v>
      </c>
    </row>
    <row r="50" spans="1:13">
      <c r="A50" s="1653"/>
      <c r="B50" s="1655"/>
      <c r="C50" s="1655"/>
      <c r="D50" s="1655"/>
      <c r="E50" s="1634"/>
      <c r="F50" s="1655"/>
      <c r="G50" s="1653"/>
      <c r="H50" s="1633"/>
      <c r="I50" s="1634"/>
      <c r="J50" s="1667"/>
      <c r="K50" s="1634"/>
      <c r="L50" s="1658"/>
      <c r="M50" s="1634"/>
    </row>
    <row r="51" spans="1:13" hidden="1"/>
    <row r="52" spans="1:13" hidden="1"/>
    <row r="53" spans="1:13" hidden="1"/>
    <row r="54" spans="1:13" hidden="1"/>
    <row r="55" spans="1:13" hidden="1"/>
    <row r="56" spans="1:13" hidden="1"/>
    <row r="57" spans="1:13" hidden="1"/>
    <row r="58" spans="1:13" hidden="1"/>
    <row r="59" spans="1:13" hidden="1"/>
    <row r="60" spans="1:13" hidden="1"/>
    <row r="61" spans="1:13" hidden="1"/>
    <row r="62" spans="1:13" hidden="1"/>
    <row r="63" spans="1:13" hidden="1"/>
    <row r="64" spans="1:13" hidden="1"/>
    <row r="65" hidden="1"/>
    <row r="66" hidden="1"/>
    <row r="67" hidden="1"/>
    <row r="68" hidden="1"/>
  </sheetData>
  <sheetProtection password="C7B7" sheet="1" objects="1" scenarios="1"/>
  <phoneticPr fontId="13"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R73"/>
  <sheetViews>
    <sheetView topLeftCell="A10" zoomScale="75" zoomScaleNormal="75" workbookViewId="0">
      <selection activeCell="M45" sqref="M45"/>
    </sheetView>
  </sheetViews>
  <sheetFormatPr defaultColWidth="0" defaultRowHeight="15" zeroHeight="1"/>
  <cols>
    <col min="1" max="1" width="3.85546875" style="976" customWidth="1"/>
    <col min="2" max="2" width="26.7109375" style="976" hidden="1" customWidth="1"/>
    <col min="3" max="3" width="15.7109375" style="976" hidden="1" customWidth="1"/>
    <col min="4" max="4" width="11.7109375" style="976" hidden="1" customWidth="1"/>
    <col min="5" max="5" width="15.7109375" style="976" hidden="1" customWidth="1"/>
    <col min="6" max="6" width="26.7109375" style="976" customWidth="1"/>
    <col min="7" max="7" width="15.7109375" style="976" customWidth="1"/>
    <col min="8" max="8" width="11.7109375" style="976" customWidth="1"/>
    <col min="9" max="9" width="15.7109375" style="976" customWidth="1"/>
    <col min="10" max="10" width="9.140625" style="976" customWidth="1"/>
    <col min="11" max="11" width="12.7109375" style="976" customWidth="1"/>
    <col min="12" max="12" width="9.140625" style="976" customWidth="1"/>
    <col min="13" max="13" width="12.7109375" style="976" customWidth="1"/>
    <col min="14" max="14" width="9.140625" style="976" customWidth="1"/>
    <col min="15" max="15" width="12.7109375" style="976" customWidth="1"/>
    <col min="16" max="16" width="1.7109375" style="976" customWidth="1"/>
    <col min="17" max="17" width="12.7109375" style="976" customWidth="1"/>
    <col min="18" max="18" width="2.140625" style="976" customWidth="1"/>
    <col min="19" max="16384" width="0" style="976" hidden="1"/>
  </cols>
  <sheetData>
    <row r="1" spans="1:18" ht="15.75" thickBot="1">
      <c r="A1" s="2168" t="s">
        <v>2844</v>
      </c>
      <c r="B1" s="1264"/>
      <c r="C1" s="1631"/>
      <c r="D1" s="1631"/>
      <c r="E1" s="1654"/>
      <c r="F1" s="1264"/>
      <c r="G1" s="1631"/>
      <c r="H1" s="1631"/>
      <c r="I1" s="1634"/>
      <c r="J1" s="1264"/>
      <c r="K1" s="1672"/>
      <c r="L1" s="1653"/>
      <c r="M1" s="1673"/>
      <c r="N1" s="1653"/>
      <c r="O1" s="1672"/>
      <c r="P1" s="1672"/>
      <c r="Q1" s="1672"/>
      <c r="R1" s="1264"/>
    </row>
    <row r="2" spans="1:18" ht="16.5" thickBot="1">
      <c r="A2" s="104" t="s">
        <v>1867</v>
      </c>
      <c r="B2" s="1595"/>
      <c r="C2" s="1641"/>
      <c r="D2" s="1631"/>
      <c r="E2" s="1654"/>
      <c r="F2" s="1595"/>
      <c r="G2" s="1641"/>
      <c r="H2" s="1631"/>
      <c r="I2" s="1634"/>
      <c r="J2" s="1636" t="s">
        <v>163</v>
      </c>
      <c r="K2" s="941"/>
      <c r="L2" s="78"/>
      <c r="M2" s="936" t="str">
        <f>'1 Summary'!G2</f>
        <v/>
      </c>
      <c r="N2" s="943"/>
      <c r="O2" s="1637"/>
      <c r="P2" s="1674"/>
      <c r="Q2" s="1674"/>
      <c r="R2" s="1264"/>
    </row>
    <row r="3" spans="1:18" ht="16.5" thickBot="1">
      <c r="A3" s="104" t="str">
        <f>'1 Summary'!G2</f>
        <v/>
      </c>
      <c r="B3" s="1264"/>
      <c r="C3" s="1631"/>
      <c r="D3" s="1631"/>
      <c r="E3" s="1654"/>
      <c r="F3" s="1264"/>
      <c r="G3" s="1631"/>
      <c r="H3" s="1631"/>
      <c r="I3" s="1634"/>
      <c r="J3" s="1636" t="s">
        <v>162</v>
      </c>
      <c r="K3" s="941"/>
      <c r="L3" s="78"/>
      <c r="M3" s="851">
        <f>'1 Summary'!G3</f>
        <v>0</v>
      </c>
      <c r="N3" s="200"/>
      <c r="O3" s="1019"/>
      <c r="P3" s="1019"/>
      <c r="Q3" s="1019"/>
      <c r="R3" s="1264"/>
    </row>
    <row r="4" spans="1:18" ht="15.75">
      <c r="A4" s="805"/>
      <c r="B4" s="805"/>
      <c r="C4" s="1641"/>
      <c r="D4" s="1641"/>
      <c r="E4" s="1675"/>
      <c r="F4" s="805"/>
      <c r="G4" s="1641"/>
      <c r="H4" s="1641"/>
      <c r="I4" s="114"/>
      <c r="J4" s="805"/>
      <c r="K4" s="1676"/>
      <c r="L4" s="1677"/>
      <c r="M4" s="1678"/>
      <c r="N4" s="1677"/>
      <c r="O4" s="1676"/>
      <c r="P4" s="1676"/>
      <c r="Q4" s="1676"/>
      <c r="R4" s="1264"/>
    </row>
    <row r="5" spans="1:18">
      <c r="A5" s="1264"/>
      <c r="B5" s="1264"/>
      <c r="C5" s="1631"/>
      <c r="D5" s="1631"/>
      <c r="E5" s="1654"/>
      <c r="F5" s="1264"/>
      <c r="G5" s="1631"/>
      <c r="H5" s="1631"/>
      <c r="I5" s="1634"/>
      <c r="J5" s="1264"/>
      <c r="K5" s="1672"/>
      <c r="L5" s="1653"/>
      <c r="M5" s="1673"/>
      <c r="N5" s="1653"/>
      <c r="O5" s="1672"/>
      <c r="P5" s="1672"/>
      <c r="Q5" s="1672"/>
      <c r="R5" s="1264"/>
    </row>
    <row r="6" spans="1:18" ht="18">
      <c r="A6" s="1679"/>
      <c r="B6" s="1679" t="s">
        <v>2050</v>
      </c>
      <c r="C6" s="1641"/>
      <c r="D6" s="805"/>
      <c r="E6" s="1675"/>
      <c r="F6" s="1702" t="s">
        <v>2051</v>
      </c>
      <c r="G6" s="1641"/>
      <c r="H6" s="805"/>
      <c r="I6" s="114"/>
      <c r="J6" s="805"/>
      <c r="K6" s="1676"/>
      <c r="L6" s="1677"/>
      <c r="M6" s="1678"/>
      <c r="N6" s="1677"/>
      <c r="O6" s="1676"/>
      <c r="P6" s="1676"/>
      <c r="Q6" s="1676"/>
      <c r="R6" s="1264"/>
    </row>
    <row r="7" spans="1:18" ht="15.75">
      <c r="A7" s="1679"/>
      <c r="B7" s="1679"/>
      <c r="C7" s="1641"/>
      <c r="D7" s="805"/>
      <c r="E7" s="1675"/>
      <c r="F7" s="1679"/>
      <c r="G7" s="1641"/>
      <c r="H7" s="805"/>
      <c r="I7" s="114"/>
      <c r="J7" s="805"/>
      <c r="K7" s="1676"/>
      <c r="L7" s="1677"/>
      <c r="M7" s="1678"/>
      <c r="N7" s="1677"/>
      <c r="O7" s="1680"/>
      <c r="P7" s="1680"/>
      <c r="Q7" s="1680"/>
      <c r="R7" s="1264"/>
    </row>
    <row r="8" spans="1:18" ht="15.75">
      <c r="A8" s="1679"/>
      <c r="B8" s="1679"/>
      <c r="C8" s="1641"/>
      <c r="D8" s="805"/>
      <c r="E8" s="1675"/>
      <c r="F8" s="1679"/>
      <c r="G8" s="1641"/>
      <c r="H8" s="805"/>
      <c r="I8" s="114"/>
      <c r="J8" s="805"/>
      <c r="K8" s="1676"/>
      <c r="L8" s="1677"/>
      <c r="M8" s="1678"/>
      <c r="N8" s="1677"/>
      <c r="O8" s="1680"/>
      <c r="P8" s="1680"/>
      <c r="Q8" s="1680"/>
      <c r="R8" s="1264"/>
    </row>
    <row r="9" spans="1:18" ht="15.75" thickBot="1">
      <c r="A9" s="1124"/>
      <c r="B9" s="1124"/>
      <c r="C9" s="1631"/>
      <c r="D9" s="1264"/>
      <c r="E9" s="1654"/>
      <c r="F9" s="1124"/>
      <c r="G9" s="1631"/>
      <c r="H9" s="1264"/>
      <c r="I9" s="1634"/>
      <c r="J9" s="1264"/>
      <c r="K9" s="1672"/>
      <c r="L9" s="1653"/>
      <c r="M9" s="1673"/>
      <c r="N9" s="1653"/>
      <c r="O9" s="1681"/>
      <c r="P9" s="1681"/>
      <c r="Q9" s="1681"/>
      <c r="R9" s="1264"/>
    </row>
    <row r="10" spans="1:18" ht="32.25" thickBot="1">
      <c r="A10" s="805"/>
      <c r="B10" s="27"/>
      <c r="C10" s="1526" t="s">
        <v>2052</v>
      </c>
      <c r="D10" s="1072"/>
      <c r="E10" s="1520" t="s">
        <v>58</v>
      </c>
      <c r="F10" s="805"/>
      <c r="G10" s="1647" t="s">
        <v>104</v>
      </c>
      <c r="H10" s="1682"/>
      <c r="I10" s="1647" t="s">
        <v>105</v>
      </c>
      <c r="J10" s="805"/>
      <c r="K10" s="1683" t="s">
        <v>1789</v>
      </c>
      <c r="L10" s="1651"/>
      <c r="M10" s="1684" t="s">
        <v>1440</v>
      </c>
      <c r="N10" s="1677"/>
      <c r="O10" s="1685" t="s">
        <v>59</v>
      </c>
      <c r="P10" s="1686"/>
      <c r="Q10" s="1686"/>
      <c r="R10" s="1264"/>
    </row>
    <row r="11" spans="1:18" ht="15.75" hidden="1">
      <c r="A11" s="1264"/>
      <c r="B11" s="104" t="s">
        <v>60</v>
      </c>
      <c r="C11" s="109"/>
      <c r="D11" s="27"/>
      <c r="E11" s="1087"/>
      <c r="F11" s="1679" t="s">
        <v>60</v>
      </c>
      <c r="G11" s="1641"/>
      <c r="H11" s="805"/>
      <c r="I11" s="114"/>
      <c r="J11" s="805"/>
      <c r="K11" s="1676"/>
      <c r="L11" s="1677"/>
      <c r="M11" s="1678"/>
      <c r="N11" s="1677"/>
      <c r="O11" s="1687"/>
      <c r="P11" s="1680"/>
      <c r="Q11" s="1680"/>
      <c r="R11" s="1264"/>
    </row>
    <row r="12" spans="1:18" ht="15.75" hidden="1">
      <c r="A12" s="1679"/>
      <c r="B12" s="104"/>
      <c r="C12" s="109"/>
      <c r="D12" s="27"/>
      <c r="E12" s="1087"/>
      <c r="F12" s="1679"/>
      <c r="G12" s="1641"/>
      <c r="H12" s="805"/>
      <c r="I12" s="114"/>
      <c r="J12" s="805"/>
      <c r="K12" s="1676"/>
      <c r="L12" s="1677"/>
      <c r="M12" s="1678"/>
      <c r="N12" s="1677"/>
      <c r="O12" s="1680"/>
      <c r="P12" s="1680"/>
      <c r="Q12" s="1680"/>
      <c r="R12" s="1264"/>
    </row>
    <row r="13" spans="1:18" ht="15.75" hidden="1">
      <c r="A13" s="1124"/>
      <c r="B13" s="1688" t="s">
        <v>61</v>
      </c>
      <c r="C13" s="901"/>
      <c r="D13" s="78"/>
      <c r="E13" s="630"/>
      <c r="F13" s="1689" t="s">
        <v>61</v>
      </c>
      <c r="G13" s="1631"/>
      <c r="H13" s="1264"/>
      <c r="I13" s="1634"/>
      <c r="J13" s="1264"/>
      <c r="K13" s="1672"/>
      <c r="L13" s="1653"/>
      <c r="M13" s="1673"/>
      <c r="N13" s="1653"/>
      <c r="O13" s="1672"/>
      <c r="P13" s="1672"/>
      <c r="Q13" s="1672"/>
      <c r="R13" s="1264"/>
    </row>
    <row r="14" spans="1:18" ht="15.75" hidden="1">
      <c r="A14" s="1124"/>
      <c r="B14" s="104"/>
      <c r="C14" s="901"/>
      <c r="D14" s="78"/>
      <c r="E14" s="630"/>
      <c r="F14" s="1679"/>
      <c r="G14" s="1631"/>
      <c r="H14" s="1264"/>
      <c r="I14" s="1634"/>
      <c r="J14" s="1264"/>
      <c r="K14" s="1672"/>
      <c r="L14" s="1653"/>
      <c r="M14" s="1673"/>
      <c r="N14" s="1653"/>
      <c r="O14" s="1672"/>
      <c r="P14" s="1672"/>
      <c r="Q14" s="1672"/>
      <c r="R14" s="1264"/>
    </row>
    <row r="15" spans="1:18" ht="75" hidden="1">
      <c r="A15" s="1690">
        <v>1</v>
      </c>
      <c r="B15" s="631" t="s">
        <v>62</v>
      </c>
      <c r="C15" s="630" t="s">
        <v>63</v>
      </c>
      <c r="D15" s="969"/>
      <c r="E15" s="630" t="s">
        <v>64</v>
      </c>
      <c r="F15" s="1671" t="s">
        <v>306</v>
      </c>
      <c r="G15" s="1654" t="s">
        <v>307</v>
      </c>
      <c r="H15" s="1653"/>
      <c r="I15" s="1654" t="s">
        <v>1024</v>
      </c>
      <c r="J15" s="1264"/>
      <c r="K15" s="1672" t="s">
        <v>1117</v>
      </c>
      <c r="L15" s="1653"/>
      <c r="M15" s="1673" t="s">
        <v>1118</v>
      </c>
      <c r="N15" s="1653"/>
      <c r="O15" s="1672" t="s">
        <v>1119</v>
      </c>
      <c r="P15" s="1672"/>
      <c r="Q15" s="1672"/>
      <c r="R15" s="1264"/>
    </row>
    <row r="16" spans="1:18" hidden="1">
      <c r="A16" s="1690"/>
      <c r="B16" s="680"/>
      <c r="C16" s="630"/>
      <c r="D16" s="969"/>
      <c r="E16" s="630"/>
      <c r="F16" s="1690"/>
      <c r="G16" s="1654"/>
      <c r="H16" s="1653"/>
      <c r="I16" s="1654"/>
      <c r="J16" s="1264"/>
      <c r="K16" s="1672"/>
      <c r="L16" s="1653"/>
      <c r="M16" s="1673"/>
      <c r="N16" s="1653"/>
      <c r="O16" s="1672"/>
      <c r="P16" s="1672"/>
      <c r="Q16" s="1672"/>
      <c r="R16" s="1264"/>
    </row>
    <row r="17" spans="1:18" ht="75" hidden="1">
      <c r="A17" s="1690">
        <v>2</v>
      </c>
      <c r="B17" s="631" t="s">
        <v>1954</v>
      </c>
      <c r="C17" s="630" t="s">
        <v>64</v>
      </c>
      <c r="D17" s="969"/>
      <c r="E17" s="630" t="s">
        <v>1955</v>
      </c>
      <c r="F17" s="1671" t="s">
        <v>56</v>
      </c>
      <c r="G17" s="1654" t="s">
        <v>1024</v>
      </c>
      <c r="H17" s="1653"/>
      <c r="I17" s="1654" t="s">
        <v>57</v>
      </c>
      <c r="J17" s="1264"/>
      <c r="K17" s="1672" t="s">
        <v>1118</v>
      </c>
      <c r="L17" s="1653"/>
      <c r="M17" s="1673" t="s">
        <v>1120</v>
      </c>
      <c r="N17" s="1653"/>
      <c r="O17" s="1672" t="s">
        <v>246</v>
      </c>
      <c r="P17" s="1672"/>
      <c r="Q17" s="1672"/>
      <c r="R17" s="1264"/>
    </row>
    <row r="18" spans="1:18" hidden="1">
      <c r="A18" s="1690"/>
      <c r="B18" s="680"/>
      <c r="C18" s="630"/>
      <c r="D18" s="969"/>
      <c r="E18" s="630"/>
      <c r="F18" s="1690"/>
      <c r="G18" s="1654"/>
      <c r="H18" s="1653"/>
      <c r="I18" s="1654"/>
      <c r="J18" s="1264"/>
      <c r="K18" s="1672"/>
      <c r="L18" s="1653"/>
      <c r="M18" s="1673"/>
      <c r="N18" s="1653"/>
      <c r="O18" s="1672"/>
      <c r="P18" s="1672"/>
      <c r="Q18" s="1672"/>
      <c r="R18" s="1264"/>
    </row>
    <row r="19" spans="1:18" ht="75" hidden="1">
      <c r="A19" s="1690">
        <v>3</v>
      </c>
      <c r="B19" s="631" t="s">
        <v>1230</v>
      </c>
      <c r="C19" s="630" t="s">
        <v>1231</v>
      </c>
      <c r="D19" s="969"/>
      <c r="E19" s="630" t="s">
        <v>93</v>
      </c>
      <c r="F19" s="1671" t="s">
        <v>1770</v>
      </c>
      <c r="G19" s="1654" t="s">
        <v>1771</v>
      </c>
      <c r="H19" s="1653"/>
      <c r="I19" s="1654" t="s">
        <v>1772</v>
      </c>
      <c r="J19" s="1264"/>
      <c r="K19" s="1672" t="s">
        <v>247</v>
      </c>
      <c r="L19" s="1653"/>
      <c r="M19" s="1673" t="s">
        <v>2155</v>
      </c>
      <c r="N19" s="1653"/>
      <c r="O19" s="1672" t="s">
        <v>2156</v>
      </c>
      <c r="P19" s="1672"/>
      <c r="Q19" s="1672"/>
      <c r="R19" s="1264"/>
    </row>
    <row r="20" spans="1:18" hidden="1">
      <c r="A20" s="1690"/>
      <c r="B20" s="680"/>
      <c r="C20" s="630"/>
      <c r="D20" s="969"/>
      <c r="E20" s="630"/>
      <c r="F20" s="1690"/>
      <c r="G20" s="1654"/>
      <c r="H20" s="1653"/>
      <c r="I20" s="1654"/>
      <c r="J20" s="1264"/>
      <c r="K20" s="1672"/>
      <c r="L20" s="1653"/>
      <c r="M20" s="1673"/>
      <c r="N20" s="1653"/>
      <c r="O20" s="1672"/>
      <c r="P20" s="1672"/>
      <c r="Q20" s="1672"/>
      <c r="R20" s="1264"/>
    </row>
    <row r="21" spans="1:18" ht="75" hidden="1">
      <c r="A21" s="1690">
        <v>4</v>
      </c>
      <c r="B21" s="631" t="s">
        <v>1773</v>
      </c>
      <c r="C21" s="630" t="s">
        <v>93</v>
      </c>
      <c r="D21" s="969"/>
      <c r="E21" s="630" t="s">
        <v>1774</v>
      </c>
      <c r="F21" s="1671" t="s">
        <v>1775</v>
      </c>
      <c r="G21" s="1654" t="s">
        <v>1772</v>
      </c>
      <c r="H21" s="1653"/>
      <c r="I21" s="1654" t="s">
        <v>1776</v>
      </c>
      <c r="J21" s="1264"/>
      <c r="K21" s="1672" t="s">
        <v>2155</v>
      </c>
      <c r="L21" s="1653"/>
      <c r="M21" s="1673" t="s">
        <v>2157</v>
      </c>
      <c r="N21" s="1653"/>
      <c r="O21" s="1672" t="s">
        <v>2158</v>
      </c>
      <c r="P21" s="1672"/>
      <c r="Q21" s="1672"/>
      <c r="R21" s="1264"/>
    </row>
    <row r="22" spans="1:18" hidden="1">
      <c r="A22" s="1690"/>
      <c r="B22" s="631"/>
      <c r="C22" s="630"/>
      <c r="D22" s="969"/>
      <c r="E22" s="630"/>
      <c r="F22" s="1671"/>
      <c r="G22" s="1654"/>
      <c r="H22" s="1653"/>
      <c r="I22" s="1654"/>
      <c r="J22" s="1264"/>
      <c r="K22" s="1691"/>
      <c r="L22" s="1653"/>
      <c r="M22" s="1692"/>
      <c r="N22" s="1653"/>
      <c r="O22" s="1691"/>
      <c r="P22" s="1691"/>
      <c r="Q22" s="1691"/>
      <c r="R22" s="1264"/>
    </row>
    <row r="23" spans="1:18" ht="15.75" hidden="1">
      <c r="A23" s="1690"/>
      <c r="B23" s="1688" t="s">
        <v>1777</v>
      </c>
      <c r="C23" s="630"/>
      <c r="D23" s="969"/>
      <c r="E23" s="630"/>
      <c r="F23" s="1689" t="s">
        <v>1777</v>
      </c>
      <c r="G23" s="1654"/>
      <c r="H23" s="1653"/>
      <c r="I23" s="1654"/>
      <c r="J23" s="1264"/>
      <c r="K23" s="1672"/>
      <c r="L23" s="1653"/>
      <c r="M23" s="1673"/>
      <c r="N23" s="1653"/>
      <c r="O23" s="1672"/>
      <c r="P23" s="1672"/>
      <c r="Q23" s="1672"/>
      <c r="R23" s="1264"/>
    </row>
    <row r="24" spans="1:18" ht="15.75" hidden="1">
      <c r="A24" s="1690"/>
      <c r="B24" s="530"/>
      <c r="C24" s="630"/>
      <c r="D24" s="969"/>
      <c r="E24" s="630"/>
      <c r="F24" s="1693"/>
      <c r="G24" s="1654"/>
      <c r="H24" s="1653"/>
      <c r="I24" s="1654"/>
      <c r="J24" s="1264"/>
      <c r="K24" s="1672"/>
      <c r="L24" s="1653"/>
      <c r="M24" s="1673"/>
      <c r="N24" s="1653"/>
      <c r="O24" s="1672"/>
      <c r="P24" s="1672"/>
      <c r="Q24" s="1672"/>
      <c r="R24" s="1264"/>
    </row>
    <row r="25" spans="1:18" ht="75" hidden="1">
      <c r="A25" s="1690">
        <v>5</v>
      </c>
      <c r="B25" s="631" t="s">
        <v>62</v>
      </c>
      <c r="C25" s="630" t="s">
        <v>1778</v>
      </c>
      <c r="D25" s="969"/>
      <c r="E25" s="630" t="s">
        <v>1779</v>
      </c>
      <c r="F25" s="1671" t="s">
        <v>306</v>
      </c>
      <c r="G25" s="1654" t="s">
        <v>1780</v>
      </c>
      <c r="H25" s="1653"/>
      <c r="I25" s="1654" t="s">
        <v>1781</v>
      </c>
      <c r="J25" s="1264"/>
      <c r="K25" s="1672" t="s">
        <v>2159</v>
      </c>
      <c r="L25" s="1653"/>
      <c r="M25" s="1673" t="s">
        <v>1422</v>
      </c>
      <c r="N25" s="1653"/>
      <c r="O25" s="1672" t="s">
        <v>1423</v>
      </c>
      <c r="P25" s="1672"/>
      <c r="Q25" s="1672"/>
      <c r="R25" s="1264"/>
    </row>
    <row r="26" spans="1:18" hidden="1">
      <c r="A26" s="1690"/>
      <c r="B26" s="680"/>
      <c r="C26" s="630"/>
      <c r="D26" s="969"/>
      <c r="E26" s="630"/>
      <c r="F26" s="1690"/>
      <c r="G26" s="1654"/>
      <c r="H26" s="1653"/>
      <c r="I26" s="1654"/>
      <c r="J26" s="1264"/>
      <c r="K26" s="1672"/>
      <c r="L26" s="1653"/>
      <c r="M26" s="1673"/>
      <c r="N26" s="1653"/>
      <c r="O26" s="1672"/>
      <c r="P26" s="1672"/>
      <c r="Q26" s="1672"/>
      <c r="R26" s="1264"/>
    </row>
    <row r="27" spans="1:18" ht="75" hidden="1">
      <c r="A27" s="1690">
        <v>6</v>
      </c>
      <c r="B27" s="631" t="s">
        <v>1954</v>
      </c>
      <c r="C27" s="630" t="s">
        <v>1779</v>
      </c>
      <c r="D27" s="969"/>
      <c r="E27" s="630" t="s">
        <v>1034</v>
      </c>
      <c r="F27" s="1671" t="s">
        <v>56</v>
      </c>
      <c r="G27" s="1654" t="s">
        <v>1781</v>
      </c>
      <c r="H27" s="1653"/>
      <c r="I27" s="1654" t="s">
        <v>2174</v>
      </c>
      <c r="J27" s="1264"/>
      <c r="K27" s="1672" t="s">
        <v>1422</v>
      </c>
      <c r="L27" s="1653"/>
      <c r="M27" s="1673" t="s">
        <v>1424</v>
      </c>
      <c r="N27" s="1653"/>
      <c r="O27" s="1672" t="s">
        <v>1425</v>
      </c>
      <c r="P27" s="1672"/>
      <c r="Q27" s="1672"/>
      <c r="R27" s="1264"/>
    </row>
    <row r="28" spans="1:18" hidden="1">
      <c r="A28" s="1690"/>
      <c r="B28" s="680"/>
      <c r="C28" s="630"/>
      <c r="D28" s="969"/>
      <c r="E28" s="630"/>
      <c r="F28" s="1690"/>
      <c r="G28" s="1654"/>
      <c r="H28" s="1653"/>
      <c r="I28" s="1654"/>
      <c r="J28" s="1264"/>
      <c r="K28" s="1672"/>
      <c r="L28" s="1653"/>
      <c r="M28" s="1673"/>
      <c r="N28" s="1653"/>
      <c r="O28" s="1672"/>
      <c r="P28" s="1672"/>
      <c r="Q28" s="1672"/>
      <c r="R28" s="1264"/>
    </row>
    <row r="29" spans="1:18" ht="75" hidden="1">
      <c r="A29" s="1690">
        <v>7</v>
      </c>
      <c r="B29" s="631" t="s">
        <v>1230</v>
      </c>
      <c r="C29" s="630" t="s">
        <v>2175</v>
      </c>
      <c r="D29" s="969"/>
      <c r="E29" s="630" t="s">
        <v>403</v>
      </c>
      <c r="F29" s="1671" t="s">
        <v>1770</v>
      </c>
      <c r="G29" s="1654" t="s">
        <v>404</v>
      </c>
      <c r="H29" s="1653"/>
      <c r="I29" s="1654" t="s">
        <v>405</v>
      </c>
      <c r="J29" s="1264"/>
      <c r="K29" s="1672" t="s">
        <v>1426</v>
      </c>
      <c r="L29" s="1653"/>
      <c r="M29" s="1673" t="s">
        <v>1427</v>
      </c>
      <c r="N29" s="1653"/>
      <c r="O29" s="1672" t="s">
        <v>1428</v>
      </c>
      <c r="P29" s="1672"/>
      <c r="Q29" s="1672"/>
      <c r="R29" s="1264"/>
    </row>
    <row r="30" spans="1:18" hidden="1">
      <c r="A30" s="1690"/>
      <c r="B30" s="680"/>
      <c r="C30" s="630"/>
      <c r="D30" s="969"/>
      <c r="E30" s="630"/>
      <c r="F30" s="1690"/>
      <c r="G30" s="1654"/>
      <c r="H30" s="1653"/>
      <c r="I30" s="1654"/>
      <c r="J30" s="1264"/>
      <c r="K30" s="1672"/>
      <c r="L30" s="1653"/>
      <c r="M30" s="1673"/>
      <c r="N30" s="1653"/>
      <c r="O30" s="1672"/>
      <c r="P30" s="1672"/>
      <c r="Q30" s="1672"/>
      <c r="R30" s="1264"/>
    </row>
    <row r="31" spans="1:18" ht="75" hidden="1">
      <c r="A31" s="1690">
        <v>8</v>
      </c>
      <c r="B31" s="631" t="s">
        <v>1773</v>
      </c>
      <c r="C31" s="630" t="s">
        <v>403</v>
      </c>
      <c r="D31" s="969"/>
      <c r="E31" s="630" t="s">
        <v>1283</v>
      </c>
      <c r="F31" s="1671" t="s">
        <v>1775</v>
      </c>
      <c r="G31" s="1654" t="s">
        <v>405</v>
      </c>
      <c r="H31" s="1653"/>
      <c r="I31" s="1654" t="s">
        <v>1989</v>
      </c>
      <c r="J31" s="1264"/>
      <c r="K31" s="1672" t="s">
        <v>1427</v>
      </c>
      <c r="L31" s="1653"/>
      <c r="M31" s="1673" t="s">
        <v>1429</v>
      </c>
      <c r="N31" s="1653"/>
      <c r="O31" s="1672" t="s">
        <v>1430</v>
      </c>
      <c r="P31" s="1672"/>
      <c r="Q31" s="1672"/>
      <c r="R31" s="1264"/>
    </row>
    <row r="32" spans="1:18" hidden="1">
      <c r="A32" s="1124"/>
      <c r="B32" s="680"/>
      <c r="C32" s="1098"/>
      <c r="D32" s="78"/>
      <c r="E32" s="630"/>
      <c r="F32" s="1690"/>
      <c r="G32" s="1694"/>
      <c r="H32" s="1264"/>
      <c r="I32" s="1654"/>
      <c r="J32" s="1264"/>
      <c r="K32" s="1672"/>
      <c r="L32" s="1653"/>
      <c r="M32" s="1673"/>
      <c r="N32" s="1653"/>
      <c r="O32" s="1672"/>
      <c r="P32" s="1672"/>
      <c r="Q32" s="1672"/>
      <c r="R32" s="1264"/>
    </row>
    <row r="33" spans="1:18" ht="15.75" hidden="1">
      <c r="A33" s="1264"/>
      <c r="B33" s="104" t="s">
        <v>1990</v>
      </c>
      <c r="C33" s="534"/>
      <c r="D33" s="27"/>
      <c r="E33" s="1087"/>
      <c r="F33" s="1679" t="s">
        <v>98</v>
      </c>
      <c r="G33" s="1695"/>
      <c r="H33" s="805"/>
      <c r="I33" s="1675"/>
      <c r="J33" s="805"/>
      <c r="K33" s="1676"/>
      <c r="L33" s="1677"/>
      <c r="M33" s="1678"/>
      <c r="N33" s="1677"/>
      <c r="O33" s="1672"/>
      <c r="P33" s="1672"/>
      <c r="Q33" s="1672"/>
      <c r="R33" s="1264"/>
    </row>
    <row r="34" spans="1:18" hidden="1">
      <c r="A34" s="1124"/>
      <c r="B34" s="400"/>
      <c r="C34" s="1098"/>
      <c r="D34" s="78"/>
      <c r="E34" s="630"/>
      <c r="F34" s="1124"/>
      <c r="G34" s="1694"/>
      <c r="H34" s="1264"/>
      <c r="I34" s="1654"/>
      <c r="J34" s="1264"/>
      <c r="K34" s="1672"/>
      <c r="L34" s="1653"/>
      <c r="M34" s="1673"/>
      <c r="N34" s="1653"/>
      <c r="O34" s="1672"/>
      <c r="P34" s="1672"/>
      <c r="Q34" s="1672"/>
      <c r="R34" s="1264"/>
    </row>
    <row r="35" spans="1:18" ht="120" hidden="1">
      <c r="A35" s="1690">
        <v>1</v>
      </c>
      <c r="B35" s="631" t="s">
        <v>1042</v>
      </c>
      <c r="C35" s="630" t="s">
        <v>424</v>
      </c>
      <c r="D35" s="969"/>
      <c r="E35" s="630" t="s">
        <v>425</v>
      </c>
      <c r="F35" s="1671" t="s">
        <v>426</v>
      </c>
      <c r="G35" s="1654" t="s">
        <v>427</v>
      </c>
      <c r="H35" s="1653"/>
      <c r="I35" s="1654" t="s">
        <v>428</v>
      </c>
      <c r="J35" s="1264"/>
      <c r="K35" s="1696" t="s">
        <v>1945</v>
      </c>
      <c r="L35" s="1653"/>
      <c r="M35" s="1697" t="s">
        <v>657</v>
      </c>
      <c r="N35" s="1653"/>
      <c r="O35" s="1672" t="s">
        <v>1486</v>
      </c>
      <c r="P35" s="1672"/>
      <c r="Q35" s="1672"/>
      <c r="R35" s="1264"/>
    </row>
    <row r="36" spans="1:18" hidden="1">
      <c r="A36" s="1690"/>
      <c r="B36" s="631"/>
      <c r="C36" s="630"/>
      <c r="D36" s="969"/>
      <c r="E36" s="630"/>
      <c r="F36" s="1671"/>
      <c r="G36" s="1654"/>
      <c r="H36" s="1653"/>
      <c r="I36" s="1654"/>
      <c r="J36" s="1264"/>
      <c r="K36" s="1672"/>
      <c r="L36" s="1653"/>
      <c r="M36" s="1697"/>
      <c r="N36" s="1653"/>
      <c r="O36" s="1672"/>
      <c r="P36" s="1672"/>
      <c r="Q36" s="1672"/>
      <c r="R36" s="1264"/>
    </row>
    <row r="37" spans="1:18" ht="120" hidden="1">
      <c r="A37" s="1690">
        <v>2</v>
      </c>
      <c r="B37" s="631" t="s">
        <v>1785</v>
      </c>
      <c r="C37" s="630" t="s">
        <v>1786</v>
      </c>
      <c r="D37" s="969"/>
      <c r="E37" s="630" t="s">
        <v>1787</v>
      </c>
      <c r="F37" s="1671" t="s">
        <v>1861</v>
      </c>
      <c r="G37" s="1654" t="s">
        <v>737</v>
      </c>
      <c r="H37" s="1653"/>
      <c r="I37" s="1654" t="s">
        <v>1093</v>
      </c>
      <c r="J37" s="1264"/>
      <c r="K37" s="1672" t="s">
        <v>1487</v>
      </c>
      <c r="L37" s="1653"/>
      <c r="M37" s="1697" t="s">
        <v>1488</v>
      </c>
      <c r="N37" s="1653"/>
      <c r="O37" s="1672" t="s">
        <v>1489</v>
      </c>
      <c r="P37" s="1672"/>
      <c r="Q37" s="1672"/>
      <c r="R37" s="1264"/>
    </row>
    <row r="38" spans="1:18">
      <c r="A38" s="1690"/>
      <c r="B38" s="631"/>
      <c r="C38" s="630"/>
      <c r="D38" s="969"/>
      <c r="E38" s="630"/>
      <c r="F38" s="1671"/>
      <c r="G38" s="1654"/>
      <c r="H38" s="1653"/>
      <c r="I38" s="1654"/>
      <c r="J38" s="1264"/>
      <c r="K38" s="1672"/>
      <c r="L38" s="1653"/>
      <c r="M38" s="1697"/>
      <c r="N38" s="1653"/>
      <c r="O38" s="1672"/>
      <c r="P38" s="1672"/>
      <c r="Q38" s="1672"/>
      <c r="R38" s="1264"/>
    </row>
    <row r="39" spans="1:18" ht="75" customHeight="1">
      <c r="A39" s="1690">
        <v>1</v>
      </c>
      <c r="B39" s="631" t="s">
        <v>1405</v>
      </c>
      <c r="C39" s="630" t="s">
        <v>1406</v>
      </c>
      <c r="D39" s="969"/>
      <c r="E39" s="630" t="s">
        <v>1407</v>
      </c>
      <c r="F39" s="1671" t="s">
        <v>1020</v>
      </c>
      <c r="G39" s="1654" t="s">
        <v>209</v>
      </c>
      <c r="H39" s="1653"/>
      <c r="I39" s="1654" t="s">
        <v>210</v>
      </c>
      <c r="J39" s="1264"/>
      <c r="K39" s="1696">
        <f>'Sch. 10A Spec Ed Expense - Elem'!E48</f>
        <v>0</v>
      </c>
      <c r="L39" s="1653"/>
      <c r="M39" s="1672">
        <f>'2 Special Ed'!P47</f>
        <v>0</v>
      </c>
      <c r="N39" s="1672"/>
      <c r="O39" s="1672">
        <f>K39-M39</f>
        <v>0</v>
      </c>
      <c r="P39" s="1672"/>
      <c r="Q39" s="1672"/>
      <c r="R39" s="1264"/>
    </row>
    <row r="40" spans="1:18">
      <c r="A40" s="1690"/>
      <c r="B40" s="631"/>
      <c r="C40" s="630"/>
      <c r="D40" s="969"/>
      <c r="E40" s="630"/>
      <c r="F40" s="1671"/>
      <c r="G40" s="1654"/>
      <c r="H40" s="1653"/>
      <c r="I40" s="1654"/>
      <c r="J40" s="1264"/>
      <c r="K40" s="1672"/>
      <c r="L40" s="1653"/>
      <c r="M40" s="1672"/>
      <c r="N40" s="1672"/>
      <c r="O40" s="1691"/>
      <c r="P40" s="1691"/>
      <c r="Q40" s="1691"/>
      <c r="R40" s="1264"/>
    </row>
    <row r="41" spans="1:18" ht="75" customHeight="1">
      <c r="A41" s="1690">
        <v>2</v>
      </c>
      <c r="B41" s="631" t="s">
        <v>1408</v>
      </c>
      <c r="C41" s="630" t="s">
        <v>1409</v>
      </c>
      <c r="D41" s="969"/>
      <c r="E41" s="630" t="s">
        <v>1410</v>
      </c>
      <c r="F41" s="1671" t="s">
        <v>190</v>
      </c>
      <c r="G41" s="1654" t="s">
        <v>211</v>
      </c>
      <c r="H41" s="1653"/>
      <c r="I41" s="1654" t="s">
        <v>212</v>
      </c>
      <c r="J41" s="1264"/>
      <c r="K41" s="1696">
        <f>'Sch. 10B Spec Ed Expense - Sec'!E46</f>
        <v>0</v>
      </c>
      <c r="L41" s="1653"/>
      <c r="M41" s="1672">
        <f>'2 Special Ed'!R47</f>
        <v>0</v>
      </c>
      <c r="N41" s="1672"/>
      <c r="O41" s="1672">
        <f>K41-M41</f>
        <v>0</v>
      </c>
      <c r="P41" s="1672"/>
      <c r="Q41" s="1672"/>
      <c r="R41" s="1264"/>
    </row>
    <row r="42" spans="1:18">
      <c r="A42" s="1124"/>
      <c r="B42" s="400"/>
      <c r="C42" s="1098"/>
      <c r="D42" s="78"/>
      <c r="E42" s="630"/>
      <c r="F42" s="1124"/>
      <c r="G42" s="1694"/>
      <c r="H42" s="1264"/>
      <c r="I42" s="1634"/>
      <c r="J42" s="1264"/>
      <c r="K42" s="1672"/>
      <c r="L42" s="1653"/>
      <c r="M42" s="1697"/>
      <c r="N42" s="1653"/>
      <c r="O42" s="1672"/>
      <c r="P42" s="1672"/>
      <c r="Q42" s="1672"/>
      <c r="R42" s="1264"/>
    </row>
    <row r="43" spans="1:18" ht="15.75">
      <c r="A43" s="1264"/>
      <c r="B43" s="104" t="s">
        <v>1018</v>
      </c>
      <c r="C43" s="534"/>
      <c r="D43" s="27"/>
      <c r="E43" s="1087"/>
      <c r="F43" s="1679" t="s">
        <v>1019</v>
      </c>
      <c r="G43" s="1695"/>
      <c r="H43" s="805"/>
      <c r="I43" s="114"/>
      <c r="J43" s="805"/>
      <c r="K43" s="1676"/>
      <c r="L43" s="1677"/>
      <c r="M43" s="1698"/>
      <c r="N43" s="1677"/>
      <c r="O43" s="1672"/>
      <c r="P43" s="1672"/>
      <c r="Q43" s="1672"/>
      <c r="R43" s="1264"/>
    </row>
    <row r="44" spans="1:18">
      <c r="A44" s="1124"/>
      <c r="B44" s="400"/>
      <c r="C44" s="1098"/>
      <c r="D44" s="78"/>
      <c r="E44" s="630"/>
      <c r="F44" s="1124"/>
      <c r="G44" s="1694"/>
      <c r="H44" s="1264"/>
      <c r="I44" s="1634"/>
      <c r="J44" s="1264"/>
      <c r="K44" s="1672"/>
      <c r="L44" s="1653"/>
      <c r="M44" s="1697"/>
      <c r="N44" s="1653"/>
      <c r="O44" s="1672"/>
      <c r="P44" s="1672"/>
      <c r="Q44" s="1672"/>
      <c r="R44" s="1264"/>
    </row>
    <row r="45" spans="1:18" ht="60">
      <c r="A45" s="1690">
        <v>3</v>
      </c>
      <c r="B45" s="631" t="s">
        <v>1748</v>
      </c>
      <c r="C45" s="630" t="s">
        <v>1883</v>
      </c>
      <c r="D45" s="78"/>
      <c r="E45" s="630" t="s">
        <v>252</v>
      </c>
      <c r="F45" s="1671" t="s">
        <v>388</v>
      </c>
      <c r="G45" s="1654" t="s">
        <v>389</v>
      </c>
      <c r="H45" s="1264"/>
      <c r="I45" s="1671" t="s">
        <v>300</v>
      </c>
      <c r="J45" s="1264"/>
      <c r="K45" s="1672">
        <f>'Sch. 10A Spec Ed Expense - Elem'!D10</f>
        <v>0</v>
      </c>
      <c r="L45" s="1653"/>
      <c r="M45" s="1699">
        <f>+'App H - Staffing Oct 31'!G13+'App H - Staffing Oct 31'!G14+'App H - Staffing Oct 31'!G15+'App H - Staffing Oct 31'!G16</f>
        <v>0</v>
      </c>
      <c r="N45" s="1653"/>
      <c r="O45" s="1672">
        <f>IF(M45=0,0,K45/M45)</f>
        <v>0</v>
      </c>
      <c r="P45" s="1672"/>
      <c r="Q45" s="1656" t="str">
        <f>IF(K45&gt;0,IF(M45=0,"Appendix H incomplete",""),IF(M45&gt;0,"Schedule 10A incomplete",""))</f>
        <v/>
      </c>
      <c r="R45" s="1264"/>
    </row>
    <row r="46" spans="1:18">
      <c r="A46" s="1690"/>
      <c r="B46" s="680"/>
      <c r="C46" s="630"/>
      <c r="D46" s="78"/>
      <c r="E46" s="630"/>
      <c r="F46" s="1690"/>
      <c r="G46" s="1654"/>
      <c r="H46" s="1264"/>
      <c r="I46" s="1690"/>
      <c r="J46" s="1264"/>
      <c r="K46" s="1672"/>
      <c r="L46" s="1653"/>
      <c r="M46" s="1700"/>
      <c r="N46" s="1653"/>
      <c r="O46" s="1691"/>
      <c r="P46" s="1691"/>
      <c r="Q46" s="1691"/>
      <c r="R46" s="1264"/>
    </row>
    <row r="47" spans="1:18" ht="60">
      <c r="A47" s="1690">
        <v>4</v>
      </c>
      <c r="B47" s="631" t="s">
        <v>497</v>
      </c>
      <c r="C47" s="630" t="s">
        <v>498</v>
      </c>
      <c r="D47" s="78"/>
      <c r="E47" s="630" t="s">
        <v>499</v>
      </c>
      <c r="F47" s="1671" t="s">
        <v>390</v>
      </c>
      <c r="G47" s="1654" t="s">
        <v>418</v>
      </c>
      <c r="H47" s="1264"/>
      <c r="I47" s="1671" t="s">
        <v>303</v>
      </c>
      <c r="J47" s="1264"/>
      <c r="K47" s="1672">
        <f>'Sch. 10A Spec Ed Expense - Elem'!D12</f>
        <v>0</v>
      </c>
      <c r="L47" s="1653"/>
      <c r="M47" s="1699">
        <f>+'App H - Staffing Oct 31'!G20</f>
        <v>0</v>
      </c>
      <c r="N47" s="1653"/>
      <c r="O47" s="1672">
        <f>IF(M47=0,0,K47/M47)</f>
        <v>0</v>
      </c>
      <c r="P47" s="1672"/>
      <c r="Q47" s="1656" t="str">
        <f>IF(K47&gt;0,IF(M47=0,"Appendix H incomplete",""),IF(M47&gt;0,"Schedule 10A incomplete",""))</f>
        <v/>
      </c>
      <c r="R47" s="1264"/>
    </row>
    <row r="48" spans="1:18">
      <c r="A48" s="1690"/>
      <c r="B48" s="680"/>
      <c r="C48" s="630"/>
      <c r="D48" s="78"/>
      <c r="E48" s="630"/>
      <c r="F48" s="1690"/>
      <c r="G48" s="1654"/>
      <c r="H48" s="1264"/>
      <c r="I48" s="1690"/>
      <c r="J48" s="1264"/>
      <c r="K48" s="1672"/>
      <c r="L48" s="1653"/>
      <c r="M48" s="1700"/>
      <c r="N48" s="1653"/>
      <c r="O48" s="1691"/>
      <c r="P48" s="1691"/>
      <c r="Q48" s="1691"/>
      <c r="R48" s="1264"/>
    </row>
    <row r="49" spans="1:18" ht="60">
      <c r="A49" s="1690">
        <v>5</v>
      </c>
      <c r="B49" s="631" t="s">
        <v>419</v>
      </c>
      <c r="C49" s="630" t="s">
        <v>420</v>
      </c>
      <c r="D49" s="78"/>
      <c r="E49" s="630" t="s">
        <v>845</v>
      </c>
      <c r="F49" s="1671" t="s">
        <v>1914</v>
      </c>
      <c r="G49" s="1654" t="s">
        <v>1915</v>
      </c>
      <c r="H49" s="1264"/>
      <c r="I49" s="1671" t="s">
        <v>301</v>
      </c>
      <c r="J49" s="1264"/>
      <c r="K49" s="1672">
        <f>'Sch. 10B Spec Ed Expense - Sec'!D10</f>
        <v>0</v>
      </c>
      <c r="L49" s="1653"/>
      <c r="M49" s="1699">
        <f>'App H - Staffing Oct 31'!H13+'App H - Staffing Oct 31'!H14+'App H - Staffing Oct 31'!H15+'App H - Staffing Oct 31'!H16</f>
        <v>0</v>
      </c>
      <c r="N49" s="1653"/>
      <c r="O49" s="1672">
        <f>IF(M49=0,0,K49/M49)</f>
        <v>0</v>
      </c>
      <c r="P49" s="1672"/>
      <c r="Q49" s="1656" t="str">
        <f>IF(K49&gt;0,IF(M49=0,"Appendix H incomplete",""),IF(M49&gt;0,"Schedule 10B incomplete",""))</f>
        <v/>
      </c>
      <c r="R49" s="1264"/>
    </row>
    <row r="50" spans="1:18">
      <c r="A50" s="1690"/>
      <c r="B50" s="680"/>
      <c r="C50" s="630"/>
      <c r="D50" s="78"/>
      <c r="E50" s="630"/>
      <c r="F50" s="1690"/>
      <c r="G50" s="1654"/>
      <c r="H50" s="1264"/>
      <c r="I50" s="1690"/>
      <c r="J50" s="1264"/>
      <c r="K50" s="1672"/>
      <c r="L50" s="1653"/>
      <c r="M50" s="1700"/>
      <c r="N50" s="1653"/>
      <c r="O50" s="1691"/>
      <c r="P50" s="1691"/>
      <c r="Q50" s="1691"/>
      <c r="R50" s="1264"/>
    </row>
    <row r="51" spans="1:18" ht="60">
      <c r="A51" s="1690">
        <v>6</v>
      </c>
      <c r="B51" s="631" t="s">
        <v>1573</v>
      </c>
      <c r="C51" s="630" t="s">
        <v>824</v>
      </c>
      <c r="D51" s="78"/>
      <c r="E51" s="630" t="s">
        <v>825</v>
      </c>
      <c r="F51" s="1671" t="s">
        <v>826</v>
      </c>
      <c r="G51" s="1654" t="s">
        <v>827</v>
      </c>
      <c r="H51" s="1264"/>
      <c r="I51" s="1671" t="s">
        <v>302</v>
      </c>
      <c r="J51" s="1264"/>
      <c r="K51" s="1672">
        <f>'Sch. 10B Spec Ed Expense - Sec'!D12</f>
        <v>0</v>
      </c>
      <c r="L51" s="1653"/>
      <c r="M51" s="1699">
        <f>'App H - Staffing Oct 31'!H20</f>
        <v>0</v>
      </c>
      <c r="N51" s="1653"/>
      <c r="O51" s="1672">
        <f>IF(M51=0,0,K51/M51)</f>
        <v>0</v>
      </c>
      <c r="P51" s="1672"/>
      <c r="Q51" s="1656" t="str">
        <f>IF(K51&gt;0,IF(M51=0,"Appendix H incomplete",""),IF(M51&gt;0,"Schedule 10B incomplete",""))</f>
        <v/>
      </c>
      <c r="R51" s="1264"/>
    </row>
    <row r="52" spans="1:18">
      <c r="A52" s="1690"/>
      <c r="B52" s="680"/>
      <c r="C52" s="630"/>
      <c r="D52" s="78"/>
      <c r="E52" s="630"/>
      <c r="F52" s="1690"/>
      <c r="G52" s="1654"/>
      <c r="H52" s="1264"/>
      <c r="I52" s="1690"/>
      <c r="J52" s="1264"/>
      <c r="K52" s="1672"/>
      <c r="L52" s="1653"/>
      <c r="M52" s="1700"/>
      <c r="N52" s="1653"/>
      <c r="O52" s="1691"/>
      <c r="P52" s="1691"/>
      <c r="Q52" s="1691"/>
      <c r="R52" s="1264"/>
    </row>
    <row r="53" spans="1:18" ht="105">
      <c r="A53" s="1690">
        <v>7</v>
      </c>
      <c r="B53" s="631" t="s">
        <v>915</v>
      </c>
      <c r="C53" s="630" t="s">
        <v>916</v>
      </c>
      <c r="D53" s="78"/>
      <c r="E53" s="630" t="s">
        <v>1498</v>
      </c>
      <c r="F53" s="1671" t="s">
        <v>1499</v>
      </c>
      <c r="G53" s="1654" t="s">
        <v>2063</v>
      </c>
      <c r="H53" s="1264"/>
      <c r="I53" s="1671" t="s">
        <v>648</v>
      </c>
      <c r="J53" s="1264"/>
      <c r="K53" s="1672">
        <f>'Sch. 10 Operating Fund - Exp'!D10</f>
        <v>0</v>
      </c>
      <c r="L53" s="1653"/>
      <c r="M53" s="1699">
        <f>+'App H - Staffing Oct 31'!D13+'App H - Staffing Oct 31'!D14+'App H - Staffing Oct 31'!D15+'App H - Staffing Oct 31'!D16</f>
        <v>0</v>
      </c>
      <c r="N53" s="1653"/>
      <c r="O53" s="1672">
        <f>IF(M53=0,0,K53/M53)</f>
        <v>0</v>
      </c>
      <c r="P53" s="1672"/>
      <c r="Q53" s="1656" t="str">
        <f>IF(K53&gt;0,IF(M53=0,"Appendix H incomplete",""),IF(M53&gt;0,"Schedule 10 incomplete",""))</f>
        <v/>
      </c>
      <c r="R53" s="1264"/>
    </row>
    <row r="54" spans="1:18">
      <c r="A54" s="1690"/>
      <c r="B54" s="631"/>
      <c r="C54" s="630"/>
      <c r="D54" s="969"/>
      <c r="E54" s="630"/>
      <c r="F54" s="1671"/>
      <c r="G54" s="1654"/>
      <c r="H54" s="1653"/>
      <c r="I54" s="1654"/>
      <c r="J54" s="1264"/>
      <c r="K54" s="1691"/>
      <c r="L54" s="1653"/>
      <c r="M54" s="1701"/>
      <c r="N54" s="1653"/>
      <c r="O54" s="1691"/>
      <c r="P54" s="1691"/>
      <c r="Q54" s="1691"/>
      <c r="R54" s="1264"/>
    </row>
    <row r="55" spans="1:18" ht="60" hidden="1">
      <c r="A55" s="1690">
        <v>10</v>
      </c>
      <c r="B55" s="631" t="s">
        <v>1280</v>
      </c>
      <c r="C55" s="630" t="s">
        <v>1281</v>
      </c>
      <c r="D55" s="969"/>
      <c r="E55" s="630" t="s">
        <v>936</v>
      </c>
      <c r="F55" s="1671" t="s">
        <v>937</v>
      </c>
      <c r="G55" s="1654" t="s">
        <v>938</v>
      </c>
      <c r="H55" s="1653"/>
      <c r="I55" s="1654" t="s">
        <v>939</v>
      </c>
      <c r="J55" s="1264"/>
      <c r="K55" s="1672" t="s">
        <v>1490</v>
      </c>
      <c r="L55" s="1653"/>
      <c r="M55" s="1699" t="s">
        <v>1491</v>
      </c>
      <c r="N55" s="1653"/>
      <c r="O55" s="1672" t="s">
        <v>1492</v>
      </c>
      <c r="P55" s="1672"/>
      <c r="Q55" s="1672"/>
      <c r="R55" s="1264"/>
    </row>
    <row r="56" spans="1:18" hidden="1">
      <c r="A56" s="1690"/>
      <c r="B56" s="680"/>
      <c r="C56" s="630"/>
      <c r="D56" s="78"/>
      <c r="E56" s="630"/>
      <c r="F56" s="1690"/>
      <c r="G56" s="1654"/>
      <c r="H56" s="1264"/>
      <c r="I56" s="1634"/>
      <c r="J56" s="1264"/>
      <c r="K56" s="1691"/>
      <c r="L56" s="1653"/>
      <c r="M56" s="1701"/>
      <c r="N56" s="1653"/>
      <c r="O56" s="1691"/>
      <c r="P56" s="1691"/>
      <c r="Q56" s="1691"/>
      <c r="R56" s="1264"/>
    </row>
    <row r="57" spans="1:18" ht="60">
      <c r="A57" s="1690">
        <v>8</v>
      </c>
      <c r="B57" s="680"/>
      <c r="C57" s="630"/>
      <c r="D57" s="78"/>
      <c r="E57" s="630"/>
      <c r="F57" s="1671" t="s">
        <v>1105</v>
      </c>
      <c r="G57" s="1654" t="s">
        <v>1106</v>
      </c>
      <c r="H57" s="1124"/>
      <c r="I57" s="1671" t="s">
        <v>1708</v>
      </c>
      <c r="J57" s="1264"/>
      <c r="K57" s="1672">
        <f>'Sch. 10 Operating Fund - Exp'!D17</f>
        <v>0</v>
      </c>
      <c r="L57" s="1653"/>
      <c r="M57" s="1699">
        <f>+'App H - Staffing Oct 31'!D34+'App H - Staffing Oct 31'!D35+'App H - Staffing Oct 31'!D36</f>
        <v>0</v>
      </c>
      <c r="N57" s="1653"/>
      <c r="O57" s="1672">
        <f>IF(M57=0,0,K57/M57)</f>
        <v>0</v>
      </c>
      <c r="P57" s="1691"/>
      <c r="Q57" s="1656" t="str">
        <f>IF(K57&gt;0,IF(M57=0,"Appendix H incomplete",""),IF(M57&gt;0,"Schedule 10 incomplete",""))</f>
        <v/>
      </c>
      <c r="R57" s="1264"/>
    </row>
    <row r="58" spans="1:18">
      <c r="A58" s="1690"/>
      <c r="B58" s="680"/>
      <c r="C58" s="630"/>
      <c r="D58" s="78"/>
      <c r="E58" s="630"/>
      <c r="F58" s="1690"/>
      <c r="G58" s="1654"/>
      <c r="H58" s="1264"/>
      <c r="I58" s="1634"/>
      <c r="J58" s="1264"/>
      <c r="K58" s="1691"/>
      <c r="L58" s="1653"/>
      <c r="M58" s="1701"/>
      <c r="N58" s="1653"/>
      <c r="O58" s="1691"/>
      <c r="P58" s="1691"/>
      <c r="Q58" s="1691"/>
      <c r="R58" s="1264"/>
    </row>
    <row r="59" spans="1:18" ht="45" customHeight="1">
      <c r="A59" s="1690">
        <v>9</v>
      </c>
      <c r="B59" s="631" t="s">
        <v>2089</v>
      </c>
      <c r="C59" s="630" t="s">
        <v>1640</v>
      </c>
      <c r="D59" s="78"/>
      <c r="E59" s="630" t="s">
        <v>1641</v>
      </c>
      <c r="F59" s="1671" t="s">
        <v>191</v>
      </c>
      <c r="G59" s="1654" t="s">
        <v>1056</v>
      </c>
      <c r="H59" s="1264"/>
      <c r="I59" s="1671" t="s">
        <v>649</v>
      </c>
      <c r="J59" s="1264"/>
      <c r="K59" s="1672">
        <f>'Sch. 10A Spec Ed Expense - Elem'!E33</f>
        <v>0</v>
      </c>
      <c r="L59" s="1653"/>
      <c r="M59" s="1699">
        <f>+'App H - Staffing Oct 31'!G17</f>
        <v>0</v>
      </c>
      <c r="N59" s="1653"/>
      <c r="O59" s="1672">
        <f>IF(M59=0,0,K59/M59)</f>
        <v>0</v>
      </c>
      <c r="P59" s="1672"/>
      <c r="Q59" s="1656" t="str">
        <f>IF(K59&gt;0,IF(M59=0,"Appendix H incomplete",""),IF(M59&gt;0,"Schedule 10A incomplete",""))</f>
        <v/>
      </c>
      <c r="R59" s="1264"/>
    </row>
    <row r="60" spans="1:18">
      <c r="A60" s="1690"/>
      <c r="B60" s="631"/>
      <c r="C60" s="630"/>
      <c r="D60" s="78"/>
      <c r="E60" s="630"/>
      <c r="F60" s="1671"/>
      <c r="G60" s="1654"/>
      <c r="H60" s="1264"/>
      <c r="I60" s="1671"/>
      <c r="J60" s="1264"/>
      <c r="K60" s="1672"/>
      <c r="L60" s="1653"/>
      <c r="M60" s="1699"/>
      <c r="N60" s="1653"/>
      <c r="O60" s="1691"/>
      <c r="P60" s="1691"/>
      <c r="Q60" s="1691"/>
      <c r="R60" s="1264"/>
    </row>
    <row r="61" spans="1:18" ht="45" customHeight="1">
      <c r="A61" s="1690">
        <v>10</v>
      </c>
      <c r="B61" s="631" t="s">
        <v>1555</v>
      </c>
      <c r="C61" s="630" t="s">
        <v>619</v>
      </c>
      <c r="D61" s="78"/>
      <c r="E61" s="630" t="s">
        <v>620</v>
      </c>
      <c r="F61" s="1671" t="s">
        <v>192</v>
      </c>
      <c r="G61" s="1654" t="s">
        <v>1057</v>
      </c>
      <c r="H61" s="1264"/>
      <c r="I61" s="1671" t="s">
        <v>652</v>
      </c>
      <c r="J61" s="1264"/>
      <c r="K61" s="1672">
        <f>'Sch. 10A Spec Ed Expense - Elem'!E35</f>
        <v>0</v>
      </c>
      <c r="L61" s="1653"/>
      <c r="M61" s="1699">
        <f>+'App H - Staffing Oct 31'!G22</f>
        <v>0</v>
      </c>
      <c r="N61" s="1653"/>
      <c r="O61" s="1672">
        <f>IF(M61=0,0,K61/M61)</f>
        <v>0</v>
      </c>
      <c r="P61" s="1672"/>
      <c r="Q61" s="1656" t="str">
        <f>IF(K61&gt;0,IF(M61=0,"Appendix H incomplete",""),IF(M61&gt;0,"Schedule 10A incomplete",""))</f>
        <v/>
      </c>
      <c r="R61" s="1264"/>
    </row>
    <row r="62" spans="1:18">
      <c r="A62" s="1690"/>
      <c r="B62" s="631"/>
      <c r="C62" s="630"/>
      <c r="D62" s="78"/>
      <c r="E62" s="630"/>
      <c r="F62" s="1671"/>
      <c r="G62" s="1654"/>
      <c r="H62" s="1264"/>
      <c r="I62" s="1671"/>
      <c r="J62" s="1264"/>
      <c r="K62" s="1672"/>
      <c r="L62" s="1653"/>
      <c r="M62" s="1699"/>
      <c r="N62" s="1653"/>
      <c r="O62" s="1691"/>
      <c r="P62" s="1691"/>
      <c r="Q62" s="1691"/>
      <c r="R62" s="1264"/>
    </row>
    <row r="63" spans="1:18" ht="45" customHeight="1">
      <c r="A63" s="1690">
        <v>11</v>
      </c>
      <c r="B63" s="631" t="s">
        <v>34</v>
      </c>
      <c r="C63" s="630" t="s">
        <v>35</v>
      </c>
      <c r="D63" s="78"/>
      <c r="E63" s="630" t="s">
        <v>36</v>
      </c>
      <c r="F63" s="1671" t="s">
        <v>193</v>
      </c>
      <c r="G63" s="1654" t="s">
        <v>151</v>
      </c>
      <c r="H63" s="1264"/>
      <c r="I63" s="1671" t="s">
        <v>650</v>
      </c>
      <c r="J63" s="1264"/>
      <c r="K63" s="1672">
        <f>'Sch. 10B Spec Ed Expense - Sec'!E32</f>
        <v>0</v>
      </c>
      <c r="L63" s="1653"/>
      <c r="M63" s="1699">
        <f>'App H - Staffing Oct 31'!H17</f>
        <v>0</v>
      </c>
      <c r="N63" s="1653"/>
      <c r="O63" s="1672">
        <f>IF(M63=0,0,K63/M63)</f>
        <v>0</v>
      </c>
      <c r="P63" s="1672"/>
      <c r="Q63" s="1656" t="str">
        <f>IF(K63&gt;0,IF(M63=0,"Appendix H incomplete",""),IF(M63&gt;0,"Schedule 10B incomplete",""))</f>
        <v/>
      </c>
      <c r="R63" s="1264"/>
    </row>
    <row r="64" spans="1:18">
      <c r="A64" s="1690"/>
      <c r="B64" s="631"/>
      <c r="C64" s="630"/>
      <c r="D64" s="78"/>
      <c r="E64" s="630"/>
      <c r="F64" s="1671"/>
      <c r="G64" s="1654"/>
      <c r="H64" s="1264"/>
      <c r="I64" s="1671"/>
      <c r="J64" s="1264"/>
      <c r="K64" s="1672"/>
      <c r="L64" s="1653"/>
      <c r="M64" s="1700"/>
      <c r="N64" s="1653"/>
      <c r="O64" s="1691"/>
      <c r="P64" s="1691"/>
      <c r="Q64" s="1691"/>
      <c r="R64" s="1264"/>
    </row>
    <row r="65" spans="1:18" ht="45" customHeight="1">
      <c r="A65" s="1690">
        <v>12</v>
      </c>
      <c r="B65" s="631" t="s">
        <v>731</v>
      </c>
      <c r="C65" s="630" t="s">
        <v>732</v>
      </c>
      <c r="D65" s="78"/>
      <c r="E65" s="630" t="s">
        <v>2036</v>
      </c>
      <c r="F65" s="1671" t="s">
        <v>194</v>
      </c>
      <c r="G65" s="1654" t="s">
        <v>1058</v>
      </c>
      <c r="H65" s="1264"/>
      <c r="I65" s="1671" t="s">
        <v>651</v>
      </c>
      <c r="J65" s="1264"/>
      <c r="K65" s="1672">
        <f>'Sch. 10B Spec Ed Expense - Sec'!E34</f>
        <v>0</v>
      </c>
      <c r="L65" s="1653"/>
      <c r="M65" s="1699">
        <f>'App H - Staffing Oct 31'!H22</f>
        <v>0</v>
      </c>
      <c r="N65" s="1653"/>
      <c r="O65" s="1672">
        <f>IF(M65=0,0,K65/M65)</f>
        <v>0</v>
      </c>
      <c r="P65" s="1672"/>
      <c r="Q65" s="1656" t="str">
        <f>IF(K65&gt;0,IF(M65=0,"Appendix H incomplete",""),IF(M65&gt;0,"Schedule 10B incomplete",""))</f>
        <v/>
      </c>
      <c r="R65" s="1264"/>
    </row>
    <row r="66" spans="1:18">
      <c r="A66" s="1690"/>
      <c r="B66" s="631"/>
      <c r="C66" s="630"/>
      <c r="D66" s="78"/>
      <c r="E66" s="630"/>
      <c r="F66" s="1671"/>
      <c r="G66" s="1654"/>
      <c r="H66" s="1264"/>
      <c r="I66" s="1654"/>
      <c r="J66" s="1264"/>
      <c r="K66" s="1672"/>
      <c r="L66" s="1653"/>
      <c r="M66" s="1699"/>
      <c r="N66" s="1653"/>
      <c r="O66" s="1672"/>
      <c r="P66" s="1672"/>
      <c r="Q66" s="1672"/>
      <c r="R66" s="1264"/>
    </row>
    <row r="67" spans="1:18" ht="45">
      <c r="A67" s="1690">
        <v>13</v>
      </c>
      <c r="B67" s="631"/>
      <c r="C67" s="630"/>
      <c r="D67" s="78"/>
      <c r="E67" s="630"/>
      <c r="F67" s="1671" t="s">
        <v>1059</v>
      </c>
      <c r="G67" s="1654" t="s">
        <v>1060</v>
      </c>
      <c r="H67" s="1653"/>
      <c r="I67" s="1654" t="s">
        <v>466</v>
      </c>
      <c r="J67" s="1264"/>
      <c r="K67" s="1672">
        <f>'Sch. 10 Operating Fund - Exp'!D20</f>
        <v>0</v>
      </c>
      <c r="L67" s="1653"/>
      <c r="M67" s="1699">
        <f>'App H - Staffing Oct 31'!D44+'App H - Staffing Oct 31'!D45</f>
        <v>0</v>
      </c>
      <c r="N67" s="1653"/>
      <c r="O67" s="1672">
        <f>IF(M67=0,0,K67/M67)</f>
        <v>0</v>
      </c>
      <c r="P67" s="1672"/>
      <c r="Q67" s="1656" t="str">
        <f>IF(K67&gt;0,IF(M67=0,"Appendix H incomplete",""),IF(M67&gt;0,"Schedule 10 incomplete",""))</f>
        <v/>
      </c>
      <c r="R67" s="1264"/>
    </row>
    <row r="68" spans="1:18">
      <c r="A68" s="1690"/>
      <c r="B68" s="631"/>
      <c r="C68" s="630"/>
      <c r="D68" s="78"/>
      <c r="E68" s="630"/>
      <c r="F68" s="1671"/>
      <c r="G68" s="1654"/>
      <c r="H68" s="1264"/>
      <c r="I68" s="1654"/>
      <c r="J68" s="1264"/>
      <c r="K68" s="1672"/>
      <c r="L68" s="1653"/>
      <c r="M68" s="1699"/>
      <c r="N68" s="1653"/>
      <c r="O68" s="1672"/>
      <c r="P68" s="1672"/>
      <c r="Q68" s="1672"/>
      <c r="R68" s="1264"/>
    </row>
    <row r="69" spans="1:18" ht="60">
      <c r="A69" s="1690">
        <v>14</v>
      </c>
      <c r="B69" s="631"/>
      <c r="C69" s="630"/>
      <c r="D69" s="78"/>
      <c r="E69" s="630"/>
      <c r="F69" s="1671" t="s">
        <v>1061</v>
      </c>
      <c r="G69" s="1654" t="s">
        <v>475</v>
      </c>
      <c r="H69" s="1653"/>
      <c r="I69" s="1654" t="s">
        <v>467</v>
      </c>
      <c r="J69" s="1264"/>
      <c r="K69" s="1672">
        <f>'Sch. 10 Operating Fund - Exp'!D21</f>
        <v>0</v>
      </c>
      <c r="L69" s="1653"/>
      <c r="M69" s="1699">
        <f>'App H - Staffing Oct 31'!D47</f>
        <v>0</v>
      </c>
      <c r="N69" s="1653"/>
      <c r="O69" s="1672">
        <f>IF(M69=0,0,K69/M69)</f>
        <v>0</v>
      </c>
      <c r="P69" s="1672"/>
      <c r="Q69" s="1656" t="str">
        <f>IF(K69&gt;0,IF(M69=0,"Appendix H incomplete",""),IF(M69&gt;0,"Schedule 10 incomplete",""))</f>
        <v/>
      </c>
      <c r="R69" s="1264"/>
    </row>
    <row r="70" spans="1:18">
      <c r="A70" s="1690"/>
      <c r="B70" s="631"/>
      <c r="C70" s="630"/>
      <c r="D70" s="78"/>
      <c r="E70" s="630"/>
      <c r="F70" s="1671"/>
      <c r="G70" s="1654"/>
      <c r="H70" s="1264"/>
      <c r="I70" s="1654"/>
      <c r="J70" s="1264"/>
      <c r="K70" s="1672"/>
      <c r="L70" s="1653"/>
      <c r="M70" s="1699"/>
      <c r="N70" s="1653"/>
      <c r="O70" s="1672"/>
      <c r="P70" s="1672"/>
      <c r="Q70" s="1672"/>
      <c r="R70" s="1264"/>
    </row>
    <row r="71" spans="1:18" ht="45">
      <c r="A71" s="1690">
        <v>15</v>
      </c>
      <c r="B71" s="631"/>
      <c r="C71" s="630"/>
      <c r="D71" s="78"/>
      <c r="E71" s="630"/>
      <c r="F71" s="1671" t="s">
        <v>1484</v>
      </c>
      <c r="G71" s="1654" t="s">
        <v>465</v>
      </c>
      <c r="H71" s="1653"/>
      <c r="I71" s="1654" t="s">
        <v>468</v>
      </c>
      <c r="J71" s="1264"/>
      <c r="K71" s="1672">
        <f>'Sch. 10 Operating Fund - Exp'!D22</f>
        <v>0</v>
      </c>
      <c r="L71" s="1653"/>
      <c r="M71" s="1699">
        <f>'App H - Staffing Oct 31'!D41</f>
        <v>0</v>
      </c>
      <c r="N71" s="1653"/>
      <c r="O71" s="1672">
        <f>IF(M71=0,0,K71/M71)</f>
        <v>0</v>
      </c>
      <c r="P71" s="1672"/>
      <c r="Q71" s="1656" t="str">
        <f>IF(K71&gt;0,IF(M71=0,"Appendix H incomplete",""),IF(M71&gt;0,"Schedule 10 incomplete",""))</f>
        <v/>
      </c>
      <c r="R71" s="1264"/>
    </row>
    <row r="72" spans="1:18">
      <c r="A72" s="1690"/>
      <c r="B72" s="631"/>
      <c r="C72" s="630"/>
      <c r="D72" s="78"/>
      <c r="E72" s="630"/>
      <c r="F72" s="1671"/>
      <c r="G72" s="1654"/>
      <c r="H72" s="1653"/>
      <c r="I72" s="1654"/>
      <c r="J72" s="1264"/>
      <c r="K72" s="1672"/>
      <c r="L72" s="1653"/>
      <c r="M72" s="1699"/>
      <c r="N72" s="1653"/>
      <c r="O72" s="1672"/>
      <c r="P72" s="1672"/>
      <c r="Q72" s="1672"/>
      <c r="R72" s="1264"/>
    </row>
    <row r="73" spans="1:18">
      <c r="A73" s="1690"/>
      <c r="B73" s="1655"/>
      <c r="C73" s="1634"/>
      <c r="D73" s="1653"/>
      <c r="E73" s="1654"/>
      <c r="F73" s="1655"/>
      <c r="G73" s="1634"/>
      <c r="H73" s="1653"/>
      <c r="I73" s="1634"/>
      <c r="J73" s="1653"/>
      <c r="K73" s="1672"/>
      <c r="L73" s="1653"/>
      <c r="M73" s="1653"/>
      <c r="N73" s="1653"/>
      <c r="O73" s="1672"/>
      <c r="P73" s="1672"/>
      <c r="Q73" s="1672"/>
      <c r="R73" s="1653"/>
    </row>
  </sheetData>
  <sheetProtection password="C7B7" sheet="1" objects="1" scenarios="1"/>
  <phoneticPr fontId="0"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workbookViewId="0">
      <selection activeCell="G15" sqref="G15"/>
    </sheetView>
  </sheetViews>
  <sheetFormatPr defaultRowHeight="12.75"/>
  <cols>
    <col min="1" max="1" width="25.7109375" bestFit="1" customWidth="1"/>
    <col min="2" max="2" width="15.85546875" bestFit="1" customWidth="1"/>
  </cols>
  <sheetData>
    <row r="1" spans="1:2">
      <c r="A1" s="645" t="s">
        <v>2289</v>
      </c>
      <c r="B1" s="645" t="s">
        <v>2291</v>
      </c>
    </row>
    <row r="2" spans="1:2">
      <c r="A2" s="645" t="s">
        <v>2214</v>
      </c>
      <c r="B2" s="645">
        <v>0.95169999999999999</v>
      </c>
    </row>
    <row r="3" spans="1:2">
      <c r="A3" s="645">
        <v>0</v>
      </c>
      <c r="B3" s="645">
        <v>1.0313000000000001</v>
      </c>
    </row>
    <row r="4" spans="1:2">
      <c r="A4" s="645">
        <v>1</v>
      </c>
      <c r="B4" s="645">
        <v>1.1104000000000001</v>
      </c>
    </row>
    <row r="5" spans="1:2">
      <c r="A5" s="645">
        <v>2</v>
      </c>
      <c r="B5" s="645">
        <v>1.1899</v>
      </c>
    </row>
    <row r="6" spans="1:2">
      <c r="A6" s="645">
        <v>3</v>
      </c>
      <c r="B6" s="646">
        <v>1.2689999999999999</v>
      </c>
    </row>
    <row r="7" spans="1:2">
      <c r="A7" s="645" t="s">
        <v>2290</v>
      </c>
      <c r="B7" s="645">
        <v>1.3486</v>
      </c>
    </row>
  </sheetData>
  <sheetProtection password="C787" sheet="1"/>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10"/>
  </sheetPr>
  <dimension ref="A1:BQ34"/>
  <sheetViews>
    <sheetView workbookViewId="0">
      <pane xSplit="2" ySplit="4" topLeftCell="BD5" activePane="bottomRight" state="frozen"/>
      <selection activeCell="E32" sqref="E32"/>
      <selection pane="topRight" activeCell="E32" sqref="E32"/>
      <selection pane="bottomLeft" activeCell="E32" sqref="E32"/>
      <selection pane="bottomRight" activeCell="BN1" sqref="BN1:BN4"/>
    </sheetView>
  </sheetViews>
  <sheetFormatPr defaultRowHeight="12.75"/>
  <cols>
    <col min="2" max="2" width="25" bestFit="1" customWidth="1"/>
    <col min="3" max="16" width="9.7109375" customWidth="1"/>
    <col min="17" max="17" width="11.42578125" customWidth="1"/>
    <col min="18" max="18" width="10.42578125" hidden="1" customWidth="1"/>
    <col min="19" max="19" width="12" hidden="1" customWidth="1"/>
    <col min="20" max="20" width="9.7109375" customWidth="1"/>
    <col min="21" max="21" width="11.5703125" customWidth="1"/>
    <col min="22" max="25" width="9.7109375" customWidth="1"/>
    <col min="26" max="26" width="12.85546875" customWidth="1"/>
    <col min="27" max="27" width="13" customWidth="1"/>
    <col min="28" max="28" width="10.85546875" customWidth="1"/>
    <col min="29" max="29" width="10.7109375" customWidth="1"/>
    <col min="30" max="30" width="13" customWidth="1"/>
    <col min="31" max="33" width="13.5703125" customWidth="1"/>
    <col min="34" max="34" width="12.140625" customWidth="1"/>
    <col min="35" max="35" width="11.42578125" customWidth="1"/>
    <col min="36" max="36" width="11.7109375" customWidth="1"/>
    <col min="37" max="37" width="10.7109375" customWidth="1"/>
    <col min="38" max="38" width="10.140625" customWidth="1"/>
    <col min="39" max="39" width="11" customWidth="1"/>
    <col min="40" max="40" width="10.28515625" bestFit="1" customWidth="1"/>
    <col min="41" max="41" width="12.28515625" customWidth="1"/>
    <col min="42" max="43" width="10.5703125" customWidth="1"/>
    <col min="50" max="50" width="13" customWidth="1"/>
    <col min="53" max="53" width="13.7109375" customWidth="1"/>
  </cols>
  <sheetData>
    <row r="1" spans="1:69" ht="12.75" customHeight="1">
      <c r="A1" s="2465" t="s">
        <v>1892</v>
      </c>
      <c r="B1" s="2481" t="s">
        <v>2064</v>
      </c>
      <c r="C1" s="2470" t="s">
        <v>846</v>
      </c>
      <c r="D1" s="2482" t="s">
        <v>2445</v>
      </c>
      <c r="E1" s="2467" t="s">
        <v>847</v>
      </c>
      <c r="F1" s="2470" t="s">
        <v>1384</v>
      </c>
      <c r="G1" s="2470"/>
      <c r="H1" s="2470" t="s">
        <v>1220</v>
      </c>
      <c r="I1" s="2470"/>
      <c r="J1" s="2465" t="s">
        <v>1219</v>
      </c>
      <c r="K1" s="2470" t="s">
        <v>1538</v>
      </c>
      <c r="L1" s="2470" t="s">
        <v>1218</v>
      </c>
      <c r="M1" s="2470" t="s">
        <v>1216</v>
      </c>
      <c r="N1" s="2470" t="s">
        <v>1636</v>
      </c>
      <c r="O1" s="2470" t="s">
        <v>1221</v>
      </c>
      <c r="P1" s="2470" t="s">
        <v>1222</v>
      </c>
      <c r="Q1" s="2470" t="s">
        <v>1217</v>
      </c>
      <c r="R1" s="2470" t="s">
        <v>848</v>
      </c>
      <c r="S1" s="2470" t="s">
        <v>2179</v>
      </c>
      <c r="T1" s="2467" t="s">
        <v>387</v>
      </c>
      <c r="U1" s="2467" t="s">
        <v>417</v>
      </c>
      <c r="V1" s="2467" t="s">
        <v>1135</v>
      </c>
      <c r="W1" s="2467" t="s">
        <v>1136</v>
      </c>
      <c r="X1" s="2467" t="s">
        <v>863</v>
      </c>
      <c r="Y1" s="2470" t="s">
        <v>836</v>
      </c>
      <c r="Z1" s="2470" t="s">
        <v>837</v>
      </c>
      <c r="AA1" s="2484" t="s">
        <v>3101</v>
      </c>
      <c r="AB1" s="2467" t="s">
        <v>1581</v>
      </c>
      <c r="AC1" s="2465" t="s">
        <v>1653</v>
      </c>
      <c r="AD1" s="2470" t="s">
        <v>1114</v>
      </c>
      <c r="AE1" s="2474" t="s">
        <v>789</v>
      </c>
      <c r="AF1" s="2472" t="s">
        <v>3079</v>
      </c>
      <c r="AG1" s="2472" t="s">
        <v>3080</v>
      </c>
      <c r="AH1" s="2467" t="s">
        <v>860</v>
      </c>
      <c r="AI1" s="2467" t="s">
        <v>861</v>
      </c>
      <c r="AJ1" s="2470" t="s">
        <v>862</v>
      </c>
      <c r="AK1" s="2467" t="s">
        <v>1930</v>
      </c>
      <c r="AL1" s="2486" t="s">
        <v>3109</v>
      </c>
      <c r="AM1" s="2467" t="s">
        <v>1931</v>
      </c>
      <c r="AN1" s="2467" t="s">
        <v>1932</v>
      </c>
      <c r="AO1" s="2461" t="s">
        <v>2238</v>
      </c>
      <c r="AP1" s="2467" t="s">
        <v>132</v>
      </c>
      <c r="AQ1" s="2467" t="s">
        <v>2210</v>
      </c>
      <c r="AR1" s="2475" t="s">
        <v>2270</v>
      </c>
      <c r="AS1" s="2461" t="s">
        <v>2271</v>
      </c>
      <c r="AT1" s="2461" t="s">
        <v>2272</v>
      </c>
      <c r="AU1" s="2467" t="s">
        <v>2273</v>
      </c>
      <c r="AV1" s="2472" t="s">
        <v>3081</v>
      </c>
      <c r="AW1" s="2472" t="s">
        <v>3082</v>
      </c>
      <c r="AX1" s="2461" t="s">
        <v>2308</v>
      </c>
      <c r="AY1" s="2461" t="s">
        <v>2316</v>
      </c>
      <c r="AZ1" s="2461" t="s">
        <v>2443</v>
      </c>
      <c r="BA1" s="2485" t="s">
        <v>3108</v>
      </c>
      <c r="BB1" s="2461" t="s">
        <v>2692</v>
      </c>
      <c r="BC1" s="2461" t="s">
        <v>2873</v>
      </c>
      <c r="BD1" s="2461" t="s">
        <v>2897</v>
      </c>
      <c r="BE1" s="2461" t="s">
        <v>2899</v>
      </c>
      <c r="BF1" s="2461" t="s">
        <v>3154</v>
      </c>
      <c r="BG1" s="2460" t="s">
        <v>3157</v>
      </c>
      <c r="BH1" s="2461" t="s">
        <v>3130</v>
      </c>
      <c r="BI1" s="2461" t="s">
        <v>3143</v>
      </c>
      <c r="BJ1" s="2461" t="s">
        <v>3146</v>
      </c>
      <c r="BK1" s="2461" t="s">
        <v>3153</v>
      </c>
      <c r="BL1" s="2463" t="s">
        <v>3161</v>
      </c>
      <c r="BM1" s="2460" t="s">
        <v>3173</v>
      </c>
      <c r="BN1" s="2460" t="s">
        <v>3180</v>
      </c>
      <c r="BO1" s="2460" t="s">
        <v>3203</v>
      </c>
      <c r="BP1" s="2460" t="s">
        <v>3204</v>
      </c>
      <c r="BQ1" s="2467" t="s">
        <v>3230</v>
      </c>
    </row>
    <row r="2" spans="1:69">
      <c r="A2" s="2466"/>
      <c r="B2" s="2481"/>
      <c r="C2" s="2470"/>
      <c r="D2" s="2482"/>
      <c r="E2" s="2467"/>
      <c r="F2" s="2470"/>
      <c r="G2" s="2470"/>
      <c r="H2" s="2470"/>
      <c r="I2" s="2470"/>
      <c r="J2" s="2465"/>
      <c r="K2" s="2470"/>
      <c r="L2" s="2470"/>
      <c r="M2" s="2470"/>
      <c r="N2" s="2470"/>
      <c r="O2" s="2470"/>
      <c r="P2" s="2470"/>
      <c r="Q2" s="2470"/>
      <c r="R2" s="2470"/>
      <c r="S2" s="2470"/>
      <c r="T2" s="2467" t="s">
        <v>387</v>
      </c>
      <c r="U2" s="2467"/>
      <c r="V2" s="2467"/>
      <c r="W2" s="2467"/>
      <c r="X2" s="2467"/>
      <c r="Y2" s="2470"/>
      <c r="Z2" s="2470"/>
      <c r="AA2" s="2484"/>
      <c r="AB2" s="2467"/>
      <c r="AC2" s="2465"/>
      <c r="AD2" s="2470"/>
      <c r="AE2" s="2473"/>
      <c r="AF2" s="2473"/>
      <c r="AG2" s="2473"/>
      <c r="AH2" s="2467"/>
      <c r="AI2" s="2467"/>
      <c r="AJ2" s="2470"/>
      <c r="AK2" s="2467"/>
      <c r="AL2" s="2487"/>
      <c r="AM2" s="2467"/>
      <c r="AN2" s="2467"/>
      <c r="AO2" s="2469"/>
      <c r="AP2" s="2467"/>
      <c r="AQ2" s="2467"/>
      <c r="AR2" s="2476"/>
      <c r="AS2" s="2462"/>
      <c r="AT2" s="2462"/>
      <c r="AU2" s="2467"/>
      <c r="AV2" s="2473"/>
      <c r="AW2" s="2473"/>
      <c r="AX2" s="2462"/>
      <c r="AY2" s="2462"/>
      <c r="AZ2" s="2462"/>
      <c r="BA2" s="2485"/>
      <c r="BB2" s="2462"/>
      <c r="BC2" s="2462"/>
      <c r="BD2" s="2462"/>
      <c r="BE2" s="2462"/>
      <c r="BF2" s="2462"/>
      <c r="BG2" s="2462"/>
      <c r="BH2" s="2462"/>
      <c r="BI2" s="2462"/>
      <c r="BJ2" s="2462"/>
      <c r="BK2" s="2461"/>
      <c r="BL2" s="2464"/>
      <c r="BM2" s="2461"/>
      <c r="BN2" s="2461"/>
      <c r="BO2" s="2461"/>
      <c r="BP2" s="2461"/>
      <c r="BQ2" s="2467"/>
    </row>
    <row r="3" spans="1:69">
      <c r="A3" s="2466"/>
      <c r="B3" s="2481"/>
      <c r="C3" s="2471"/>
      <c r="D3" s="2483"/>
      <c r="E3" s="2468"/>
      <c r="F3" s="2471"/>
      <c r="G3" s="2471"/>
      <c r="H3" s="2471"/>
      <c r="I3" s="2471"/>
      <c r="J3" s="2466"/>
      <c r="K3" s="2471"/>
      <c r="L3" s="2471"/>
      <c r="M3" s="2471"/>
      <c r="N3" s="2471"/>
      <c r="O3" s="2471"/>
      <c r="P3" s="2471"/>
      <c r="Q3" s="2471"/>
      <c r="R3" s="2471"/>
      <c r="S3" s="2471"/>
      <c r="T3" s="2468"/>
      <c r="U3" s="2468"/>
      <c r="V3" s="2468"/>
      <c r="W3" s="2468"/>
      <c r="X3" s="2468"/>
      <c r="Y3" s="2471"/>
      <c r="Z3" s="2471"/>
      <c r="AA3" s="2484"/>
      <c r="AB3" s="2468"/>
      <c r="AC3" s="2466"/>
      <c r="AD3" s="2471"/>
      <c r="AE3" s="2473"/>
      <c r="AF3" s="2473"/>
      <c r="AG3" s="2473"/>
      <c r="AH3" s="2468"/>
      <c r="AI3" s="2468"/>
      <c r="AJ3" s="2471"/>
      <c r="AK3" s="2468"/>
      <c r="AL3" s="2487"/>
      <c r="AM3" s="2468"/>
      <c r="AN3" s="2468"/>
      <c r="AO3" s="2469"/>
      <c r="AP3" s="2468"/>
      <c r="AQ3" s="2468"/>
      <c r="AR3" s="2476"/>
      <c r="AS3" s="2462"/>
      <c r="AT3" s="2462"/>
      <c r="AU3" s="2468"/>
      <c r="AV3" s="2473"/>
      <c r="AW3" s="2473"/>
      <c r="AX3" s="2462"/>
      <c r="AY3" s="2462"/>
      <c r="AZ3" s="2462"/>
      <c r="BA3" s="2485"/>
      <c r="BB3" s="2462"/>
      <c r="BC3" s="2462"/>
      <c r="BD3" s="2462"/>
      <c r="BE3" s="2462"/>
      <c r="BF3" s="2462"/>
      <c r="BG3" s="2462"/>
      <c r="BH3" s="2462"/>
      <c r="BI3" s="2462"/>
      <c r="BJ3" s="2462"/>
      <c r="BK3" s="2461"/>
      <c r="BL3" s="2464"/>
      <c r="BM3" s="2461"/>
      <c r="BN3" s="2461"/>
      <c r="BO3" s="2461"/>
      <c r="BP3" s="2461"/>
      <c r="BQ3" s="2468"/>
    </row>
    <row r="4" spans="1:69" ht="40.9" customHeight="1">
      <c r="A4" s="2466"/>
      <c r="B4" s="2481"/>
      <c r="C4" s="2471"/>
      <c r="D4" s="2483"/>
      <c r="E4" s="2468"/>
      <c r="F4" s="2471"/>
      <c r="G4" s="2471"/>
      <c r="H4" s="2471"/>
      <c r="I4" s="2471"/>
      <c r="J4" s="2466"/>
      <c r="K4" s="2471"/>
      <c r="L4" s="2471"/>
      <c r="M4" s="2471"/>
      <c r="N4" s="2471"/>
      <c r="O4" s="2471"/>
      <c r="P4" s="2471"/>
      <c r="Q4" s="2471"/>
      <c r="R4" s="2471"/>
      <c r="S4" s="2471"/>
      <c r="T4" s="2468"/>
      <c r="U4" s="2468"/>
      <c r="V4" s="2468"/>
      <c r="W4" s="2468"/>
      <c r="X4" s="2468"/>
      <c r="Y4" s="2471"/>
      <c r="Z4" s="2471"/>
      <c r="AA4" s="2484"/>
      <c r="AB4" s="2468"/>
      <c r="AC4" s="2466"/>
      <c r="AD4" s="2471"/>
      <c r="AE4" s="2473"/>
      <c r="AF4" s="2473"/>
      <c r="AG4" s="2473"/>
      <c r="AH4" s="2468"/>
      <c r="AI4" s="2468"/>
      <c r="AJ4" s="2471"/>
      <c r="AK4" s="2468"/>
      <c r="AL4" s="2487"/>
      <c r="AM4" s="2468"/>
      <c r="AN4" s="2468"/>
      <c r="AO4" s="2469"/>
      <c r="AP4" s="2468"/>
      <c r="AQ4" s="2468"/>
      <c r="AR4" s="2476"/>
      <c r="AS4" s="2462"/>
      <c r="AT4" s="2462"/>
      <c r="AU4" s="2468"/>
      <c r="AV4" s="2473"/>
      <c r="AW4" s="2473"/>
      <c r="AX4" s="2462"/>
      <c r="AY4" s="2462"/>
      <c r="AZ4" s="2462"/>
      <c r="BA4" s="2485"/>
      <c r="BB4" s="2462"/>
      <c r="BC4" s="2462"/>
      <c r="BD4" s="2462"/>
      <c r="BE4" s="2462"/>
      <c r="BF4" s="2462"/>
      <c r="BG4" s="2462"/>
      <c r="BH4" s="2462"/>
      <c r="BI4" s="2462"/>
      <c r="BJ4" s="2462"/>
      <c r="BK4" s="2461"/>
      <c r="BL4" s="2464"/>
      <c r="BM4" s="2461"/>
      <c r="BN4" s="2461"/>
      <c r="BO4" s="2461"/>
      <c r="BP4" s="2461"/>
      <c r="BQ4" s="2468"/>
    </row>
    <row r="5" spans="1:69">
      <c r="A5" s="212">
        <v>15148</v>
      </c>
      <c r="B5" s="213" t="s">
        <v>850</v>
      </c>
      <c r="C5" s="214">
        <v>1113</v>
      </c>
      <c r="D5" s="2357">
        <v>125672</v>
      </c>
      <c r="E5" s="657">
        <v>6014</v>
      </c>
      <c r="F5" s="214">
        <v>0</v>
      </c>
      <c r="G5" s="214"/>
      <c r="H5" s="600">
        <v>415555</v>
      </c>
      <c r="I5" s="214"/>
      <c r="J5" s="214">
        <v>1150</v>
      </c>
      <c r="K5" s="300">
        <v>1677</v>
      </c>
      <c r="L5" s="214">
        <v>3</v>
      </c>
      <c r="M5" s="214">
        <v>12300</v>
      </c>
      <c r="N5" s="398">
        <v>0</v>
      </c>
      <c r="O5" s="192">
        <v>2</v>
      </c>
      <c r="P5" s="193">
        <v>5394</v>
      </c>
      <c r="Q5" s="190"/>
      <c r="R5" s="214">
        <v>3699</v>
      </c>
      <c r="S5" s="214">
        <v>800</v>
      </c>
      <c r="T5" s="657">
        <f>ROUND(4884*1.03,0)</f>
        <v>5031</v>
      </c>
      <c r="U5" s="657">
        <v>645051</v>
      </c>
      <c r="V5" s="657">
        <v>88496</v>
      </c>
      <c r="W5" s="657">
        <v>12875</v>
      </c>
      <c r="X5" s="657">
        <f>AC20</f>
        <v>9320.3349999999991</v>
      </c>
      <c r="Y5" s="214">
        <v>0</v>
      </c>
      <c r="Z5" s="214">
        <v>0</v>
      </c>
      <c r="AA5" s="1888">
        <v>42317</v>
      </c>
      <c r="AB5" s="657">
        <v>14052</v>
      </c>
      <c r="AC5" s="299">
        <v>500</v>
      </c>
      <c r="AD5" s="214">
        <v>1</v>
      </c>
      <c r="AE5" s="192">
        <v>0</v>
      </c>
      <c r="AF5" s="641">
        <v>0</v>
      </c>
      <c r="AG5" s="641">
        <v>156.5</v>
      </c>
      <c r="AH5" s="657">
        <v>0</v>
      </c>
      <c r="AI5" s="657">
        <v>0</v>
      </c>
      <c r="AJ5" s="192">
        <v>0</v>
      </c>
      <c r="AK5" s="657"/>
      <c r="AL5" s="190"/>
      <c r="AM5" s="657"/>
      <c r="AN5" s="659">
        <v>5883</v>
      </c>
      <c r="AO5" s="643">
        <f>AG20</f>
        <v>18814</v>
      </c>
      <c r="AP5" s="657"/>
      <c r="AQ5" s="657">
        <v>0</v>
      </c>
      <c r="AR5" s="1078"/>
      <c r="AS5" s="639"/>
      <c r="AT5" s="639"/>
      <c r="AU5" s="657"/>
      <c r="AV5" s="641">
        <v>0</v>
      </c>
      <c r="AW5" s="641">
        <v>0</v>
      </c>
      <c r="AX5" s="668">
        <v>415555</v>
      </c>
      <c r="AY5" s="669">
        <v>0</v>
      </c>
      <c r="AZ5" s="643">
        <v>1000</v>
      </c>
      <c r="BA5" s="1888">
        <v>0</v>
      </c>
      <c r="BB5">
        <v>150000</v>
      </c>
      <c r="BC5">
        <v>750</v>
      </c>
      <c r="BD5">
        <v>105000</v>
      </c>
      <c r="BE5" s="2187">
        <v>0</v>
      </c>
      <c r="BF5">
        <v>4555</v>
      </c>
      <c r="BG5" s="2421">
        <v>40955.1</v>
      </c>
      <c r="BH5" s="1719">
        <v>11087</v>
      </c>
      <c r="BI5" s="1719">
        <v>69783</v>
      </c>
      <c r="BJ5" s="1719">
        <v>1562.75</v>
      </c>
      <c r="BK5" s="1719">
        <v>95543</v>
      </c>
      <c r="BL5" s="2369">
        <v>3725</v>
      </c>
      <c r="BM5" s="1719">
        <f>2013*1</f>
        <v>2013</v>
      </c>
      <c r="BN5" s="1719">
        <v>18290</v>
      </c>
      <c r="BO5" s="1719">
        <v>2869</v>
      </c>
      <c r="BP5" s="1719">
        <v>1912</v>
      </c>
      <c r="BQ5" s="1888"/>
    </row>
    <row r="6" spans="1:69" ht="15">
      <c r="A6" s="212">
        <v>15199</v>
      </c>
      <c r="B6" s="213" t="s">
        <v>1030</v>
      </c>
      <c r="C6" s="214">
        <v>1113</v>
      </c>
      <c r="D6" s="2357">
        <v>73251</v>
      </c>
      <c r="E6" s="657">
        <v>4098</v>
      </c>
      <c r="F6" s="600">
        <v>101373</v>
      </c>
      <c r="G6" s="214"/>
      <c r="H6" s="214"/>
      <c r="I6" s="214"/>
      <c r="J6" s="214">
        <v>1150</v>
      </c>
      <c r="K6" s="300">
        <v>8588</v>
      </c>
      <c r="L6" s="214">
        <v>5</v>
      </c>
      <c r="M6" s="214">
        <v>20796</v>
      </c>
      <c r="N6" s="190"/>
      <c r="O6" s="192">
        <v>2</v>
      </c>
      <c r="P6" s="387">
        <v>4693</v>
      </c>
      <c r="Q6" s="190"/>
      <c r="R6" s="214">
        <v>4161</v>
      </c>
      <c r="S6" s="214">
        <v>800</v>
      </c>
      <c r="T6" s="657">
        <f>ROUND(5390*1.03,0)</f>
        <v>5552</v>
      </c>
      <c r="U6" s="657">
        <v>311849</v>
      </c>
      <c r="V6" s="657">
        <v>0</v>
      </c>
      <c r="W6" s="657">
        <v>0</v>
      </c>
      <c r="X6" s="657">
        <v>0</v>
      </c>
      <c r="Y6" s="214">
        <v>0</v>
      </c>
      <c r="Z6" s="214">
        <v>0</v>
      </c>
      <c r="AA6" s="1888">
        <v>0</v>
      </c>
      <c r="AB6" s="657">
        <v>23101</v>
      </c>
      <c r="AC6" s="299">
        <v>500</v>
      </c>
      <c r="AD6" s="214">
        <v>1</v>
      </c>
      <c r="AE6" s="192">
        <v>0</v>
      </c>
      <c r="AF6" s="641">
        <f>46+76</f>
        <v>122</v>
      </c>
      <c r="AG6" s="641">
        <v>0</v>
      </c>
      <c r="AH6" s="657">
        <v>0</v>
      </c>
      <c r="AI6" s="657">
        <v>0</v>
      </c>
      <c r="AJ6" s="192">
        <v>0</v>
      </c>
      <c r="AK6" s="657">
        <v>86397</v>
      </c>
      <c r="AL6" s="642">
        <f>AN23</f>
        <v>2866.65</v>
      </c>
      <c r="AM6" s="657">
        <v>7500</v>
      </c>
      <c r="AN6" s="657"/>
      <c r="AO6" s="387"/>
      <c r="AP6" s="657"/>
      <c r="AQ6" s="657">
        <v>0</v>
      </c>
      <c r="AR6" s="1079">
        <v>10000</v>
      </c>
      <c r="AS6" s="639"/>
      <c r="AT6" s="639"/>
      <c r="AU6" s="657">
        <v>1389.87</v>
      </c>
      <c r="AV6" s="641">
        <v>82</v>
      </c>
      <c r="AW6" s="641">
        <v>124</v>
      </c>
      <c r="AX6" s="668">
        <v>101373</v>
      </c>
      <c r="AY6" s="669">
        <v>0</v>
      </c>
      <c r="AZ6" s="643">
        <v>1000</v>
      </c>
      <c r="BA6" s="1888">
        <v>0</v>
      </c>
      <c r="BB6">
        <v>150000</v>
      </c>
      <c r="BC6">
        <v>750</v>
      </c>
      <c r="BD6">
        <v>0</v>
      </c>
      <c r="BE6" s="2187">
        <f>50798.78/4</f>
        <v>12699.695</v>
      </c>
      <c r="BF6">
        <v>4300</v>
      </c>
      <c r="BG6" s="2421">
        <v>45757.3</v>
      </c>
      <c r="BH6" s="1719">
        <v>19261</v>
      </c>
      <c r="BI6" s="1719">
        <v>102701</v>
      </c>
      <c r="BJ6" s="1719">
        <v>1927</v>
      </c>
      <c r="BK6" s="1719">
        <v>62855</v>
      </c>
      <c r="BL6" s="2369">
        <v>41229</v>
      </c>
      <c r="BM6" s="1719">
        <f>2013*2</f>
        <v>4026</v>
      </c>
      <c r="BN6" s="1719">
        <v>18082</v>
      </c>
      <c r="BO6" s="1719">
        <v>3110</v>
      </c>
      <c r="BP6" s="1719">
        <v>2073</v>
      </c>
      <c r="BQ6" s="1888"/>
    </row>
    <row r="7" spans="1:69" ht="15">
      <c r="A7" s="212">
        <v>15202</v>
      </c>
      <c r="B7" s="213" t="s">
        <v>1031</v>
      </c>
      <c r="C7" s="214">
        <v>1113</v>
      </c>
      <c r="D7" s="2357">
        <f>300053-22050</f>
        <v>278003</v>
      </c>
      <c r="E7" s="657">
        <v>10354</v>
      </c>
      <c r="F7" s="600">
        <v>101525</v>
      </c>
      <c r="G7" s="214"/>
      <c r="H7" s="214"/>
      <c r="I7" s="214"/>
      <c r="J7" s="214">
        <v>1150</v>
      </c>
      <c r="K7" s="300">
        <v>277</v>
      </c>
      <c r="L7" s="214">
        <v>5</v>
      </c>
      <c r="M7" s="214">
        <v>18350</v>
      </c>
      <c r="N7" s="190"/>
      <c r="O7" s="192">
        <v>2</v>
      </c>
      <c r="P7" s="387">
        <v>3154</v>
      </c>
      <c r="Q7" s="190"/>
      <c r="R7" s="214">
        <v>2797</v>
      </c>
      <c r="S7" s="214">
        <v>800</v>
      </c>
      <c r="T7" s="657">
        <f>ROUND(3895*1.03,0)</f>
        <v>4012</v>
      </c>
      <c r="U7" s="657">
        <v>249602</v>
      </c>
      <c r="V7" s="657">
        <v>0</v>
      </c>
      <c r="W7" s="657">
        <v>0</v>
      </c>
      <c r="X7" s="657">
        <v>0</v>
      </c>
      <c r="Y7" s="214">
        <v>0</v>
      </c>
      <c r="Z7" s="214">
        <v>0</v>
      </c>
      <c r="AA7" s="1888">
        <v>0</v>
      </c>
      <c r="AB7" s="657">
        <v>20621</v>
      </c>
      <c r="AC7" s="299">
        <v>500</v>
      </c>
      <c r="AD7" s="214">
        <v>1</v>
      </c>
      <c r="AE7" s="192">
        <v>0</v>
      </c>
      <c r="AF7" s="641">
        <v>108</v>
      </c>
      <c r="AG7" s="641">
        <v>0</v>
      </c>
      <c r="AH7" s="657">
        <v>88496</v>
      </c>
      <c r="AI7" s="657">
        <v>12875</v>
      </c>
      <c r="AJ7" s="642">
        <f>AN19</f>
        <v>2748.0299999999997</v>
      </c>
      <c r="AK7" s="657"/>
      <c r="AL7" s="387"/>
      <c r="AM7" s="657"/>
      <c r="AN7" s="657"/>
      <c r="AO7" s="387"/>
      <c r="AP7" s="657"/>
      <c r="AQ7" s="657">
        <v>0</v>
      </c>
      <c r="AR7" s="1079">
        <v>10000</v>
      </c>
      <c r="AS7" s="639"/>
      <c r="AT7" s="639"/>
      <c r="AU7" s="657"/>
      <c r="AV7" s="641">
        <v>52</v>
      </c>
      <c r="AW7" s="641">
        <v>105</v>
      </c>
      <c r="AX7" s="668">
        <v>101525</v>
      </c>
      <c r="AY7" s="669">
        <v>0</v>
      </c>
      <c r="AZ7" s="643">
        <v>1000</v>
      </c>
      <c r="BA7" s="1888">
        <v>21662.699299999862</v>
      </c>
      <c r="BB7">
        <v>150000</v>
      </c>
      <c r="BC7">
        <v>750</v>
      </c>
      <c r="BD7">
        <v>0</v>
      </c>
      <c r="BE7" s="2187">
        <f t="shared" ref="BE7:BE8" si="0">50798.78/4</f>
        <v>12699.695</v>
      </c>
      <c r="BF7">
        <v>4438</v>
      </c>
      <c r="BG7" s="2421">
        <v>43134.559999999998</v>
      </c>
      <c r="BH7" s="1719">
        <v>15220</v>
      </c>
      <c r="BI7" s="1719">
        <v>89415</v>
      </c>
      <c r="BJ7" s="1719">
        <v>1950.5</v>
      </c>
      <c r="BK7" s="1719">
        <v>153835</v>
      </c>
      <c r="BL7" s="2369">
        <v>184140</v>
      </c>
      <c r="BM7" s="1719">
        <f>2013*2</f>
        <v>4026</v>
      </c>
      <c r="BN7" s="1719">
        <v>25905</v>
      </c>
      <c r="BO7" s="1719">
        <v>2688</v>
      </c>
      <c r="BP7" s="1719">
        <v>1792</v>
      </c>
      <c r="BQ7" s="1888"/>
    </row>
    <row r="8" spans="1:69" ht="15">
      <c r="A8" s="212">
        <v>79910</v>
      </c>
      <c r="B8" s="1914" t="s">
        <v>849</v>
      </c>
      <c r="C8" s="214">
        <v>647</v>
      </c>
      <c r="D8" s="2357">
        <v>163961.3799</v>
      </c>
      <c r="E8" s="657">
        <v>8068</v>
      </c>
      <c r="F8" s="600">
        <v>107869</v>
      </c>
      <c r="G8" s="214"/>
      <c r="H8" s="214"/>
      <c r="I8" s="214"/>
      <c r="J8" s="191">
        <v>140</v>
      </c>
      <c r="K8" s="300">
        <v>619</v>
      </c>
      <c r="L8" s="214">
        <v>8</v>
      </c>
      <c r="M8" s="214">
        <v>25200</v>
      </c>
      <c r="N8" s="193"/>
      <c r="O8" s="192">
        <v>1</v>
      </c>
      <c r="P8" s="193">
        <v>1954.59</v>
      </c>
      <c r="Q8" s="190"/>
      <c r="R8" s="214">
        <v>1733</v>
      </c>
      <c r="S8" s="214">
        <v>800</v>
      </c>
      <c r="T8" s="657">
        <f>ROUND(2731*1.03,0)</f>
        <v>2813</v>
      </c>
      <c r="U8" s="657">
        <v>56455</v>
      </c>
      <c r="V8" s="657">
        <v>0</v>
      </c>
      <c r="W8" s="657">
        <v>0</v>
      </c>
      <c r="X8" s="657">
        <v>0</v>
      </c>
      <c r="Y8" s="214">
        <v>0</v>
      </c>
      <c r="Z8" s="214">
        <v>0</v>
      </c>
      <c r="AA8" s="1888">
        <v>0</v>
      </c>
      <c r="AB8" s="657">
        <v>18029</v>
      </c>
      <c r="AC8" s="299">
        <v>500</v>
      </c>
      <c r="AD8" s="214">
        <v>1</v>
      </c>
      <c r="AE8" s="192">
        <v>0</v>
      </c>
      <c r="AF8" s="641">
        <v>121</v>
      </c>
      <c r="AG8" s="641">
        <v>0</v>
      </c>
      <c r="AH8" s="657">
        <v>0</v>
      </c>
      <c r="AI8" s="657">
        <v>0</v>
      </c>
      <c r="AJ8" s="192">
        <v>0</v>
      </c>
      <c r="AK8" s="657"/>
      <c r="AL8" s="190"/>
      <c r="AM8" s="657"/>
      <c r="AN8" s="657"/>
      <c r="AO8" s="387"/>
      <c r="AP8" s="657">
        <v>0</v>
      </c>
      <c r="AQ8" s="657">
        <v>0</v>
      </c>
      <c r="AR8" s="1079">
        <v>10000</v>
      </c>
      <c r="AS8" s="639"/>
      <c r="AT8" s="639"/>
      <c r="AU8" s="657"/>
      <c r="AV8" s="641">
        <v>47</v>
      </c>
      <c r="AW8" s="641">
        <v>71</v>
      </c>
      <c r="AX8" s="668">
        <v>107869</v>
      </c>
      <c r="AY8" s="2330">
        <v>123113</v>
      </c>
      <c r="AZ8" s="643">
        <v>1000</v>
      </c>
      <c r="BA8" s="1888">
        <v>27877</v>
      </c>
      <c r="BB8">
        <v>150000</v>
      </c>
      <c r="BC8">
        <v>750</v>
      </c>
      <c r="BD8">
        <v>0</v>
      </c>
      <c r="BE8" s="2187">
        <f t="shared" si="0"/>
        <v>12699.695</v>
      </c>
      <c r="BF8">
        <v>3949</v>
      </c>
      <c r="BG8" s="2421">
        <v>33229.4</v>
      </c>
      <c r="BH8" s="1719">
        <v>12891</v>
      </c>
      <c r="BI8" s="1719">
        <v>70176</v>
      </c>
      <c r="BJ8" s="1719">
        <v>1328.22</v>
      </c>
      <c r="BK8" s="1719">
        <v>-33016</v>
      </c>
      <c r="BL8" s="2369">
        <v>299693</v>
      </c>
      <c r="BM8" s="1719">
        <f>2013*2</f>
        <v>4026</v>
      </c>
      <c r="BN8" s="1719">
        <v>632</v>
      </c>
      <c r="BO8" s="1719">
        <v>2513</v>
      </c>
      <c r="BP8" s="1719">
        <v>1676</v>
      </c>
      <c r="BQ8" s="1888"/>
    </row>
    <row r="9" spans="1:69" ht="15">
      <c r="A9" s="215"/>
      <c r="B9" s="215"/>
      <c r="C9" s="220"/>
      <c r="D9" s="2358"/>
      <c r="E9" s="658"/>
      <c r="F9" s="215"/>
      <c r="G9" s="215"/>
      <c r="H9" s="215"/>
      <c r="I9" s="215"/>
      <c r="J9" s="215"/>
      <c r="K9" s="215"/>
      <c r="L9" s="215"/>
      <c r="M9" s="215"/>
      <c r="N9" s="215"/>
      <c r="O9" s="215"/>
      <c r="P9" s="215"/>
      <c r="Q9" s="215"/>
      <c r="R9" s="215"/>
      <c r="S9" s="215"/>
      <c r="T9" s="658"/>
      <c r="U9" s="658"/>
      <c r="V9" s="658"/>
      <c r="W9" s="658"/>
      <c r="X9" s="658"/>
      <c r="Y9" s="215"/>
      <c r="Z9" s="215"/>
      <c r="AA9" s="215"/>
      <c r="AB9" s="658"/>
      <c r="AC9" s="299"/>
      <c r="AD9" s="190"/>
      <c r="AE9" s="190"/>
      <c r="AF9" s="190"/>
      <c r="AG9" s="190"/>
      <c r="AH9" s="658"/>
      <c r="AI9" s="658"/>
      <c r="AJ9" s="190"/>
      <c r="AK9" s="658"/>
      <c r="AL9" s="190"/>
      <c r="AM9" s="658"/>
      <c r="AN9" s="658"/>
      <c r="AO9" s="190"/>
      <c r="AP9" s="658"/>
      <c r="AQ9" s="658"/>
      <c r="AR9" s="1079"/>
      <c r="AS9" s="640"/>
      <c r="AT9" s="640"/>
      <c r="AU9" s="658"/>
      <c r="AX9" s="640"/>
      <c r="AY9" s="2354" t="s">
        <v>2917</v>
      </c>
      <c r="BA9" s="2185"/>
      <c r="BE9" s="2187"/>
      <c r="BL9" s="2370"/>
      <c r="BQ9" s="2420"/>
    </row>
    <row r="10" spans="1:69">
      <c r="A10" s="266">
        <v>1</v>
      </c>
      <c r="B10" s="267">
        <v>2</v>
      </c>
      <c r="C10" s="268">
        <v>3</v>
      </c>
      <c r="D10" s="2186">
        <v>4</v>
      </c>
      <c r="E10" s="659">
        <v>5</v>
      </c>
      <c r="F10" s="267">
        <v>6</v>
      </c>
      <c r="G10" s="268">
        <v>7</v>
      </c>
      <c r="H10" s="267">
        <v>8</v>
      </c>
      <c r="I10" s="268">
        <v>9</v>
      </c>
      <c r="J10" s="267">
        <v>10</v>
      </c>
      <c r="K10" s="269">
        <v>11</v>
      </c>
      <c r="L10" s="267">
        <v>12</v>
      </c>
      <c r="M10" s="268">
        <v>13</v>
      </c>
      <c r="N10" s="267">
        <v>14</v>
      </c>
      <c r="O10" s="268">
        <v>15</v>
      </c>
      <c r="P10" s="267">
        <v>16</v>
      </c>
      <c r="Q10" s="268">
        <v>17</v>
      </c>
      <c r="R10" s="267">
        <v>18</v>
      </c>
      <c r="S10" s="268">
        <v>19</v>
      </c>
      <c r="T10" s="659">
        <v>20</v>
      </c>
      <c r="U10" s="659">
        <v>21</v>
      </c>
      <c r="V10" s="659">
        <v>22</v>
      </c>
      <c r="W10" s="659">
        <v>23</v>
      </c>
      <c r="X10" s="659">
        <v>24</v>
      </c>
      <c r="Y10" s="267">
        <v>25</v>
      </c>
      <c r="Z10" s="268">
        <v>26</v>
      </c>
      <c r="AA10" s="267">
        <v>27</v>
      </c>
      <c r="AB10" s="659">
        <v>28</v>
      </c>
      <c r="AC10" s="268">
        <v>29</v>
      </c>
      <c r="AD10" s="267">
        <v>30</v>
      </c>
      <c r="AE10" s="263">
        <v>31</v>
      </c>
      <c r="AF10" s="263">
        <v>32</v>
      </c>
      <c r="AG10" s="263">
        <v>33</v>
      </c>
      <c r="AH10" s="659">
        <v>34</v>
      </c>
      <c r="AI10" s="659">
        <v>35</v>
      </c>
      <c r="AJ10" s="263">
        <v>36</v>
      </c>
      <c r="AK10" s="659">
        <v>37</v>
      </c>
      <c r="AL10" s="263">
        <v>38</v>
      </c>
      <c r="AM10" s="659">
        <v>39</v>
      </c>
      <c r="AN10" s="659">
        <v>40</v>
      </c>
      <c r="AO10" s="396">
        <v>41</v>
      </c>
      <c r="AP10" s="659">
        <v>42</v>
      </c>
      <c r="AQ10" s="659">
        <v>43</v>
      </c>
      <c r="AR10" s="1080">
        <v>44</v>
      </c>
      <c r="AS10" s="263">
        <v>45</v>
      </c>
      <c r="AT10" s="263">
        <v>46</v>
      </c>
      <c r="AU10" s="659">
        <v>47</v>
      </c>
      <c r="AV10" s="263">
        <v>48</v>
      </c>
      <c r="AW10" s="263">
        <v>49</v>
      </c>
      <c r="AX10" s="263">
        <v>50</v>
      </c>
      <c r="AY10" s="263">
        <v>51</v>
      </c>
      <c r="AZ10" s="263">
        <v>52</v>
      </c>
      <c r="BA10" s="2186">
        <v>53</v>
      </c>
      <c r="BB10" s="267">
        <v>54</v>
      </c>
      <c r="BC10" s="267">
        <v>55</v>
      </c>
      <c r="BD10" s="267">
        <v>56</v>
      </c>
      <c r="BE10" s="2186">
        <v>57</v>
      </c>
      <c r="BF10" s="267">
        <v>58</v>
      </c>
      <c r="BG10" s="267">
        <v>59</v>
      </c>
      <c r="BH10" s="267">
        <v>60</v>
      </c>
      <c r="BI10" s="267">
        <v>61</v>
      </c>
      <c r="BJ10" s="267">
        <v>62</v>
      </c>
      <c r="BK10" s="267">
        <v>63</v>
      </c>
      <c r="BL10" s="2371">
        <v>64</v>
      </c>
      <c r="BM10" s="267">
        <v>65</v>
      </c>
      <c r="BN10" s="267">
        <v>66</v>
      </c>
      <c r="BO10" s="267">
        <v>67</v>
      </c>
      <c r="BP10" s="267">
        <v>68</v>
      </c>
      <c r="BQ10" s="659">
        <v>69</v>
      </c>
    </row>
    <row r="11" spans="1:69" ht="25.5">
      <c r="A11" s="215"/>
      <c r="B11" s="215"/>
      <c r="C11" s="215"/>
      <c r="D11" s="2358"/>
      <c r="E11" s="658"/>
      <c r="F11" s="215"/>
      <c r="G11" s="215"/>
      <c r="H11" s="215"/>
      <c r="I11" s="215"/>
      <c r="J11" s="215"/>
      <c r="K11" s="215"/>
      <c r="L11" s="215"/>
      <c r="M11" s="215"/>
      <c r="N11" s="215"/>
      <c r="O11" s="215"/>
      <c r="P11" s="215"/>
      <c r="Q11" s="215"/>
      <c r="R11" s="215"/>
      <c r="S11" s="215"/>
      <c r="T11" s="658"/>
      <c r="U11" s="658"/>
      <c r="V11" s="658"/>
      <c r="W11" s="658"/>
      <c r="X11" s="658"/>
      <c r="Y11" s="215"/>
      <c r="Z11" s="215"/>
      <c r="AA11" s="215"/>
      <c r="AB11" s="658"/>
      <c r="AC11" s="215"/>
      <c r="AD11" s="190"/>
      <c r="AE11" s="190"/>
      <c r="AF11" s="190"/>
      <c r="AG11" s="190"/>
      <c r="AH11" s="658"/>
      <c r="AI11" s="658"/>
      <c r="AJ11" s="190"/>
      <c r="AK11" s="658"/>
      <c r="AL11" s="190"/>
      <c r="AM11" s="658"/>
      <c r="AN11" s="658"/>
      <c r="AO11" s="190"/>
      <c r="AP11" s="658"/>
      <c r="AQ11" s="658"/>
      <c r="AR11" s="1081"/>
      <c r="AU11" s="658"/>
      <c r="BA11" s="2187"/>
      <c r="BB11" s="2414" t="s">
        <v>3219</v>
      </c>
      <c r="BC11" s="2170" t="s">
        <v>3221</v>
      </c>
      <c r="BD11" s="2170" t="s">
        <v>3221</v>
      </c>
      <c r="BE11" s="2352" t="s">
        <v>2917</v>
      </c>
      <c r="BF11" s="2170" t="s">
        <v>2237</v>
      </c>
      <c r="BG11" s="2170" t="s">
        <v>3211</v>
      </c>
      <c r="BH11" s="2170" t="s">
        <v>3224</v>
      </c>
      <c r="BI11" s="2170" t="s">
        <v>3224</v>
      </c>
      <c r="BJ11" s="2170" t="s">
        <v>3224</v>
      </c>
      <c r="BK11" s="2170" t="s">
        <v>3224</v>
      </c>
      <c r="BL11" s="2372" t="s">
        <v>3162</v>
      </c>
      <c r="BM11" s="2170" t="s">
        <v>3224</v>
      </c>
      <c r="BN11" s="2170" t="s">
        <v>3224</v>
      </c>
      <c r="BO11" s="2170" t="s">
        <v>3224</v>
      </c>
      <c r="BP11" s="2170" t="s">
        <v>3224</v>
      </c>
      <c r="BQ11" s="2420" t="s">
        <v>3231</v>
      </c>
    </row>
    <row r="12" spans="1:69">
      <c r="A12" s="190"/>
      <c r="B12" s="190"/>
      <c r="C12" s="635" t="s">
        <v>789</v>
      </c>
      <c r="D12" s="2359" t="s">
        <v>789</v>
      </c>
      <c r="E12" s="660" t="s">
        <v>789</v>
      </c>
      <c r="F12" s="2414" t="s">
        <v>2073</v>
      </c>
      <c r="G12" s="538" t="s">
        <v>2073</v>
      </c>
      <c r="H12" s="2414" t="s">
        <v>2073</v>
      </c>
      <c r="I12" s="538" t="s">
        <v>2073</v>
      </c>
      <c r="J12" s="635" t="s">
        <v>789</v>
      </c>
      <c r="K12" s="635" t="s">
        <v>1068</v>
      </c>
      <c r="L12" s="635" t="s">
        <v>789</v>
      </c>
      <c r="M12" s="635" t="s">
        <v>1068</v>
      </c>
      <c r="N12" s="538" t="s">
        <v>2073</v>
      </c>
      <c r="O12" s="635" t="s">
        <v>789</v>
      </c>
      <c r="P12" s="635" t="s">
        <v>789</v>
      </c>
      <c r="Q12" s="538" t="s">
        <v>2073</v>
      </c>
      <c r="R12" s="190"/>
      <c r="S12" s="190"/>
      <c r="T12" s="660" t="s">
        <v>789</v>
      </c>
      <c r="U12" s="2416" t="s">
        <v>2237</v>
      </c>
      <c r="V12" s="660" t="s">
        <v>789</v>
      </c>
      <c r="W12" s="660" t="s">
        <v>789</v>
      </c>
      <c r="X12" s="660" t="s">
        <v>789</v>
      </c>
      <c r="Y12" s="635" t="s">
        <v>789</v>
      </c>
      <c r="Z12" s="635" t="s">
        <v>789</v>
      </c>
      <c r="AA12" s="635" t="s">
        <v>1068</v>
      </c>
      <c r="AB12" s="660" t="s">
        <v>789</v>
      </c>
      <c r="AC12" s="635" t="s">
        <v>789</v>
      </c>
      <c r="AD12" s="635" t="s">
        <v>789</v>
      </c>
      <c r="AE12" s="635" t="s">
        <v>789</v>
      </c>
      <c r="AF12" s="635" t="s">
        <v>1068</v>
      </c>
      <c r="AG12" s="635" t="s">
        <v>1068</v>
      </c>
      <c r="AH12" s="660" t="s">
        <v>789</v>
      </c>
      <c r="AI12" s="660" t="s">
        <v>789</v>
      </c>
      <c r="AJ12" s="635" t="s">
        <v>1068</v>
      </c>
      <c r="AK12" s="660" t="s">
        <v>789</v>
      </c>
      <c r="AL12" s="635" t="s">
        <v>1068</v>
      </c>
      <c r="AM12" s="660" t="s">
        <v>789</v>
      </c>
      <c r="AN12" s="660" t="s">
        <v>789</v>
      </c>
      <c r="AO12" s="635" t="s">
        <v>1068</v>
      </c>
      <c r="AP12" s="660" t="s">
        <v>789</v>
      </c>
      <c r="AQ12" s="660" t="s">
        <v>789</v>
      </c>
      <c r="AR12" s="1082" t="s">
        <v>789</v>
      </c>
      <c r="AS12" s="635" t="s">
        <v>789</v>
      </c>
      <c r="AT12" s="635" t="s">
        <v>789</v>
      </c>
      <c r="AU12" s="660" t="s">
        <v>789</v>
      </c>
      <c r="AV12" s="635" t="s">
        <v>1068</v>
      </c>
      <c r="AW12" s="635" t="s">
        <v>1068</v>
      </c>
      <c r="AX12" s="635" t="s">
        <v>789</v>
      </c>
      <c r="AY12" s="635" t="s">
        <v>789</v>
      </c>
      <c r="AZ12" s="635" t="s">
        <v>789</v>
      </c>
      <c r="BA12" s="2187"/>
      <c r="BB12" s="2414" t="s">
        <v>3220</v>
      </c>
      <c r="BE12" s="2353" t="s">
        <v>3178</v>
      </c>
      <c r="BG12" s="2170" t="s">
        <v>3223</v>
      </c>
      <c r="BH12" s="2170" t="s">
        <v>3225</v>
      </c>
      <c r="BI12" s="2170" t="s">
        <v>3225</v>
      </c>
      <c r="BJ12" s="2170" t="s">
        <v>3225</v>
      </c>
      <c r="BK12" s="2170" t="s">
        <v>3225</v>
      </c>
      <c r="BL12" s="2370"/>
      <c r="BM12" s="2170" t="s">
        <v>3225</v>
      </c>
      <c r="BN12" s="2170" t="s">
        <v>3225</v>
      </c>
      <c r="BO12" s="2170" t="s">
        <v>3225</v>
      </c>
      <c r="BP12" s="2170" t="s">
        <v>3225</v>
      </c>
      <c r="BQ12" s="2416" t="s">
        <v>3232</v>
      </c>
    </row>
    <row r="13" spans="1:69" ht="38.25">
      <c r="A13" s="190"/>
      <c r="B13" s="190"/>
      <c r="C13" s="2170" t="s">
        <v>3188</v>
      </c>
      <c r="D13" s="2352" t="s">
        <v>3152</v>
      </c>
      <c r="E13" s="637" t="s">
        <v>2237</v>
      </c>
      <c r="F13" s="2170" t="s">
        <v>3193</v>
      </c>
      <c r="G13" s="213"/>
      <c r="H13" s="2170" t="s">
        <v>3193</v>
      </c>
      <c r="I13" s="601"/>
      <c r="J13" s="601"/>
      <c r="K13" s="637" t="s">
        <v>2237</v>
      </c>
      <c r="L13" s="637" t="s">
        <v>2237</v>
      </c>
      <c r="M13" s="637" t="s">
        <v>2237</v>
      </c>
      <c r="N13" s="190"/>
      <c r="O13" s="190"/>
      <c r="P13" s="190"/>
      <c r="Q13" s="190"/>
      <c r="R13" s="190"/>
      <c r="S13" s="190"/>
      <c r="T13" s="2415" t="s">
        <v>3194</v>
      </c>
      <c r="U13" s="190"/>
      <c r="V13" s="2417" t="s">
        <v>3206</v>
      </c>
      <c r="W13" s="2170" t="s">
        <v>2237</v>
      </c>
      <c r="X13" s="2170" t="s">
        <v>3208</v>
      </c>
      <c r="Y13" s="190"/>
      <c r="Z13" s="190"/>
      <c r="AA13" s="2170" t="s">
        <v>3209</v>
      </c>
      <c r="AB13" s="2170" t="s">
        <v>2237</v>
      </c>
      <c r="AC13" s="190"/>
      <c r="AD13" s="190"/>
      <c r="AE13" s="190"/>
      <c r="AF13" s="2170" t="s">
        <v>3211</v>
      </c>
      <c r="AG13" s="2170" t="s">
        <v>3211</v>
      </c>
      <c r="AH13" s="2170" t="s">
        <v>3212</v>
      </c>
      <c r="AI13" s="2170" t="s">
        <v>2237</v>
      </c>
      <c r="AJ13" s="2170" t="s">
        <v>3213</v>
      </c>
      <c r="AK13" s="2170" t="s">
        <v>3214</v>
      </c>
      <c r="AL13" s="2170" t="s">
        <v>3215</v>
      </c>
      <c r="AM13" s="2170" t="s">
        <v>2237</v>
      </c>
      <c r="AN13" s="2170" t="s">
        <v>3211</v>
      </c>
      <c r="AO13" s="2170" t="s">
        <v>3215</v>
      </c>
      <c r="AQ13" s="2170" t="s">
        <v>3228</v>
      </c>
      <c r="AR13" s="617" t="s">
        <v>2454</v>
      </c>
      <c r="AU13" s="2170" t="s">
        <v>2237</v>
      </c>
      <c r="AV13" s="2170" t="s">
        <v>3211</v>
      </c>
      <c r="AW13" s="2170" t="s">
        <v>3211</v>
      </c>
      <c r="AX13" s="2414" t="s">
        <v>2309</v>
      </c>
      <c r="AY13" s="263" t="s">
        <v>3084</v>
      </c>
      <c r="BA13" s="2341" t="s">
        <v>2898</v>
      </c>
      <c r="BE13" s="2352" t="s">
        <v>3128</v>
      </c>
      <c r="BF13" s="2187"/>
      <c r="BH13" s="2170" t="s">
        <v>3226</v>
      </c>
      <c r="BI13" s="2170" t="s">
        <v>3226</v>
      </c>
      <c r="BJ13" s="2170" t="s">
        <v>3226</v>
      </c>
      <c r="BK13" s="2170" t="s">
        <v>3226</v>
      </c>
      <c r="BM13" s="2170" t="s">
        <v>3226</v>
      </c>
      <c r="BN13" s="2170" t="s">
        <v>3226</v>
      </c>
      <c r="BO13" s="2170" t="s">
        <v>3226</v>
      </c>
      <c r="BP13" s="2170" t="s">
        <v>3226</v>
      </c>
    </row>
    <row r="14" spans="1:69">
      <c r="A14" s="190"/>
      <c r="B14" s="190"/>
      <c r="C14" s="2170" t="s">
        <v>3189</v>
      </c>
      <c r="D14" s="2355"/>
      <c r="E14" s="637"/>
      <c r="F14" s="2413"/>
      <c r="G14" s="213"/>
      <c r="H14" s="2413"/>
      <c r="I14" s="601"/>
      <c r="J14" s="601"/>
      <c r="K14" s="637"/>
      <c r="L14" s="637"/>
      <c r="M14" s="637"/>
      <c r="N14" s="190"/>
      <c r="O14" s="190"/>
      <c r="P14" s="190"/>
      <c r="Q14" s="190"/>
      <c r="R14" s="190"/>
      <c r="S14" s="190"/>
      <c r="T14" s="2360" t="s">
        <v>3195</v>
      </c>
      <c r="U14" s="190"/>
      <c r="V14" s="2170" t="s">
        <v>3207</v>
      </c>
      <c r="W14" s="2170"/>
      <c r="X14" s="2170"/>
      <c r="Y14" s="190"/>
      <c r="Z14" s="190"/>
      <c r="AA14" s="2170"/>
      <c r="AB14" s="2170"/>
      <c r="AC14" s="190"/>
      <c r="AD14" s="190"/>
      <c r="AE14" s="190"/>
      <c r="AF14" s="190"/>
      <c r="AG14" s="190"/>
      <c r="AH14" s="2170" t="s">
        <v>2027</v>
      </c>
      <c r="AI14" s="190"/>
      <c r="AJ14" s="190"/>
      <c r="AK14" s="2170" t="s">
        <v>2027</v>
      </c>
      <c r="AL14" s="190" t="s">
        <v>3216</v>
      </c>
      <c r="AM14" s="190"/>
      <c r="AN14" s="190"/>
      <c r="AO14" s="190" t="s">
        <v>3216</v>
      </c>
      <c r="AQ14" s="2170" t="s">
        <v>3229</v>
      </c>
      <c r="AR14" s="617"/>
      <c r="AX14" s="635" t="s">
        <v>640</v>
      </c>
      <c r="AY14" s="2170" t="s">
        <v>3211</v>
      </c>
      <c r="BE14" s="2352"/>
      <c r="BF14" s="2187"/>
      <c r="BH14" s="2170" t="s">
        <v>3227</v>
      </c>
      <c r="BI14" s="2170" t="s">
        <v>3227</v>
      </c>
      <c r="BJ14" s="2170" t="s">
        <v>3227</v>
      </c>
      <c r="BK14" s="2170" t="s">
        <v>3227</v>
      </c>
      <c r="BM14" s="2170" t="s">
        <v>3227</v>
      </c>
      <c r="BN14" s="2170" t="s">
        <v>3227</v>
      </c>
      <c r="BO14" s="2170" t="s">
        <v>3227</v>
      </c>
      <c r="BP14" s="2170" t="s">
        <v>3227</v>
      </c>
    </row>
    <row r="15" spans="1:69">
      <c r="A15" s="190"/>
      <c r="B15" s="190"/>
      <c r="C15" s="2170" t="s">
        <v>3190</v>
      </c>
      <c r="D15" s="2355"/>
      <c r="E15" s="637"/>
      <c r="F15" s="2413"/>
      <c r="G15" s="213"/>
      <c r="H15" s="2413"/>
      <c r="I15" s="601"/>
      <c r="J15" s="601"/>
      <c r="K15" s="637"/>
      <c r="L15" s="637"/>
      <c r="M15" s="637"/>
      <c r="N15" s="190"/>
      <c r="O15" s="190"/>
      <c r="P15" s="190"/>
      <c r="Q15" s="190"/>
      <c r="R15" s="190"/>
      <c r="S15" s="190"/>
      <c r="T15" s="2360" t="s">
        <v>3196</v>
      </c>
      <c r="U15" s="190"/>
      <c r="V15" s="2170" t="s">
        <v>2027</v>
      </c>
      <c r="W15" s="2170"/>
      <c r="X15" s="2170"/>
      <c r="Y15" s="190"/>
      <c r="Z15" s="190"/>
      <c r="AA15" s="2170"/>
      <c r="AB15" s="2170"/>
      <c r="AC15" s="190"/>
      <c r="AD15" s="190"/>
      <c r="AE15" s="190"/>
      <c r="AF15" s="190"/>
      <c r="AG15" s="190"/>
      <c r="AH15" s="190"/>
      <c r="AI15" s="190"/>
      <c r="AJ15" s="190"/>
      <c r="AK15" s="190"/>
      <c r="AL15" s="190"/>
      <c r="AM15" s="190"/>
      <c r="AN15" s="190"/>
      <c r="AO15" s="190"/>
      <c r="AR15" s="617"/>
      <c r="AX15" s="2414" t="s">
        <v>3192</v>
      </c>
      <c r="BE15" s="2352"/>
      <c r="BF15" s="2187"/>
    </row>
    <row r="16" spans="1:69">
      <c r="A16" s="190"/>
      <c r="B16" s="190"/>
      <c r="C16" s="2170" t="s">
        <v>3191</v>
      </c>
      <c r="D16" s="2355"/>
      <c r="E16" s="637"/>
      <c r="F16" s="2413"/>
      <c r="G16" s="213"/>
      <c r="H16" s="2413"/>
      <c r="I16" s="601"/>
      <c r="J16" s="601"/>
      <c r="K16" s="637"/>
      <c r="L16" s="637"/>
      <c r="M16" s="637"/>
      <c r="N16" s="190"/>
      <c r="O16" s="190"/>
      <c r="P16" s="190"/>
      <c r="Q16" s="190"/>
      <c r="R16" s="190"/>
      <c r="S16" s="190"/>
      <c r="T16" s="2360" t="s">
        <v>3197</v>
      </c>
      <c r="U16" s="190"/>
      <c r="V16" s="2417" t="s">
        <v>3210</v>
      </c>
      <c r="W16" s="2170"/>
      <c r="X16" s="2170"/>
      <c r="Y16" s="190"/>
      <c r="Z16" s="190"/>
      <c r="AA16" s="2170"/>
      <c r="AB16" s="2170"/>
      <c r="AC16" s="190"/>
      <c r="AD16" s="190"/>
      <c r="AE16" s="190"/>
      <c r="AF16" s="190"/>
      <c r="AG16" s="190"/>
      <c r="AH16" s="190"/>
      <c r="AI16" s="190"/>
      <c r="AJ16" s="190"/>
      <c r="AK16" s="190"/>
      <c r="AL16" s="190"/>
      <c r="AM16" s="190"/>
      <c r="AN16" s="190"/>
      <c r="AO16" s="190"/>
      <c r="AR16" s="617"/>
      <c r="AX16" s="2414" t="s">
        <v>3217</v>
      </c>
      <c r="BE16" s="2352"/>
      <c r="BF16" s="2187"/>
    </row>
    <row r="17" spans="1:56">
      <c r="A17" s="190"/>
      <c r="B17" s="190"/>
      <c r="C17" s="190"/>
      <c r="D17" s="2352" t="s">
        <v>789</v>
      </c>
      <c r="E17" s="214"/>
      <c r="I17" s="601"/>
      <c r="J17" s="601"/>
      <c r="K17" s="601"/>
      <c r="L17" s="601"/>
      <c r="M17" s="601"/>
      <c r="N17" s="190"/>
      <c r="O17" s="190"/>
      <c r="P17" s="190"/>
      <c r="Q17" s="190"/>
      <c r="R17" s="190"/>
      <c r="S17" s="190"/>
      <c r="T17" s="2360" t="s">
        <v>3198</v>
      </c>
      <c r="U17" s="190"/>
      <c r="W17" s="190"/>
      <c r="X17" s="539" t="s">
        <v>864</v>
      </c>
      <c r="Y17" s="540"/>
      <c r="Z17" s="540"/>
      <c r="AA17" s="541" t="s">
        <v>1036</v>
      </c>
      <c r="AB17" s="541" t="s">
        <v>1037</v>
      </c>
      <c r="AC17" s="541" t="s">
        <v>1001</v>
      </c>
      <c r="AD17" s="549" t="s">
        <v>130</v>
      </c>
      <c r="AE17" s="550"/>
      <c r="AF17" s="550"/>
      <c r="AG17" s="550"/>
      <c r="AH17" s="551"/>
      <c r="AI17" s="559"/>
      <c r="AJ17" s="560"/>
      <c r="AK17" s="560"/>
      <c r="AL17" s="561" t="s">
        <v>1036</v>
      </c>
      <c r="AM17" s="561" t="s">
        <v>1037</v>
      </c>
      <c r="AN17" s="562" t="s">
        <v>1001</v>
      </c>
      <c r="AO17" s="190"/>
      <c r="AX17" s="2414" t="s">
        <v>3218</v>
      </c>
    </row>
    <row r="18" spans="1:56">
      <c r="A18" s="190"/>
      <c r="B18" s="190"/>
      <c r="D18" s="2352" t="s">
        <v>789</v>
      </c>
      <c r="E18" s="214"/>
      <c r="F18" s="2170" t="s">
        <v>789</v>
      </c>
      <c r="G18" s="213"/>
      <c r="H18" s="2170" t="s">
        <v>789</v>
      </c>
      <c r="I18" s="601"/>
      <c r="J18" s="601"/>
      <c r="K18" s="601"/>
      <c r="L18" s="601"/>
      <c r="M18" s="601"/>
      <c r="N18" s="190"/>
      <c r="O18" s="190"/>
      <c r="P18" s="190"/>
      <c r="Q18" s="190"/>
      <c r="R18" s="190"/>
      <c r="S18" s="190"/>
      <c r="U18" s="2170" t="s">
        <v>789</v>
      </c>
      <c r="W18" s="190"/>
      <c r="X18" s="2418" t="s">
        <v>3126</v>
      </c>
      <c r="Y18" s="542"/>
      <c r="Z18" s="542"/>
      <c r="AA18" s="543">
        <f>AA33</f>
        <v>351</v>
      </c>
      <c r="AB18" s="678">
        <v>12.54</v>
      </c>
      <c r="AC18" s="544">
        <f>AB18*AA18</f>
        <v>4401.54</v>
      </c>
      <c r="AD18" s="2171" t="s">
        <v>2860</v>
      </c>
      <c r="AE18" s="553"/>
      <c r="AF18" s="553"/>
      <c r="AG18" s="553"/>
      <c r="AH18" s="554"/>
      <c r="AI18" s="563" t="s">
        <v>865</v>
      </c>
      <c r="AJ18" s="564"/>
      <c r="AK18" s="564"/>
      <c r="AL18" s="564"/>
      <c r="AM18" s="564"/>
      <c r="AN18" s="565"/>
      <c r="AO18" s="190"/>
    </row>
    <row r="19" spans="1:56">
      <c r="A19" s="190"/>
      <c r="B19" s="190"/>
      <c r="E19" s="214"/>
      <c r="F19" s="2170" t="s">
        <v>789</v>
      </c>
      <c r="G19" s="213"/>
      <c r="H19" s="2170" t="s">
        <v>789</v>
      </c>
      <c r="I19" s="601"/>
      <c r="J19" s="601"/>
      <c r="K19" s="601"/>
      <c r="L19" s="601"/>
      <c r="M19" s="601"/>
      <c r="N19" s="190"/>
      <c r="O19" s="190"/>
      <c r="P19" s="190"/>
      <c r="Q19" s="190"/>
      <c r="R19" s="190"/>
      <c r="S19" s="190"/>
      <c r="U19" s="2170" t="s">
        <v>789</v>
      </c>
      <c r="V19" s="190"/>
      <c r="W19" s="190"/>
      <c r="X19" s="2418" t="s">
        <v>3127</v>
      </c>
      <c r="Y19" s="542"/>
      <c r="Z19" s="542"/>
      <c r="AA19" s="543">
        <f>AB33</f>
        <v>156.5</v>
      </c>
      <c r="AB19" s="678">
        <v>31.43</v>
      </c>
      <c r="AC19" s="545">
        <f>AB19*AA19</f>
        <v>4918.7950000000001</v>
      </c>
      <c r="AD19" s="555" t="s">
        <v>558</v>
      </c>
      <c r="AE19" s="556" t="s">
        <v>2065</v>
      </c>
      <c r="AF19" s="553" t="s">
        <v>131</v>
      </c>
      <c r="AG19" s="553"/>
      <c r="AH19" s="554"/>
      <c r="AI19" s="2213" t="s">
        <v>3107</v>
      </c>
      <c r="AJ19" s="564"/>
      <c r="AK19" s="564"/>
      <c r="AL19" s="594">
        <f>AC33</f>
        <v>988.5</v>
      </c>
      <c r="AM19" s="566">
        <v>2.78</v>
      </c>
      <c r="AN19" s="567">
        <f>AM19*AL19</f>
        <v>2748.0299999999997</v>
      </c>
      <c r="AO19" s="190"/>
    </row>
    <row r="20" spans="1:56" ht="23.25">
      <c r="A20" s="190"/>
      <c r="B20" s="190"/>
      <c r="D20" s="2170"/>
      <c r="E20" s="214"/>
      <c r="F20" s="604"/>
      <c r="G20" s="213"/>
      <c r="H20" s="604"/>
      <c r="I20" s="601"/>
      <c r="J20" s="601"/>
      <c r="K20" s="601"/>
      <c r="L20" s="601"/>
      <c r="M20" s="601"/>
      <c r="N20" s="190"/>
      <c r="O20" s="190"/>
      <c r="P20" s="190"/>
      <c r="Q20" s="190"/>
      <c r="R20" s="190"/>
      <c r="S20" s="190"/>
      <c r="U20" s="2170" t="s">
        <v>789</v>
      </c>
      <c r="V20" s="190"/>
      <c r="W20" s="190"/>
      <c r="X20" s="546" t="s">
        <v>866</v>
      </c>
      <c r="Y20" s="547"/>
      <c r="Z20" s="547"/>
      <c r="AA20" s="547"/>
      <c r="AB20" s="547"/>
      <c r="AC20" s="548">
        <f>AC19+AC18</f>
        <v>9320.3349999999991</v>
      </c>
      <c r="AD20" s="592">
        <f>AA33</f>
        <v>351</v>
      </c>
      <c r="AE20" s="676">
        <v>26.58</v>
      </c>
      <c r="AF20" s="677">
        <f>1.0166+1</f>
        <v>2.0165999999999999</v>
      </c>
      <c r="AG20" s="593">
        <f>ROUND(AD20*AE20*AF20,0)</f>
        <v>18814</v>
      </c>
      <c r="AH20" s="554"/>
      <c r="AI20" s="568" t="s">
        <v>867</v>
      </c>
      <c r="AJ20" s="569"/>
      <c r="AK20" s="569"/>
      <c r="AL20" s="569"/>
      <c r="AM20" s="569"/>
      <c r="AN20" s="570"/>
      <c r="AO20" s="190"/>
      <c r="AU20" s="2170" t="s">
        <v>789</v>
      </c>
    </row>
    <row r="21" spans="1:56" ht="23.25">
      <c r="A21" s="190"/>
      <c r="B21" s="190"/>
      <c r="D21" s="2170"/>
      <c r="E21" s="214"/>
      <c r="F21" s="604"/>
      <c r="G21" s="213"/>
      <c r="H21" s="604"/>
      <c r="I21" s="601"/>
      <c r="J21" s="601"/>
      <c r="K21" s="601"/>
      <c r="L21" s="601"/>
      <c r="M21" s="601"/>
      <c r="N21" s="190"/>
      <c r="O21" s="190"/>
      <c r="P21" s="190"/>
      <c r="Q21" s="190"/>
      <c r="R21" s="190"/>
      <c r="S21" s="190"/>
      <c r="T21" s="2360" t="s">
        <v>789</v>
      </c>
      <c r="U21" s="2170" t="s">
        <v>789</v>
      </c>
      <c r="V21" s="190"/>
      <c r="W21" s="190"/>
      <c r="X21" s="190"/>
      <c r="Y21" s="190"/>
      <c r="Z21" s="190"/>
      <c r="AA21" s="190"/>
      <c r="AB21" s="190"/>
      <c r="AC21" s="190"/>
      <c r="AD21" s="552"/>
      <c r="AE21" s="553"/>
      <c r="AF21" s="553"/>
      <c r="AG21" s="553"/>
      <c r="AH21" s="554"/>
      <c r="AI21" s="190"/>
      <c r="AJ21" s="190"/>
      <c r="AK21" s="190"/>
      <c r="AL21" s="190"/>
      <c r="AM21" s="190"/>
      <c r="AN21" s="190"/>
      <c r="AO21" s="190"/>
      <c r="AU21" s="2170" t="s">
        <v>789</v>
      </c>
      <c r="BB21" s="2170" t="s">
        <v>789</v>
      </c>
    </row>
    <row r="22" spans="1:56" ht="38.25" customHeight="1">
      <c r="A22" s="190"/>
      <c r="B22" s="190"/>
      <c r="C22" s="190"/>
      <c r="D22" s="2170"/>
      <c r="E22" s="214"/>
      <c r="F22" s="2477"/>
      <c r="G22" s="2477"/>
      <c r="H22" s="2477"/>
      <c r="I22" s="2477"/>
      <c r="J22" s="2477"/>
      <c r="K22" s="601"/>
      <c r="L22" s="601"/>
      <c r="M22" s="601"/>
      <c r="N22" s="190"/>
      <c r="O22" s="190"/>
      <c r="P22" s="190"/>
      <c r="Q22" s="190"/>
      <c r="R22" s="190"/>
      <c r="S22" s="190"/>
      <c r="T22" s="2360" t="s">
        <v>789</v>
      </c>
      <c r="U22" s="190"/>
      <c r="V22" s="190"/>
      <c r="W22" s="190"/>
      <c r="X22" s="2478" t="s">
        <v>481</v>
      </c>
      <c r="Y22" s="2479"/>
      <c r="Z22" s="2479"/>
      <c r="AA22" s="2479"/>
      <c r="AB22" s="2479"/>
      <c r="AC22" s="2480"/>
      <c r="AD22" s="557"/>
      <c r="AE22" s="558"/>
      <c r="AF22" s="2367" t="s">
        <v>789</v>
      </c>
      <c r="AG22" s="558"/>
      <c r="AH22" s="558"/>
      <c r="AI22" s="571" t="s">
        <v>1038</v>
      </c>
      <c r="AJ22" s="572"/>
      <c r="AK22" s="572"/>
      <c r="AL22" s="572"/>
      <c r="AM22" s="2374" t="s">
        <v>789</v>
      </c>
      <c r="AN22" s="573"/>
      <c r="AO22" s="190"/>
      <c r="AU22" s="2170" t="s">
        <v>789</v>
      </c>
      <c r="BD22">
        <f>50799/4</f>
        <v>12699.75</v>
      </c>
    </row>
    <row r="23" spans="1:56">
      <c r="A23" s="190"/>
      <c r="B23" s="190"/>
      <c r="C23" s="190"/>
      <c r="D23" s="2170"/>
      <c r="E23" s="214"/>
      <c r="F23" s="486"/>
      <c r="G23" s="213"/>
      <c r="H23" s="601"/>
      <c r="I23" s="601"/>
      <c r="J23" s="602"/>
      <c r="K23" s="602"/>
      <c r="L23" s="598"/>
      <c r="M23" s="602"/>
      <c r="N23" s="599"/>
      <c r="O23" s="190"/>
      <c r="P23" s="190"/>
      <c r="Q23" s="190"/>
      <c r="R23" s="190"/>
      <c r="S23" s="190"/>
      <c r="T23" s="2360" t="s">
        <v>789</v>
      </c>
      <c r="U23" s="190"/>
      <c r="V23" s="190"/>
      <c r="W23" s="190"/>
      <c r="X23" s="580" t="s">
        <v>262</v>
      </c>
      <c r="Y23" s="581"/>
      <c r="Z23" s="581" t="s">
        <v>480</v>
      </c>
      <c r="AA23" s="581" t="s">
        <v>859</v>
      </c>
      <c r="AB23" s="581" t="s">
        <v>1461</v>
      </c>
      <c r="AC23" s="582" t="s">
        <v>1001</v>
      </c>
      <c r="AD23" s="190"/>
      <c r="AE23" s="190"/>
      <c r="AF23" s="190"/>
      <c r="AG23" s="190"/>
      <c r="AH23" s="190"/>
      <c r="AI23" s="2419" t="s">
        <v>3222</v>
      </c>
      <c r="AJ23" s="574"/>
      <c r="AK23" s="574"/>
      <c r="AL23" s="595">
        <f>AC33</f>
        <v>988.5</v>
      </c>
      <c r="AM23" s="575">
        <v>2.9</v>
      </c>
      <c r="AN23" s="576">
        <f>AM23*AL23</f>
        <v>2866.65</v>
      </c>
      <c r="AO23" s="190"/>
    </row>
    <row r="24" spans="1:56">
      <c r="A24" s="190"/>
      <c r="B24" s="190"/>
      <c r="C24" s="190"/>
      <c r="D24" s="2170"/>
      <c r="E24" s="214"/>
      <c r="F24" s="212"/>
      <c r="G24" s="213"/>
      <c r="H24" s="601"/>
      <c r="I24" s="601"/>
      <c r="J24" s="600"/>
      <c r="K24" s="603"/>
      <c r="L24" s="603"/>
      <c r="M24" s="605"/>
      <c r="N24" s="387"/>
      <c r="O24" s="190"/>
      <c r="P24" s="190"/>
      <c r="Q24" s="190"/>
      <c r="R24" s="190"/>
      <c r="S24" s="190"/>
      <c r="T24" s="190"/>
      <c r="U24" s="190"/>
      <c r="V24" s="190"/>
      <c r="W24" s="190"/>
      <c r="X24" s="583"/>
      <c r="Y24" s="584"/>
      <c r="Z24" s="584"/>
      <c r="AA24" s="584"/>
      <c r="AB24" s="584"/>
      <c r="AC24" s="585"/>
      <c r="AD24" s="190"/>
      <c r="AE24" s="190"/>
      <c r="AF24" s="190"/>
      <c r="AG24" s="190"/>
      <c r="AH24" s="190"/>
      <c r="AI24" s="577" t="s">
        <v>1039</v>
      </c>
      <c r="AJ24" s="578"/>
      <c r="AK24" s="578"/>
      <c r="AL24" s="578"/>
      <c r="AM24" s="578"/>
      <c r="AN24" s="579"/>
      <c r="AO24" s="190"/>
    </row>
    <row r="25" spans="1:56">
      <c r="A25" s="190"/>
      <c r="B25" s="190"/>
      <c r="C25" s="190"/>
      <c r="D25" s="2170"/>
      <c r="E25" s="214"/>
      <c r="F25" s="212"/>
      <c r="G25" s="213"/>
      <c r="H25" s="601"/>
      <c r="I25" s="601"/>
      <c r="J25" s="600"/>
      <c r="K25" s="603"/>
      <c r="L25" s="603"/>
      <c r="M25" s="605"/>
      <c r="N25" s="387"/>
      <c r="O25" s="190"/>
      <c r="P25" s="190"/>
      <c r="Q25" s="190"/>
      <c r="R25" s="190"/>
      <c r="S25" s="190"/>
      <c r="T25" s="190"/>
      <c r="U25" s="190"/>
      <c r="V25" s="190"/>
      <c r="W25" s="190"/>
      <c r="X25" s="583" t="s">
        <v>263</v>
      </c>
      <c r="Y25" s="584"/>
      <c r="Z25" s="596">
        <v>206</v>
      </c>
      <c r="AA25" s="596">
        <v>122</v>
      </c>
      <c r="AB25" s="586"/>
      <c r="AC25" s="587">
        <f>AB25+AA25+Z25</f>
        <v>328</v>
      </c>
      <c r="AD25" s="190"/>
      <c r="AE25" s="190"/>
      <c r="AF25" s="190"/>
      <c r="AG25" s="190"/>
      <c r="AH25" s="190"/>
      <c r="AI25" s="190"/>
      <c r="AJ25" s="190"/>
      <c r="AK25" s="190"/>
      <c r="AL25" s="190"/>
      <c r="AM25" s="190"/>
      <c r="AN25" s="190"/>
      <c r="AO25" s="190"/>
    </row>
    <row r="26" spans="1:56">
      <c r="A26" s="190"/>
      <c r="B26" s="190"/>
      <c r="C26" s="190"/>
      <c r="D26" s="2170"/>
      <c r="E26" s="214"/>
      <c r="F26" s="212"/>
      <c r="G26" s="213"/>
      <c r="H26" s="601"/>
      <c r="I26" s="601"/>
      <c r="J26" s="600"/>
      <c r="K26" s="603"/>
      <c r="L26" s="603"/>
      <c r="M26" s="605"/>
      <c r="N26" s="387"/>
      <c r="O26" s="190"/>
      <c r="P26" s="190"/>
      <c r="Q26" s="190"/>
      <c r="R26" s="190"/>
      <c r="S26" s="190"/>
      <c r="T26" s="190"/>
      <c r="U26" s="190"/>
      <c r="V26" s="190"/>
      <c r="W26" s="190"/>
      <c r="X26" s="583"/>
      <c r="Y26" s="584"/>
      <c r="Z26" s="584"/>
      <c r="AA26" s="586"/>
      <c r="AB26" s="586"/>
      <c r="AC26" s="585"/>
      <c r="AD26" s="190"/>
      <c r="AE26" s="190"/>
      <c r="AF26" s="190"/>
      <c r="AG26" s="190"/>
      <c r="AH26" s="190"/>
      <c r="AI26" s="190"/>
      <c r="AJ26" s="190"/>
      <c r="AK26" s="190"/>
      <c r="AL26" s="190"/>
      <c r="AM26" s="190"/>
      <c r="AN26" s="190"/>
      <c r="AO26" s="190"/>
    </row>
    <row r="27" spans="1:56">
      <c r="A27" s="190"/>
      <c r="B27" s="190"/>
      <c r="C27" s="190"/>
      <c r="D27" s="2170"/>
      <c r="E27" s="214"/>
      <c r="F27" s="212"/>
      <c r="G27" s="213"/>
      <c r="H27" s="601"/>
      <c r="I27" s="601"/>
      <c r="J27" s="600"/>
      <c r="K27" s="603"/>
      <c r="L27" s="603"/>
      <c r="M27" s="605"/>
      <c r="N27" s="387"/>
      <c r="O27" s="190"/>
      <c r="P27" s="190"/>
      <c r="Q27" s="190"/>
      <c r="R27" s="190"/>
      <c r="S27" s="190"/>
      <c r="T27" s="190"/>
      <c r="U27" s="190"/>
      <c r="V27" s="190"/>
      <c r="W27" s="190"/>
      <c r="X27" s="583" t="s">
        <v>264</v>
      </c>
      <c r="Y27" s="584"/>
      <c r="Z27" s="596">
        <v>157</v>
      </c>
      <c r="AA27" s="596">
        <v>108</v>
      </c>
      <c r="AB27" s="586"/>
      <c r="AC27" s="587">
        <f>AB27+AA27+Z27</f>
        <v>265</v>
      </c>
      <c r="AD27" s="190"/>
      <c r="AE27" s="190"/>
      <c r="AF27" s="190"/>
      <c r="AG27" s="190"/>
      <c r="AH27" s="190"/>
      <c r="AI27" s="190"/>
      <c r="AJ27" s="190"/>
      <c r="AK27" s="190"/>
      <c r="AL27" s="190"/>
      <c r="AM27" s="190"/>
      <c r="AN27" s="190"/>
      <c r="AO27" s="190"/>
    </row>
    <row r="28" spans="1:56">
      <c r="A28" s="190"/>
      <c r="B28" s="190"/>
      <c r="C28" s="190"/>
      <c r="D28" s="2170"/>
      <c r="E28" s="214"/>
      <c r="F28" s="214"/>
      <c r="G28" s="213"/>
      <c r="H28" s="601"/>
      <c r="I28" s="601"/>
      <c r="J28" s="601"/>
      <c r="K28" s="601"/>
      <c r="L28" s="601"/>
      <c r="M28" s="601"/>
      <c r="N28" s="190"/>
      <c r="O28" s="190"/>
      <c r="P28" s="190"/>
      <c r="Q28" s="190"/>
      <c r="R28" s="190"/>
      <c r="S28" s="190"/>
      <c r="T28" s="190"/>
      <c r="U28" s="190"/>
      <c r="V28" s="190"/>
      <c r="W28" s="190"/>
      <c r="X28" s="583"/>
      <c r="Y28" s="584"/>
      <c r="Z28" s="584"/>
      <c r="AA28" s="586"/>
      <c r="AB28" s="586"/>
      <c r="AC28" s="585"/>
      <c r="AD28" s="190"/>
      <c r="AE28" s="190"/>
      <c r="AF28" s="190"/>
      <c r="AG28" s="190"/>
      <c r="AH28" s="190"/>
      <c r="AI28" s="190"/>
      <c r="AJ28" s="190"/>
      <c r="AK28" s="190"/>
      <c r="AL28" s="190"/>
      <c r="AM28" s="190"/>
      <c r="AN28" s="190"/>
      <c r="AO28" s="190"/>
    </row>
    <row r="29" spans="1:56">
      <c r="A29" s="190"/>
      <c r="B29" s="190"/>
      <c r="C29" s="190"/>
      <c r="D29" s="2170"/>
      <c r="E29" s="214"/>
      <c r="F29" s="214"/>
      <c r="G29" s="213"/>
      <c r="H29" s="190"/>
      <c r="I29" s="190"/>
      <c r="J29" s="190"/>
      <c r="K29" s="190"/>
      <c r="L29" s="190"/>
      <c r="M29" s="190"/>
      <c r="N29" s="190"/>
      <c r="O29" s="190"/>
      <c r="P29" s="190"/>
      <c r="Q29" s="190"/>
      <c r="R29" s="190"/>
      <c r="S29" s="190"/>
      <c r="T29" s="190"/>
      <c r="U29" s="190"/>
      <c r="V29" s="190"/>
      <c r="W29" s="190"/>
      <c r="X29" s="583" t="s">
        <v>265</v>
      </c>
      <c r="Y29" s="584"/>
      <c r="Z29" s="596">
        <v>118</v>
      </c>
      <c r="AA29" s="596">
        <v>121</v>
      </c>
      <c r="AB29" s="586"/>
      <c r="AC29" s="587">
        <f>AB29+AA29+Z29</f>
        <v>239</v>
      </c>
      <c r="AD29" s="190"/>
      <c r="AE29" s="190"/>
      <c r="AF29" s="190"/>
      <c r="AG29" s="190"/>
      <c r="AH29" s="190"/>
      <c r="AI29" s="190"/>
      <c r="AJ29" s="190"/>
      <c r="AK29" s="190"/>
      <c r="AL29" s="190"/>
      <c r="AM29" s="190"/>
      <c r="AN29" s="190"/>
      <c r="AO29" s="190"/>
    </row>
    <row r="30" spans="1:56">
      <c r="A30" s="190"/>
      <c r="B30" s="190"/>
      <c r="C30" s="190"/>
      <c r="D30" s="2170"/>
      <c r="E30" s="214"/>
      <c r="F30" s="214"/>
      <c r="G30" s="213"/>
      <c r="H30" s="190"/>
      <c r="I30" s="190"/>
      <c r="J30" s="190"/>
      <c r="K30" s="190"/>
      <c r="L30" s="190"/>
      <c r="M30" s="190"/>
      <c r="N30" s="190"/>
      <c r="O30" s="190"/>
      <c r="P30" s="190"/>
      <c r="Q30" s="190"/>
      <c r="R30" s="190"/>
      <c r="S30" s="190"/>
      <c r="T30" s="190"/>
      <c r="U30" s="190"/>
      <c r="V30" s="190"/>
      <c r="W30" s="190"/>
      <c r="X30" s="583"/>
      <c r="Y30" s="584"/>
      <c r="Z30" s="584"/>
      <c r="AA30" s="586"/>
      <c r="AB30" s="586"/>
      <c r="AC30" s="585"/>
      <c r="AD30" s="190"/>
      <c r="AE30" s="190"/>
      <c r="AF30" s="190"/>
      <c r="AG30" s="190"/>
      <c r="AH30" s="190"/>
      <c r="AI30" s="190"/>
      <c r="AJ30" s="190"/>
      <c r="AK30" s="190"/>
      <c r="AL30" s="190"/>
      <c r="AM30" s="190"/>
      <c r="AN30" s="190"/>
      <c r="AO30" s="190"/>
    </row>
    <row r="31" spans="1:56">
      <c r="A31" s="190"/>
      <c r="B31" s="190"/>
      <c r="C31" s="190"/>
      <c r="D31" s="2170"/>
      <c r="E31" s="214"/>
      <c r="F31" s="214"/>
      <c r="G31" s="213"/>
      <c r="H31" s="190"/>
      <c r="I31" s="190"/>
      <c r="J31" s="190"/>
      <c r="K31" s="190"/>
      <c r="L31" s="190"/>
      <c r="M31" s="190"/>
      <c r="N31" s="190"/>
      <c r="O31" s="190"/>
      <c r="P31" s="190"/>
      <c r="Q31" s="190"/>
      <c r="R31" s="190"/>
      <c r="S31" s="190"/>
      <c r="T31" s="190"/>
      <c r="U31" s="190"/>
      <c r="V31" s="190"/>
      <c r="W31" s="190"/>
      <c r="X31" s="583" t="s">
        <v>266</v>
      </c>
      <c r="Y31" s="584"/>
      <c r="Z31" s="588"/>
      <c r="AA31" s="588"/>
      <c r="AB31" s="597">
        <v>156.5</v>
      </c>
      <c r="AC31" s="589">
        <f>AB31+AA31+Z31</f>
        <v>156.5</v>
      </c>
      <c r="AD31" s="190"/>
      <c r="AE31" s="190"/>
      <c r="AF31" s="190"/>
      <c r="AG31" s="190"/>
      <c r="AH31" s="190"/>
      <c r="AI31" s="190"/>
      <c r="AJ31" s="190"/>
      <c r="AK31" s="190"/>
      <c r="AL31" s="190"/>
      <c r="AM31" s="190"/>
      <c r="AN31" s="190"/>
      <c r="AO31" s="190"/>
    </row>
    <row r="32" spans="1:56">
      <c r="A32" s="190"/>
      <c r="B32" s="190"/>
      <c r="C32" s="190"/>
      <c r="D32" s="2170"/>
      <c r="E32" s="214"/>
      <c r="F32" s="214"/>
      <c r="G32" s="213"/>
      <c r="H32" s="190"/>
      <c r="I32" s="190"/>
      <c r="J32" s="190"/>
      <c r="K32" s="190"/>
      <c r="L32" s="190"/>
      <c r="M32" s="190"/>
      <c r="N32" s="190"/>
      <c r="O32" s="190"/>
      <c r="P32" s="190"/>
      <c r="Q32" s="190"/>
      <c r="R32" s="190"/>
      <c r="S32" s="190"/>
      <c r="T32" s="190"/>
      <c r="U32" s="190"/>
      <c r="V32" s="190"/>
      <c r="W32" s="190"/>
      <c r="X32" s="583"/>
      <c r="Y32" s="584"/>
      <c r="Z32" s="584"/>
      <c r="AA32" s="584"/>
      <c r="AB32" s="584"/>
      <c r="AC32" s="585"/>
      <c r="AD32" s="190"/>
      <c r="AE32" s="190"/>
      <c r="AF32" s="190"/>
      <c r="AG32" s="190"/>
      <c r="AH32" s="190"/>
      <c r="AI32" s="190"/>
      <c r="AJ32" s="190"/>
      <c r="AK32" s="190"/>
      <c r="AL32" s="190"/>
      <c r="AM32" s="190"/>
      <c r="AN32" s="190"/>
      <c r="AO32" s="190"/>
    </row>
    <row r="33" spans="1:41">
      <c r="A33" s="190"/>
      <c r="B33" s="190"/>
      <c r="C33" s="190"/>
      <c r="D33" s="2170"/>
      <c r="E33" s="214"/>
      <c r="F33" s="214"/>
      <c r="G33" s="213"/>
      <c r="H33" s="190"/>
      <c r="I33" s="190"/>
      <c r="J33" s="190"/>
      <c r="K33" s="190"/>
      <c r="L33" s="190"/>
      <c r="M33" s="190"/>
      <c r="N33" s="190"/>
      <c r="O33" s="190"/>
      <c r="P33" s="190"/>
      <c r="Q33" s="190"/>
      <c r="R33" s="190"/>
      <c r="S33" s="190"/>
      <c r="T33" s="190"/>
      <c r="U33" s="190"/>
      <c r="V33" s="190"/>
      <c r="W33" s="190"/>
      <c r="X33" s="590"/>
      <c r="Y33" s="591" t="s">
        <v>1035</v>
      </c>
      <c r="Z33" s="588">
        <f>SUM(Z25:Z31)</f>
        <v>481</v>
      </c>
      <c r="AA33" s="588">
        <f>SUM(AA25:AA31)</f>
        <v>351</v>
      </c>
      <c r="AB33" s="588">
        <f>SUM(AB25:AB31)</f>
        <v>156.5</v>
      </c>
      <c r="AC33" s="589">
        <f>SUM(AC25:AC31)</f>
        <v>988.5</v>
      </c>
      <c r="AD33" s="190"/>
      <c r="AE33" s="190"/>
      <c r="AF33" s="190"/>
      <c r="AG33" s="190"/>
      <c r="AH33" s="190"/>
      <c r="AI33" s="190"/>
      <c r="AJ33" s="190"/>
      <c r="AK33" s="190"/>
      <c r="AL33" s="190"/>
      <c r="AM33" s="190"/>
      <c r="AN33" s="190"/>
      <c r="AO33" s="190"/>
    </row>
    <row r="34" spans="1:41">
      <c r="A34" s="190"/>
      <c r="B34" s="190"/>
      <c r="C34" s="190"/>
      <c r="D34" s="2170"/>
      <c r="E34" s="214"/>
      <c r="F34" s="214"/>
      <c r="G34" s="213"/>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0"/>
      <c r="AN34" s="190"/>
      <c r="AO34" s="190"/>
    </row>
  </sheetData>
  <mergeCells count="71">
    <mergeCell ref="BQ1:BQ4"/>
    <mergeCell ref="O1:O4"/>
    <mergeCell ref="U1:U4"/>
    <mergeCell ref="AA1:AA4"/>
    <mergeCell ref="T1:T4"/>
    <mergeCell ref="Y1:Y4"/>
    <mergeCell ref="P1:P4"/>
    <mergeCell ref="S1:S4"/>
    <mergeCell ref="V1:V4"/>
    <mergeCell ref="W1:W4"/>
    <mergeCell ref="BD1:BD4"/>
    <mergeCell ref="BG1:BG4"/>
    <mergeCell ref="BA1:BA4"/>
    <mergeCell ref="AL1:AL4"/>
    <mergeCell ref="AM1:AM4"/>
    <mergeCell ref="AV1:AV4"/>
    <mergeCell ref="A1:A4"/>
    <mergeCell ref="B1:B4"/>
    <mergeCell ref="C1:C4"/>
    <mergeCell ref="E1:E4"/>
    <mergeCell ref="D1:D4"/>
    <mergeCell ref="F22:J22"/>
    <mergeCell ref="X22:AC22"/>
    <mergeCell ref="Q1:Q4"/>
    <mergeCell ref="I1:I4"/>
    <mergeCell ref="R1:R4"/>
    <mergeCell ref="Z1:Z4"/>
    <mergeCell ref="X1:X4"/>
    <mergeCell ref="K1:K4"/>
    <mergeCell ref="H1:H4"/>
    <mergeCell ref="G1:G4"/>
    <mergeCell ref="F1:F4"/>
    <mergeCell ref="J1:J4"/>
    <mergeCell ref="L1:L4"/>
    <mergeCell ref="N1:N4"/>
    <mergeCell ref="M1:M4"/>
    <mergeCell ref="AB1:AB4"/>
    <mergeCell ref="AW1:AW4"/>
    <mergeCell ref="AY1:AY4"/>
    <mergeCell ref="AZ1:AZ4"/>
    <mergeCell ref="BF1:BF4"/>
    <mergeCell ref="AQ1:AQ4"/>
    <mergeCell ref="BC1:BC4"/>
    <mergeCell ref="AR1:AR4"/>
    <mergeCell ref="AS1:AS4"/>
    <mergeCell ref="AT1:AT4"/>
    <mergeCell ref="BB1:BB4"/>
    <mergeCell ref="AU1:AU4"/>
    <mergeCell ref="AX1:AX4"/>
    <mergeCell ref="BE1:BE4"/>
    <mergeCell ref="AC1:AC4"/>
    <mergeCell ref="AN1:AN4"/>
    <mergeCell ref="AP1:AP4"/>
    <mergeCell ref="AO1:AO4"/>
    <mergeCell ref="AH1:AH4"/>
    <mergeCell ref="AI1:AI4"/>
    <mergeCell ref="AJ1:AJ4"/>
    <mergeCell ref="AF1:AF4"/>
    <mergeCell ref="AE1:AE4"/>
    <mergeCell ref="AD1:AD4"/>
    <mergeCell ref="AK1:AK4"/>
    <mergeCell ref="AG1:AG4"/>
    <mergeCell ref="BP1:BP4"/>
    <mergeCell ref="BN1:BN4"/>
    <mergeCell ref="BI1:BI4"/>
    <mergeCell ref="BJ1:BJ4"/>
    <mergeCell ref="BH1:BH4"/>
    <mergeCell ref="BM1:BM4"/>
    <mergeCell ref="BL1:BL4"/>
    <mergeCell ref="BK1:BK4"/>
    <mergeCell ref="BO1:BO4"/>
  </mergeCells>
  <phoneticPr fontId="13" type="noConversion"/>
  <printOptions horizontalCentered="1"/>
  <pageMargins left="0" right="0" top="1" bottom="1" header="0.5" footer="0.5"/>
  <pageSetup paperSize="5" scale="77" fitToWidth="2" orientation="landscape" r:id="rId1"/>
  <headerFooter alignWithMargins="0">
    <oddFooter>&amp;L&amp;D,&amp;" ,Regular" &amp;T
&amp;CPage &amp;P of &amp;N&amp;R2013/14 School Authority Estimates
&amp;A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10"/>
  </sheetPr>
  <dimension ref="A1:J400"/>
  <sheetViews>
    <sheetView showGridLines="0" zoomScaleNormal="100" workbookViewId="0">
      <pane xSplit="1" ySplit="4" topLeftCell="B370" activePane="bottomRight" state="frozen"/>
      <selection activeCell="I45" sqref="I45"/>
      <selection pane="topRight" activeCell="I45" sqref="I45"/>
      <selection pane="bottomLeft" activeCell="I45" sqref="I45"/>
      <selection pane="bottomRight" activeCell="A382" sqref="A382:XFD385"/>
    </sheetView>
  </sheetViews>
  <sheetFormatPr defaultRowHeight="12.75"/>
  <cols>
    <col min="1" max="1" width="55.7109375" customWidth="1"/>
    <col min="2" max="2" width="15.140625" customWidth="1"/>
    <col min="3" max="3" width="10.140625" bestFit="1" customWidth="1"/>
    <col min="4" max="8" width="15.140625" customWidth="1"/>
    <col min="9" max="10" width="12" bestFit="1" customWidth="1"/>
  </cols>
  <sheetData>
    <row r="1" spans="1:9" ht="15.75" customHeight="1">
      <c r="A1" s="261">
        <v>0</v>
      </c>
      <c r="B1" s="231"/>
      <c r="D1" s="231"/>
      <c r="E1" s="231"/>
      <c r="F1" s="231"/>
      <c r="G1" s="231"/>
      <c r="H1" s="231"/>
      <c r="I1" s="118"/>
    </row>
    <row r="2" spans="1:9" ht="110.25">
      <c r="A2" s="232"/>
      <c r="B2" s="231"/>
      <c r="D2" s="628" t="s">
        <v>2206</v>
      </c>
      <c r="E2" s="231"/>
      <c r="F2" s="231"/>
      <c r="G2" s="231"/>
      <c r="H2" s="231"/>
      <c r="I2" s="118"/>
    </row>
    <row r="3" spans="1:9" ht="25.5">
      <c r="A3" s="233"/>
      <c r="B3" s="289" t="s">
        <v>3063</v>
      </c>
      <c r="C3" t="s">
        <v>2276</v>
      </c>
      <c r="D3" s="627" t="s">
        <v>3062</v>
      </c>
      <c r="E3" s="289"/>
      <c r="F3" s="289"/>
      <c r="G3" s="289" t="s">
        <v>1953</v>
      </c>
      <c r="H3" s="289" t="s">
        <v>1952</v>
      </c>
      <c r="I3" s="118"/>
    </row>
    <row r="4" spans="1:9" ht="15.75">
      <c r="A4" s="234" t="s">
        <v>1347</v>
      </c>
      <c r="B4" s="235"/>
      <c r="C4" s="2329" t="s">
        <v>3061</v>
      </c>
      <c r="D4" s="235"/>
      <c r="E4" s="235"/>
      <c r="F4" s="236"/>
      <c r="G4" s="290"/>
      <c r="H4" s="290"/>
      <c r="I4" s="118"/>
    </row>
    <row r="5" spans="1:9">
      <c r="A5" s="237" t="s">
        <v>1348</v>
      </c>
      <c r="B5" s="238"/>
      <c r="D5" s="238"/>
      <c r="E5" s="238"/>
      <c r="F5" s="238"/>
      <c r="G5" s="238"/>
      <c r="H5" s="238"/>
      <c r="I5" s="118"/>
    </row>
    <row r="6" spans="1:9">
      <c r="A6" s="237" t="s">
        <v>1349</v>
      </c>
      <c r="B6" s="239"/>
      <c r="D6" s="239"/>
      <c r="E6" s="239"/>
      <c r="F6" s="239"/>
      <c r="G6" s="239"/>
      <c r="H6" s="239"/>
      <c r="I6" s="118"/>
    </row>
    <row r="7" spans="1:9">
      <c r="A7" s="240" t="s">
        <v>1350</v>
      </c>
      <c r="B7" s="241"/>
      <c r="D7" s="241"/>
      <c r="E7" s="241"/>
      <c r="F7" s="238"/>
      <c r="G7" s="238"/>
      <c r="H7" s="238"/>
      <c r="I7" s="118"/>
    </row>
    <row r="8" spans="1:9">
      <c r="A8" s="242"/>
      <c r="B8" s="243"/>
      <c r="D8" s="243"/>
      <c r="E8" s="243"/>
      <c r="F8" s="243"/>
      <c r="G8" s="243"/>
      <c r="H8" s="243"/>
      <c r="I8" s="118"/>
    </row>
    <row r="9" spans="1:9" ht="18.75">
      <c r="A9" s="244"/>
      <c r="B9" s="245"/>
      <c r="D9" s="245"/>
      <c r="E9" s="245"/>
      <c r="F9" s="407"/>
      <c r="G9" s="288"/>
      <c r="H9" s="288"/>
      <c r="I9" s="118"/>
    </row>
    <row r="10" spans="1:9" ht="15.75">
      <c r="A10" s="234" t="s">
        <v>1351</v>
      </c>
      <c r="B10" s="235"/>
      <c r="D10" s="235"/>
      <c r="E10" s="235"/>
      <c r="F10" s="251"/>
      <c r="G10" s="236"/>
      <c r="H10" s="295"/>
      <c r="I10" s="118"/>
    </row>
    <row r="11" spans="1:9">
      <c r="A11" s="237" t="s">
        <v>2261</v>
      </c>
      <c r="B11" s="620">
        <v>6248.46</v>
      </c>
      <c r="C11" t="s">
        <v>2061</v>
      </c>
      <c r="D11" s="618">
        <v>6037.2</v>
      </c>
      <c r="E11" s="281"/>
      <c r="F11" s="292"/>
      <c r="G11" s="291"/>
      <c r="H11" s="296"/>
      <c r="I11" s="279"/>
    </row>
    <row r="12" spans="1:9">
      <c r="A12" s="237" t="s">
        <v>2262</v>
      </c>
      <c r="B12" s="620">
        <v>5662.47</v>
      </c>
      <c r="C12" t="s">
        <v>2061</v>
      </c>
      <c r="D12" s="618">
        <v>5518.24</v>
      </c>
      <c r="E12" s="281"/>
      <c r="F12" s="292"/>
      <c r="G12" s="291"/>
      <c r="H12" s="296"/>
      <c r="I12" s="279"/>
    </row>
    <row r="13" spans="1:9">
      <c r="A13" s="237" t="s">
        <v>1352</v>
      </c>
      <c r="B13" s="620"/>
      <c r="D13" s="618" t="s">
        <v>789</v>
      </c>
      <c r="E13" s="281" t="e">
        <f>B13-D13</f>
        <v>#VALUE!</v>
      </c>
      <c r="F13" s="292"/>
      <c r="G13" s="291" t="e">
        <f>B13-D13</f>
        <v>#VALUE!</v>
      </c>
      <c r="H13" s="296" t="e">
        <f>G13/D13</f>
        <v>#VALUE!</v>
      </c>
      <c r="I13" s="279" t="e">
        <f>E13-B13</f>
        <v>#VALUE!</v>
      </c>
    </row>
    <row r="14" spans="1:9">
      <c r="A14" s="237" t="s">
        <v>1353</v>
      </c>
      <c r="B14" s="620">
        <v>4769.68</v>
      </c>
      <c r="C14" t="s">
        <v>2061</v>
      </c>
      <c r="D14" s="618">
        <v>4596.4399999999996</v>
      </c>
      <c r="E14" s="281">
        <f t="shared" ref="E14:E74" si="0">B14-D14</f>
        <v>173.24000000000069</v>
      </c>
      <c r="F14" s="292"/>
      <c r="G14" s="291">
        <f>B14-D14</f>
        <v>173.24000000000069</v>
      </c>
      <c r="H14" s="403">
        <f>G14/D14</f>
        <v>3.7690038377527109E-2</v>
      </c>
      <c r="I14" s="279">
        <f>E14-B14</f>
        <v>-4596.4399999999996</v>
      </c>
    </row>
    <row r="15" spans="1:9">
      <c r="A15" s="246" t="s">
        <v>1289</v>
      </c>
      <c r="D15" s="619"/>
      <c r="E15" s="281">
        <f t="shared" si="0"/>
        <v>0</v>
      </c>
      <c r="F15" s="293"/>
      <c r="G15" s="292"/>
      <c r="H15" s="404"/>
      <c r="I15" s="405"/>
    </row>
    <row r="16" spans="1:9">
      <c r="A16" s="237" t="s">
        <v>1000</v>
      </c>
      <c r="B16" s="620">
        <v>5879.73</v>
      </c>
      <c r="C16" t="s">
        <v>2061</v>
      </c>
      <c r="D16" s="618">
        <v>5732.8601286173634</v>
      </c>
      <c r="E16" s="281">
        <f t="shared" si="0"/>
        <v>146.86987138263612</v>
      </c>
      <c r="F16" s="292"/>
      <c r="G16" s="291">
        <f>B16-D16</f>
        <v>146.86987138263612</v>
      </c>
      <c r="H16" s="403">
        <f>G16/D16</f>
        <v>2.5618952510194561E-2</v>
      </c>
      <c r="I16" s="279">
        <f>E16-B16</f>
        <v>-5732.8601286173634</v>
      </c>
    </row>
    <row r="17" spans="1:9" ht="15.75">
      <c r="A17" s="247" t="s">
        <v>1354</v>
      </c>
      <c r="B17" s="236"/>
      <c r="D17" s="236"/>
      <c r="E17" s="281"/>
      <c r="F17" s="292"/>
      <c r="G17" s="292"/>
      <c r="H17" s="404"/>
      <c r="I17" s="405"/>
    </row>
    <row r="18" spans="1:9">
      <c r="A18" s="237" t="s">
        <v>1355</v>
      </c>
      <c r="B18" s="620">
        <v>126748.91</v>
      </c>
      <c r="C18" t="s">
        <v>2061</v>
      </c>
      <c r="D18" s="487">
        <v>125376.68</v>
      </c>
      <c r="E18" s="281">
        <f t="shared" si="0"/>
        <v>1372.2300000000105</v>
      </c>
      <c r="F18" s="292"/>
      <c r="G18" s="291">
        <f t="shared" ref="G18:G27" si="1">B18-D18</f>
        <v>1372.2300000000105</v>
      </c>
      <c r="H18" s="403">
        <f t="shared" ref="H18:H27" si="2">G18/D18</f>
        <v>1.0944858326125803E-2</v>
      </c>
      <c r="I18" s="279">
        <f t="shared" ref="I18:I27" si="3">E18-B18</f>
        <v>-125376.68</v>
      </c>
    </row>
    <row r="19" spans="1:9">
      <c r="A19" s="237" t="s">
        <v>1356</v>
      </c>
      <c r="B19" s="620">
        <v>138229.6</v>
      </c>
      <c r="C19" t="s">
        <v>2061</v>
      </c>
      <c r="D19" s="487">
        <v>136733.56</v>
      </c>
      <c r="E19" s="281">
        <f t="shared" si="0"/>
        <v>1496.0400000000081</v>
      </c>
      <c r="F19" s="292"/>
      <c r="G19" s="291">
        <f t="shared" si="1"/>
        <v>1496.0400000000081</v>
      </c>
      <c r="H19" s="403">
        <f t="shared" si="2"/>
        <v>1.094127879066418E-2</v>
      </c>
      <c r="I19" s="279">
        <f t="shared" si="3"/>
        <v>-136733.56</v>
      </c>
    </row>
    <row r="20" spans="1:9">
      <c r="A20" s="237" t="s">
        <v>1357</v>
      </c>
      <c r="B20" s="620">
        <v>120054.97</v>
      </c>
      <c r="C20" t="s">
        <v>2061</v>
      </c>
      <c r="D20" s="487">
        <v>118755.33</v>
      </c>
      <c r="E20" s="281">
        <f t="shared" si="0"/>
        <v>1299.6399999999994</v>
      </c>
      <c r="F20" s="292"/>
      <c r="G20" s="291">
        <f t="shared" si="1"/>
        <v>1299.6399999999994</v>
      </c>
      <c r="H20" s="403">
        <f t="shared" si="2"/>
        <v>1.0943845636233754E-2</v>
      </c>
      <c r="I20" s="279">
        <f t="shared" si="3"/>
        <v>-118755.33</v>
      </c>
    </row>
    <row r="21" spans="1:9">
      <c r="A21" s="237" t="s">
        <v>1358</v>
      </c>
      <c r="B21" s="620">
        <v>126656.2</v>
      </c>
      <c r="C21" t="s">
        <v>2061</v>
      </c>
      <c r="D21" s="487">
        <v>125284.93</v>
      </c>
      <c r="E21" s="281">
        <f t="shared" si="0"/>
        <v>1371.2700000000041</v>
      </c>
      <c r="F21" s="292"/>
      <c r="G21" s="291">
        <f t="shared" si="1"/>
        <v>1371.2700000000041</v>
      </c>
      <c r="H21" s="403">
        <f t="shared" si="2"/>
        <v>1.0945211048128487E-2</v>
      </c>
      <c r="I21" s="279">
        <f t="shared" si="3"/>
        <v>-125284.93</v>
      </c>
    </row>
    <row r="22" spans="1:9">
      <c r="A22" s="237" t="s">
        <v>1359</v>
      </c>
      <c r="B22" s="620">
        <v>54359.19</v>
      </c>
      <c r="C22" t="s">
        <v>2061</v>
      </c>
      <c r="D22" s="487">
        <v>53494.29</v>
      </c>
      <c r="E22" s="281">
        <f t="shared" si="0"/>
        <v>864.90000000000146</v>
      </c>
      <c r="F22" s="292"/>
      <c r="G22" s="291">
        <f t="shared" si="1"/>
        <v>864.90000000000146</v>
      </c>
      <c r="H22" s="403">
        <f t="shared" si="2"/>
        <v>1.6168080742823231E-2</v>
      </c>
      <c r="I22" s="279">
        <f t="shared" si="3"/>
        <v>-53494.29</v>
      </c>
    </row>
    <row r="23" spans="1:9">
      <c r="A23" s="237" t="s">
        <v>1360</v>
      </c>
      <c r="B23" s="620">
        <v>57263.27</v>
      </c>
      <c r="C23" t="s">
        <v>2061</v>
      </c>
      <c r="D23" s="620">
        <v>56351.78</v>
      </c>
      <c r="E23" s="281">
        <f t="shared" si="0"/>
        <v>911.48999999999796</v>
      </c>
      <c r="F23" s="292"/>
      <c r="G23" s="291">
        <f t="shared" si="1"/>
        <v>911.48999999999796</v>
      </c>
      <c r="H23" s="403">
        <f t="shared" si="2"/>
        <v>1.6174999263554726E-2</v>
      </c>
      <c r="I23" s="279">
        <f t="shared" si="3"/>
        <v>-56351.78</v>
      </c>
    </row>
    <row r="24" spans="1:9">
      <c r="A24" s="237" t="s">
        <v>1361</v>
      </c>
      <c r="B24" s="620">
        <v>2070.5</v>
      </c>
      <c r="C24" t="s">
        <v>2061</v>
      </c>
      <c r="D24" s="620">
        <v>2070.5</v>
      </c>
      <c r="E24" s="281">
        <f t="shared" si="0"/>
        <v>0</v>
      </c>
      <c r="F24" s="292"/>
      <c r="G24" s="291">
        <f t="shared" si="1"/>
        <v>0</v>
      </c>
      <c r="H24" s="403">
        <f t="shared" si="2"/>
        <v>0</v>
      </c>
      <c r="I24" s="279">
        <f t="shared" si="3"/>
        <v>-2070.5</v>
      </c>
    </row>
    <row r="25" spans="1:9">
      <c r="A25" s="237" t="s">
        <v>1362</v>
      </c>
      <c r="B25" s="620">
        <v>3080.5</v>
      </c>
      <c r="C25" t="s">
        <v>2061</v>
      </c>
      <c r="D25" s="620">
        <v>3080.5</v>
      </c>
      <c r="E25" s="281">
        <f t="shared" si="0"/>
        <v>0</v>
      </c>
      <c r="F25" s="292"/>
      <c r="G25" s="291">
        <f t="shared" si="1"/>
        <v>0</v>
      </c>
      <c r="H25" s="403">
        <f t="shared" si="2"/>
        <v>0</v>
      </c>
      <c r="I25" s="279">
        <f t="shared" si="3"/>
        <v>-3080.5</v>
      </c>
    </row>
    <row r="26" spans="1:9">
      <c r="A26" s="237" t="s">
        <v>1363</v>
      </c>
      <c r="B26" s="620">
        <v>6.06</v>
      </c>
      <c r="C26" t="s">
        <v>2061</v>
      </c>
      <c r="D26" s="620">
        <v>6.06</v>
      </c>
      <c r="E26" s="281">
        <f t="shared" si="0"/>
        <v>0</v>
      </c>
      <c r="F26" s="292"/>
      <c r="G26" s="291">
        <f t="shared" si="1"/>
        <v>0</v>
      </c>
      <c r="H26" s="403">
        <f t="shared" si="2"/>
        <v>0</v>
      </c>
      <c r="I26" s="279">
        <f t="shared" si="3"/>
        <v>-6.06</v>
      </c>
    </row>
    <row r="27" spans="1:9">
      <c r="A27" s="240" t="s">
        <v>1364</v>
      </c>
      <c r="B27" s="620">
        <v>7.07</v>
      </c>
      <c r="C27" t="s">
        <v>2061</v>
      </c>
      <c r="D27" s="620">
        <v>7.07</v>
      </c>
      <c r="E27" s="281">
        <f t="shared" si="0"/>
        <v>0</v>
      </c>
      <c r="F27" s="292"/>
      <c r="G27" s="291">
        <f t="shared" si="1"/>
        <v>0</v>
      </c>
      <c r="H27" s="403">
        <f t="shared" si="2"/>
        <v>0</v>
      </c>
      <c r="I27" s="279">
        <f t="shared" si="3"/>
        <v>-7.07</v>
      </c>
    </row>
    <row r="28" spans="1:9">
      <c r="A28" s="242"/>
      <c r="B28" s="243"/>
      <c r="D28" s="243"/>
      <c r="E28" s="281"/>
      <c r="F28" s="292"/>
      <c r="G28" s="292"/>
      <c r="H28" s="404"/>
      <c r="I28" s="405"/>
    </row>
    <row r="29" spans="1:9" ht="18.75">
      <c r="A29" s="272" t="s">
        <v>1963</v>
      </c>
      <c r="B29" s="243"/>
      <c r="D29" s="243"/>
      <c r="E29" s="281"/>
      <c r="F29" s="292"/>
      <c r="G29" s="292"/>
      <c r="H29" s="404"/>
      <c r="I29" s="405"/>
    </row>
    <row r="30" spans="1:9">
      <c r="A30" s="249" t="s">
        <v>40</v>
      </c>
      <c r="B30" s="243"/>
      <c r="C30" s="118"/>
      <c r="D30" s="243"/>
      <c r="E30" s="281"/>
      <c r="F30" s="292"/>
      <c r="G30" s="292"/>
      <c r="H30" s="404"/>
      <c r="I30" s="405"/>
    </row>
    <row r="31" spans="1:9">
      <c r="A31" s="246"/>
      <c r="B31" s="118"/>
      <c r="C31" s="118"/>
      <c r="D31" s="118"/>
      <c r="E31" s="281"/>
      <c r="F31" s="293"/>
      <c r="G31" s="292"/>
      <c r="H31" s="404"/>
      <c r="I31" s="405"/>
    </row>
    <row r="32" spans="1:9" ht="18.75">
      <c r="A32" s="272" t="s">
        <v>1964</v>
      </c>
      <c r="B32" s="118"/>
      <c r="C32" s="118"/>
      <c r="D32" s="118"/>
      <c r="E32" s="281"/>
      <c r="F32" s="293"/>
      <c r="G32" s="292"/>
      <c r="H32" s="404"/>
      <c r="I32" s="405"/>
    </row>
    <row r="33" spans="1:9">
      <c r="A33" s="273" t="s">
        <v>1965</v>
      </c>
      <c r="B33" s="243"/>
      <c r="C33" s="118"/>
      <c r="D33" s="243"/>
      <c r="E33" s="281"/>
      <c r="F33" s="292"/>
      <c r="G33" s="292"/>
      <c r="H33" s="404"/>
      <c r="I33" s="405"/>
    </row>
    <row r="34" spans="1:9">
      <c r="A34" s="273" t="s">
        <v>1966</v>
      </c>
      <c r="B34" s="243"/>
      <c r="C34" s="118"/>
      <c r="D34" s="243"/>
      <c r="E34" s="281"/>
      <c r="F34" s="292"/>
      <c r="G34" s="292"/>
      <c r="H34" s="404"/>
      <c r="I34" s="405"/>
    </row>
    <row r="35" spans="1:9">
      <c r="A35" s="250"/>
      <c r="B35" s="243"/>
      <c r="D35" s="243"/>
      <c r="E35" s="281"/>
      <c r="F35" s="292"/>
      <c r="G35" s="292"/>
      <c r="H35" s="404"/>
      <c r="I35" s="405"/>
    </row>
    <row r="36" spans="1:9">
      <c r="A36" s="250"/>
      <c r="B36" s="243"/>
      <c r="D36" s="243"/>
      <c r="E36" s="281"/>
      <c r="F36" s="292"/>
      <c r="G36" s="292"/>
      <c r="H36" s="404"/>
      <c r="I36" s="405"/>
    </row>
    <row r="37" spans="1:9" ht="18.75">
      <c r="A37" s="244"/>
      <c r="B37" s="243"/>
      <c r="D37" s="243"/>
      <c r="E37" s="281"/>
      <c r="F37" s="292"/>
      <c r="G37" s="292"/>
      <c r="H37" s="404"/>
      <c r="I37" s="405"/>
    </row>
    <row r="38" spans="1:9" ht="15.75">
      <c r="A38" s="247" t="s">
        <v>41</v>
      </c>
      <c r="B38" s="243"/>
      <c r="D38" s="243"/>
      <c r="E38" s="281"/>
      <c r="F38" s="292"/>
      <c r="G38" s="292"/>
      <c r="H38" s="404"/>
      <c r="I38" s="405"/>
    </row>
    <row r="39" spans="1:9">
      <c r="A39" s="237" t="s">
        <v>42</v>
      </c>
      <c r="B39" s="620">
        <v>975.77</v>
      </c>
      <c r="C39" t="s">
        <v>2061</v>
      </c>
      <c r="D39" s="487">
        <v>949.87</v>
      </c>
      <c r="E39" s="281">
        <f t="shared" si="0"/>
        <v>25.899999999999977</v>
      </c>
      <c r="F39" s="292"/>
      <c r="G39" s="291">
        <f>B39-D39</f>
        <v>25.899999999999977</v>
      </c>
      <c r="H39" s="403">
        <f>G39/D39</f>
        <v>2.7266889153252528E-2</v>
      </c>
      <c r="I39" s="279">
        <f>E39-B39</f>
        <v>-949.87</v>
      </c>
    </row>
    <row r="40" spans="1:9">
      <c r="A40" s="237" t="s">
        <v>43</v>
      </c>
      <c r="B40" s="620">
        <v>749.52</v>
      </c>
      <c r="C40" t="s">
        <v>2061</v>
      </c>
      <c r="D40" s="487">
        <v>729.62</v>
      </c>
      <c r="E40" s="281">
        <f t="shared" si="0"/>
        <v>19.899999999999977</v>
      </c>
      <c r="F40" s="292"/>
      <c r="G40" s="291">
        <f>B40-D40</f>
        <v>19.899999999999977</v>
      </c>
      <c r="H40" s="403">
        <f>G40/D40</f>
        <v>2.727447164277292E-2</v>
      </c>
      <c r="I40" s="279">
        <f>E40-B40</f>
        <v>-729.62</v>
      </c>
    </row>
    <row r="41" spans="1:9">
      <c r="A41" s="240" t="s">
        <v>1000</v>
      </c>
      <c r="B41" s="620">
        <v>494.9</v>
      </c>
      <c r="C41" t="s">
        <v>2061</v>
      </c>
      <c r="D41" s="487">
        <v>481.87</v>
      </c>
      <c r="E41" s="281">
        <f t="shared" si="0"/>
        <v>13.029999999999973</v>
      </c>
      <c r="F41" s="292"/>
      <c r="G41" s="291">
        <f>B41-D41</f>
        <v>13.029999999999973</v>
      </c>
      <c r="H41" s="403">
        <f>G41/D41</f>
        <v>2.7040488098449732E-2</v>
      </c>
      <c r="I41" s="279">
        <f>E41-B41</f>
        <v>-481.87</v>
      </c>
    </row>
    <row r="42" spans="1:9">
      <c r="A42" s="252"/>
      <c r="B42" s="118"/>
      <c r="D42" s="118"/>
      <c r="E42" s="281"/>
      <c r="F42" s="293"/>
      <c r="G42" s="292"/>
      <c r="H42" s="404"/>
      <c r="I42" s="405"/>
    </row>
    <row r="43" spans="1:9" ht="18.75">
      <c r="A43" s="244"/>
      <c r="B43" s="118"/>
      <c r="D43" s="118"/>
      <c r="E43" s="281"/>
      <c r="F43" s="293"/>
      <c r="G43" s="292"/>
      <c r="H43" s="404"/>
      <c r="I43" s="405"/>
    </row>
    <row r="44" spans="1:9" ht="15.75">
      <c r="A44" s="247" t="s">
        <v>44</v>
      </c>
      <c r="B44" s="118"/>
      <c r="D44" s="118"/>
      <c r="E44" s="281"/>
      <c r="F44" s="293"/>
      <c r="G44" s="292"/>
      <c r="H44" s="404"/>
      <c r="I44" s="405"/>
    </row>
    <row r="45" spans="1:9">
      <c r="A45" s="237" t="s">
        <v>45</v>
      </c>
      <c r="B45" s="620">
        <v>297.37</v>
      </c>
      <c r="C45" t="s">
        <v>2061</v>
      </c>
      <c r="D45" s="487">
        <v>293.61</v>
      </c>
      <c r="E45" s="281">
        <f t="shared" si="0"/>
        <v>3.7599999999999909</v>
      </c>
      <c r="F45" s="292"/>
      <c r="G45" s="291">
        <f>B45-D45</f>
        <v>3.7599999999999909</v>
      </c>
      <c r="H45" s="403">
        <f>G45/D45</f>
        <v>1.2806103334355065E-2</v>
      </c>
      <c r="I45" s="279">
        <f>E45-B45</f>
        <v>-293.61</v>
      </c>
    </row>
    <row r="46" spans="1:9">
      <c r="A46" s="237" t="s">
        <v>46</v>
      </c>
      <c r="B46" s="620">
        <v>338.8</v>
      </c>
      <c r="C46" t="s">
        <v>2061</v>
      </c>
      <c r="D46" s="487">
        <v>334.52</v>
      </c>
      <c r="E46" s="281">
        <f t="shared" si="0"/>
        <v>4.2800000000000296</v>
      </c>
      <c r="F46" s="292"/>
      <c r="G46" s="291">
        <f>B46-D46</f>
        <v>4.2800000000000296</v>
      </c>
      <c r="H46" s="403">
        <f>G46/D46</f>
        <v>1.2794451751763811E-2</v>
      </c>
      <c r="I46" s="279">
        <f>E46-B46</f>
        <v>-334.52</v>
      </c>
    </row>
    <row r="47" spans="1:9">
      <c r="A47" s="237" t="s">
        <v>47</v>
      </c>
      <c r="B47" s="620">
        <v>379.01</v>
      </c>
      <c r="C47" t="s">
        <v>2061</v>
      </c>
      <c r="D47" s="487">
        <v>374.22</v>
      </c>
      <c r="E47" s="281">
        <f t="shared" si="0"/>
        <v>4.7899999999999636</v>
      </c>
      <c r="F47" s="292"/>
      <c r="G47" s="291">
        <f>B47-D47</f>
        <v>4.7899999999999636</v>
      </c>
      <c r="H47" s="403">
        <f>G47/D47</f>
        <v>1.279995724440159E-2</v>
      </c>
      <c r="I47" s="279">
        <f>E47-B47</f>
        <v>-374.22</v>
      </c>
    </row>
    <row r="48" spans="1:9">
      <c r="A48" s="237" t="s">
        <v>1123</v>
      </c>
      <c r="B48" s="620">
        <v>379.01</v>
      </c>
      <c r="C48" t="s">
        <v>2061</v>
      </c>
      <c r="D48" s="487">
        <v>374.22</v>
      </c>
      <c r="E48" s="281">
        <f t="shared" si="0"/>
        <v>4.7899999999999636</v>
      </c>
      <c r="F48" s="292"/>
      <c r="G48" s="291">
        <f>B48-D48</f>
        <v>4.7899999999999636</v>
      </c>
      <c r="H48" s="403">
        <f>G48/D48</f>
        <v>1.279995724440159E-2</v>
      </c>
      <c r="I48" s="279">
        <f>E48-B48</f>
        <v>-374.22</v>
      </c>
    </row>
    <row r="49" spans="1:9" ht="15.75">
      <c r="A49" s="247" t="s">
        <v>1124</v>
      </c>
      <c r="B49" s="118"/>
      <c r="D49" s="118"/>
      <c r="E49" s="281"/>
      <c r="F49" s="293"/>
      <c r="G49" s="292"/>
      <c r="H49" s="404"/>
      <c r="I49" s="405"/>
    </row>
    <row r="50" spans="1:9">
      <c r="A50" s="237" t="s">
        <v>1125</v>
      </c>
      <c r="B50" s="620">
        <v>76.44</v>
      </c>
      <c r="C50" t="s">
        <v>2061</v>
      </c>
      <c r="D50" s="487">
        <v>75.41</v>
      </c>
      <c r="E50" s="281">
        <f t="shared" si="0"/>
        <v>1.0300000000000011</v>
      </c>
      <c r="F50" s="292"/>
      <c r="G50" s="291">
        <f>B50-D50</f>
        <v>1.0300000000000011</v>
      </c>
      <c r="H50" s="403">
        <f>G50/D50</f>
        <v>1.3658665959421843E-2</v>
      </c>
      <c r="I50" s="279">
        <f>E50-B50</f>
        <v>-75.41</v>
      </c>
    </row>
    <row r="51" spans="1:9">
      <c r="A51" s="237" t="s">
        <v>1126</v>
      </c>
      <c r="B51" s="620">
        <v>101.09</v>
      </c>
      <c r="C51" t="s">
        <v>2061</v>
      </c>
      <c r="D51" s="487">
        <v>99.73</v>
      </c>
      <c r="E51" s="281">
        <f t="shared" si="0"/>
        <v>1.3599999999999994</v>
      </c>
      <c r="F51" s="292"/>
      <c r="G51" s="291">
        <f>B51-D51</f>
        <v>1.3599999999999994</v>
      </c>
      <c r="H51" s="403">
        <f>G51/D51</f>
        <v>1.3636819412413511E-2</v>
      </c>
      <c r="I51" s="279">
        <f>E51-B51</f>
        <v>-99.73</v>
      </c>
    </row>
    <row r="52" spans="1:9">
      <c r="A52" s="237" t="s">
        <v>1127</v>
      </c>
      <c r="B52" s="620">
        <v>125.74</v>
      </c>
      <c r="C52" t="s">
        <v>2061</v>
      </c>
      <c r="D52" s="487">
        <v>124.04</v>
      </c>
      <c r="E52" s="281">
        <f t="shared" si="0"/>
        <v>1.6999999999999886</v>
      </c>
      <c r="F52" s="292"/>
      <c r="G52" s="291">
        <f>B52-D52</f>
        <v>1.6999999999999886</v>
      </c>
      <c r="H52" s="403">
        <f>G52/D52</f>
        <v>1.3705256368913161E-2</v>
      </c>
      <c r="I52" s="279">
        <f>E52-B52</f>
        <v>-124.04</v>
      </c>
    </row>
    <row r="53" spans="1:9">
      <c r="A53" s="237" t="s">
        <v>1128</v>
      </c>
      <c r="B53" s="620">
        <v>196.04</v>
      </c>
      <c r="C53" t="s">
        <v>2061</v>
      </c>
      <c r="D53" s="487">
        <v>193.39</v>
      </c>
      <c r="E53" s="281">
        <f t="shared" si="0"/>
        <v>2.6500000000000057</v>
      </c>
      <c r="F53" s="292"/>
      <c r="G53" s="291">
        <f>B53-D53</f>
        <v>2.6500000000000057</v>
      </c>
      <c r="H53" s="403">
        <f>G53/D53</f>
        <v>1.3702880190289084E-2</v>
      </c>
      <c r="I53" s="279">
        <f>E53-B53</f>
        <v>-193.39</v>
      </c>
    </row>
    <row r="54" spans="1:9" ht="15.75">
      <c r="A54" s="247" t="s">
        <v>61</v>
      </c>
      <c r="B54" s="243"/>
      <c r="D54" s="243"/>
      <c r="E54" s="281"/>
      <c r="F54" s="292"/>
      <c r="G54" s="292"/>
      <c r="H54" s="404"/>
      <c r="I54" s="405"/>
    </row>
    <row r="55" spans="1:9">
      <c r="A55" s="237" t="s">
        <v>1289</v>
      </c>
      <c r="B55" s="620">
        <v>3982</v>
      </c>
      <c r="C55" s="2170" t="s">
        <v>2061</v>
      </c>
      <c r="D55" s="487">
        <v>3920</v>
      </c>
      <c r="E55" s="281">
        <f t="shared" si="0"/>
        <v>62</v>
      </c>
      <c r="F55" s="292"/>
      <c r="G55" s="291">
        <f>B55-D55</f>
        <v>62</v>
      </c>
      <c r="H55" s="296">
        <f>G55/D55</f>
        <v>1.5816326530612244E-2</v>
      </c>
      <c r="I55" s="279">
        <f>E55-B55</f>
        <v>-3920</v>
      </c>
    </row>
    <row r="56" spans="1:9">
      <c r="A56" s="237" t="s">
        <v>1000</v>
      </c>
      <c r="B56" s="620">
        <v>3982</v>
      </c>
      <c r="C56" t="s">
        <v>2061</v>
      </c>
      <c r="D56" s="487">
        <v>3920</v>
      </c>
      <c r="E56" s="281">
        <f t="shared" si="0"/>
        <v>62</v>
      </c>
      <c r="F56" s="292"/>
      <c r="G56" s="291">
        <f>B56-D56</f>
        <v>62</v>
      </c>
      <c r="H56" s="296">
        <f>G56/D56</f>
        <v>1.5816326530612244E-2</v>
      </c>
      <c r="I56" s="279">
        <f>E56-B56</f>
        <v>-3920</v>
      </c>
    </row>
    <row r="57" spans="1:9" ht="15.75">
      <c r="A57" s="247" t="s">
        <v>1029</v>
      </c>
      <c r="B57" s="243"/>
      <c r="D57" s="243"/>
      <c r="E57" s="281"/>
      <c r="F57" s="292"/>
      <c r="G57" s="292"/>
      <c r="H57" s="404"/>
      <c r="I57" s="405"/>
    </row>
    <row r="58" spans="1:9">
      <c r="A58" s="237" t="s">
        <v>1129</v>
      </c>
      <c r="B58" s="620">
        <v>0</v>
      </c>
      <c r="D58" s="487">
        <v>0</v>
      </c>
      <c r="E58" s="281">
        <f t="shared" si="0"/>
        <v>0</v>
      </c>
      <c r="F58" s="292"/>
      <c r="G58" s="292"/>
      <c r="H58" s="404"/>
      <c r="I58" s="405"/>
    </row>
    <row r="59" spans="1:9">
      <c r="A59" s="237" t="s">
        <v>1130</v>
      </c>
      <c r="B59" s="620">
        <v>0</v>
      </c>
      <c r="D59" s="487">
        <v>0</v>
      </c>
      <c r="E59" s="281">
        <f t="shared" si="0"/>
        <v>0</v>
      </c>
      <c r="F59" s="292"/>
      <c r="G59" s="292"/>
      <c r="H59" s="404"/>
      <c r="I59" s="405"/>
    </row>
    <row r="60" spans="1:9">
      <c r="A60" s="237" t="s">
        <v>1131</v>
      </c>
      <c r="B60" s="243">
        <v>0</v>
      </c>
      <c r="D60" s="243">
        <v>0</v>
      </c>
      <c r="E60" s="281"/>
      <c r="F60" s="292"/>
      <c r="G60" s="292"/>
      <c r="H60" s="404"/>
      <c r="I60" s="405"/>
    </row>
    <row r="61" spans="1:9" ht="15.75">
      <c r="A61" s="247" t="s">
        <v>1132</v>
      </c>
      <c r="B61" s="243"/>
      <c r="D61" s="243"/>
      <c r="E61" s="281"/>
      <c r="F61" s="292"/>
      <c r="G61" s="292"/>
      <c r="H61" s="404"/>
      <c r="I61" s="405"/>
    </row>
    <row r="62" spans="1:9">
      <c r="A62" s="237" t="s">
        <v>1133</v>
      </c>
      <c r="B62" s="620">
        <v>907.71</v>
      </c>
      <c r="D62" s="487">
        <v>0</v>
      </c>
      <c r="E62" s="281">
        <f t="shared" si="0"/>
        <v>907.71</v>
      </c>
      <c r="F62" s="292"/>
      <c r="G62" s="292"/>
      <c r="H62" s="404"/>
      <c r="I62" s="405"/>
    </row>
    <row r="63" spans="1:9">
      <c r="A63" s="237" t="s">
        <v>1900</v>
      </c>
      <c r="B63" s="620">
        <v>397.12</v>
      </c>
      <c r="D63" s="487">
        <v>0</v>
      </c>
      <c r="E63" s="281">
        <f t="shared" si="0"/>
        <v>397.12</v>
      </c>
      <c r="F63" s="292"/>
      <c r="G63" s="292"/>
      <c r="H63" s="404"/>
      <c r="I63" s="405"/>
    </row>
    <row r="64" spans="1:9">
      <c r="A64" s="237" t="s">
        <v>1361</v>
      </c>
      <c r="B64" s="620">
        <v>47645.21</v>
      </c>
      <c r="D64" s="487">
        <v>0</v>
      </c>
      <c r="E64" s="281">
        <f t="shared" si="0"/>
        <v>47645.21</v>
      </c>
      <c r="F64" s="292"/>
      <c r="G64" s="292"/>
      <c r="H64" s="404"/>
      <c r="I64" s="405"/>
    </row>
    <row r="65" spans="1:9">
      <c r="A65" s="237" t="s">
        <v>1362</v>
      </c>
      <c r="B65" s="243">
        <v>89170.41</v>
      </c>
      <c r="D65" s="243">
        <v>0</v>
      </c>
      <c r="E65" s="281"/>
      <c r="F65" s="292"/>
      <c r="G65" s="292"/>
      <c r="H65" s="404"/>
      <c r="I65" s="405"/>
    </row>
    <row r="66" spans="1:9">
      <c r="A66" s="237" t="s">
        <v>1901</v>
      </c>
      <c r="B66" s="243">
        <v>0</v>
      </c>
      <c r="D66" s="243">
        <v>0</v>
      </c>
      <c r="E66" s="281"/>
      <c r="F66" s="292"/>
      <c r="G66" s="292"/>
      <c r="H66" s="404"/>
      <c r="I66" s="405"/>
    </row>
    <row r="67" spans="1:9">
      <c r="A67" s="237" t="s">
        <v>1902</v>
      </c>
      <c r="B67" s="243">
        <v>0</v>
      </c>
      <c r="D67" s="243">
        <v>0</v>
      </c>
      <c r="E67" s="281"/>
      <c r="F67" s="292"/>
      <c r="G67" s="292"/>
      <c r="H67" s="404"/>
      <c r="I67" s="405"/>
    </row>
    <row r="68" spans="1:9">
      <c r="A68" s="237" t="s">
        <v>1468</v>
      </c>
      <c r="B68" s="243">
        <v>0</v>
      </c>
      <c r="D68" s="243">
        <v>0</v>
      </c>
      <c r="E68" s="281"/>
      <c r="F68" s="292"/>
      <c r="G68" s="292"/>
      <c r="H68" s="404"/>
      <c r="I68" s="405"/>
    </row>
    <row r="69" spans="1:9">
      <c r="A69" s="237" t="s">
        <v>1469</v>
      </c>
      <c r="B69" s="243">
        <v>0</v>
      </c>
      <c r="D69" s="243">
        <v>0</v>
      </c>
      <c r="E69" s="281"/>
      <c r="F69" s="292"/>
      <c r="G69" s="292"/>
      <c r="H69" s="404"/>
      <c r="I69" s="405"/>
    </row>
    <row r="70" spans="1:9">
      <c r="A70" s="237" t="s">
        <v>1470</v>
      </c>
      <c r="B70" s="243">
        <v>0</v>
      </c>
      <c r="D70" s="243">
        <v>0</v>
      </c>
      <c r="E70" s="281"/>
      <c r="F70" s="292"/>
      <c r="G70" s="292"/>
      <c r="H70" s="404"/>
      <c r="I70" s="405"/>
    </row>
    <row r="71" spans="1:9">
      <c r="A71" s="237" t="s">
        <v>2014</v>
      </c>
      <c r="B71" s="243">
        <v>0</v>
      </c>
      <c r="D71" s="243">
        <v>0</v>
      </c>
      <c r="E71" s="281"/>
      <c r="F71" s="292"/>
      <c r="G71" s="292"/>
      <c r="H71" s="404"/>
      <c r="I71" s="405"/>
    </row>
    <row r="72" spans="1:9" ht="15.75">
      <c r="A72" s="247" t="s">
        <v>1777</v>
      </c>
      <c r="B72" s="236"/>
      <c r="D72" s="236"/>
      <c r="E72" s="281"/>
      <c r="F72" s="292"/>
      <c r="G72" s="292"/>
      <c r="H72" s="404"/>
      <c r="I72" s="405"/>
    </row>
    <row r="73" spans="1:9">
      <c r="A73" s="237" t="s">
        <v>1289</v>
      </c>
      <c r="B73" s="620">
        <v>0</v>
      </c>
      <c r="C73" t="s">
        <v>2408</v>
      </c>
      <c r="D73" s="487">
        <v>0</v>
      </c>
      <c r="E73" s="281">
        <f t="shared" si="0"/>
        <v>0</v>
      </c>
      <c r="F73" s="292"/>
      <c r="G73" s="292"/>
      <c r="H73" s="404"/>
      <c r="I73" s="405"/>
    </row>
    <row r="74" spans="1:9">
      <c r="A74" s="240" t="s">
        <v>1000</v>
      </c>
      <c r="B74" s="620">
        <v>0</v>
      </c>
      <c r="C74" t="s">
        <v>2408</v>
      </c>
      <c r="D74" s="487">
        <v>0</v>
      </c>
      <c r="E74" s="281">
        <f t="shared" si="0"/>
        <v>0</v>
      </c>
      <c r="F74" s="292"/>
      <c r="G74" s="292"/>
      <c r="H74" s="404"/>
      <c r="I74" s="405"/>
    </row>
    <row r="75" spans="1:9">
      <c r="A75" s="242"/>
      <c r="B75" s="243"/>
      <c r="D75" s="243"/>
      <c r="E75" s="281"/>
      <c r="F75" s="292"/>
      <c r="G75" s="292"/>
      <c r="H75" s="404"/>
      <c r="I75" s="405"/>
    </row>
    <row r="76" spans="1:9" ht="18.75">
      <c r="A76" s="244"/>
      <c r="B76" s="243"/>
      <c r="D76" s="243"/>
      <c r="E76" s="281"/>
      <c r="F76" s="292"/>
      <c r="G76" s="292"/>
      <c r="H76" s="404"/>
      <c r="I76" s="405"/>
    </row>
    <row r="77" spans="1:9" ht="15.75">
      <c r="A77" s="247" t="s">
        <v>2015</v>
      </c>
      <c r="B77" s="243"/>
      <c r="D77" s="243"/>
      <c r="E77" s="281"/>
      <c r="F77" s="292"/>
      <c r="G77" s="292"/>
      <c r="H77" s="404"/>
      <c r="I77" s="405"/>
    </row>
    <row r="78" spans="1:9">
      <c r="A78" s="237" t="s">
        <v>2016</v>
      </c>
      <c r="B78" s="620">
        <v>1384.17</v>
      </c>
      <c r="C78" t="s">
        <v>2061</v>
      </c>
      <c r="D78" s="487">
        <v>1362.41</v>
      </c>
      <c r="E78" s="281">
        <f>B78-D78</f>
        <v>21.759999999999991</v>
      </c>
      <c r="F78" s="292"/>
      <c r="G78" s="291">
        <f>B78-D78</f>
        <v>21.759999999999991</v>
      </c>
      <c r="H78" s="403">
        <f>G78/D78</f>
        <v>1.5971697213026909E-2</v>
      </c>
      <c r="I78" s="279">
        <f>E78-B78</f>
        <v>-1362.41</v>
      </c>
    </row>
    <row r="79" spans="1:9">
      <c r="A79" s="237" t="s">
        <v>2017</v>
      </c>
      <c r="B79" s="620">
        <v>2076.2600000000002</v>
      </c>
      <c r="C79" t="s">
        <v>2061</v>
      </c>
      <c r="D79" s="487">
        <v>2043.61</v>
      </c>
      <c r="E79" s="281">
        <f>B79-D79</f>
        <v>32.650000000000318</v>
      </c>
      <c r="F79" s="292"/>
      <c r="G79" s="291">
        <f>B79-D79</f>
        <v>32.650000000000318</v>
      </c>
      <c r="H79" s="403">
        <f>G79/D79</f>
        <v>1.5976629591752008E-2</v>
      </c>
      <c r="I79" s="279">
        <f>E79-B79</f>
        <v>-2043.61</v>
      </c>
    </row>
    <row r="80" spans="1:9">
      <c r="A80" s="237" t="s">
        <v>2018</v>
      </c>
      <c r="B80" s="243"/>
      <c r="D80" s="243"/>
      <c r="E80" s="281"/>
      <c r="F80" s="292"/>
      <c r="G80" s="292"/>
      <c r="H80" s="404"/>
      <c r="I80" s="405"/>
    </row>
    <row r="81" spans="1:9">
      <c r="A81" s="237" t="s">
        <v>2019</v>
      </c>
      <c r="B81" s="243"/>
      <c r="D81" s="243"/>
      <c r="E81" s="281"/>
      <c r="F81" s="292"/>
      <c r="G81" s="292"/>
      <c r="H81" s="404"/>
      <c r="I81" s="405"/>
    </row>
    <row r="82" spans="1:9">
      <c r="A82" s="237" t="s">
        <v>2020</v>
      </c>
      <c r="B82" s="620">
        <v>1153.48</v>
      </c>
      <c r="C82" t="s">
        <v>2061</v>
      </c>
      <c r="D82" s="487">
        <v>1135.3399999999999</v>
      </c>
      <c r="E82" s="281">
        <f>B82-D82</f>
        <v>18.1400000000001</v>
      </c>
      <c r="F82" s="292"/>
      <c r="G82" s="291">
        <f>B82-D82</f>
        <v>18.1400000000001</v>
      </c>
      <c r="H82" s="403">
        <f>G82/D82</f>
        <v>1.5977592615428068E-2</v>
      </c>
      <c r="I82" s="279">
        <f>E82-B82</f>
        <v>-1135.3399999999999</v>
      </c>
    </row>
    <row r="83" spans="1:9">
      <c r="A83" s="237" t="s">
        <v>2021</v>
      </c>
      <c r="B83" s="620">
        <v>1153.48</v>
      </c>
      <c r="C83" t="s">
        <v>2061</v>
      </c>
      <c r="D83" s="487">
        <v>1135.3399999999999</v>
      </c>
      <c r="E83" s="281">
        <f>B83-D83</f>
        <v>18.1400000000001</v>
      </c>
      <c r="F83" s="292"/>
      <c r="G83" s="291">
        <f>B83-D83</f>
        <v>18.1400000000001</v>
      </c>
      <c r="H83" s="403">
        <f>G83/D83</f>
        <v>1.5977592615428068E-2</v>
      </c>
      <c r="I83" s="279">
        <f>E83-B83</f>
        <v>-1135.3399999999999</v>
      </c>
    </row>
    <row r="84" spans="1:9">
      <c r="A84" s="237" t="s">
        <v>2022</v>
      </c>
      <c r="B84" s="243"/>
      <c r="D84" s="243"/>
      <c r="E84" s="281"/>
      <c r="F84" s="292"/>
      <c r="G84" s="291">
        <f>B84-D84</f>
        <v>0</v>
      </c>
      <c r="H84" s="403" t="e">
        <f>G84/D84</f>
        <v>#DIV/0!</v>
      </c>
      <c r="I84" s="279">
        <f>E84-B84</f>
        <v>0</v>
      </c>
    </row>
    <row r="85" spans="1:9" ht="15.75">
      <c r="A85" s="247" t="s">
        <v>2023</v>
      </c>
      <c r="B85" s="243"/>
      <c r="D85" s="243"/>
      <c r="E85" s="281"/>
      <c r="F85" s="292"/>
      <c r="G85" s="291">
        <f>B85-D85</f>
        <v>0</v>
      </c>
      <c r="H85" s="403" t="e">
        <f>G85/D85</f>
        <v>#DIV/0!</v>
      </c>
      <c r="I85" s="279">
        <f>E85-B85</f>
        <v>0</v>
      </c>
    </row>
    <row r="86" spans="1:9">
      <c r="A86" s="237" t="s">
        <v>2024</v>
      </c>
      <c r="B86" s="620">
        <v>1153.48</v>
      </c>
      <c r="C86" t="s">
        <v>2061</v>
      </c>
      <c r="D86" s="487">
        <v>1135.3399999999999</v>
      </c>
      <c r="E86" s="281">
        <f>B86-D86</f>
        <v>18.1400000000001</v>
      </c>
      <c r="F86" s="292"/>
      <c r="G86" s="291">
        <f>B86-D86</f>
        <v>18.1400000000001</v>
      </c>
      <c r="H86" s="403">
        <f>G86/D86</f>
        <v>1.5977592615428068E-2</v>
      </c>
      <c r="I86" s="279">
        <f>E86-B86</f>
        <v>-1135.3399999999999</v>
      </c>
    </row>
    <row r="87" spans="1:9">
      <c r="A87" s="237" t="s">
        <v>2025</v>
      </c>
      <c r="B87" s="243"/>
      <c r="D87" s="243"/>
      <c r="E87" s="281"/>
      <c r="F87" s="292"/>
      <c r="G87" s="292"/>
      <c r="H87" s="404"/>
      <c r="I87" s="405"/>
    </row>
    <row r="88" spans="1:9" ht="15.75">
      <c r="A88" s="247" t="s">
        <v>2026</v>
      </c>
      <c r="B88" s="243"/>
      <c r="D88" s="243"/>
      <c r="E88" s="281"/>
      <c r="F88" s="292"/>
      <c r="G88" s="292"/>
      <c r="H88" s="404"/>
      <c r="I88" s="405"/>
    </row>
    <row r="89" spans="1:9">
      <c r="A89" s="237" t="s">
        <v>2027</v>
      </c>
      <c r="B89" s="620">
        <v>184.94</v>
      </c>
      <c r="C89" t="s">
        <v>2061</v>
      </c>
      <c r="D89" s="487">
        <v>181.75</v>
      </c>
      <c r="E89" s="281">
        <f>B89-D89</f>
        <v>3.1899999999999977</v>
      </c>
      <c r="F89" s="292"/>
      <c r="G89" s="291">
        <f>B89-D89</f>
        <v>3.1899999999999977</v>
      </c>
      <c r="H89" s="403">
        <f>G89/D89</f>
        <v>1.7551581843191184E-2</v>
      </c>
      <c r="I89" s="279">
        <f>E89-B89</f>
        <v>-181.75</v>
      </c>
    </row>
    <row r="90" spans="1:9">
      <c r="A90" s="237" t="s">
        <v>2028</v>
      </c>
      <c r="B90" s="271"/>
      <c r="D90" s="271"/>
      <c r="E90" s="281"/>
      <c r="F90" s="292"/>
      <c r="G90" s="292"/>
      <c r="H90" s="404"/>
      <c r="I90" s="405"/>
    </row>
    <row r="91" spans="1:9">
      <c r="A91" s="237" t="s">
        <v>2029</v>
      </c>
      <c r="B91" s="271"/>
      <c r="D91" s="271"/>
      <c r="E91" s="281"/>
      <c r="F91" s="292"/>
      <c r="G91" s="292"/>
      <c r="H91" s="404"/>
      <c r="I91" s="405"/>
    </row>
    <row r="92" spans="1:9">
      <c r="A92" s="240" t="s">
        <v>1517</v>
      </c>
      <c r="B92" s="271"/>
      <c r="D92" s="271"/>
      <c r="E92" s="281"/>
      <c r="F92" s="292"/>
      <c r="G92" s="292"/>
      <c r="H92" s="404"/>
      <c r="I92" s="405"/>
    </row>
    <row r="93" spans="1:9">
      <c r="A93" s="242"/>
      <c r="B93" s="243"/>
      <c r="D93" s="243"/>
      <c r="E93" s="281"/>
      <c r="F93" s="292"/>
      <c r="G93" s="292"/>
      <c r="H93" s="404"/>
      <c r="I93" s="405"/>
    </row>
    <row r="94" spans="1:9" ht="18.75">
      <c r="A94" s="244"/>
      <c r="B94" s="243"/>
      <c r="D94" s="243"/>
      <c r="E94" s="281"/>
      <c r="F94" s="292"/>
      <c r="G94" s="292"/>
      <c r="H94" s="404"/>
      <c r="I94" s="405"/>
    </row>
    <row r="95" spans="1:9" ht="15.75">
      <c r="A95" s="247" t="s">
        <v>1518</v>
      </c>
      <c r="B95" s="243"/>
      <c r="D95" s="243"/>
      <c r="E95" s="281"/>
      <c r="F95" s="292"/>
      <c r="G95" s="292"/>
      <c r="H95" s="404"/>
      <c r="I95" s="405"/>
    </row>
    <row r="96" spans="1:9">
      <c r="A96" s="237" t="s">
        <v>1519</v>
      </c>
      <c r="B96" s="620">
        <v>68031.11</v>
      </c>
      <c r="C96" t="s">
        <v>2409</v>
      </c>
      <c r="D96" s="487">
        <v>68031.11</v>
      </c>
      <c r="E96" s="281">
        <f>B96-D96</f>
        <v>0</v>
      </c>
      <c r="F96" s="292"/>
      <c r="G96" s="291">
        <f>B96-D96</f>
        <v>0</v>
      </c>
      <c r="H96" s="403">
        <f>G96/D96</f>
        <v>0</v>
      </c>
      <c r="I96" s="279">
        <f>E96-B96</f>
        <v>-68031.11</v>
      </c>
    </row>
    <row r="97" spans="1:9">
      <c r="A97" s="237" t="s">
        <v>1520</v>
      </c>
      <c r="B97" s="620">
        <v>6578.66</v>
      </c>
      <c r="C97" t="s">
        <v>2409</v>
      </c>
      <c r="D97" s="487">
        <v>6578.66</v>
      </c>
      <c r="E97" s="281">
        <f>B97-D97</f>
        <v>0</v>
      </c>
      <c r="F97" s="292"/>
      <c r="G97" s="291">
        <f>B97-D97</f>
        <v>0</v>
      </c>
      <c r="H97" s="403">
        <f>G97/D97</f>
        <v>0</v>
      </c>
      <c r="I97" s="279">
        <f>E97-B97</f>
        <v>-6578.66</v>
      </c>
    </row>
    <row r="98" spans="1:9">
      <c r="A98" s="237" t="s">
        <v>1521</v>
      </c>
      <c r="B98" s="620">
        <v>588269.03</v>
      </c>
      <c r="C98" t="s">
        <v>2409</v>
      </c>
      <c r="D98" s="487">
        <v>588269.03</v>
      </c>
      <c r="E98" s="281">
        <f>B98-D98</f>
        <v>0</v>
      </c>
      <c r="F98" s="292"/>
      <c r="G98" s="291">
        <f>B98-D98</f>
        <v>0</v>
      </c>
      <c r="H98" s="403">
        <f>G98/D98</f>
        <v>0</v>
      </c>
      <c r="I98" s="279">
        <f>E98-B98</f>
        <v>-588269.03</v>
      </c>
    </row>
    <row r="99" spans="1:9">
      <c r="A99" s="237" t="s">
        <v>1522</v>
      </c>
      <c r="B99" s="620">
        <v>-3826.1</v>
      </c>
      <c r="C99" t="s">
        <v>2409</v>
      </c>
      <c r="D99" s="487">
        <v>-3826.1</v>
      </c>
      <c r="E99" s="281">
        <f>B99-D99</f>
        <v>0</v>
      </c>
      <c r="F99" s="292"/>
      <c r="G99" s="291">
        <f>B99-D99</f>
        <v>0</v>
      </c>
      <c r="H99" s="403">
        <f>G99/D99</f>
        <v>0</v>
      </c>
      <c r="I99" s="279">
        <f>E99-B99</f>
        <v>3826.1</v>
      </c>
    </row>
    <row r="100" spans="1:9">
      <c r="A100" s="237" t="s">
        <v>1523</v>
      </c>
      <c r="B100" s="620">
        <v>14353.76</v>
      </c>
      <c r="C100" t="s">
        <v>2409</v>
      </c>
      <c r="D100" s="487">
        <v>14353.76</v>
      </c>
      <c r="E100" s="281">
        <f>B100-D100</f>
        <v>0</v>
      </c>
      <c r="F100" s="292"/>
      <c r="G100" s="291">
        <f>B100-D100</f>
        <v>0</v>
      </c>
      <c r="H100" s="403">
        <f>G100/D100</f>
        <v>0</v>
      </c>
      <c r="I100" s="279">
        <f>E100-B100</f>
        <v>-14353.76</v>
      </c>
    </row>
    <row r="101" spans="1:9">
      <c r="A101" s="237" t="s">
        <v>1524</v>
      </c>
      <c r="B101" s="243"/>
      <c r="D101" s="243"/>
      <c r="E101" s="281"/>
      <c r="F101" s="292"/>
      <c r="G101" s="292"/>
      <c r="H101" s="404"/>
      <c r="I101" s="405"/>
    </row>
    <row r="102" spans="1:9" ht="15.75">
      <c r="A102" s="247" t="s">
        <v>1525</v>
      </c>
      <c r="B102" s="243"/>
      <c r="D102" s="243"/>
      <c r="E102" s="281"/>
      <c r="F102" s="292"/>
      <c r="G102" s="292"/>
      <c r="H102" s="404"/>
      <c r="I102" s="405"/>
    </row>
    <row r="103" spans="1:9">
      <c r="A103" s="237" t="s">
        <v>1519</v>
      </c>
      <c r="B103" s="620">
        <v>58762.25</v>
      </c>
      <c r="C103" t="s">
        <v>2409</v>
      </c>
      <c r="D103" s="487">
        <v>58762.25</v>
      </c>
      <c r="E103" s="281">
        <f t="shared" ref="E103:E109" si="4">B103-D103</f>
        <v>0</v>
      </c>
      <c r="F103" s="292"/>
      <c r="G103" s="291">
        <f t="shared" ref="G103:G109" si="5">B103-D103</f>
        <v>0</v>
      </c>
      <c r="H103" s="403">
        <f t="shared" ref="H103:H109" si="6">G103/D103</f>
        <v>0</v>
      </c>
      <c r="I103" s="279">
        <f t="shared" ref="I103:I109" si="7">E103-B103</f>
        <v>-58762.25</v>
      </c>
    </row>
    <row r="104" spans="1:9">
      <c r="A104" s="237" t="s">
        <v>1520</v>
      </c>
      <c r="B104" s="620">
        <v>16518.36</v>
      </c>
      <c r="C104" t="s">
        <v>2409</v>
      </c>
      <c r="D104" s="618">
        <v>16518.36</v>
      </c>
      <c r="E104" s="281">
        <f t="shared" si="4"/>
        <v>0</v>
      </c>
      <c r="F104" s="292"/>
      <c r="G104" s="291">
        <f t="shared" si="5"/>
        <v>0</v>
      </c>
      <c r="H104" s="403">
        <f t="shared" si="6"/>
        <v>0</v>
      </c>
      <c r="I104" s="279">
        <f t="shared" si="7"/>
        <v>-16518.36</v>
      </c>
    </row>
    <row r="105" spans="1:9">
      <c r="A105" s="237" t="s">
        <v>1526</v>
      </c>
      <c r="B105" s="620">
        <v>1119747.3</v>
      </c>
      <c r="C105" t="s">
        <v>2409</v>
      </c>
      <c r="D105" s="487">
        <v>1119747.3</v>
      </c>
      <c r="E105" s="281">
        <f t="shared" si="4"/>
        <v>0</v>
      </c>
      <c r="F105" s="292"/>
      <c r="G105" s="291">
        <f t="shared" si="5"/>
        <v>0</v>
      </c>
      <c r="H105" s="403">
        <f t="shared" si="6"/>
        <v>0</v>
      </c>
      <c r="I105" s="279">
        <f t="shared" si="7"/>
        <v>-1119747.3</v>
      </c>
    </row>
    <row r="106" spans="1:9">
      <c r="A106" s="237" t="s">
        <v>1588</v>
      </c>
      <c r="B106" s="620">
        <v>-4701.34</v>
      </c>
      <c r="C106" t="s">
        <v>2409</v>
      </c>
      <c r="D106" s="618">
        <v>-4701.34</v>
      </c>
      <c r="E106" s="281">
        <f t="shared" si="4"/>
        <v>0</v>
      </c>
      <c r="F106" s="292"/>
      <c r="G106" s="291">
        <f t="shared" si="5"/>
        <v>0</v>
      </c>
      <c r="H106" s="403">
        <f t="shared" si="6"/>
        <v>0</v>
      </c>
      <c r="I106" s="279">
        <f t="shared" si="7"/>
        <v>4701.34</v>
      </c>
    </row>
    <row r="107" spans="1:9">
      <c r="A107" s="237" t="s">
        <v>1589</v>
      </c>
      <c r="B107" s="620">
        <v>273005.06</v>
      </c>
      <c r="C107" t="s">
        <v>2409</v>
      </c>
      <c r="D107" s="487">
        <v>273005.06</v>
      </c>
      <c r="E107" s="281">
        <f t="shared" si="4"/>
        <v>0</v>
      </c>
      <c r="F107" s="292"/>
      <c r="G107" s="291">
        <f t="shared" si="5"/>
        <v>0</v>
      </c>
      <c r="H107" s="403">
        <f t="shared" si="6"/>
        <v>0</v>
      </c>
      <c r="I107" s="279">
        <f t="shared" si="7"/>
        <v>-273005.06</v>
      </c>
    </row>
    <row r="108" spans="1:9">
      <c r="A108" s="237" t="s">
        <v>1590</v>
      </c>
      <c r="B108" s="620">
        <v>-467.63</v>
      </c>
      <c r="C108" t="s">
        <v>2409</v>
      </c>
      <c r="D108" s="618">
        <v>-467.63</v>
      </c>
      <c r="E108" s="281">
        <f t="shared" si="4"/>
        <v>0</v>
      </c>
      <c r="F108" s="292"/>
      <c r="G108" s="291">
        <f t="shared" si="5"/>
        <v>0</v>
      </c>
      <c r="H108" s="403">
        <f t="shared" si="6"/>
        <v>0</v>
      </c>
      <c r="I108" s="279">
        <f t="shared" si="7"/>
        <v>467.63</v>
      </c>
    </row>
    <row r="109" spans="1:9">
      <c r="A109" s="237" t="s">
        <v>1591</v>
      </c>
      <c r="B109" s="620">
        <v>39191.160000000003</v>
      </c>
      <c r="C109" t="s">
        <v>2409</v>
      </c>
      <c r="D109" s="618">
        <v>39191.160000000003</v>
      </c>
      <c r="E109" s="281">
        <f t="shared" si="4"/>
        <v>0</v>
      </c>
      <c r="F109" s="292"/>
      <c r="G109" s="291">
        <f t="shared" si="5"/>
        <v>0</v>
      </c>
      <c r="H109" s="403">
        <f t="shared" si="6"/>
        <v>0</v>
      </c>
      <c r="I109" s="279">
        <f t="shared" si="7"/>
        <v>-39191.160000000003</v>
      </c>
    </row>
    <row r="110" spans="1:9">
      <c r="A110" s="237" t="s">
        <v>1592</v>
      </c>
      <c r="B110" s="243"/>
      <c r="D110" s="243"/>
      <c r="E110" s="281"/>
      <c r="F110" s="292"/>
      <c r="G110" s="292"/>
      <c r="H110" s="404"/>
      <c r="I110" s="405"/>
    </row>
    <row r="111" spans="1:9" ht="15.75">
      <c r="A111" s="247" t="s">
        <v>1593</v>
      </c>
      <c r="B111" s="243"/>
      <c r="D111" s="243"/>
      <c r="E111" s="281"/>
      <c r="F111" s="292"/>
      <c r="G111" s="292"/>
      <c r="H111" s="404"/>
      <c r="I111" s="405"/>
    </row>
    <row r="112" spans="1:9">
      <c r="A112" s="237" t="s">
        <v>1582</v>
      </c>
      <c r="B112" s="243"/>
      <c r="D112" s="243"/>
      <c r="E112" s="281"/>
      <c r="F112" s="292"/>
      <c r="G112" s="292"/>
      <c r="H112" s="404"/>
      <c r="I112" s="405"/>
    </row>
    <row r="113" spans="1:9">
      <c r="A113" s="237" t="s">
        <v>1917</v>
      </c>
      <c r="B113" s="243"/>
      <c r="D113" s="243"/>
      <c r="E113" s="281"/>
      <c r="F113" s="292"/>
      <c r="G113" s="292"/>
      <c r="H113" s="404"/>
      <c r="I113" s="405"/>
    </row>
    <row r="114" spans="1:9">
      <c r="A114" s="237" t="s">
        <v>1918</v>
      </c>
      <c r="B114" s="243"/>
      <c r="D114" s="243"/>
      <c r="E114" s="281"/>
      <c r="F114" s="292"/>
      <c r="G114" s="292"/>
      <c r="H114" s="404"/>
      <c r="I114" s="405"/>
    </row>
    <row r="115" spans="1:9">
      <c r="A115" s="237" t="s">
        <v>1919</v>
      </c>
      <c r="B115" s="243"/>
      <c r="D115" s="243"/>
      <c r="E115" s="281"/>
      <c r="F115" s="292"/>
      <c r="G115" s="292"/>
      <c r="H115" s="404"/>
      <c r="I115" s="405"/>
    </row>
    <row r="116" spans="1:9">
      <c r="A116" s="237" t="s">
        <v>1920</v>
      </c>
      <c r="B116" s="620">
        <v>323.27999999999997</v>
      </c>
      <c r="C116" t="s">
        <v>2061</v>
      </c>
      <c r="D116" s="487">
        <v>320.61</v>
      </c>
      <c r="E116" s="281">
        <f>B116-D116</f>
        <v>2.6699999999999591</v>
      </c>
      <c r="F116" s="292"/>
      <c r="G116" s="291">
        <f>B116-D116</f>
        <v>2.6699999999999591</v>
      </c>
      <c r="H116" s="403">
        <f>G116/D116</f>
        <v>8.327874988303419E-3</v>
      </c>
      <c r="I116" s="279">
        <f>E116-B116</f>
        <v>-320.61</v>
      </c>
    </row>
    <row r="117" spans="1:9">
      <c r="A117" s="237" t="s">
        <v>1921</v>
      </c>
      <c r="B117" s="243"/>
      <c r="D117" s="243"/>
      <c r="E117" s="281"/>
      <c r="F117" s="292"/>
      <c r="G117" s="292"/>
      <c r="H117" s="404"/>
      <c r="I117" s="405"/>
    </row>
    <row r="118" spans="1:9">
      <c r="A118" s="237" t="s">
        <v>1922</v>
      </c>
      <c r="B118" s="243"/>
      <c r="D118" s="243"/>
      <c r="E118" s="281"/>
      <c r="F118" s="292"/>
      <c r="G118" s="292"/>
      <c r="H118" s="404"/>
      <c r="I118" s="405"/>
    </row>
    <row r="119" spans="1:9">
      <c r="A119" s="237" t="s">
        <v>1923</v>
      </c>
      <c r="B119" s="621">
        <v>1.7559999999999999E-2</v>
      </c>
      <c r="C119" t="s">
        <v>2061</v>
      </c>
      <c r="D119" s="488">
        <v>1.7409999999999998E-2</v>
      </c>
      <c r="E119" s="281">
        <f>B119-D119</f>
        <v>1.5000000000000083E-4</v>
      </c>
      <c r="F119" s="408"/>
      <c r="G119" s="291">
        <f>B119-D119</f>
        <v>1.5000000000000083E-4</v>
      </c>
      <c r="H119" s="403">
        <f>G119/D119</f>
        <v>8.6157380815623692E-3</v>
      </c>
      <c r="I119" s="279">
        <f>E119-B119</f>
        <v>-1.7409999999999998E-2</v>
      </c>
    </row>
    <row r="120" spans="1:9">
      <c r="A120" s="237" t="s">
        <v>1924</v>
      </c>
      <c r="B120" s="243"/>
      <c r="D120" s="243"/>
      <c r="E120" s="281"/>
      <c r="F120" s="292"/>
      <c r="G120" s="292"/>
      <c r="H120" s="404"/>
      <c r="I120" s="405"/>
    </row>
    <row r="121" spans="1:9">
      <c r="A121" s="237" t="s">
        <v>1925</v>
      </c>
      <c r="B121" s="243"/>
      <c r="D121" s="243"/>
      <c r="E121" s="281"/>
      <c r="F121" s="292"/>
      <c r="G121" s="292"/>
      <c r="H121" s="404"/>
      <c r="I121" s="405"/>
    </row>
    <row r="122" spans="1:9">
      <c r="A122" s="237" t="s">
        <v>1926</v>
      </c>
      <c r="B122" s="243"/>
      <c r="D122" s="243"/>
      <c r="E122" s="281"/>
      <c r="F122" s="292"/>
      <c r="G122" s="292"/>
      <c r="H122" s="404"/>
      <c r="I122" s="405"/>
    </row>
    <row r="123" spans="1:9">
      <c r="A123" s="237" t="s">
        <v>1691</v>
      </c>
      <c r="B123" s="243"/>
      <c r="D123" s="243"/>
      <c r="E123" s="281"/>
      <c r="F123" s="292"/>
      <c r="G123" s="292"/>
      <c r="H123" s="404"/>
      <c r="I123" s="405"/>
    </row>
    <row r="124" spans="1:9">
      <c r="A124" s="237" t="s">
        <v>1692</v>
      </c>
      <c r="B124" s="243"/>
      <c r="D124" s="243"/>
      <c r="E124" s="281"/>
      <c r="F124" s="292"/>
      <c r="G124" s="292"/>
      <c r="H124" s="404"/>
      <c r="I124" s="405"/>
    </row>
    <row r="125" spans="1:9">
      <c r="A125" s="237" t="s">
        <v>1693</v>
      </c>
      <c r="B125" s="620">
        <v>551.44000000000005</v>
      </c>
      <c r="C125" t="s">
        <v>2061</v>
      </c>
      <c r="D125" s="487">
        <v>546.88</v>
      </c>
      <c r="E125" s="281">
        <f>B125-D125</f>
        <v>4.5600000000000591</v>
      </c>
      <c r="F125" s="292"/>
      <c r="G125" s="291">
        <f>B125-D125</f>
        <v>4.5600000000000591</v>
      </c>
      <c r="H125" s="403">
        <f>G125/D125</f>
        <v>8.3382094792277262E-3</v>
      </c>
      <c r="I125" s="279">
        <f>E125-B125</f>
        <v>-546.88</v>
      </c>
    </row>
    <row r="126" spans="1:9">
      <c r="A126" s="237" t="s">
        <v>1694</v>
      </c>
      <c r="B126" s="620">
        <v>625.66</v>
      </c>
      <c r="C126" t="s">
        <v>2061</v>
      </c>
      <c r="D126" s="487">
        <v>620.49</v>
      </c>
      <c r="E126" s="281">
        <f>B126-D126</f>
        <v>5.1699999999999591</v>
      </c>
      <c r="F126" s="292"/>
      <c r="G126" s="291">
        <f>B126-D126</f>
        <v>5.1699999999999591</v>
      </c>
      <c r="H126" s="403">
        <f>G126/D126</f>
        <v>8.332124611194312E-3</v>
      </c>
      <c r="I126" s="279">
        <f>E126-B126</f>
        <v>-620.49</v>
      </c>
    </row>
    <row r="127" spans="1:9">
      <c r="A127" s="237" t="s">
        <v>1695</v>
      </c>
      <c r="B127" s="622">
        <v>1.1028800000000001</v>
      </c>
      <c r="C127" t="s">
        <v>2061</v>
      </c>
      <c r="D127" s="489">
        <v>1.0937600000000001</v>
      </c>
      <c r="E127" s="281">
        <f>B127-D127</f>
        <v>9.120000000000017E-3</v>
      </c>
      <c r="F127" s="408"/>
      <c r="G127" s="291">
        <f>B127-D127</f>
        <v>9.120000000000017E-3</v>
      </c>
      <c r="H127" s="403">
        <f>G127/D127</f>
        <v>8.3382094792276342E-3</v>
      </c>
      <c r="I127" s="279">
        <f>E127-B127</f>
        <v>-1.0937600000000001</v>
      </c>
    </row>
    <row r="128" spans="1:9">
      <c r="A128" s="237" t="s">
        <v>1696</v>
      </c>
      <c r="B128" s="622">
        <v>0.14843999999999999</v>
      </c>
      <c r="C128" t="s">
        <v>2061</v>
      </c>
      <c r="D128" s="489">
        <v>0.14721999999999999</v>
      </c>
      <c r="E128" s="281">
        <f>B128-D128</f>
        <v>1.2199999999999989E-3</v>
      </c>
      <c r="F128" s="408"/>
      <c r="G128" s="291">
        <f>B128-D128</f>
        <v>1.2199999999999989E-3</v>
      </c>
      <c r="H128" s="403">
        <f>G128/D128</f>
        <v>8.2869175383779303E-3</v>
      </c>
      <c r="I128" s="279">
        <f>E128-B128</f>
        <v>-0.14721999999999999</v>
      </c>
    </row>
    <row r="129" spans="1:9">
      <c r="A129" s="237" t="s">
        <v>720</v>
      </c>
      <c r="B129" s="243"/>
      <c r="D129" s="243"/>
      <c r="E129" s="281"/>
      <c r="F129" s="292"/>
      <c r="G129" s="292"/>
      <c r="H129" s="404"/>
      <c r="I129" s="405"/>
    </row>
    <row r="130" spans="1:9">
      <c r="A130" s="237" t="s">
        <v>721</v>
      </c>
      <c r="B130" s="243"/>
      <c r="D130" s="243"/>
      <c r="E130" s="281"/>
      <c r="F130" s="292"/>
      <c r="G130" s="292"/>
      <c r="H130" s="404"/>
      <c r="I130" s="405"/>
    </row>
    <row r="131" spans="1:9" ht="15.75">
      <c r="A131" s="247" t="s">
        <v>722</v>
      </c>
      <c r="B131" s="243"/>
      <c r="D131" s="243"/>
      <c r="E131" s="281"/>
      <c r="F131" s="292"/>
      <c r="G131" s="292"/>
      <c r="H131" s="404"/>
      <c r="I131" s="405"/>
    </row>
    <row r="132" spans="1:9">
      <c r="A132" s="237" t="s">
        <v>2027</v>
      </c>
      <c r="B132" s="620">
        <v>21.05</v>
      </c>
      <c r="C132" s="2170" t="s">
        <v>3064</v>
      </c>
      <c r="D132" s="487">
        <v>21.05</v>
      </c>
      <c r="E132" s="281">
        <f>B132-D132</f>
        <v>0</v>
      </c>
      <c r="F132" s="292"/>
      <c r="G132" s="291">
        <f>B132-D132</f>
        <v>0</v>
      </c>
      <c r="H132" s="403">
        <f>G132/D132</f>
        <v>0</v>
      </c>
      <c r="I132" s="279">
        <f>E132-B132</f>
        <v>-21.05</v>
      </c>
    </row>
    <row r="133" spans="1:9">
      <c r="A133" s="237" t="s">
        <v>348</v>
      </c>
      <c r="B133" s="243"/>
      <c r="D133" s="243"/>
      <c r="E133" s="281"/>
      <c r="F133" s="292"/>
      <c r="G133" s="292"/>
      <c r="H133" s="404"/>
      <c r="I133" s="405"/>
    </row>
    <row r="134" spans="1:9">
      <c r="A134" s="240" t="s">
        <v>813</v>
      </c>
      <c r="B134" s="243"/>
      <c r="D134" s="243"/>
      <c r="E134" s="281"/>
      <c r="F134" s="292"/>
      <c r="G134" s="292"/>
      <c r="H134" s="404"/>
      <c r="I134" s="405"/>
    </row>
    <row r="135" spans="1:9">
      <c r="A135" s="242"/>
      <c r="B135" s="243"/>
      <c r="D135" s="243"/>
      <c r="E135" s="281"/>
      <c r="F135" s="292"/>
      <c r="G135" s="292"/>
      <c r="H135" s="404"/>
      <c r="I135" s="405"/>
    </row>
    <row r="136" spans="1:9" ht="18.75">
      <c r="A136" s="244"/>
      <c r="B136" s="243"/>
      <c r="D136" s="243"/>
      <c r="E136" s="281"/>
      <c r="F136" s="292"/>
      <c r="G136" s="292"/>
      <c r="H136" s="404"/>
      <c r="I136" s="405"/>
    </row>
    <row r="137" spans="1:9" ht="15.75">
      <c r="A137" s="247" t="s">
        <v>2076</v>
      </c>
      <c r="B137" s="243"/>
      <c r="D137" s="243"/>
      <c r="E137" s="281"/>
      <c r="F137" s="292"/>
      <c r="G137" s="292"/>
      <c r="H137" s="404"/>
      <c r="I137" s="405"/>
    </row>
    <row r="138" spans="1:9">
      <c r="A138" s="237" t="s">
        <v>2077</v>
      </c>
      <c r="B138" s="620">
        <v>3418</v>
      </c>
      <c r="C138" t="s">
        <v>2061</v>
      </c>
      <c r="D138" s="487">
        <v>3368</v>
      </c>
      <c r="E138" s="281">
        <f>B138-D138</f>
        <v>50</v>
      </c>
      <c r="F138" s="292"/>
      <c r="G138" s="291">
        <f>B138-D138</f>
        <v>50</v>
      </c>
      <c r="H138" s="403">
        <f>G138/D138</f>
        <v>1.4845605700712588E-2</v>
      </c>
      <c r="I138" s="279">
        <f>E138-B138</f>
        <v>-3368</v>
      </c>
    </row>
    <row r="139" spans="1:9">
      <c r="A139" s="237" t="s">
        <v>818</v>
      </c>
      <c r="B139" s="620">
        <v>3418</v>
      </c>
      <c r="C139" t="s">
        <v>2061</v>
      </c>
      <c r="D139" s="487">
        <v>3368</v>
      </c>
      <c r="E139" s="281">
        <f>B139-D139</f>
        <v>50</v>
      </c>
      <c r="F139" s="292"/>
      <c r="G139" s="291">
        <f>B139-D139</f>
        <v>50</v>
      </c>
      <c r="H139" s="403">
        <f>G139/D139</f>
        <v>1.4845605700712588E-2</v>
      </c>
      <c r="I139" s="279">
        <f>E139-B139</f>
        <v>-3368</v>
      </c>
    </row>
    <row r="140" spans="1:9">
      <c r="A140" s="237" t="s">
        <v>2078</v>
      </c>
      <c r="B140" s="620">
        <v>3418</v>
      </c>
      <c r="C140" t="s">
        <v>2061</v>
      </c>
      <c r="D140" s="487">
        <v>3368</v>
      </c>
      <c r="E140" s="281">
        <f>B140-D140</f>
        <v>50</v>
      </c>
      <c r="F140" s="292"/>
      <c r="G140" s="291">
        <f>B140-D140</f>
        <v>50</v>
      </c>
      <c r="H140" s="403">
        <f>G140/D140</f>
        <v>1.4845605700712588E-2</v>
      </c>
      <c r="I140" s="279">
        <f>E140-B140</f>
        <v>-3368</v>
      </c>
    </row>
    <row r="141" spans="1:9" ht="15.75">
      <c r="A141" s="247" t="s">
        <v>2079</v>
      </c>
      <c r="B141" s="243"/>
      <c r="D141" s="243"/>
      <c r="E141" s="281"/>
      <c r="F141" s="292"/>
      <c r="G141" s="292"/>
      <c r="H141" s="404"/>
      <c r="I141" s="405"/>
    </row>
    <row r="142" spans="1:9">
      <c r="A142" s="237" t="s">
        <v>2080</v>
      </c>
      <c r="B142" s="620">
        <v>55.79</v>
      </c>
      <c r="C142" t="s">
        <v>2061</v>
      </c>
      <c r="D142" s="487">
        <v>54.91</v>
      </c>
      <c r="E142" s="281">
        <f>B142-D142</f>
        <v>0.88000000000000256</v>
      </c>
      <c r="F142" s="292"/>
      <c r="G142" s="291">
        <f>B142-D142</f>
        <v>0.88000000000000256</v>
      </c>
      <c r="H142" s="403">
        <f>G142/D142</f>
        <v>1.6026224731378668E-2</v>
      </c>
      <c r="I142" s="279">
        <f>E142-B142</f>
        <v>-54.91</v>
      </c>
    </row>
    <row r="143" spans="1:9">
      <c r="A143" s="237" t="s">
        <v>2081</v>
      </c>
      <c r="B143" s="620">
        <v>1</v>
      </c>
      <c r="C143" t="s">
        <v>2061</v>
      </c>
      <c r="D143" s="487">
        <v>1</v>
      </c>
      <c r="E143" s="281">
        <f>B143-D143</f>
        <v>0</v>
      </c>
      <c r="F143" s="292"/>
      <c r="G143" s="291">
        <f>B143-D143</f>
        <v>0</v>
      </c>
      <c r="H143" s="403">
        <f>G143/D143</f>
        <v>0</v>
      </c>
      <c r="I143" s="279">
        <f>E143-B143</f>
        <v>-1</v>
      </c>
    </row>
    <row r="144" spans="1:9">
      <c r="A144" s="237" t="s">
        <v>2082</v>
      </c>
      <c r="B144" s="623">
        <v>23</v>
      </c>
      <c r="C144" s="297" t="s">
        <v>2061</v>
      </c>
      <c r="D144" s="490">
        <v>23</v>
      </c>
      <c r="E144" s="281">
        <f>B144-D144</f>
        <v>0</v>
      </c>
      <c r="F144" s="298"/>
      <c r="G144" s="291">
        <f>B144-D144</f>
        <v>0</v>
      </c>
      <c r="H144" s="403">
        <f>G144/D144</f>
        <v>0</v>
      </c>
      <c r="I144" s="279">
        <f>E144-B144</f>
        <v>-23</v>
      </c>
    </row>
    <row r="145" spans="1:9" ht="15.75">
      <c r="A145" s="247" t="s">
        <v>2083</v>
      </c>
      <c r="B145" s="243"/>
      <c r="D145" s="243"/>
      <c r="E145" s="281"/>
      <c r="F145" s="292"/>
      <c r="G145" s="292"/>
      <c r="H145" s="404"/>
      <c r="I145" s="405"/>
    </row>
    <row r="146" spans="1:9">
      <c r="A146" s="237" t="s">
        <v>2084</v>
      </c>
      <c r="B146" s="620">
        <v>123</v>
      </c>
      <c r="C146" t="s">
        <v>2061</v>
      </c>
      <c r="D146" s="487">
        <v>121</v>
      </c>
      <c r="E146" s="281">
        <f>B146-D146</f>
        <v>2</v>
      </c>
      <c r="F146" s="292"/>
      <c r="G146" s="291">
        <f>B146-D146</f>
        <v>2</v>
      </c>
      <c r="H146" s="403">
        <f>G146/D146</f>
        <v>1.6528925619834711E-2</v>
      </c>
      <c r="I146" s="279">
        <f>E146-B146</f>
        <v>-121</v>
      </c>
    </row>
    <row r="147" spans="1:9">
      <c r="A147" s="237" t="s">
        <v>2085</v>
      </c>
      <c r="B147" s="620">
        <v>123</v>
      </c>
      <c r="C147" t="s">
        <v>2061</v>
      </c>
      <c r="D147" s="487">
        <v>121</v>
      </c>
      <c r="E147" s="281">
        <f>B147-D147</f>
        <v>2</v>
      </c>
      <c r="F147" s="292"/>
      <c r="G147" s="291">
        <f>B147-D147</f>
        <v>2</v>
      </c>
      <c r="H147" s="403">
        <f>G147/D147</f>
        <v>1.6528925619834711E-2</v>
      </c>
      <c r="I147" s="279">
        <f>E147-B147</f>
        <v>-121</v>
      </c>
    </row>
    <row r="148" spans="1:9">
      <c r="A148" s="240" t="s">
        <v>2086</v>
      </c>
      <c r="B148" s="620">
        <v>369</v>
      </c>
      <c r="C148" t="s">
        <v>2061</v>
      </c>
      <c r="D148" s="487">
        <v>364</v>
      </c>
      <c r="E148" s="281">
        <f>B148-D148</f>
        <v>5</v>
      </c>
      <c r="F148" s="292"/>
      <c r="G148" s="291">
        <f>B148-D148</f>
        <v>5</v>
      </c>
      <c r="H148" s="403">
        <f>G148/D148</f>
        <v>1.3736263736263736E-2</v>
      </c>
      <c r="I148" s="279">
        <f>E148-B148</f>
        <v>-364</v>
      </c>
    </row>
    <row r="149" spans="1:9">
      <c r="A149" s="242"/>
      <c r="B149" s="243"/>
      <c r="D149" s="243"/>
      <c r="E149" s="281"/>
      <c r="F149" s="292"/>
      <c r="G149" s="292"/>
      <c r="H149" s="404"/>
      <c r="I149" s="405"/>
    </row>
    <row r="150" spans="1:9" ht="18.75">
      <c r="A150" s="244"/>
      <c r="B150" s="243"/>
      <c r="D150" s="243"/>
      <c r="E150" s="281"/>
      <c r="F150" s="292"/>
      <c r="G150" s="292"/>
      <c r="H150" s="404"/>
      <c r="I150" s="405"/>
    </row>
    <row r="151" spans="1:9" ht="15.75">
      <c r="A151" s="247" t="s">
        <v>2087</v>
      </c>
      <c r="B151" s="243"/>
      <c r="D151" s="243"/>
      <c r="E151" s="281"/>
      <c r="F151" s="292"/>
      <c r="G151" s="292"/>
      <c r="H151" s="404"/>
      <c r="I151" s="405"/>
    </row>
    <row r="152" spans="1:9">
      <c r="A152" s="246" t="s">
        <v>2263</v>
      </c>
      <c r="B152" s="620">
        <v>3982.1</v>
      </c>
      <c r="C152" t="s">
        <v>2061</v>
      </c>
      <c r="D152" s="618">
        <v>3884.34</v>
      </c>
      <c r="E152" s="281">
        <f>B152-D152</f>
        <v>97.759999999999764</v>
      </c>
      <c r="F152" s="292"/>
      <c r="G152" s="291">
        <f>B152-D152</f>
        <v>97.759999999999764</v>
      </c>
      <c r="H152" s="403">
        <f>G152/D152</f>
        <v>2.5167724761478077E-2</v>
      </c>
      <c r="I152" s="279">
        <f>E152-B152</f>
        <v>-3884.34</v>
      </c>
    </row>
    <row r="153" spans="1:9">
      <c r="A153" s="246" t="s">
        <v>2264</v>
      </c>
      <c r="B153" s="620">
        <v>5123.2199999999993</v>
      </c>
      <c r="C153" t="s">
        <v>2061</v>
      </c>
      <c r="D153" s="618">
        <v>5042.66</v>
      </c>
      <c r="E153" s="281">
        <f>B153-D153</f>
        <v>80.559999999999491</v>
      </c>
      <c r="F153" s="292"/>
      <c r="G153" s="291">
        <f>B153-D153</f>
        <v>80.559999999999491</v>
      </c>
      <c r="H153" s="403">
        <f>G153/D153</f>
        <v>1.5975695367127566E-2</v>
      </c>
      <c r="I153" s="279">
        <f>E153-B153</f>
        <v>-5042.66</v>
      </c>
    </row>
    <row r="154" spans="1:9">
      <c r="A154" s="246" t="s">
        <v>2088</v>
      </c>
      <c r="B154" s="620" t="s">
        <v>789</v>
      </c>
      <c r="D154" s="618" t="s">
        <v>789</v>
      </c>
      <c r="E154" s="281" t="e">
        <f>B154-D154</f>
        <v>#VALUE!</v>
      </c>
      <c r="F154" s="292"/>
      <c r="G154" s="291" t="e">
        <f>B154-D154</f>
        <v>#VALUE!</v>
      </c>
      <c r="H154" s="403" t="e">
        <f>G154/D154</f>
        <v>#VALUE!</v>
      </c>
      <c r="I154" s="279" t="e">
        <f>E154-B154</f>
        <v>#VALUE!</v>
      </c>
    </row>
    <row r="155" spans="1:9">
      <c r="A155" s="246" t="s">
        <v>1647</v>
      </c>
      <c r="B155" s="620">
        <v>4230.43</v>
      </c>
      <c r="C155" t="s">
        <v>2061</v>
      </c>
      <c r="D155" s="618">
        <v>4110.7700000000004</v>
      </c>
      <c r="E155" s="281">
        <f>B155-D155</f>
        <v>119.65999999999985</v>
      </c>
      <c r="F155" s="292"/>
      <c r="G155" s="291">
        <f>B155-D155</f>
        <v>119.65999999999985</v>
      </c>
      <c r="H155" s="403">
        <f>G155/D155</f>
        <v>2.9108901738603678E-2</v>
      </c>
      <c r="I155" s="279">
        <f>E155-B155</f>
        <v>-4110.7700000000004</v>
      </c>
    </row>
    <row r="156" spans="1:9">
      <c r="A156" s="246" t="s">
        <v>1648</v>
      </c>
      <c r="B156" s="270"/>
      <c r="D156" s="270"/>
      <c r="E156" s="281"/>
      <c r="F156" s="292"/>
      <c r="G156" s="292"/>
      <c r="H156" s="404"/>
      <c r="I156" s="405"/>
    </row>
    <row r="157" spans="1:9">
      <c r="A157" s="246" t="s">
        <v>793</v>
      </c>
      <c r="B157" s="620">
        <v>5188.99</v>
      </c>
      <c r="C157" t="s">
        <v>2061</v>
      </c>
      <c r="D157" s="618">
        <v>5107.41</v>
      </c>
      <c r="E157" s="281">
        <f>B157-D157</f>
        <v>81.579999999999927</v>
      </c>
      <c r="F157" s="292"/>
      <c r="G157" s="291">
        <f>B157-D157</f>
        <v>81.579999999999927</v>
      </c>
      <c r="H157" s="403">
        <f>G157/D157</f>
        <v>1.5972870789695743E-2</v>
      </c>
      <c r="I157" s="279">
        <f>E157-B157</f>
        <v>-5107.41</v>
      </c>
    </row>
    <row r="158" spans="1:9" ht="15.75">
      <c r="A158" s="247" t="s">
        <v>794</v>
      </c>
      <c r="B158" s="243"/>
      <c r="D158" s="243"/>
      <c r="E158" s="281"/>
      <c r="F158" s="292"/>
      <c r="G158" s="292"/>
      <c r="H158" s="404"/>
      <c r="I158" s="405"/>
    </row>
    <row r="159" spans="1:9">
      <c r="A159" s="246" t="s">
        <v>2014</v>
      </c>
      <c r="B159" s="243"/>
      <c r="D159" s="243"/>
      <c r="E159" s="281"/>
      <c r="F159" s="292"/>
      <c r="G159" s="292"/>
      <c r="H159" s="404"/>
      <c r="I159" s="405"/>
    </row>
    <row r="160" spans="1:9">
      <c r="A160" s="240" t="s">
        <v>795</v>
      </c>
      <c r="B160" s="620">
        <v>1490.49</v>
      </c>
      <c r="C160" t="s">
        <v>2061</v>
      </c>
      <c r="D160" s="618">
        <v>1538.63</v>
      </c>
      <c r="E160" s="281">
        <f>B160-D160</f>
        <v>-48.1400000000001</v>
      </c>
      <c r="F160" s="404">
        <f>+E160/D160</f>
        <v>-3.1287574010645899E-2</v>
      </c>
      <c r="G160" s="291">
        <f>B160-D160</f>
        <v>-48.1400000000001</v>
      </c>
      <c r="H160" s="403">
        <f>G160/D160</f>
        <v>-3.1287574010645899E-2</v>
      </c>
      <c r="I160" s="279">
        <f>E160-B160</f>
        <v>-1538.63</v>
      </c>
    </row>
    <row r="161" spans="1:9">
      <c r="A161" s="242"/>
      <c r="B161" s="243"/>
      <c r="D161" s="243"/>
      <c r="E161" s="281"/>
      <c r="F161" s="292"/>
      <c r="G161" s="292"/>
      <c r="H161" s="404"/>
      <c r="I161" s="405"/>
    </row>
    <row r="162" spans="1:9" ht="18.75">
      <c r="A162" s="244"/>
      <c r="B162" s="243"/>
      <c r="D162" s="243"/>
      <c r="E162" s="281"/>
      <c r="F162" s="292"/>
      <c r="G162" s="292"/>
      <c r="H162" s="404"/>
      <c r="I162" s="405"/>
    </row>
    <row r="163" spans="1:9" ht="15.75">
      <c r="A163" s="247" t="s">
        <v>796</v>
      </c>
      <c r="B163" s="243"/>
      <c r="D163" s="243"/>
      <c r="E163" s="281"/>
      <c r="F163" s="292"/>
      <c r="G163" s="292"/>
      <c r="H163" s="404"/>
      <c r="I163" s="405"/>
    </row>
    <row r="164" spans="1:9">
      <c r="A164" s="246" t="s">
        <v>797</v>
      </c>
      <c r="B164" s="243"/>
      <c r="D164" s="243"/>
      <c r="E164" s="281"/>
      <c r="F164" s="292"/>
      <c r="G164" s="292"/>
      <c r="H164" s="404"/>
      <c r="I164" s="405"/>
    </row>
    <row r="165" spans="1:9">
      <c r="A165" s="246" t="s">
        <v>798</v>
      </c>
      <c r="B165" s="243"/>
      <c r="D165" s="243"/>
      <c r="E165" s="281"/>
      <c r="F165" s="292"/>
      <c r="G165" s="292"/>
      <c r="H165" s="404"/>
      <c r="I165" s="405"/>
    </row>
    <row r="166" spans="1:9">
      <c r="A166" s="246" t="s">
        <v>1654</v>
      </c>
      <c r="B166" s="243"/>
      <c r="D166" s="243"/>
      <c r="E166" s="281"/>
      <c r="F166" s="292"/>
      <c r="G166" s="292"/>
      <c r="H166" s="404"/>
      <c r="I166" s="405"/>
    </row>
    <row r="167" spans="1:9">
      <c r="A167" s="246" t="s">
        <v>1655</v>
      </c>
      <c r="B167" s="243"/>
      <c r="D167" s="243"/>
      <c r="E167" s="281"/>
      <c r="F167" s="292"/>
      <c r="G167" s="292"/>
      <c r="H167" s="404"/>
      <c r="I167" s="405"/>
    </row>
    <row r="168" spans="1:9">
      <c r="A168" s="246" t="s">
        <v>1656</v>
      </c>
      <c r="B168" s="243"/>
      <c r="D168" s="243"/>
      <c r="E168" s="281"/>
      <c r="F168" s="292"/>
      <c r="G168" s="292"/>
      <c r="H168" s="404"/>
      <c r="I168" s="405"/>
    </row>
    <row r="169" spans="1:9">
      <c r="A169" s="246" t="s">
        <v>1449</v>
      </c>
      <c r="B169" s="243"/>
      <c r="D169" s="243"/>
      <c r="E169" s="281"/>
      <c r="F169" s="292"/>
      <c r="G169" s="292"/>
      <c r="H169" s="404"/>
      <c r="I169" s="405"/>
    </row>
    <row r="170" spans="1:9">
      <c r="A170" s="246" t="s">
        <v>1450</v>
      </c>
      <c r="B170" s="243"/>
      <c r="D170" s="243"/>
      <c r="E170" s="281"/>
      <c r="F170" s="292"/>
      <c r="G170" s="292"/>
      <c r="H170" s="404"/>
      <c r="I170" s="405"/>
    </row>
    <row r="171" spans="1:9">
      <c r="A171" s="246" t="s">
        <v>1433</v>
      </c>
      <c r="B171" s="243"/>
      <c r="D171" s="243"/>
      <c r="E171" s="281"/>
      <c r="F171" s="292"/>
      <c r="G171" s="292"/>
      <c r="H171" s="404"/>
      <c r="I171" s="405"/>
    </row>
    <row r="172" spans="1:9">
      <c r="A172" s="246" t="s">
        <v>1451</v>
      </c>
      <c r="B172" s="243"/>
      <c r="D172" s="243"/>
      <c r="E172" s="281"/>
      <c r="F172" s="292"/>
      <c r="G172" s="292"/>
      <c r="H172" s="404"/>
      <c r="I172" s="405"/>
    </row>
    <row r="173" spans="1:9">
      <c r="A173" s="253" t="s">
        <v>1452</v>
      </c>
      <c r="B173" s="243"/>
      <c r="D173" s="243"/>
      <c r="E173" s="281"/>
      <c r="F173" s="292"/>
      <c r="G173" s="292"/>
      <c r="H173" s="404"/>
      <c r="I173" s="405"/>
    </row>
    <row r="174" spans="1:9">
      <c r="A174" s="254" t="s">
        <v>1453</v>
      </c>
      <c r="B174" s="243"/>
      <c r="D174" s="243"/>
      <c r="E174" s="281"/>
      <c r="F174" s="292"/>
      <c r="G174" s="292"/>
      <c r="H174" s="404"/>
      <c r="I174" s="405"/>
    </row>
    <row r="175" spans="1:9">
      <c r="A175" s="255" t="s">
        <v>1454</v>
      </c>
      <c r="B175" s="620">
        <v>1500</v>
      </c>
      <c r="C175" t="s">
        <v>2400</v>
      </c>
      <c r="D175" s="487">
        <v>1500</v>
      </c>
      <c r="E175" s="281">
        <f>B175-D175</f>
        <v>0</v>
      </c>
      <c r="F175" s="292"/>
      <c r="G175" s="291">
        <f>B175-D175</f>
        <v>0</v>
      </c>
      <c r="H175" s="403">
        <f>G175/D175</f>
        <v>0</v>
      </c>
      <c r="I175" s="279">
        <f>E175-B175</f>
        <v>-1500</v>
      </c>
    </row>
    <row r="176" spans="1:9">
      <c r="A176" s="255" t="s">
        <v>1455</v>
      </c>
      <c r="B176" s="620">
        <v>2000</v>
      </c>
      <c r="C176" t="s">
        <v>2400</v>
      </c>
      <c r="D176" s="487">
        <v>2000</v>
      </c>
      <c r="E176" s="281">
        <f>B176-D176</f>
        <v>0</v>
      </c>
      <c r="F176" s="292"/>
      <c r="G176" s="291">
        <f>B176-D176</f>
        <v>0</v>
      </c>
      <c r="H176" s="403">
        <f>G176/D176</f>
        <v>0</v>
      </c>
      <c r="I176" s="279">
        <f>E176-B176</f>
        <v>-2000</v>
      </c>
    </row>
    <row r="177" spans="1:9">
      <c r="A177" s="255" t="s">
        <v>1456</v>
      </c>
      <c r="B177" s="620">
        <v>3000</v>
      </c>
      <c r="C177" t="s">
        <v>2400</v>
      </c>
      <c r="D177" s="487">
        <v>3000</v>
      </c>
      <c r="E177" s="281">
        <f>B177-D177</f>
        <v>0</v>
      </c>
      <c r="F177" s="292"/>
      <c r="G177" s="291">
        <f>B177-D177</f>
        <v>0</v>
      </c>
      <c r="H177" s="403">
        <f>G177/D177</f>
        <v>0</v>
      </c>
      <c r="I177" s="279">
        <f>E177-B177</f>
        <v>-3000</v>
      </c>
    </row>
    <row r="178" spans="1:9">
      <c r="A178" s="256"/>
      <c r="B178" s="243"/>
      <c r="D178" s="243"/>
      <c r="E178" s="281"/>
      <c r="F178" s="292"/>
      <c r="G178" s="292"/>
      <c r="H178" s="404"/>
      <c r="I178" s="405"/>
    </row>
    <row r="179" spans="1:9">
      <c r="A179" s="246" t="s">
        <v>1457</v>
      </c>
      <c r="B179" s="243"/>
      <c r="D179" s="243"/>
      <c r="E179" s="281"/>
      <c r="F179" s="292"/>
      <c r="G179" s="292"/>
      <c r="H179" s="404"/>
      <c r="I179" s="405"/>
    </row>
    <row r="180" spans="1:9">
      <c r="A180" s="246" t="s">
        <v>1458</v>
      </c>
      <c r="B180" s="243"/>
      <c r="D180" s="243"/>
      <c r="E180" s="281"/>
      <c r="F180" s="292"/>
      <c r="G180" s="292"/>
      <c r="H180" s="404"/>
      <c r="I180" s="405"/>
    </row>
    <row r="181" spans="1:9">
      <c r="A181" s="246" t="s">
        <v>1846</v>
      </c>
      <c r="B181" s="243"/>
      <c r="D181" s="243"/>
      <c r="E181" s="281"/>
      <c r="F181" s="292"/>
      <c r="G181" s="292"/>
      <c r="H181" s="404"/>
      <c r="I181" s="405"/>
    </row>
    <row r="182" spans="1:9">
      <c r="A182" s="246" t="s">
        <v>1847</v>
      </c>
      <c r="B182" s="243"/>
      <c r="D182" s="243"/>
      <c r="E182" s="281"/>
      <c r="F182" s="292"/>
      <c r="G182" s="292"/>
      <c r="H182" s="404"/>
      <c r="I182" s="405"/>
    </row>
    <row r="183" spans="1:9">
      <c r="A183" s="246" t="s">
        <v>1848</v>
      </c>
      <c r="B183" s="243"/>
      <c r="D183" s="243"/>
      <c r="E183" s="281"/>
      <c r="F183" s="292"/>
      <c r="G183" s="292"/>
      <c r="H183" s="404"/>
      <c r="I183" s="405"/>
    </row>
    <row r="184" spans="1:9">
      <c r="A184" s="246" t="s">
        <v>1849</v>
      </c>
      <c r="B184" s="243"/>
      <c r="D184" s="243"/>
      <c r="E184" s="281"/>
      <c r="F184" s="292"/>
      <c r="G184" s="292"/>
      <c r="H184" s="404"/>
      <c r="I184" s="405"/>
    </row>
    <row r="185" spans="1:9">
      <c r="A185" s="246" t="s">
        <v>1850</v>
      </c>
      <c r="B185" s="243"/>
      <c r="D185" s="243"/>
      <c r="E185" s="281"/>
      <c r="F185" s="292"/>
      <c r="G185" s="292"/>
      <c r="H185" s="404"/>
      <c r="I185" s="405"/>
    </row>
    <row r="186" spans="1:9">
      <c r="A186" s="246" t="s">
        <v>1851</v>
      </c>
      <c r="B186" s="243"/>
      <c r="D186" s="243"/>
      <c r="E186" s="281"/>
      <c r="F186" s="292"/>
      <c r="G186" s="292"/>
      <c r="H186" s="404"/>
      <c r="I186" s="405"/>
    </row>
    <row r="187" spans="1:9">
      <c r="A187" s="246" t="s">
        <v>1012</v>
      </c>
      <c r="B187" s="243"/>
      <c r="D187" s="243"/>
      <c r="E187" s="281"/>
      <c r="F187" s="292"/>
      <c r="G187" s="292"/>
      <c r="H187" s="404"/>
      <c r="I187" s="405"/>
    </row>
    <row r="188" spans="1:9">
      <c r="A188" s="246" t="s">
        <v>1013</v>
      </c>
      <c r="B188" s="243"/>
      <c r="D188" s="243"/>
      <c r="E188" s="281"/>
      <c r="F188" s="292"/>
      <c r="G188" s="292"/>
      <c r="H188" s="404"/>
      <c r="I188" s="405"/>
    </row>
    <row r="189" spans="1:9" ht="15.75">
      <c r="A189" s="247" t="s">
        <v>1014</v>
      </c>
      <c r="B189" s="243"/>
      <c r="D189" s="243"/>
      <c r="E189" s="281"/>
      <c r="F189" s="292"/>
      <c r="G189" s="292"/>
      <c r="H189" s="404"/>
      <c r="I189" s="405"/>
    </row>
    <row r="190" spans="1:9">
      <c r="A190" s="237" t="s">
        <v>1579</v>
      </c>
      <c r="B190" s="243"/>
      <c r="D190" s="243"/>
      <c r="E190" s="281"/>
      <c r="F190" s="292"/>
      <c r="G190" s="292"/>
      <c r="H190" s="404"/>
      <c r="I190" s="405"/>
    </row>
    <row r="191" spans="1:9">
      <c r="A191" s="237" t="s">
        <v>1015</v>
      </c>
      <c r="B191" s="243"/>
      <c r="D191" s="243"/>
      <c r="E191" s="281"/>
      <c r="F191" s="292"/>
      <c r="G191" s="292"/>
      <c r="H191" s="404"/>
      <c r="I191" s="405"/>
    </row>
    <row r="192" spans="1:9">
      <c r="A192" s="237" t="s">
        <v>1016</v>
      </c>
      <c r="B192" s="243"/>
      <c r="D192" s="243"/>
      <c r="E192" s="281"/>
      <c r="F192" s="292"/>
      <c r="G192" s="292"/>
      <c r="H192" s="404"/>
      <c r="I192" s="405"/>
    </row>
    <row r="193" spans="1:9">
      <c r="A193" s="237" t="s">
        <v>1017</v>
      </c>
      <c r="B193" s="243"/>
      <c r="D193" s="243"/>
      <c r="E193" s="281"/>
      <c r="F193" s="292"/>
      <c r="G193" s="292"/>
      <c r="H193" s="404"/>
      <c r="I193" s="405"/>
    </row>
    <row r="194" spans="1:9">
      <c r="A194" s="237" t="s">
        <v>707</v>
      </c>
      <c r="B194" s="243"/>
      <c r="D194" s="243"/>
      <c r="E194" s="281"/>
      <c r="F194" s="292"/>
      <c r="G194" s="292"/>
      <c r="H194" s="404"/>
      <c r="I194" s="405"/>
    </row>
    <row r="195" spans="1:9">
      <c r="A195" s="237" t="s">
        <v>708</v>
      </c>
      <c r="B195" s="243"/>
      <c r="D195" s="243"/>
      <c r="E195" s="281"/>
      <c r="F195" s="292"/>
      <c r="G195" s="292"/>
      <c r="H195" s="404"/>
      <c r="I195" s="405"/>
    </row>
    <row r="196" spans="1:9">
      <c r="A196" s="237" t="s">
        <v>709</v>
      </c>
      <c r="B196" s="243"/>
      <c r="D196" s="243"/>
      <c r="E196" s="281"/>
      <c r="F196" s="292"/>
      <c r="G196" s="292"/>
      <c r="H196" s="404"/>
      <c r="I196" s="405"/>
    </row>
    <row r="197" spans="1:9">
      <c r="A197" s="237"/>
      <c r="B197" s="243"/>
      <c r="D197" s="243"/>
      <c r="E197" s="281"/>
      <c r="F197" s="292"/>
      <c r="G197" s="292"/>
      <c r="H197" s="404"/>
      <c r="I197" s="405"/>
    </row>
    <row r="198" spans="1:9">
      <c r="A198" s="287" t="s">
        <v>710</v>
      </c>
      <c r="B198" s="281"/>
      <c r="C198" s="282"/>
      <c r="D198" s="281"/>
      <c r="E198" s="281"/>
      <c r="F198" s="292"/>
      <c r="G198" s="292"/>
      <c r="H198" s="404"/>
      <c r="I198" s="405"/>
    </row>
    <row r="199" spans="1:9">
      <c r="A199" s="280" t="s">
        <v>711</v>
      </c>
      <c r="B199" s="281"/>
      <c r="C199" s="282"/>
      <c r="D199" s="281"/>
      <c r="E199" s="281"/>
      <c r="F199" s="292"/>
      <c r="G199" s="292"/>
      <c r="H199" s="404"/>
      <c r="I199" s="405"/>
    </row>
    <row r="200" spans="1:9">
      <c r="A200" s="280" t="s">
        <v>712</v>
      </c>
      <c r="B200" s="620">
        <v>21623.053474</v>
      </c>
      <c r="C200" t="s">
        <v>2400</v>
      </c>
      <c r="D200" s="487">
        <v>21623.053474</v>
      </c>
      <c r="E200" s="281">
        <f>B200-D200</f>
        <v>0</v>
      </c>
      <c r="F200" s="292"/>
      <c r="G200" s="291">
        <f>B200-D200</f>
        <v>0</v>
      </c>
      <c r="H200" s="403">
        <f>G200/D200</f>
        <v>0</v>
      </c>
      <c r="I200" s="279">
        <f>E200-B200</f>
        <v>-21623.053474</v>
      </c>
    </row>
    <row r="201" spans="1:9">
      <c r="A201" s="280" t="s">
        <v>713</v>
      </c>
      <c r="B201" s="620">
        <v>25946.817069000004</v>
      </c>
      <c r="C201" t="s">
        <v>2400</v>
      </c>
      <c r="D201" s="487">
        <v>25946.817069000004</v>
      </c>
      <c r="E201" s="281">
        <f>B201-D201</f>
        <v>0</v>
      </c>
      <c r="F201" s="292"/>
      <c r="G201" s="291">
        <f>B201-D201</f>
        <v>0</v>
      </c>
      <c r="H201" s="403">
        <f>G201/D201</f>
        <v>0</v>
      </c>
      <c r="I201" s="279">
        <f>E201-B201</f>
        <v>-25946.817069000004</v>
      </c>
    </row>
    <row r="202" spans="1:9">
      <c r="A202" s="280" t="s">
        <v>714</v>
      </c>
      <c r="B202" s="620">
        <v>32434.039509000002</v>
      </c>
      <c r="C202" t="s">
        <v>2400</v>
      </c>
      <c r="D202" s="487">
        <v>32434.039509000002</v>
      </c>
      <c r="E202" s="281">
        <f>B202-D202</f>
        <v>0</v>
      </c>
      <c r="F202" s="292"/>
      <c r="G202" s="291">
        <f>B202-D202</f>
        <v>0</v>
      </c>
      <c r="H202" s="403">
        <f>G202/D202</f>
        <v>0</v>
      </c>
      <c r="I202" s="279">
        <f>E202-B202</f>
        <v>-32434.039509000002</v>
      </c>
    </row>
    <row r="203" spans="1:9">
      <c r="A203" s="280" t="s">
        <v>715</v>
      </c>
      <c r="B203" s="620">
        <v>43246.106948000001</v>
      </c>
      <c r="C203" t="s">
        <v>2400</v>
      </c>
      <c r="D203" s="487">
        <v>43246.106948000001</v>
      </c>
      <c r="E203" s="281">
        <f>B203-D203</f>
        <v>0</v>
      </c>
      <c r="F203" s="292"/>
      <c r="G203" s="291">
        <f>B203-D203</f>
        <v>0</v>
      </c>
      <c r="H203" s="403">
        <f>G203/D203</f>
        <v>0</v>
      </c>
      <c r="I203" s="279">
        <f>E203-B203</f>
        <v>-43246.106948000001</v>
      </c>
    </row>
    <row r="204" spans="1:9">
      <c r="A204" s="280" t="s">
        <v>716</v>
      </c>
      <c r="B204" s="281"/>
      <c r="C204" s="282"/>
      <c r="D204" s="281"/>
      <c r="E204" s="281"/>
      <c r="F204" s="292"/>
      <c r="G204" s="292"/>
      <c r="H204" s="404"/>
      <c r="I204" s="405"/>
    </row>
    <row r="205" spans="1:9">
      <c r="A205" s="285" t="s">
        <v>717</v>
      </c>
      <c r="B205" s="274"/>
      <c r="C205" s="282"/>
      <c r="D205" s="274"/>
      <c r="E205" s="281"/>
      <c r="F205" s="292"/>
      <c r="G205" s="292"/>
      <c r="H205" s="404"/>
      <c r="I205" s="405"/>
    </row>
    <row r="206" spans="1:9">
      <c r="A206" s="285" t="s">
        <v>718</v>
      </c>
      <c r="B206" s="274"/>
      <c r="C206" s="282"/>
      <c r="D206" s="274"/>
      <c r="E206" s="281"/>
      <c r="F206" s="292"/>
      <c r="G206" s="292"/>
      <c r="H206" s="404"/>
      <c r="I206" s="405"/>
    </row>
    <row r="207" spans="1:9">
      <c r="A207" s="285" t="s">
        <v>186</v>
      </c>
      <c r="B207" s="274"/>
      <c r="C207" s="282"/>
      <c r="D207" s="274"/>
      <c r="E207" s="281"/>
      <c r="F207" s="292"/>
      <c r="G207" s="292"/>
      <c r="H207" s="404"/>
      <c r="I207" s="405"/>
    </row>
    <row r="208" spans="1:9">
      <c r="A208" s="285" t="s">
        <v>187</v>
      </c>
      <c r="B208" s="274"/>
      <c r="C208" s="282"/>
      <c r="D208" s="274"/>
      <c r="E208" s="281"/>
      <c r="F208" s="292"/>
      <c r="G208" s="292"/>
      <c r="H208" s="404"/>
      <c r="I208" s="405"/>
    </row>
    <row r="209" spans="1:9">
      <c r="A209" s="285" t="s">
        <v>188</v>
      </c>
      <c r="B209" s="274"/>
      <c r="C209" s="282"/>
      <c r="D209" s="274"/>
      <c r="E209" s="281"/>
      <c r="F209" s="292"/>
      <c r="G209" s="292"/>
      <c r="H209" s="404"/>
      <c r="I209" s="405"/>
    </row>
    <row r="210" spans="1:9">
      <c r="A210" s="237"/>
      <c r="B210" s="243"/>
      <c r="D210" s="243"/>
      <c r="E210" s="281"/>
      <c r="F210" s="292"/>
      <c r="G210" s="292"/>
      <c r="H210" s="404"/>
      <c r="I210" s="405"/>
    </row>
    <row r="211" spans="1:9">
      <c r="A211" s="237"/>
      <c r="B211" s="243"/>
      <c r="D211" s="243"/>
      <c r="E211" s="281"/>
      <c r="F211" s="292"/>
      <c r="G211" s="292"/>
      <c r="H211" s="404"/>
      <c r="I211" s="405"/>
    </row>
    <row r="212" spans="1:9">
      <c r="A212" s="237"/>
      <c r="B212" s="243"/>
      <c r="D212" s="243"/>
      <c r="E212" s="281"/>
      <c r="F212" s="292"/>
      <c r="G212" s="292"/>
      <c r="H212" s="404"/>
      <c r="I212" s="405"/>
    </row>
    <row r="213" spans="1:9">
      <c r="A213" s="237"/>
      <c r="B213" s="243"/>
      <c r="D213" s="243"/>
      <c r="E213" s="281"/>
      <c r="F213" s="292"/>
      <c r="G213" s="292"/>
      <c r="H213" s="404"/>
      <c r="I213" s="405"/>
    </row>
    <row r="214" spans="1:9" ht="15.75">
      <c r="A214" s="247" t="s">
        <v>189</v>
      </c>
      <c r="B214" s="243"/>
      <c r="D214" s="243"/>
      <c r="E214" s="281"/>
      <c r="F214" s="292"/>
      <c r="G214" s="292"/>
      <c r="H214" s="404"/>
      <c r="I214" s="405"/>
    </row>
    <row r="215" spans="1:9">
      <c r="A215" s="237" t="s">
        <v>1579</v>
      </c>
      <c r="B215" s="620">
        <v>69000.464577999985</v>
      </c>
      <c r="C215" t="s">
        <v>2400</v>
      </c>
      <c r="D215" s="487">
        <v>69000.464577999985</v>
      </c>
      <c r="E215" s="281">
        <f>B215-D215</f>
        <v>0</v>
      </c>
      <c r="F215" s="292"/>
      <c r="G215" s="291">
        <f>B215-D215</f>
        <v>0</v>
      </c>
      <c r="H215" s="403">
        <f>G215/D215</f>
        <v>0</v>
      </c>
      <c r="I215" s="279">
        <f>E215-B215</f>
        <v>-69000.464577999985</v>
      </c>
    </row>
    <row r="216" spans="1:9">
      <c r="A216" s="237" t="s">
        <v>1274</v>
      </c>
      <c r="B216" s="243"/>
      <c r="D216" s="243"/>
      <c r="E216" s="281">
        <f>B216-D216</f>
        <v>0</v>
      </c>
      <c r="F216" s="292"/>
      <c r="G216" s="291">
        <f>B216-D216</f>
        <v>0</v>
      </c>
      <c r="H216" s="403" t="e">
        <f>G216/D216</f>
        <v>#DIV/0!</v>
      </c>
      <c r="I216" s="279">
        <f>E216-B216</f>
        <v>0</v>
      </c>
    </row>
    <row r="217" spans="1:9">
      <c r="A217" s="257" t="s">
        <v>2160</v>
      </c>
      <c r="B217" s="620">
        <v>487.79992799999997</v>
      </c>
      <c r="C217" t="s">
        <v>2400</v>
      </c>
      <c r="D217" s="487">
        <v>487.79992799999997</v>
      </c>
      <c r="E217" s="281">
        <f>B217-D217</f>
        <v>0</v>
      </c>
      <c r="F217" s="292"/>
      <c r="G217" s="291">
        <f>B217-D217</f>
        <v>0</v>
      </c>
      <c r="H217" s="403">
        <f>G217/D217</f>
        <v>0</v>
      </c>
      <c r="I217" s="279">
        <f>E217-B217</f>
        <v>-487.79992799999997</v>
      </c>
    </row>
    <row r="218" spans="1:9">
      <c r="A218" s="257" t="s">
        <v>2161</v>
      </c>
      <c r="B218" s="620">
        <v>417.72391199999993</v>
      </c>
      <c r="C218" t="s">
        <v>2400</v>
      </c>
      <c r="D218" s="487">
        <v>417.72391199999993</v>
      </c>
      <c r="E218" s="281">
        <f>B218-D218</f>
        <v>0</v>
      </c>
      <c r="F218" s="292"/>
      <c r="G218" s="291">
        <f>B218-D218</f>
        <v>0</v>
      </c>
      <c r="H218" s="403">
        <f>G218/D218</f>
        <v>0</v>
      </c>
      <c r="I218" s="279">
        <f>E218-B218</f>
        <v>-417.72391199999993</v>
      </c>
    </row>
    <row r="219" spans="1:9">
      <c r="A219" s="257" t="s">
        <v>2162</v>
      </c>
      <c r="B219" s="620">
        <v>208.88697599999998</v>
      </c>
      <c r="C219" t="s">
        <v>2400</v>
      </c>
      <c r="D219" s="487">
        <v>208.88697599999998</v>
      </c>
      <c r="E219" s="281">
        <f>B219-D219</f>
        <v>0</v>
      </c>
      <c r="F219" s="292"/>
      <c r="G219" s="291">
        <f>B219-D219</f>
        <v>0</v>
      </c>
      <c r="H219" s="403">
        <f>G219/D219</f>
        <v>0</v>
      </c>
      <c r="I219" s="279">
        <f>E219-B219</f>
        <v>-208.88697599999998</v>
      </c>
    </row>
    <row r="220" spans="1:9">
      <c r="A220" s="237"/>
      <c r="B220" s="243"/>
      <c r="C220" t="s">
        <v>2400</v>
      </c>
      <c r="D220" s="243"/>
      <c r="E220" s="281"/>
      <c r="F220" s="292"/>
      <c r="G220" s="292"/>
      <c r="H220" s="404"/>
      <c r="I220" s="405"/>
    </row>
    <row r="221" spans="1:9">
      <c r="A221" s="237" t="s">
        <v>2163</v>
      </c>
      <c r="B221" s="243"/>
      <c r="D221" s="243"/>
      <c r="E221" s="281"/>
      <c r="F221" s="292"/>
      <c r="G221" s="292"/>
      <c r="H221" s="404"/>
      <c r="I221" s="405"/>
    </row>
    <row r="222" spans="1:9">
      <c r="A222" s="237" t="s">
        <v>2090</v>
      </c>
      <c r="B222" s="243"/>
      <c r="D222" s="243"/>
      <c r="E222" s="281"/>
      <c r="F222" s="292"/>
      <c r="G222" s="292"/>
      <c r="H222" s="404"/>
      <c r="I222" s="405"/>
    </row>
    <row r="223" spans="1:9">
      <c r="A223" s="237" t="s">
        <v>707</v>
      </c>
      <c r="B223" s="624">
        <v>0.11940000000000001</v>
      </c>
      <c r="C223" t="s">
        <v>2400</v>
      </c>
      <c r="D223" s="491">
        <v>0.11940000000000001</v>
      </c>
      <c r="E223" s="281">
        <f>B223-D223</f>
        <v>0</v>
      </c>
      <c r="F223" s="294"/>
      <c r="G223" s="291">
        <f>B223-D223</f>
        <v>0</v>
      </c>
      <c r="H223" s="403">
        <f>G223/D223</f>
        <v>0</v>
      </c>
      <c r="I223" s="279">
        <f>E223-B223</f>
        <v>-0.11940000000000001</v>
      </c>
    </row>
    <row r="224" spans="1:9">
      <c r="A224" s="237" t="s">
        <v>708</v>
      </c>
      <c r="B224" s="624">
        <v>6.1999999999999998E-3</v>
      </c>
      <c r="C224" t="s">
        <v>2400</v>
      </c>
      <c r="D224" s="491">
        <v>6.1999999999999998E-3</v>
      </c>
      <c r="E224" s="281">
        <f>B224-D224</f>
        <v>0</v>
      </c>
      <c r="F224" s="294"/>
      <c r="G224" s="291">
        <f>B224-D224</f>
        <v>0</v>
      </c>
      <c r="H224" s="403">
        <f>G224/D224</f>
        <v>0</v>
      </c>
      <c r="I224" s="279">
        <f>E224-B224</f>
        <v>-6.1999999999999998E-3</v>
      </c>
    </row>
    <row r="225" spans="1:9">
      <c r="A225" s="237" t="s">
        <v>709</v>
      </c>
      <c r="B225" s="243"/>
      <c r="D225" s="243"/>
      <c r="E225" s="281"/>
      <c r="F225" s="292"/>
      <c r="G225" s="292"/>
      <c r="H225" s="404"/>
      <c r="I225" s="405"/>
    </row>
    <row r="226" spans="1:9" ht="15.75">
      <c r="A226" s="247" t="s">
        <v>2091</v>
      </c>
      <c r="B226" s="243"/>
      <c r="D226" s="243"/>
      <c r="E226" s="281"/>
      <c r="F226" s="292"/>
      <c r="G226" s="292"/>
      <c r="H226" s="404"/>
      <c r="I226" s="405"/>
    </row>
    <row r="227" spans="1:9">
      <c r="A227" s="237" t="s">
        <v>2092</v>
      </c>
      <c r="B227" s="243"/>
      <c r="D227" s="243"/>
      <c r="E227" s="281"/>
      <c r="F227" s="292"/>
      <c r="G227" s="292"/>
      <c r="H227" s="404"/>
      <c r="I227" s="405"/>
    </row>
    <row r="228" spans="1:9">
      <c r="A228" s="237" t="s">
        <v>2093</v>
      </c>
      <c r="B228" s="243"/>
      <c r="D228" s="243"/>
      <c r="E228" s="281"/>
      <c r="F228" s="292"/>
      <c r="G228" s="292"/>
      <c r="H228" s="404"/>
      <c r="I228" s="405"/>
    </row>
    <row r="229" spans="1:9">
      <c r="A229" s="237" t="s">
        <v>2094</v>
      </c>
      <c r="B229" s="243"/>
      <c r="D229" s="243"/>
      <c r="E229" s="281"/>
      <c r="F229" s="292"/>
      <c r="G229" s="292"/>
      <c r="H229" s="404"/>
      <c r="I229" s="405"/>
    </row>
    <row r="230" spans="1:9">
      <c r="A230" s="237" t="s">
        <v>2095</v>
      </c>
      <c r="B230" s="243"/>
      <c r="D230" s="243"/>
      <c r="E230" s="281"/>
      <c r="F230" s="292"/>
      <c r="G230" s="292"/>
      <c r="H230" s="404"/>
      <c r="I230" s="405"/>
    </row>
    <row r="231" spans="1:9">
      <c r="A231" s="237" t="s">
        <v>2096</v>
      </c>
      <c r="B231" s="243"/>
      <c r="D231" s="243"/>
      <c r="E231" s="281"/>
      <c r="F231" s="292"/>
      <c r="G231" s="292"/>
      <c r="H231" s="404"/>
      <c r="I231" s="405"/>
    </row>
    <row r="232" spans="1:9">
      <c r="A232" s="237" t="s">
        <v>441</v>
      </c>
      <c r="B232" s="243"/>
      <c r="D232" s="243"/>
      <c r="E232" s="281"/>
      <c r="F232" s="292"/>
      <c r="G232" s="292"/>
      <c r="H232" s="404"/>
      <c r="I232" s="405"/>
    </row>
    <row r="233" spans="1:9">
      <c r="A233" s="258" t="s">
        <v>442</v>
      </c>
      <c r="B233" s="243"/>
      <c r="D233" s="243"/>
      <c r="E233" s="281"/>
      <c r="F233" s="292"/>
      <c r="G233" s="292"/>
      <c r="H233" s="404"/>
      <c r="I233" s="405"/>
    </row>
    <row r="234" spans="1:9" ht="15.75">
      <c r="A234" s="247" t="s">
        <v>443</v>
      </c>
      <c r="B234" s="243"/>
      <c r="D234" s="243"/>
      <c r="E234" s="281"/>
      <c r="F234" s="292"/>
      <c r="G234" s="292"/>
      <c r="H234" s="404"/>
      <c r="I234" s="405"/>
    </row>
    <row r="235" spans="1:9">
      <c r="A235" s="286" t="s">
        <v>2014</v>
      </c>
      <c r="B235" s="620">
        <v>0</v>
      </c>
      <c r="C235" s="282"/>
      <c r="D235" s="487">
        <v>0</v>
      </c>
      <c r="E235" s="281">
        <f>B235-D235</f>
        <v>0</v>
      </c>
      <c r="F235" s="292"/>
      <c r="G235" s="291">
        <f>B235-D235</f>
        <v>0</v>
      </c>
      <c r="H235" s="403" t="e">
        <f>G235/D235</f>
        <v>#DIV/0!</v>
      </c>
      <c r="I235" s="279">
        <f>E235-B235</f>
        <v>0</v>
      </c>
    </row>
    <row r="236" spans="1:9">
      <c r="A236" s="240" t="s">
        <v>444</v>
      </c>
      <c r="B236" s="243" t="s">
        <v>789</v>
      </c>
      <c r="D236" s="243" t="s">
        <v>789</v>
      </c>
      <c r="E236" s="281"/>
      <c r="F236" s="292"/>
      <c r="G236" s="292"/>
      <c r="H236" s="404"/>
      <c r="I236" s="405"/>
    </row>
    <row r="237" spans="1:9" ht="15.75">
      <c r="A237" s="275" t="s">
        <v>2006</v>
      </c>
      <c r="B237" s="243"/>
      <c r="D237" s="243"/>
      <c r="E237" s="281"/>
      <c r="F237" s="292"/>
      <c r="G237" s="292"/>
      <c r="H237" s="404"/>
      <c r="I237" s="405"/>
    </row>
    <row r="238" spans="1:9">
      <c r="A238" s="276" t="s">
        <v>2007</v>
      </c>
      <c r="B238" s="620">
        <v>500</v>
      </c>
      <c r="C238" t="s">
        <v>2061</v>
      </c>
      <c r="D238" s="487">
        <v>500</v>
      </c>
      <c r="E238" s="281">
        <f>B238-D238</f>
        <v>0</v>
      </c>
      <c r="F238" s="292"/>
      <c r="G238" s="291">
        <f>B238-D238</f>
        <v>0</v>
      </c>
      <c r="H238" s="403">
        <f>G238/D238</f>
        <v>0</v>
      </c>
      <c r="I238" s="279">
        <f>E238-B238</f>
        <v>-500</v>
      </c>
    </row>
    <row r="239" spans="1:9" ht="18.75">
      <c r="A239" s="244"/>
      <c r="B239" s="243"/>
      <c r="D239" s="243"/>
      <c r="E239" s="281"/>
      <c r="F239" s="292"/>
      <c r="G239" s="292"/>
      <c r="H239" s="404"/>
      <c r="I239" s="405"/>
    </row>
    <row r="240" spans="1:9" ht="15.75">
      <c r="A240" s="247" t="s">
        <v>445</v>
      </c>
      <c r="B240" s="243"/>
      <c r="D240" s="243"/>
      <c r="E240" s="281"/>
      <c r="F240" s="292"/>
      <c r="G240" s="292"/>
      <c r="H240" s="404"/>
      <c r="I240" s="405"/>
    </row>
    <row r="241" spans="1:9">
      <c r="A241" s="237" t="s">
        <v>446</v>
      </c>
      <c r="B241" s="243"/>
      <c r="D241" s="243"/>
      <c r="E241" s="281"/>
      <c r="F241" s="292"/>
      <c r="G241" s="292"/>
      <c r="H241" s="404"/>
      <c r="I241" s="405"/>
    </row>
    <row r="242" spans="1:9" ht="15.75">
      <c r="A242" s="247" t="s">
        <v>447</v>
      </c>
      <c r="B242" s="243"/>
      <c r="D242" s="243"/>
      <c r="E242" s="281"/>
      <c r="F242" s="292"/>
      <c r="G242" s="292"/>
      <c r="H242" s="404"/>
      <c r="I242" s="405"/>
    </row>
    <row r="243" spans="1:9">
      <c r="A243" s="237" t="s">
        <v>448</v>
      </c>
      <c r="B243" s="243"/>
      <c r="D243" s="243"/>
      <c r="E243" s="281"/>
      <c r="F243" s="292"/>
      <c r="G243" s="292"/>
      <c r="H243" s="404"/>
      <c r="I243" s="405"/>
    </row>
    <row r="244" spans="1:9">
      <c r="A244" s="237" t="s">
        <v>449</v>
      </c>
      <c r="B244" s="620">
        <v>6657</v>
      </c>
      <c r="C244" t="s">
        <v>2061</v>
      </c>
      <c r="D244" s="487">
        <v>6561</v>
      </c>
      <c r="E244" s="281">
        <f>B244-D244</f>
        <v>96</v>
      </c>
      <c r="F244" s="292"/>
      <c r="G244" s="291">
        <f>B244-D244</f>
        <v>96</v>
      </c>
      <c r="H244" s="403">
        <f>G244/D244</f>
        <v>1.4631915866483767E-2</v>
      </c>
      <c r="I244" s="279">
        <f>E244-B244</f>
        <v>-6561</v>
      </c>
    </row>
    <row r="245" spans="1:9" ht="15.75">
      <c r="A245" s="247" t="s">
        <v>450</v>
      </c>
      <c r="B245" s="243"/>
      <c r="D245" s="243"/>
      <c r="E245" s="281"/>
      <c r="F245" s="292"/>
      <c r="G245" s="292"/>
      <c r="H245" s="404"/>
      <c r="I245" s="405"/>
    </row>
    <row r="246" spans="1:9">
      <c r="A246" s="237" t="s">
        <v>451</v>
      </c>
      <c r="B246" s="243"/>
      <c r="D246" s="243"/>
      <c r="E246" s="281"/>
      <c r="F246" s="292"/>
      <c r="G246" s="292"/>
      <c r="H246" s="404"/>
      <c r="I246" s="405"/>
    </row>
    <row r="247" spans="1:9" ht="15.75">
      <c r="A247" s="247" t="s">
        <v>452</v>
      </c>
      <c r="B247" s="243"/>
      <c r="D247" s="243"/>
      <c r="E247" s="281"/>
      <c r="F247" s="292"/>
      <c r="G247" s="292"/>
      <c r="H247" s="404"/>
      <c r="I247" s="405"/>
    </row>
    <row r="248" spans="1:9">
      <c r="A248" s="237" t="s">
        <v>613</v>
      </c>
      <c r="B248" s="243"/>
      <c r="D248" s="243"/>
      <c r="E248" s="281"/>
      <c r="F248" s="292"/>
      <c r="G248" s="292"/>
      <c r="H248" s="404"/>
      <c r="I248" s="405"/>
    </row>
    <row r="249" spans="1:9">
      <c r="A249" s="237" t="s">
        <v>453</v>
      </c>
      <c r="B249" s="243"/>
      <c r="D249" s="243"/>
      <c r="E249" s="281"/>
      <c r="F249" s="292"/>
      <c r="G249" s="292"/>
      <c r="H249" s="404"/>
      <c r="I249" s="405"/>
    </row>
    <row r="250" spans="1:9">
      <c r="A250" s="237" t="s">
        <v>454</v>
      </c>
      <c r="B250" s="243"/>
      <c r="D250" s="243"/>
      <c r="E250" s="281"/>
      <c r="F250" s="292"/>
      <c r="G250" s="292"/>
      <c r="H250" s="404"/>
      <c r="I250" s="405"/>
    </row>
    <row r="251" spans="1:9">
      <c r="A251" s="237" t="s">
        <v>455</v>
      </c>
      <c r="B251" s="243"/>
      <c r="D251" s="243"/>
      <c r="E251" s="281"/>
      <c r="F251" s="292"/>
      <c r="G251" s="292"/>
      <c r="H251" s="404"/>
      <c r="I251" s="405"/>
    </row>
    <row r="252" spans="1:9">
      <c r="A252" s="237" t="s">
        <v>2026</v>
      </c>
      <c r="B252" s="243"/>
      <c r="D252" s="243"/>
      <c r="E252" s="281"/>
      <c r="F252" s="292"/>
      <c r="G252" s="292"/>
      <c r="H252" s="404"/>
      <c r="I252" s="405"/>
    </row>
    <row r="253" spans="1:9">
      <c r="A253" s="237" t="s">
        <v>456</v>
      </c>
      <c r="B253" s="243"/>
      <c r="D253" s="243"/>
      <c r="E253" s="281"/>
      <c r="F253" s="292"/>
      <c r="G253" s="292"/>
      <c r="H253" s="404"/>
      <c r="I253" s="405"/>
    </row>
    <row r="254" spans="1:9">
      <c r="A254" s="240" t="s">
        <v>457</v>
      </c>
      <c r="B254" s="243"/>
      <c r="D254" s="243"/>
      <c r="E254" s="281"/>
      <c r="F254" s="292"/>
      <c r="G254" s="292"/>
      <c r="H254" s="404"/>
      <c r="I254" s="405"/>
    </row>
    <row r="255" spans="1:9">
      <c r="A255" s="237"/>
      <c r="B255" s="243"/>
      <c r="D255" s="243"/>
      <c r="E255" s="281"/>
      <c r="F255" s="292"/>
      <c r="G255" s="292"/>
      <c r="H255" s="404"/>
      <c r="I255" s="405"/>
    </row>
    <row r="256" spans="1:9">
      <c r="A256" s="280" t="s">
        <v>458</v>
      </c>
      <c r="B256" s="243"/>
      <c r="C256" s="118"/>
      <c r="D256" s="243"/>
      <c r="E256" s="281"/>
      <c r="F256" s="292"/>
      <c r="G256" s="292"/>
      <c r="H256" s="404"/>
      <c r="I256" s="405"/>
    </row>
    <row r="257" spans="1:9">
      <c r="A257" s="280" t="s">
        <v>459</v>
      </c>
      <c r="B257" s="243"/>
      <c r="C257" s="118"/>
      <c r="D257" s="243"/>
      <c r="E257" s="281"/>
      <c r="F257" s="292"/>
      <c r="G257" s="292"/>
      <c r="H257" s="404"/>
      <c r="I257" s="405"/>
    </row>
    <row r="258" spans="1:9">
      <c r="A258" s="280" t="s">
        <v>460</v>
      </c>
      <c r="B258" s="243"/>
      <c r="C258" s="118"/>
      <c r="D258" s="243"/>
      <c r="E258" s="281"/>
      <c r="F258" s="292"/>
      <c r="G258" s="292"/>
      <c r="H258" s="404"/>
      <c r="I258" s="405"/>
    </row>
    <row r="259" spans="1:9">
      <c r="A259" s="280" t="s">
        <v>461</v>
      </c>
      <c r="B259" s="243"/>
      <c r="C259" s="118"/>
      <c r="D259" s="243"/>
      <c r="E259" s="281"/>
      <c r="F259" s="292"/>
      <c r="G259" s="292"/>
      <c r="H259" s="404"/>
      <c r="I259" s="405"/>
    </row>
    <row r="260" spans="1:9">
      <c r="A260" s="280" t="s">
        <v>319</v>
      </c>
      <c r="B260" s="243"/>
      <c r="C260" s="118"/>
      <c r="D260" s="243"/>
      <c r="E260" s="281"/>
      <c r="F260" s="292"/>
      <c r="G260" s="292"/>
      <c r="H260" s="404"/>
      <c r="I260" s="405"/>
    </row>
    <row r="261" spans="1:9">
      <c r="A261" s="283" t="s">
        <v>320</v>
      </c>
      <c r="B261" s="243"/>
      <c r="C261" s="118"/>
      <c r="D261" s="243"/>
      <c r="E261" s="281"/>
      <c r="F261" s="292"/>
      <c r="G261" s="292"/>
      <c r="H261" s="404"/>
      <c r="I261" s="405"/>
    </row>
    <row r="262" spans="1:9">
      <c r="A262" s="259"/>
      <c r="B262" s="243"/>
      <c r="C262" s="118"/>
      <c r="D262" s="243"/>
      <c r="E262" s="281"/>
      <c r="F262" s="292"/>
      <c r="G262" s="292"/>
      <c r="H262" s="404"/>
      <c r="I262" s="405"/>
    </row>
    <row r="263" spans="1:9" ht="15.75">
      <c r="A263" s="260" t="s">
        <v>321</v>
      </c>
      <c r="B263" s="243"/>
      <c r="C263" s="118"/>
      <c r="D263" s="243"/>
      <c r="E263" s="281"/>
      <c r="F263" s="292"/>
      <c r="G263" s="292"/>
      <c r="H263" s="404"/>
      <c r="I263" s="405"/>
    </row>
    <row r="264" spans="1:9">
      <c r="A264" s="284" t="s">
        <v>322</v>
      </c>
      <c r="B264" s="243"/>
      <c r="C264" s="118"/>
      <c r="D264" s="243"/>
      <c r="E264" s="281"/>
      <c r="F264" s="292"/>
      <c r="G264" s="292"/>
      <c r="H264" s="404"/>
      <c r="I264" s="405"/>
    </row>
    <row r="265" spans="1:9">
      <c r="A265" s="259"/>
      <c r="B265" s="243"/>
      <c r="C265" s="118"/>
      <c r="D265" s="243"/>
      <c r="E265" s="281"/>
      <c r="F265" s="292"/>
      <c r="G265" s="292"/>
      <c r="H265" s="404"/>
      <c r="I265" s="405"/>
    </row>
    <row r="266" spans="1:9" ht="15.75">
      <c r="A266" s="260" t="s">
        <v>922</v>
      </c>
      <c r="B266" s="243"/>
      <c r="C266" s="118"/>
      <c r="D266" s="243"/>
      <c r="E266" s="281"/>
      <c r="F266" s="292"/>
      <c r="G266" s="292"/>
      <c r="H266" s="404"/>
      <c r="I266" s="405"/>
    </row>
    <row r="267" spans="1:9">
      <c r="A267" s="284" t="s">
        <v>613</v>
      </c>
      <c r="B267" s="243"/>
      <c r="C267" s="118"/>
      <c r="D267" s="243"/>
      <c r="E267" s="281"/>
      <c r="F267" s="292"/>
      <c r="G267" s="292"/>
      <c r="H267" s="404"/>
      <c r="I267" s="405"/>
    </row>
    <row r="268" spans="1:9">
      <c r="A268" s="280" t="s">
        <v>258</v>
      </c>
      <c r="B268" s="243"/>
      <c r="C268" s="118"/>
      <c r="D268" s="243"/>
      <c r="E268" s="281"/>
      <c r="F268" s="292"/>
      <c r="G268" s="292"/>
      <c r="H268" s="404"/>
      <c r="I268" s="405"/>
    </row>
    <row r="269" spans="1:9">
      <c r="A269" s="285" t="s">
        <v>717</v>
      </c>
      <c r="B269" s="243"/>
      <c r="C269" s="118"/>
      <c r="D269" s="243"/>
      <c r="E269" s="281"/>
      <c r="F269" s="292"/>
      <c r="G269" s="292"/>
      <c r="H269" s="404"/>
      <c r="I269" s="405"/>
    </row>
    <row r="270" spans="1:9">
      <c r="A270" s="285" t="s">
        <v>718</v>
      </c>
      <c r="B270" s="243"/>
      <c r="C270" s="118"/>
      <c r="D270" s="243"/>
      <c r="E270" s="281"/>
      <c r="F270" s="292"/>
      <c r="G270" s="292"/>
      <c r="H270" s="404"/>
      <c r="I270" s="405"/>
    </row>
    <row r="271" spans="1:9">
      <c r="A271" s="285" t="s">
        <v>186</v>
      </c>
      <c r="B271" s="243"/>
      <c r="C271" s="118"/>
      <c r="D271" s="243"/>
      <c r="E271" s="281"/>
      <c r="F271" s="292"/>
      <c r="G271" s="292"/>
      <c r="H271" s="404"/>
      <c r="I271" s="405"/>
    </row>
    <row r="272" spans="1:9">
      <c r="A272" s="285" t="s">
        <v>187</v>
      </c>
      <c r="B272" s="243"/>
      <c r="C272" s="118"/>
      <c r="D272" s="243"/>
      <c r="E272" s="281"/>
      <c r="F272" s="292"/>
      <c r="G272" s="292"/>
      <c r="H272" s="404"/>
      <c r="I272" s="405"/>
    </row>
    <row r="273" spans="1:9">
      <c r="A273" s="285" t="s">
        <v>188</v>
      </c>
      <c r="B273" s="243"/>
      <c r="C273" s="118"/>
      <c r="D273" s="243"/>
      <c r="E273" s="281"/>
      <c r="F273" s="292"/>
      <c r="G273" s="292"/>
      <c r="H273" s="404"/>
      <c r="I273" s="405"/>
    </row>
    <row r="274" spans="1:9" ht="15.75">
      <c r="A274" s="260" t="s">
        <v>259</v>
      </c>
      <c r="B274" s="243"/>
      <c r="D274" s="243"/>
      <c r="E274" s="281"/>
      <c r="F274" s="292"/>
      <c r="G274" s="292"/>
      <c r="H274" s="404"/>
      <c r="I274" s="405"/>
    </row>
    <row r="275" spans="1:9">
      <c r="A275" s="253" t="s">
        <v>260</v>
      </c>
      <c r="B275" s="243"/>
      <c r="D275" s="243"/>
      <c r="E275" s="281"/>
      <c r="F275" s="292"/>
      <c r="G275" s="292"/>
      <c r="H275" s="404"/>
      <c r="I275" s="405"/>
    </row>
    <row r="276" spans="1:9">
      <c r="A276" s="242"/>
      <c r="B276" s="243"/>
      <c r="D276" s="243"/>
      <c r="E276" s="281"/>
      <c r="F276" s="292"/>
      <c r="G276" s="292"/>
      <c r="H276" s="404"/>
      <c r="I276" s="405"/>
    </row>
    <row r="277" spans="1:9" ht="18.75">
      <c r="A277" s="244" t="s">
        <v>261</v>
      </c>
      <c r="B277" s="243"/>
      <c r="D277" s="243"/>
      <c r="E277" s="281"/>
      <c r="F277" s="292"/>
      <c r="G277" s="292"/>
      <c r="H277" s="404"/>
      <c r="I277" s="405"/>
    </row>
    <row r="278" spans="1:9" ht="15.75">
      <c r="A278" s="247" t="s">
        <v>1792</v>
      </c>
      <c r="B278" s="243"/>
      <c r="D278" s="243"/>
      <c r="E278" s="281"/>
      <c r="F278" s="292"/>
      <c r="G278" s="292"/>
      <c r="H278" s="404"/>
      <c r="I278" s="405"/>
    </row>
    <row r="279" spans="1:9">
      <c r="A279" s="237" t="s">
        <v>1415</v>
      </c>
      <c r="B279" s="243"/>
      <c r="D279" s="243"/>
      <c r="E279" s="281"/>
      <c r="F279" s="292"/>
      <c r="G279" s="292"/>
      <c r="H279" s="404"/>
      <c r="I279" s="405"/>
    </row>
    <row r="280" spans="1:9">
      <c r="A280" s="237" t="s">
        <v>1416</v>
      </c>
      <c r="B280" s="243"/>
      <c r="D280" s="243"/>
      <c r="E280" s="281"/>
      <c r="F280" s="292"/>
      <c r="G280" s="292"/>
      <c r="H280" s="404"/>
      <c r="I280" s="405"/>
    </row>
    <row r="281" spans="1:9">
      <c r="A281" s="237" t="s">
        <v>1417</v>
      </c>
      <c r="B281" s="243"/>
      <c r="D281" s="243"/>
      <c r="E281" s="281"/>
      <c r="F281" s="292"/>
      <c r="G281" s="292"/>
      <c r="H281" s="404"/>
      <c r="I281" s="405"/>
    </row>
    <row r="282" spans="1:9" ht="15.75">
      <c r="A282" s="247" t="s">
        <v>1418</v>
      </c>
      <c r="B282" s="243"/>
      <c r="D282" s="243"/>
      <c r="E282" s="281"/>
      <c r="F282" s="292"/>
      <c r="G282" s="292"/>
      <c r="H282" s="404"/>
      <c r="I282" s="405"/>
    </row>
    <row r="283" spans="1:9">
      <c r="A283" s="237" t="s">
        <v>1415</v>
      </c>
      <c r="B283" s="243"/>
      <c r="D283" s="243"/>
      <c r="E283" s="281"/>
      <c r="F283" s="292"/>
      <c r="G283" s="292"/>
      <c r="H283" s="404"/>
      <c r="I283" s="405"/>
    </row>
    <row r="284" spans="1:9">
      <c r="A284" s="237" t="s">
        <v>1416</v>
      </c>
      <c r="B284" s="243"/>
      <c r="D284" s="243"/>
      <c r="E284" s="281"/>
      <c r="F284" s="292"/>
      <c r="G284" s="292"/>
      <c r="H284" s="404"/>
      <c r="I284" s="405"/>
    </row>
    <row r="285" spans="1:9">
      <c r="A285" s="240" t="s">
        <v>1417</v>
      </c>
      <c r="B285" s="243"/>
      <c r="D285" s="243"/>
      <c r="E285" s="281"/>
      <c r="F285" s="292"/>
      <c r="G285" s="292"/>
      <c r="H285" s="404"/>
      <c r="I285" s="405"/>
    </row>
    <row r="286" spans="1:9">
      <c r="A286" s="242"/>
      <c r="B286" s="243"/>
      <c r="D286" s="243"/>
      <c r="E286" s="281"/>
      <c r="F286" s="292"/>
      <c r="G286" s="292"/>
      <c r="H286" s="404"/>
      <c r="I286" s="405"/>
    </row>
    <row r="287" spans="1:9" ht="18.75">
      <c r="A287" s="244"/>
      <c r="B287" s="243"/>
      <c r="D287" s="243"/>
      <c r="E287" s="281"/>
      <c r="F287" s="292"/>
      <c r="G287" s="292"/>
      <c r="H287" s="404"/>
      <c r="I287" s="405"/>
    </row>
    <row r="288" spans="1:9" ht="15.75">
      <c r="A288" s="247" t="s">
        <v>1419</v>
      </c>
      <c r="B288" s="243"/>
      <c r="D288" s="243"/>
      <c r="E288" s="281"/>
      <c r="F288" s="292"/>
      <c r="G288" s="292"/>
      <c r="H288" s="404"/>
      <c r="I288" s="405"/>
    </row>
    <row r="289" spans="1:9">
      <c r="A289" s="240" t="s">
        <v>1420</v>
      </c>
      <c r="B289" s="620">
        <v>0</v>
      </c>
      <c r="C289" t="s">
        <v>789</v>
      </c>
      <c r="D289" s="487">
        <v>0</v>
      </c>
      <c r="E289" s="281">
        <f>B289-D289</f>
        <v>0</v>
      </c>
      <c r="F289" s="292"/>
      <c r="G289" s="291">
        <f>B289-D289</f>
        <v>0</v>
      </c>
      <c r="H289" s="403" t="e">
        <f>G289/D289</f>
        <v>#DIV/0!</v>
      </c>
      <c r="I289" s="279">
        <f>E289-B289</f>
        <v>0</v>
      </c>
    </row>
    <row r="290" spans="1:9" ht="15.75">
      <c r="A290" s="247"/>
      <c r="B290" s="243"/>
      <c r="D290" s="243"/>
      <c r="E290" s="281"/>
      <c r="F290" s="292"/>
      <c r="G290" s="292"/>
      <c r="H290" s="404"/>
      <c r="I290" s="405"/>
    </row>
    <row r="291" spans="1:9">
      <c r="A291" s="242"/>
      <c r="B291" s="243"/>
      <c r="D291" s="243"/>
      <c r="E291" s="281"/>
      <c r="F291" s="292"/>
      <c r="G291" s="292"/>
      <c r="H291" s="404"/>
      <c r="I291" s="405"/>
    </row>
    <row r="292" spans="1:9">
      <c r="A292" s="242"/>
      <c r="B292" s="243"/>
      <c r="D292" s="243"/>
      <c r="E292" s="281"/>
      <c r="F292" s="292"/>
      <c r="G292" s="292"/>
      <c r="H292" s="404"/>
      <c r="I292" s="405"/>
    </row>
    <row r="293" spans="1:9" ht="15.75">
      <c r="A293" s="247"/>
      <c r="B293" s="243"/>
      <c r="D293" s="243"/>
      <c r="E293" s="281"/>
      <c r="F293" s="292"/>
      <c r="G293" s="292"/>
      <c r="H293" s="404"/>
      <c r="I293" s="405"/>
    </row>
    <row r="294" spans="1:9">
      <c r="A294" s="242"/>
      <c r="B294" s="243"/>
      <c r="D294" s="243"/>
      <c r="E294" s="281"/>
      <c r="F294" s="292"/>
      <c r="G294" s="292"/>
      <c r="H294" s="404"/>
      <c r="I294" s="405"/>
    </row>
    <row r="295" spans="1:9" ht="15.75">
      <c r="A295" s="247"/>
      <c r="B295" s="243"/>
      <c r="D295" s="243"/>
      <c r="E295" s="281"/>
      <c r="F295" s="292"/>
      <c r="G295" s="292"/>
      <c r="H295" s="404"/>
      <c r="I295" s="405"/>
    </row>
    <row r="296" spans="1:9">
      <c r="A296" s="242"/>
      <c r="B296" s="243"/>
      <c r="D296" s="243"/>
      <c r="E296" s="281"/>
      <c r="F296" s="292"/>
      <c r="G296" s="292"/>
      <c r="H296" s="404"/>
      <c r="I296" s="405"/>
    </row>
    <row r="297" spans="1:9">
      <c r="A297" s="242"/>
      <c r="B297" s="243"/>
      <c r="D297" s="243"/>
      <c r="E297" s="281"/>
      <c r="F297" s="292"/>
      <c r="G297" s="292"/>
      <c r="H297" s="404"/>
      <c r="I297" s="405"/>
    </row>
    <row r="298" spans="1:9">
      <c r="A298" s="242"/>
      <c r="B298" s="243"/>
      <c r="D298" s="243"/>
      <c r="E298" s="281"/>
      <c r="F298" s="292"/>
      <c r="G298" s="292"/>
      <c r="H298" s="404"/>
      <c r="I298" s="405"/>
    </row>
    <row r="299" spans="1:9">
      <c r="A299" s="242"/>
      <c r="B299" s="243"/>
      <c r="D299" s="243"/>
      <c r="E299" s="281"/>
      <c r="F299" s="292"/>
      <c r="G299" s="292"/>
      <c r="H299" s="404"/>
      <c r="I299" s="405"/>
    </row>
    <row r="300" spans="1:9">
      <c r="A300" s="242"/>
      <c r="B300" s="243"/>
      <c r="D300" s="243"/>
      <c r="E300" s="281"/>
      <c r="F300" s="292"/>
      <c r="G300" s="292"/>
      <c r="H300" s="404"/>
      <c r="I300" s="405"/>
    </row>
    <row r="301" spans="1:9">
      <c r="A301" s="242"/>
      <c r="B301" s="243"/>
      <c r="D301" s="243"/>
      <c r="E301" s="281"/>
      <c r="F301" s="292"/>
      <c r="G301" s="292"/>
      <c r="H301" s="404"/>
      <c r="I301" s="405"/>
    </row>
    <row r="302" spans="1:9">
      <c r="A302" s="242"/>
      <c r="B302" s="243"/>
      <c r="D302" s="243"/>
      <c r="E302" s="281"/>
      <c r="F302" s="292"/>
      <c r="G302" s="292"/>
      <c r="H302" s="404"/>
      <c r="I302" s="405"/>
    </row>
    <row r="303" spans="1:9">
      <c r="A303" s="242"/>
      <c r="B303" s="243"/>
      <c r="D303" s="243"/>
      <c r="E303" s="281"/>
      <c r="F303" s="292"/>
      <c r="G303" s="292"/>
      <c r="H303" s="404"/>
      <c r="I303" s="405"/>
    </row>
    <row r="304" spans="1:9">
      <c r="A304" s="242"/>
      <c r="B304" s="243"/>
      <c r="D304" s="243"/>
      <c r="E304" s="281"/>
      <c r="F304" s="292"/>
      <c r="G304" s="292"/>
      <c r="H304" s="404"/>
      <c r="I304" s="405"/>
    </row>
    <row r="305" spans="1:9">
      <c r="A305" s="242"/>
      <c r="B305" s="243"/>
      <c r="D305" s="243"/>
      <c r="E305" s="281"/>
      <c r="F305" s="292"/>
      <c r="G305" s="292"/>
      <c r="H305" s="404"/>
      <c r="I305" s="405"/>
    </row>
    <row r="306" spans="1:9" ht="18.75">
      <c r="A306" s="244"/>
      <c r="B306" s="243"/>
      <c r="D306" s="243"/>
      <c r="E306" s="281"/>
      <c r="F306" s="292"/>
      <c r="G306" s="292"/>
      <c r="H306" s="404"/>
      <c r="I306" s="405"/>
    </row>
    <row r="307" spans="1:9" ht="15.75">
      <c r="A307" s="247" t="s">
        <v>1421</v>
      </c>
      <c r="B307" s="243"/>
      <c r="D307" s="243"/>
      <c r="E307" s="281"/>
      <c r="F307" s="292"/>
      <c r="G307" s="292"/>
      <c r="H307" s="404"/>
      <c r="I307" s="405"/>
    </row>
    <row r="308" spans="1:9">
      <c r="A308" s="237" t="s">
        <v>1894</v>
      </c>
      <c r="B308" s="620">
        <v>9.6999999999999993</v>
      </c>
      <c r="C308" t="s">
        <v>2061</v>
      </c>
      <c r="D308" s="487">
        <v>9.6999999999999993</v>
      </c>
      <c r="E308" s="281">
        <f t="shared" ref="E308:E314" si="8">B308-D308</f>
        <v>0</v>
      </c>
      <c r="F308" s="292"/>
      <c r="G308" s="291">
        <f>B308-D308</f>
        <v>0</v>
      </c>
      <c r="H308" s="403">
        <f>G308/D308</f>
        <v>0</v>
      </c>
      <c r="I308" s="279">
        <f>E308-B308</f>
        <v>-9.6999999999999993</v>
      </c>
    </row>
    <row r="309" spans="1:9">
      <c r="A309" s="237" t="s">
        <v>1895</v>
      </c>
      <c r="B309" s="620">
        <v>12.07</v>
      </c>
      <c r="C309" t="s">
        <v>2061</v>
      </c>
      <c r="D309" s="487">
        <v>12.07</v>
      </c>
      <c r="E309" s="281">
        <f t="shared" si="8"/>
        <v>0</v>
      </c>
      <c r="F309" s="292"/>
      <c r="G309" s="291">
        <f>B309-D309</f>
        <v>0</v>
      </c>
      <c r="H309" s="403">
        <f>G309/D309</f>
        <v>0</v>
      </c>
      <c r="I309" s="279">
        <f>E309-B309</f>
        <v>-12.07</v>
      </c>
    </row>
    <row r="310" spans="1:9">
      <c r="A310" s="237" t="s">
        <v>1896</v>
      </c>
      <c r="B310" s="620">
        <v>9.2899999999999991</v>
      </c>
      <c r="C310" t="s">
        <v>2061</v>
      </c>
      <c r="D310" s="487">
        <v>9.2899999999999991</v>
      </c>
      <c r="E310" s="281">
        <f t="shared" si="8"/>
        <v>0</v>
      </c>
      <c r="F310" s="292"/>
      <c r="G310" s="291">
        <f>B310-D310</f>
        <v>0</v>
      </c>
      <c r="H310" s="403">
        <f>G310/D310</f>
        <v>0</v>
      </c>
      <c r="I310" s="279">
        <f>E310-B310</f>
        <v>-9.2899999999999991</v>
      </c>
    </row>
    <row r="311" spans="1:9">
      <c r="A311" s="237" t="s">
        <v>724</v>
      </c>
      <c r="B311" s="620">
        <v>83.93</v>
      </c>
      <c r="C311" t="s">
        <v>2061</v>
      </c>
      <c r="D311" s="487">
        <v>82.49</v>
      </c>
      <c r="E311" s="281">
        <f t="shared" si="8"/>
        <v>1.4400000000000119</v>
      </c>
      <c r="F311" s="404">
        <f>+E311/D311</f>
        <v>1.7456661413504812E-2</v>
      </c>
      <c r="G311" s="291">
        <f>B311-D311</f>
        <v>1.4400000000000119</v>
      </c>
      <c r="H311" s="403">
        <f>G311/D311</f>
        <v>1.7456661413504812E-2</v>
      </c>
      <c r="I311" s="279">
        <f>E311-B311</f>
        <v>-82.49</v>
      </c>
    </row>
    <row r="312" spans="1:9">
      <c r="A312" s="237" t="s">
        <v>725</v>
      </c>
      <c r="B312" s="620">
        <v>83.93</v>
      </c>
      <c r="C312" t="s">
        <v>2061</v>
      </c>
      <c r="D312" s="487">
        <v>82.49</v>
      </c>
      <c r="E312" s="281">
        <f t="shared" si="8"/>
        <v>1.4400000000000119</v>
      </c>
      <c r="F312" s="404">
        <f>+E312/D312</f>
        <v>1.7456661413504812E-2</v>
      </c>
      <c r="G312" s="291">
        <f>B312-D312</f>
        <v>1.4400000000000119</v>
      </c>
      <c r="H312" s="403">
        <f>G312/D312</f>
        <v>1.7456661413504812E-2</v>
      </c>
      <c r="I312" s="279">
        <f>E312-B312</f>
        <v>-82.49</v>
      </c>
    </row>
    <row r="313" spans="1:9">
      <c r="A313" s="237" t="s">
        <v>2437</v>
      </c>
      <c r="B313" s="620">
        <v>87.27</v>
      </c>
      <c r="C313" t="s">
        <v>2061</v>
      </c>
      <c r="D313" s="487">
        <v>85.77</v>
      </c>
      <c r="E313" s="281">
        <f t="shared" si="8"/>
        <v>1.5</v>
      </c>
      <c r="F313" s="404">
        <f>+E313/D313</f>
        <v>1.7488632388947184E-2</v>
      </c>
      <c r="G313" s="291"/>
      <c r="H313" s="403"/>
      <c r="I313" s="279"/>
    </row>
    <row r="314" spans="1:9">
      <c r="A314" s="237" t="s">
        <v>2438</v>
      </c>
      <c r="B314" s="620">
        <v>87.27</v>
      </c>
      <c r="C314" t="s">
        <v>2061</v>
      </c>
      <c r="D314" s="487">
        <v>85.77</v>
      </c>
      <c r="E314" s="281">
        <f t="shared" si="8"/>
        <v>1.5</v>
      </c>
      <c r="F314" s="404">
        <f>+E314/D314</f>
        <v>1.7488632388947184E-2</v>
      </c>
      <c r="G314" s="291"/>
      <c r="H314" s="403"/>
      <c r="I314" s="279"/>
    </row>
    <row r="315" spans="1:9">
      <c r="A315" s="254" t="s">
        <v>726</v>
      </c>
      <c r="B315" s="243"/>
      <c r="D315" s="243"/>
      <c r="E315" s="281"/>
      <c r="F315" s="292"/>
      <c r="G315" s="292"/>
      <c r="H315" s="404"/>
      <c r="I315" s="405"/>
    </row>
    <row r="316" spans="1:9">
      <c r="A316" s="406" t="s">
        <v>727</v>
      </c>
      <c r="B316" s="243"/>
      <c r="C316" s="118"/>
      <c r="D316" s="243"/>
      <c r="E316" s="281"/>
      <c r="F316" s="292"/>
      <c r="G316" s="292"/>
      <c r="H316" s="404"/>
      <c r="I316" s="405"/>
    </row>
    <row r="317" spans="1:9">
      <c r="A317" s="237"/>
      <c r="B317" s="243"/>
      <c r="D317" s="243"/>
      <c r="E317" s="281"/>
      <c r="F317" s="292"/>
      <c r="G317" s="292"/>
      <c r="H317" s="404"/>
      <c r="I317" s="405"/>
    </row>
    <row r="318" spans="1:9" ht="15.75">
      <c r="A318" s="247" t="s">
        <v>728</v>
      </c>
      <c r="B318" s="243"/>
      <c r="D318" s="243"/>
      <c r="E318" s="281"/>
      <c r="F318" s="292"/>
      <c r="G318" s="292"/>
      <c r="H318" s="404"/>
      <c r="I318" s="405"/>
    </row>
    <row r="319" spans="1:9">
      <c r="A319" s="237" t="s">
        <v>2014</v>
      </c>
      <c r="B319" s="243"/>
      <c r="D319" s="243"/>
      <c r="E319" s="281"/>
      <c r="F319" s="292"/>
      <c r="G319" s="292"/>
      <c r="H319" s="404"/>
      <c r="I319" s="405"/>
    </row>
    <row r="320" spans="1:9">
      <c r="A320" s="237" t="s">
        <v>1420</v>
      </c>
      <c r="B320" s="243"/>
      <c r="D320" s="243"/>
      <c r="E320" s="281"/>
      <c r="F320" s="292"/>
      <c r="G320" s="292"/>
      <c r="H320" s="404"/>
      <c r="I320" s="405"/>
    </row>
    <row r="321" spans="1:10" ht="15.75">
      <c r="A321" s="247" t="s">
        <v>729</v>
      </c>
      <c r="B321" s="243"/>
      <c r="D321" s="243"/>
      <c r="E321" s="281"/>
      <c r="F321" s="292"/>
      <c r="G321" s="292"/>
      <c r="H321" s="404"/>
      <c r="I321" s="405"/>
    </row>
    <row r="322" spans="1:10">
      <c r="A322" s="237" t="s">
        <v>2439</v>
      </c>
      <c r="B322" s="620">
        <v>7.59</v>
      </c>
      <c r="C322" t="s">
        <v>2061</v>
      </c>
      <c r="D322" s="618">
        <v>7.59</v>
      </c>
      <c r="E322" s="281">
        <f>B322-D322</f>
        <v>0</v>
      </c>
      <c r="F322" s="292"/>
      <c r="G322" s="291">
        <f>B322-D322</f>
        <v>0</v>
      </c>
      <c r="H322" s="403">
        <f>G322/D322</f>
        <v>0</v>
      </c>
      <c r="I322" s="279">
        <f>E322-B322</f>
        <v>-7.59</v>
      </c>
    </row>
    <row r="323" spans="1:10">
      <c r="A323" s="237" t="s">
        <v>2440</v>
      </c>
      <c r="B323" s="620">
        <v>7.89</v>
      </c>
      <c r="C323" s="617" t="s">
        <v>789</v>
      </c>
      <c r="D323" s="618">
        <v>7.89</v>
      </c>
      <c r="E323" s="281" t="s">
        <v>789</v>
      </c>
      <c r="F323" s="292"/>
      <c r="G323" s="291" t="s">
        <v>789</v>
      </c>
      <c r="H323" s="403" t="s">
        <v>789</v>
      </c>
      <c r="I323" s="684" t="s">
        <v>789</v>
      </c>
      <c r="J323" s="617" t="s">
        <v>789</v>
      </c>
    </row>
    <row r="324" spans="1:10">
      <c r="A324" s="237" t="s">
        <v>2441</v>
      </c>
      <c r="B324" s="620">
        <v>11.38</v>
      </c>
      <c r="C324" t="s">
        <v>2061</v>
      </c>
      <c r="D324" s="618">
        <v>11.38</v>
      </c>
      <c r="E324" s="281">
        <f>B324-D324</f>
        <v>0</v>
      </c>
      <c r="F324" s="292"/>
      <c r="G324" s="291">
        <f>B324-D324</f>
        <v>0</v>
      </c>
      <c r="H324" s="403">
        <f>G324/D324</f>
        <v>0</v>
      </c>
      <c r="I324" s="279">
        <f>E324-B324</f>
        <v>-11.38</v>
      </c>
    </row>
    <row r="325" spans="1:10">
      <c r="A325" s="237" t="s">
        <v>2442</v>
      </c>
      <c r="B325" s="620">
        <v>11.83</v>
      </c>
      <c r="C325" s="617" t="s">
        <v>789</v>
      </c>
      <c r="D325" s="618">
        <v>11.83</v>
      </c>
      <c r="E325" s="281" t="s">
        <v>789</v>
      </c>
      <c r="F325" s="292" t="s">
        <v>789</v>
      </c>
      <c r="G325" s="291" t="s">
        <v>789</v>
      </c>
      <c r="H325" s="403" t="s">
        <v>789</v>
      </c>
      <c r="I325" s="684" t="s">
        <v>789</v>
      </c>
    </row>
    <row r="326" spans="1:10">
      <c r="A326" s="254" t="s">
        <v>286</v>
      </c>
      <c r="B326" s="620">
        <v>10000</v>
      </c>
      <c r="D326" s="487">
        <v>10000</v>
      </c>
      <c r="E326" s="281">
        <f>B326-D326</f>
        <v>0</v>
      </c>
      <c r="F326" s="292"/>
      <c r="G326" s="291">
        <f>B326-D326</f>
        <v>0</v>
      </c>
      <c r="H326" s="403">
        <f>G326/D326</f>
        <v>0</v>
      </c>
      <c r="I326" s="279">
        <f>E326-B326</f>
        <v>-10000</v>
      </c>
    </row>
    <row r="327" spans="1:10">
      <c r="A327" s="237"/>
      <c r="B327" s="243"/>
      <c r="D327" s="243"/>
      <c r="E327" s="281"/>
      <c r="F327" s="292"/>
      <c r="G327" s="292"/>
      <c r="H327" s="404"/>
      <c r="I327" s="405"/>
    </row>
    <row r="328" spans="1:10" ht="15.75">
      <c r="A328" s="247" t="s">
        <v>287</v>
      </c>
      <c r="B328" s="236"/>
      <c r="D328" s="236"/>
      <c r="E328" s="281"/>
      <c r="F328" s="292"/>
      <c r="G328" s="292"/>
      <c r="H328" s="404"/>
      <c r="I328" s="405"/>
    </row>
    <row r="329" spans="1:10">
      <c r="A329" s="237" t="s">
        <v>288</v>
      </c>
      <c r="B329" s="243"/>
      <c r="D329" s="243"/>
      <c r="E329" s="281"/>
      <c r="F329" s="292"/>
      <c r="G329" s="292"/>
      <c r="H329" s="404"/>
      <c r="I329" s="405"/>
    </row>
    <row r="330" spans="1:10">
      <c r="A330" s="237" t="s">
        <v>1842</v>
      </c>
      <c r="B330" s="243"/>
      <c r="D330" s="243"/>
      <c r="E330" s="281"/>
      <c r="F330" s="292"/>
      <c r="G330" s="292"/>
      <c r="H330" s="404"/>
      <c r="I330" s="405"/>
    </row>
    <row r="331" spans="1:10" ht="15.75">
      <c r="A331" s="247" t="s">
        <v>1843</v>
      </c>
      <c r="B331" s="236"/>
      <c r="D331" s="236"/>
      <c r="E331" s="281"/>
      <c r="F331" s="292"/>
      <c r="G331" s="292"/>
      <c r="H331" s="404"/>
      <c r="I331" s="405"/>
    </row>
    <row r="332" spans="1:10">
      <c r="A332" s="237" t="s">
        <v>1844</v>
      </c>
      <c r="B332" s="251"/>
      <c r="D332" s="251"/>
      <c r="E332" s="281"/>
      <c r="F332" s="292"/>
      <c r="G332" s="292"/>
      <c r="H332" s="404"/>
      <c r="I332" s="405"/>
    </row>
    <row r="333" spans="1:10">
      <c r="A333" s="237" t="s">
        <v>1845</v>
      </c>
      <c r="B333" s="251"/>
      <c r="D333" s="251"/>
      <c r="E333" s="281"/>
      <c r="F333" s="292"/>
      <c r="G333" s="292"/>
      <c r="H333" s="404"/>
      <c r="I333" s="405"/>
    </row>
    <row r="334" spans="1:10">
      <c r="A334" s="237" t="s">
        <v>1857</v>
      </c>
      <c r="B334" s="243"/>
      <c r="D334" s="243"/>
      <c r="E334" s="281"/>
      <c r="F334" s="292"/>
      <c r="G334" s="292"/>
      <c r="H334" s="404"/>
      <c r="I334" s="405"/>
    </row>
    <row r="335" spans="1:10">
      <c r="A335" s="240" t="s">
        <v>1858</v>
      </c>
      <c r="B335" s="248"/>
      <c r="D335" s="248"/>
      <c r="E335" s="281"/>
      <c r="F335" s="292"/>
      <c r="G335" s="292"/>
      <c r="H335" s="404"/>
      <c r="I335" s="405"/>
    </row>
    <row r="336" spans="1:10">
      <c r="E336" s="281"/>
      <c r="F336" s="118"/>
      <c r="G336" s="292"/>
      <c r="H336" s="404"/>
      <c r="I336" s="405"/>
    </row>
    <row r="337" spans="1:9" ht="15.75">
      <c r="A337" s="247" t="s">
        <v>2333</v>
      </c>
    </row>
    <row r="338" spans="1:9">
      <c r="A338" s="237" t="s">
        <v>2334</v>
      </c>
      <c r="B338" s="620">
        <v>14959.24</v>
      </c>
      <c r="C338" t="s">
        <v>2061</v>
      </c>
      <c r="D338" s="487">
        <v>14797.242749999999</v>
      </c>
      <c r="G338" s="291">
        <f>B338-D338</f>
        <v>161.99725000000035</v>
      </c>
      <c r="H338" s="403">
        <f>G338/D338</f>
        <v>1.0947799717619713E-2</v>
      </c>
      <c r="I338" s="279">
        <f>D338-B338</f>
        <v>-161.99725000000035</v>
      </c>
    </row>
    <row r="339" spans="1:9">
      <c r="A339" s="237" t="s">
        <v>2366</v>
      </c>
      <c r="B339" s="620">
        <v>40054.83</v>
      </c>
      <c r="C339" t="s">
        <v>2061</v>
      </c>
      <c r="D339" s="487">
        <v>39621.03</v>
      </c>
      <c r="G339" s="291">
        <f>B339-D339</f>
        <v>433.80000000000291</v>
      </c>
      <c r="H339" s="403">
        <f>G339/D339</f>
        <v>1.0948731014817204E-2</v>
      </c>
      <c r="I339" s="279">
        <f t="shared" ref="I339:I355" si="9">D339-B339</f>
        <v>-433.80000000000291</v>
      </c>
    </row>
    <row r="340" spans="1:9">
      <c r="A340" s="237" t="s">
        <v>2335</v>
      </c>
      <c r="B340" s="620">
        <v>72033.52</v>
      </c>
      <c r="C340" t="s">
        <v>2061</v>
      </c>
      <c r="D340" s="487">
        <v>70900.89</v>
      </c>
      <c r="G340" s="291">
        <f t="shared" ref="G340:G346" si="10">B340-D340</f>
        <v>1132.6300000000047</v>
      </c>
      <c r="H340" s="403">
        <f t="shared" ref="H340:H346" si="11">G340/D340</f>
        <v>1.5974834730565508E-2</v>
      </c>
      <c r="I340" s="279">
        <f t="shared" si="9"/>
        <v>-1132.6300000000047</v>
      </c>
    </row>
    <row r="341" spans="1:9">
      <c r="A341" s="237" t="s">
        <v>2336</v>
      </c>
      <c r="B341" s="620">
        <v>83050.41</v>
      </c>
      <c r="C341" s="2170" t="s">
        <v>2061</v>
      </c>
      <c r="D341" s="487">
        <v>81744.56</v>
      </c>
      <c r="G341" s="291">
        <f t="shared" si="10"/>
        <v>1305.8500000000058</v>
      </c>
      <c r="H341" s="403">
        <f t="shared" si="11"/>
        <v>1.5974763335933374E-2</v>
      </c>
      <c r="I341" s="279">
        <f t="shared" si="9"/>
        <v>-1305.8500000000058</v>
      </c>
    </row>
    <row r="342" spans="1:9">
      <c r="A342" s="237" t="s">
        <v>2337</v>
      </c>
      <c r="B342" s="620">
        <v>622878.07999999996</v>
      </c>
      <c r="C342" t="s">
        <v>2061</v>
      </c>
      <c r="D342" s="487">
        <v>613084.19999999995</v>
      </c>
      <c r="G342" s="291">
        <f t="shared" si="10"/>
        <v>9793.8800000000047</v>
      </c>
      <c r="H342" s="403">
        <f t="shared" si="11"/>
        <v>1.5974771491419949E-2</v>
      </c>
      <c r="I342" s="279">
        <f t="shared" si="9"/>
        <v>-9793.8800000000047</v>
      </c>
    </row>
    <row r="343" spans="1:9">
      <c r="A343" s="237" t="s">
        <v>2338</v>
      </c>
      <c r="B343" s="620">
        <v>622878.07999999996</v>
      </c>
      <c r="D343" s="487">
        <v>613084.19999999995</v>
      </c>
      <c r="G343" s="291">
        <f t="shared" si="10"/>
        <v>9793.8800000000047</v>
      </c>
      <c r="H343" s="403">
        <f t="shared" si="11"/>
        <v>1.5974771491419949E-2</v>
      </c>
      <c r="I343" s="279">
        <f t="shared" si="9"/>
        <v>-9793.8800000000047</v>
      </c>
    </row>
    <row r="344" spans="1:9">
      <c r="A344" s="237" t="s">
        <v>2339</v>
      </c>
      <c r="B344" s="620">
        <v>622878.07999999996</v>
      </c>
      <c r="D344" s="487">
        <v>613084.19999999995</v>
      </c>
      <c r="G344" s="291">
        <f t="shared" si="10"/>
        <v>9793.8800000000047</v>
      </c>
      <c r="H344" s="403">
        <f t="shared" si="11"/>
        <v>1.5974771491419949E-2</v>
      </c>
      <c r="I344" s="279">
        <f t="shared" si="9"/>
        <v>-9793.8800000000047</v>
      </c>
    </row>
    <row r="345" spans="1:9">
      <c r="A345" s="237" t="s">
        <v>2340</v>
      </c>
      <c r="B345" s="620">
        <v>61016.63</v>
      </c>
      <c r="C345" t="s">
        <v>2061</v>
      </c>
      <c r="D345" s="487">
        <v>60057.23</v>
      </c>
      <c r="G345" s="291">
        <f t="shared" si="10"/>
        <v>959.39999999999418</v>
      </c>
      <c r="H345" s="403">
        <f t="shared" si="11"/>
        <v>1.5974762738807536E-2</v>
      </c>
      <c r="I345" s="279">
        <f t="shared" si="9"/>
        <v>-959.39999999999418</v>
      </c>
    </row>
    <row r="346" spans="1:9">
      <c r="A346" s="237" t="s">
        <v>2341</v>
      </c>
      <c r="B346" s="620">
        <v>83050.41</v>
      </c>
      <c r="D346" s="487">
        <v>81744.56</v>
      </c>
      <c r="G346" s="291">
        <f t="shared" si="10"/>
        <v>1305.8500000000058</v>
      </c>
      <c r="H346" s="403">
        <f t="shared" si="11"/>
        <v>1.5974763335933374E-2</v>
      </c>
      <c r="I346" s="279">
        <f t="shared" si="9"/>
        <v>-1305.8500000000058</v>
      </c>
    </row>
    <row r="347" spans="1:9">
      <c r="A347" s="237" t="s">
        <v>2342</v>
      </c>
      <c r="B347" s="620">
        <v>1162705.74</v>
      </c>
      <c r="C347" t="s">
        <v>2061</v>
      </c>
      <c r="D347" s="487">
        <v>1144423.8</v>
      </c>
      <c r="G347" s="291">
        <f t="shared" ref="G347:G355" si="12">B347-D347</f>
        <v>18281.939999999944</v>
      </c>
      <c r="H347" s="403">
        <f t="shared" ref="H347:H355" si="13">G347/D347</f>
        <v>1.5974798846371374E-2</v>
      </c>
      <c r="I347" s="279">
        <f t="shared" si="9"/>
        <v>-18281.939999999944</v>
      </c>
    </row>
    <row r="348" spans="1:9">
      <c r="A348" s="237" t="s">
        <v>2343</v>
      </c>
      <c r="B348" s="620">
        <v>1162705.74</v>
      </c>
      <c r="C348" t="s">
        <v>789</v>
      </c>
      <c r="D348" s="487">
        <v>1144423.8</v>
      </c>
      <c r="G348" s="291">
        <f t="shared" si="12"/>
        <v>18281.939999999944</v>
      </c>
      <c r="H348" s="403">
        <f t="shared" si="13"/>
        <v>1.5974798846371374E-2</v>
      </c>
      <c r="I348" s="279">
        <f t="shared" si="9"/>
        <v>-18281.939999999944</v>
      </c>
    </row>
    <row r="349" spans="1:9">
      <c r="A349" s="237" t="s">
        <v>2344</v>
      </c>
      <c r="B349" s="620">
        <v>2442527.4500000002</v>
      </c>
      <c r="C349" t="s">
        <v>2061</v>
      </c>
      <c r="D349" s="487">
        <v>2442527.4500000002</v>
      </c>
      <c r="G349" s="291">
        <f t="shared" si="12"/>
        <v>0</v>
      </c>
      <c r="H349" s="403">
        <f t="shared" si="13"/>
        <v>0</v>
      </c>
      <c r="I349" s="279">
        <f t="shared" si="9"/>
        <v>0</v>
      </c>
    </row>
    <row r="350" spans="1:9">
      <c r="A350" s="237" t="s">
        <v>2345</v>
      </c>
      <c r="B350" s="620">
        <v>3982.1000000000004</v>
      </c>
      <c r="C350" t="s">
        <v>2061</v>
      </c>
      <c r="D350" s="487">
        <v>3884.34</v>
      </c>
      <c r="G350" s="291">
        <f t="shared" si="12"/>
        <v>97.760000000000218</v>
      </c>
      <c r="H350" s="403">
        <f t="shared" si="13"/>
        <v>2.5167724761478195E-2</v>
      </c>
      <c r="I350" s="279">
        <f t="shared" si="9"/>
        <v>-97.760000000000218</v>
      </c>
    </row>
    <row r="351" spans="1:9">
      <c r="A351" s="237" t="s">
        <v>2346</v>
      </c>
      <c r="B351" s="620">
        <v>5123.2199999999993</v>
      </c>
      <c r="C351" t="s">
        <v>2061</v>
      </c>
      <c r="D351" s="487">
        <v>5042.6600000000008</v>
      </c>
      <c r="G351" s="291">
        <f t="shared" si="12"/>
        <v>80.559999999998581</v>
      </c>
      <c r="H351" s="403">
        <f t="shared" si="13"/>
        <v>1.5975695367127382E-2</v>
      </c>
      <c r="I351" s="279">
        <f t="shared" si="9"/>
        <v>-80.559999999998581</v>
      </c>
    </row>
    <row r="352" spans="1:9">
      <c r="A352" s="237" t="s">
        <v>2347</v>
      </c>
      <c r="B352" s="620">
        <v>4230.43</v>
      </c>
      <c r="C352" t="s">
        <v>2061</v>
      </c>
      <c r="D352" s="487">
        <v>4110.7700000000004</v>
      </c>
      <c r="G352" s="291">
        <f t="shared" si="12"/>
        <v>119.65999999999985</v>
      </c>
      <c r="H352" s="403">
        <f t="shared" si="13"/>
        <v>2.9108901738603678E-2</v>
      </c>
      <c r="I352" s="279">
        <f t="shared" si="9"/>
        <v>-119.65999999999985</v>
      </c>
    </row>
    <row r="353" spans="1:9">
      <c r="A353" s="237" t="s">
        <v>2348</v>
      </c>
      <c r="B353" s="620">
        <v>5188.99</v>
      </c>
      <c r="C353" t="s">
        <v>2061</v>
      </c>
      <c r="D353" s="487">
        <v>5107.41</v>
      </c>
      <c r="G353" s="291">
        <f t="shared" si="12"/>
        <v>81.579999999999927</v>
      </c>
      <c r="H353" s="403">
        <f t="shared" si="13"/>
        <v>1.5972870789695743E-2</v>
      </c>
      <c r="I353" s="279">
        <f t="shared" si="9"/>
        <v>-81.579999999999927</v>
      </c>
    </row>
    <row r="354" spans="1:9">
      <c r="A354" s="237" t="s">
        <v>2349</v>
      </c>
      <c r="B354" s="620">
        <v>1727.11</v>
      </c>
      <c r="C354" s="2170" t="s">
        <v>2061</v>
      </c>
      <c r="D354" s="487">
        <v>1683.28</v>
      </c>
      <c r="G354" s="291">
        <f t="shared" si="12"/>
        <v>43.829999999999927</v>
      </c>
      <c r="H354" s="403">
        <f t="shared" si="13"/>
        <v>2.6038448742930428E-2</v>
      </c>
      <c r="I354" s="279">
        <f t="shared" si="9"/>
        <v>-43.829999999999927</v>
      </c>
    </row>
    <row r="355" spans="1:9">
      <c r="A355" s="237" t="s">
        <v>2363</v>
      </c>
      <c r="B355" s="672">
        <v>0</v>
      </c>
      <c r="C355" t="s">
        <v>789</v>
      </c>
      <c r="D355" s="681">
        <v>0</v>
      </c>
      <c r="G355" s="291">
        <f t="shared" si="12"/>
        <v>0</v>
      </c>
      <c r="H355" s="403" t="e">
        <f t="shared" si="13"/>
        <v>#DIV/0!</v>
      </c>
      <c r="I355" s="279">
        <f t="shared" si="9"/>
        <v>0</v>
      </c>
    </row>
    <row r="356" spans="1:9">
      <c r="A356" s="237" t="s">
        <v>2364</v>
      </c>
      <c r="B356" s="672">
        <v>16</v>
      </c>
      <c r="C356" t="s">
        <v>2061</v>
      </c>
      <c r="D356" s="681">
        <v>16</v>
      </c>
      <c r="G356" s="291">
        <f t="shared" ref="G356:G370" si="14">B356-D356</f>
        <v>0</v>
      </c>
      <c r="H356" s="403">
        <f t="shared" ref="H356:H370" si="15">G356/D356</f>
        <v>0</v>
      </c>
      <c r="I356" s="279">
        <f t="shared" ref="I356:I370" si="16">D356-B356</f>
        <v>0</v>
      </c>
    </row>
    <row r="357" spans="1:9">
      <c r="A357" s="237" t="s">
        <v>2365</v>
      </c>
      <c r="B357" s="672">
        <v>42</v>
      </c>
      <c r="C357" t="s">
        <v>2061</v>
      </c>
      <c r="D357" s="681">
        <v>42</v>
      </c>
      <c r="G357" s="291">
        <f t="shared" si="14"/>
        <v>0</v>
      </c>
      <c r="H357" s="403">
        <f t="shared" si="15"/>
        <v>0</v>
      </c>
      <c r="I357" s="279">
        <f t="shared" si="16"/>
        <v>0</v>
      </c>
    </row>
    <row r="358" spans="1:9">
      <c r="A358" s="237" t="s">
        <v>2350</v>
      </c>
      <c r="B358" s="620">
        <v>0</v>
      </c>
      <c r="C358" t="s">
        <v>789</v>
      </c>
      <c r="D358" s="487">
        <v>0</v>
      </c>
      <c r="G358" s="291">
        <f t="shared" si="14"/>
        <v>0</v>
      </c>
      <c r="H358" s="403" t="e">
        <f t="shared" si="15"/>
        <v>#DIV/0!</v>
      </c>
      <c r="I358" s="279">
        <f t="shared" si="16"/>
        <v>0</v>
      </c>
    </row>
    <row r="359" spans="1:9">
      <c r="A359" s="237" t="s">
        <v>2351</v>
      </c>
      <c r="B359" s="620">
        <v>43765.38</v>
      </c>
      <c r="C359" t="s">
        <v>2061</v>
      </c>
      <c r="D359" s="487">
        <v>43283.199999999997</v>
      </c>
      <c r="G359" s="291">
        <f t="shared" si="14"/>
        <v>482.18000000000029</v>
      </c>
      <c r="H359" s="403">
        <f t="shared" si="15"/>
        <v>1.1140119030016273E-2</v>
      </c>
      <c r="I359" s="279">
        <f t="shared" si="16"/>
        <v>-482.18000000000029</v>
      </c>
    </row>
    <row r="360" spans="1:9">
      <c r="A360" s="237" t="s">
        <v>2352</v>
      </c>
      <c r="B360" s="620">
        <v>87530.75</v>
      </c>
      <c r="C360" t="s">
        <v>2061</v>
      </c>
      <c r="D360" s="487">
        <v>86566.399999999994</v>
      </c>
      <c r="G360" s="291">
        <f t="shared" si="14"/>
        <v>964.35000000000582</v>
      </c>
      <c r="H360" s="403">
        <f t="shared" si="15"/>
        <v>1.1140003511755207E-2</v>
      </c>
      <c r="I360" s="279">
        <f t="shared" si="16"/>
        <v>-964.35000000000582</v>
      </c>
    </row>
    <row r="361" spans="1:9">
      <c r="A361" s="237" t="s">
        <v>2353</v>
      </c>
      <c r="B361" s="620">
        <v>11016.89</v>
      </c>
      <c r="C361" t="s">
        <v>2061</v>
      </c>
      <c r="D361" s="487">
        <v>10843.67</v>
      </c>
      <c r="G361" s="291">
        <f t="shared" si="14"/>
        <v>173.21999999999935</v>
      </c>
      <c r="H361" s="403">
        <f t="shared" si="15"/>
        <v>1.5974296525069404E-2</v>
      </c>
      <c r="I361" s="279">
        <f t="shared" si="16"/>
        <v>-173.21999999999935</v>
      </c>
    </row>
    <row r="362" spans="1:9">
      <c r="A362" s="237" t="s">
        <v>2354</v>
      </c>
      <c r="B362" s="620">
        <v>11016.89</v>
      </c>
      <c r="D362" s="487">
        <v>10843.67</v>
      </c>
      <c r="G362" s="291">
        <f t="shared" si="14"/>
        <v>173.21999999999935</v>
      </c>
      <c r="H362" s="403">
        <f t="shared" si="15"/>
        <v>1.5974296525069404E-2</v>
      </c>
      <c r="I362" s="279">
        <f t="shared" si="16"/>
        <v>-173.21999999999935</v>
      </c>
    </row>
    <row r="363" spans="1:9">
      <c r="A363" s="237" t="s">
        <v>2355</v>
      </c>
      <c r="B363" s="620">
        <v>0</v>
      </c>
      <c r="C363" t="s">
        <v>789</v>
      </c>
      <c r="D363" s="487">
        <v>0</v>
      </c>
      <c r="G363" s="291">
        <f t="shared" si="14"/>
        <v>0</v>
      </c>
      <c r="H363" s="403" t="e">
        <f t="shared" si="15"/>
        <v>#DIV/0!</v>
      </c>
      <c r="I363" s="279">
        <f t="shared" si="16"/>
        <v>0</v>
      </c>
    </row>
    <row r="364" spans="1:9">
      <c r="A364" s="237" t="s">
        <v>2356</v>
      </c>
      <c r="B364" s="620">
        <v>0</v>
      </c>
      <c r="C364" t="s">
        <v>789</v>
      </c>
      <c r="D364" s="487">
        <v>0</v>
      </c>
      <c r="G364" s="291">
        <f t="shared" si="14"/>
        <v>0</v>
      </c>
      <c r="H364" s="403" t="e">
        <f t="shared" si="15"/>
        <v>#DIV/0!</v>
      </c>
      <c r="I364" s="279">
        <f t="shared" si="16"/>
        <v>0</v>
      </c>
    </row>
    <row r="365" spans="1:9">
      <c r="A365" s="237" t="s">
        <v>2357</v>
      </c>
      <c r="B365" s="620">
        <v>0</v>
      </c>
      <c r="C365" t="s">
        <v>789</v>
      </c>
      <c r="D365" s="487">
        <v>0</v>
      </c>
      <c r="G365" s="291">
        <f t="shared" si="14"/>
        <v>0</v>
      </c>
      <c r="H365" s="403" t="e">
        <f t="shared" si="15"/>
        <v>#DIV/0!</v>
      </c>
      <c r="I365" s="279">
        <f t="shared" si="16"/>
        <v>0</v>
      </c>
    </row>
    <row r="366" spans="1:9">
      <c r="A366" s="237" t="s">
        <v>2358</v>
      </c>
      <c r="B366" s="620">
        <v>22033.78</v>
      </c>
      <c r="C366" t="s">
        <v>2061</v>
      </c>
      <c r="D366" s="487">
        <v>21687.33</v>
      </c>
      <c r="G366" s="291">
        <f t="shared" si="14"/>
        <v>346.44999999999709</v>
      </c>
      <c r="H366" s="403">
        <f t="shared" si="15"/>
        <v>1.5974764989512173E-2</v>
      </c>
      <c r="I366" s="279">
        <f t="shared" si="16"/>
        <v>-346.44999999999709</v>
      </c>
    </row>
    <row r="367" spans="1:9">
      <c r="A367" s="237" t="s">
        <v>2359</v>
      </c>
      <c r="B367" s="620">
        <v>22033.78</v>
      </c>
      <c r="D367" s="487">
        <v>21687.33</v>
      </c>
      <c r="G367" s="291">
        <f t="shared" si="14"/>
        <v>346.44999999999709</v>
      </c>
      <c r="H367" s="403">
        <f t="shared" si="15"/>
        <v>1.5974764989512173E-2</v>
      </c>
      <c r="I367" s="279">
        <f t="shared" si="16"/>
        <v>-346.44999999999709</v>
      </c>
    </row>
    <row r="368" spans="1:9">
      <c r="A368" s="237" t="s">
        <v>2360</v>
      </c>
      <c r="B368" s="620">
        <v>0</v>
      </c>
      <c r="C368" t="s">
        <v>789</v>
      </c>
      <c r="D368" s="487">
        <v>0</v>
      </c>
      <c r="G368" s="291">
        <f t="shared" si="14"/>
        <v>0</v>
      </c>
      <c r="H368" s="403" t="e">
        <f t="shared" si="15"/>
        <v>#DIV/0!</v>
      </c>
      <c r="I368" s="279">
        <f t="shared" si="16"/>
        <v>0</v>
      </c>
    </row>
    <row r="369" spans="1:9">
      <c r="A369" s="237" t="s">
        <v>2361</v>
      </c>
      <c r="B369" s="620">
        <v>4327.01</v>
      </c>
      <c r="C369" t="s">
        <v>2061</v>
      </c>
      <c r="D369" s="487">
        <v>4327.01</v>
      </c>
      <c r="G369" s="291">
        <f t="shared" si="14"/>
        <v>0</v>
      </c>
      <c r="H369" s="403">
        <f t="shared" si="15"/>
        <v>0</v>
      </c>
      <c r="I369" s="279">
        <f t="shared" si="16"/>
        <v>0</v>
      </c>
    </row>
    <row r="370" spans="1:9">
      <c r="A370" s="237" t="s">
        <v>2362</v>
      </c>
      <c r="B370" s="620">
        <v>0</v>
      </c>
      <c r="C370" t="s">
        <v>789</v>
      </c>
      <c r="D370" s="487">
        <v>0</v>
      </c>
      <c r="G370" s="291">
        <f t="shared" si="14"/>
        <v>0</v>
      </c>
      <c r="H370" s="403" t="e">
        <f t="shared" si="15"/>
        <v>#DIV/0!</v>
      </c>
      <c r="I370" s="279">
        <f t="shared" si="16"/>
        <v>0</v>
      </c>
    </row>
    <row r="371" spans="1:9">
      <c r="A371" s="237" t="s">
        <v>2367</v>
      </c>
      <c r="B371" s="672">
        <v>0</v>
      </c>
      <c r="D371" s="682">
        <v>0</v>
      </c>
      <c r="G371" s="291">
        <f t="shared" ref="G371:G400" si="17">B371-D371</f>
        <v>0</v>
      </c>
      <c r="H371" s="403" t="e">
        <f t="shared" ref="H371:H400" si="18">G371/D371</f>
        <v>#DIV/0!</v>
      </c>
      <c r="I371" s="279">
        <f t="shared" ref="I371:I400" si="19">D371-B371</f>
        <v>0</v>
      </c>
    </row>
    <row r="372" spans="1:9">
      <c r="A372" s="237" t="s">
        <v>2368</v>
      </c>
      <c r="B372" s="672">
        <v>1</v>
      </c>
      <c r="D372" s="682">
        <v>1</v>
      </c>
      <c r="G372" s="291">
        <f t="shared" si="17"/>
        <v>0</v>
      </c>
      <c r="H372" s="403">
        <f t="shared" si="18"/>
        <v>0</v>
      </c>
      <c r="I372" s="279">
        <f t="shared" si="19"/>
        <v>0</v>
      </c>
    </row>
    <row r="373" spans="1:9">
      <c r="A373" s="237" t="s">
        <v>2369</v>
      </c>
      <c r="B373" s="672">
        <v>50</v>
      </c>
      <c r="D373" s="682">
        <v>50</v>
      </c>
      <c r="G373" s="291">
        <f t="shared" si="17"/>
        <v>0</v>
      </c>
      <c r="H373" s="403">
        <f t="shared" si="18"/>
        <v>0</v>
      </c>
      <c r="I373" s="279">
        <f t="shared" si="19"/>
        <v>0</v>
      </c>
    </row>
    <row r="374" spans="1:9">
      <c r="A374" s="237" t="s">
        <v>2370</v>
      </c>
      <c r="B374" s="672">
        <v>150</v>
      </c>
      <c r="D374" s="682">
        <v>150</v>
      </c>
      <c r="G374" s="291">
        <f t="shared" si="17"/>
        <v>0</v>
      </c>
      <c r="H374" s="403">
        <f t="shared" si="18"/>
        <v>0</v>
      </c>
      <c r="I374" s="279">
        <f t="shared" si="19"/>
        <v>0</v>
      </c>
    </row>
    <row r="375" spans="1:9">
      <c r="A375" s="237" t="s">
        <v>2371</v>
      </c>
      <c r="B375" s="672">
        <v>1000</v>
      </c>
      <c r="D375" s="682">
        <v>1000</v>
      </c>
      <c r="G375" s="291">
        <f t="shared" si="17"/>
        <v>0</v>
      </c>
      <c r="H375" s="403">
        <f t="shared" si="18"/>
        <v>0</v>
      </c>
      <c r="I375" s="279">
        <f t="shared" si="19"/>
        <v>0</v>
      </c>
    </row>
    <row r="376" spans="1:9">
      <c r="A376" s="237" t="s">
        <v>2372</v>
      </c>
      <c r="B376" s="672">
        <v>0</v>
      </c>
      <c r="D376" s="682">
        <v>0</v>
      </c>
      <c r="G376" s="291">
        <f t="shared" si="17"/>
        <v>0</v>
      </c>
      <c r="H376" s="403" t="e">
        <f t="shared" si="18"/>
        <v>#DIV/0!</v>
      </c>
      <c r="I376" s="279">
        <f t="shared" si="19"/>
        <v>0</v>
      </c>
    </row>
    <row r="377" spans="1:9">
      <c r="A377" s="237" t="s">
        <v>2373</v>
      </c>
      <c r="B377" s="672">
        <v>1</v>
      </c>
      <c r="D377" s="682">
        <v>1</v>
      </c>
      <c r="G377" s="291">
        <f t="shared" si="17"/>
        <v>0</v>
      </c>
      <c r="H377" s="403">
        <f t="shared" si="18"/>
        <v>0</v>
      </c>
      <c r="I377" s="279">
        <f t="shared" si="19"/>
        <v>0</v>
      </c>
    </row>
    <row r="378" spans="1:9">
      <c r="A378" s="237" t="s">
        <v>2374</v>
      </c>
      <c r="B378" s="672">
        <v>50</v>
      </c>
      <c r="D378" s="682">
        <v>50</v>
      </c>
      <c r="G378" s="291">
        <f t="shared" si="17"/>
        <v>0</v>
      </c>
      <c r="H378" s="403">
        <f t="shared" si="18"/>
        <v>0</v>
      </c>
      <c r="I378" s="279">
        <f t="shared" si="19"/>
        <v>0</v>
      </c>
    </row>
    <row r="379" spans="1:9">
      <c r="A379" s="237" t="s">
        <v>2375</v>
      </c>
      <c r="B379" s="672">
        <v>200</v>
      </c>
      <c r="C379" t="s">
        <v>2061</v>
      </c>
      <c r="D379" s="682">
        <v>200</v>
      </c>
      <c r="G379" s="291">
        <f t="shared" si="17"/>
        <v>0</v>
      </c>
      <c r="H379" s="403">
        <f t="shared" si="18"/>
        <v>0</v>
      </c>
      <c r="I379" s="279">
        <f t="shared" si="19"/>
        <v>0</v>
      </c>
    </row>
    <row r="380" spans="1:9">
      <c r="A380" s="237" t="s">
        <v>2376</v>
      </c>
      <c r="B380" s="672">
        <v>500</v>
      </c>
      <c r="D380" s="682">
        <v>500</v>
      </c>
      <c r="G380" s="291">
        <f t="shared" si="17"/>
        <v>0</v>
      </c>
      <c r="H380" s="403">
        <f t="shared" si="18"/>
        <v>0</v>
      </c>
      <c r="I380" s="279">
        <f t="shared" si="19"/>
        <v>0</v>
      </c>
    </row>
    <row r="381" spans="1:9">
      <c r="A381" s="246" t="s">
        <v>2377</v>
      </c>
      <c r="B381" s="620">
        <v>275999.57</v>
      </c>
      <c r="C381" t="s">
        <v>2061</v>
      </c>
      <c r="D381" s="487">
        <v>275999.57</v>
      </c>
      <c r="G381" s="291">
        <f t="shared" si="17"/>
        <v>0</v>
      </c>
      <c r="H381" s="403">
        <f t="shared" si="18"/>
        <v>0</v>
      </c>
      <c r="I381" s="279">
        <f t="shared" si="19"/>
        <v>0</v>
      </c>
    </row>
    <row r="382" spans="1:9">
      <c r="A382" s="246" t="s">
        <v>3235</v>
      </c>
      <c r="B382" s="620">
        <v>3856.86</v>
      </c>
      <c r="C382" s="2170" t="s">
        <v>2061</v>
      </c>
      <c r="D382" s="487">
        <v>3761.07</v>
      </c>
      <c r="G382" s="291">
        <f>+B382-D382</f>
        <v>95.789999999999964</v>
      </c>
      <c r="H382" s="403">
        <f t="shared" si="18"/>
        <v>2.5468816055005613E-2</v>
      </c>
      <c r="I382" s="279">
        <f t="shared" si="19"/>
        <v>-95.789999999999964</v>
      </c>
    </row>
    <row r="383" spans="1:9">
      <c r="A383" s="246" t="s">
        <v>3236</v>
      </c>
      <c r="B383" s="620">
        <v>4997.97</v>
      </c>
      <c r="C383" s="2170" t="s">
        <v>2061</v>
      </c>
      <c r="D383" s="487">
        <v>4919.3900000000003</v>
      </c>
      <c r="G383" s="291">
        <f t="shared" ref="G383:G385" si="20">+B383-D383</f>
        <v>78.579999999999927</v>
      </c>
      <c r="H383" s="403">
        <f t="shared" si="18"/>
        <v>1.5973525172836452E-2</v>
      </c>
      <c r="I383" s="279">
        <f t="shared" si="19"/>
        <v>-78.579999999999927</v>
      </c>
    </row>
    <row r="384" spans="1:9">
      <c r="A384" s="246" t="s">
        <v>3237</v>
      </c>
      <c r="B384" s="620">
        <v>4105.18</v>
      </c>
      <c r="C384" s="2170" t="s">
        <v>2061</v>
      </c>
      <c r="D384" s="487">
        <v>3987.5</v>
      </c>
      <c r="G384" s="291">
        <f t="shared" si="20"/>
        <v>117.68000000000029</v>
      </c>
      <c r="H384" s="403">
        <f t="shared" si="18"/>
        <v>2.9512225705329225E-2</v>
      </c>
      <c r="I384" s="279">
        <f t="shared" si="19"/>
        <v>-117.68000000000029</v>
      </c>
    </row>
    <row r="385" spans="1:9">
      <c r="A385" s="246" t="s">
        <v>3234</v>
      </c>
      <c r="B385" s="620">
        <v>4881.7</v>
      </c>
      <c r="C385" s="2170" t="s">
        <v>2061</v>
      </c>
      <c r="D385" s="487">
        <v>4804.95</v>
      </c>
      <c r="G385" s="291">
        <f t="shared" si="20"/>
        <v>76.75</v>
      </c>
      <c r="H385" s="403">
        <f t="shared" si="18"/>
        <v>1.5973111062550078E-2</v>
      </c>
      <c r="I385" s="279">
        <f t="shared" si="19"/>
        <v>-76.75</v>
      </c>
    </row>
    <row r="386" spans="1:9">
      <c r="G386" s="291">
        <f t="shared" si="17"/>
        <v>0</v>
      </c>
      <c r="H386" s="403" t="e">
        <f t="shared" si="18"/>
        <v>#DIV/0!</v>
      </c>
      <c r="I386" s="279">
        <f t="shared" si="19"/>
        <v>0</v>
      </c>
    </row>
    <row r="387" spans="1:9" ht="15.75">
      <c r="A387" s="247" t="s">
        <v>2870</v>
      </c>
      <c r="G387" s="291">
        <f t="shared" si="17"/>
        <v>0</v>
      </c>
      <c r="H387" s="403" t="e">
        <f t="shared" si="18"/>
        <v>#DIV/0!</v>
      </c>
      <c r="I387" s="279">
        <f t="shared" si="19"/>
        <v>0</v>
      </c>
    </row>
    <row r="388" spans="1:9">
      <c r="G388" s="291">
        <f t="shared" si="17"/>
        <v>0</v>
      </c>
      <c r="H388" s="403" t="e">
        <f t="shared" si="18"/>
        <v>#DIV/0!</v>
      </c>
      <c r="I388" s="279">
        <f t="shared" si="19"/>
        <v>0</v>
      </c>
    </row>
    <row r="389" spans="1:9">
      <c r="A389" t="s">
        <v>2868</v>
      </c>
      <c r="B389" s="620">
        <v>42042</v>
      </c>
      <c r="C389" s="2170" t="s">
        <v>2061</v>
      </c>
      <c r="D389" s="620">
        <f>165520/4</f>
        <v>41380</v>
      </c>
      <c r="G389" s="291">
        <f t="shared" si="17"/>
        <v>662</v>
      </c>
      <c r="H389" s="403">
        <f t="shared" si="18"/>
        <v>1.5998066698888352E-2</v>
      </c>
      <c r="I389" s="279">
        <f t="shared" si="19"/>
        <v>-662</v>
      </c>
    </row>
    <row r="390" spans="1:9">
      <c r="B390" s="2355" t="s">
        <v>3129</v>
      </c>
      <c r="C390" s="2187"/>
      <c r="D390" s="2187"/>
      <c r="E390" s="2187"/>
      <c r="G390" s="291" t="e">
        <f t="shared" si="17"/>
        <v>#VALUE!</v>
      </c>
      <c r="H390" s="403" t="e">
        <f t="shared" si="18"/>
        <v>#VALUE!</v>
      </c>
      <c r="I390" s="279" t="e">
        <f t="shared" si="19"/>
        <v>#VALUE!</v>
      </c>
    </row>
    <row r="391" spans="1:9" ht="15.75">
      <c r="A391" s="247" t="s">
        <v>94</v>
      </c>
      <c r="G391" s="291">
        <f t="shared" si="17"/>
        <v>0</v>
      </c>
      <c r="H391" s="403" t="e">
        <f t="shared" si="18"/>
        <v>#DIV/0!</v>
      </c>
      <c r="I391" s="279">
        <f t="shared" si="19"/>
        <v>0</v>
      </c>
    </row>
    <row r="392" spans="1:9">
      <c r="G392" s="291">
        <f t="shared" si="17"/>
        <v>0</v>
      </c>
      <c r="H392" s="403" t="e">
        <f t="shared" si="18"/>
        <v>#DIV/0!</v>
      </c>
      <c r="I392" s="279">
        <f t="shared" si="19"/>
        <v>0</v>
      </c>
    </row>
    <row r="393" spans="1:9">
      <c r="A393" s="2170" t="s">
        <v>2876</v>
      </c>
      <c r="B393" s="620">
        <v>5000</v>
      </c>
      <c r="C393" s="2170" t="s">
        <v>2061</v>
      </c>
      <c r="D393" s="620">
        <v>5000</v>
      </c>
      <c r="G393" s="291">
        <f t="shared" si="17"/>
        <v>0</v>
      </c>
      <c r="H393" s="403">
        <f t="shared" si="18"/>
        <v>0</v>
      </c>
      <c r="I393" s="279">
        <f t="shared" si="19"/>
        <v>0</v>
      </c>
    </row>
    <row r="394" spans="1:9">
      <c r="A394" s="2170" t="s">
        <v>2877</v>
      </c>
      <c r="B394" s="2182">
        <v>8.51</v>
      </c>
      <c r="C394" s="2170" t="s">
        <v>2061</v>
      </c>
      <c r="D394" s="2182">
        <v>8.51</v>
      </c>
      <c r="G394" s="291">
        <f t="shared" si="17"/>
        <v>0</v>
      </c>
      <c r="H394" s="403">
        <f t="shared" si="18"/>
        <v>0</v>
      </c>
      <c r="I394" s="279">
        <f t="shared" si="19"/>
        <v>0</v>
      </c>
    </row>
    <row r="395" spans="1:9">
      <c r="G395" s="291">
        <f t="shared" si="17"/>
        <v>0</v>
      </c>
      <c r="H395" s="403" t="e">
        <f t="shared" si="18"/>
        <v>#DIV/0!</v>
      </c>
      <c r="I395" s="279">
        <f t="shared" si="19"/>
        <v>0</v>
      </c>
    </row>
    <row r="396" spans="1:9" ht="15.75">
      <c r="A396" s="247" t="s">
        <v>2880</v>
      </c>
      <c r="G396" s="291">
        <f t="shared" si="17"/>
        <v>0</v>
      </c>
      <c r="H396" s="403" t="e">
        <f t="shared" si="18"/>
        <v>#DIV/0!</v>
      </c>
      <c r="I396" s="279">
        <f t="shared" si="19"/>
        <v>0</v>
      </c>
    </row>
    <row r="397" spans="1:9">
      <c r="G397" s="291">
        <f t="shared" si="17"/>
        <v>0</v>
      </c>
      <c r="H397" s="403" t="e">
        <f t="shared" si="18"/>
        <v>#DIV/0!</v>
      </c>
      <c r="I397" s="279">
        <f t="shared" si="19"/>
        <v>0</v>
      </c>
    </row>
    <row r="398" spans="1:9">
      <c r="A398" s="2170" t="s">
        <v>2885</v>
      </c>
      <c r="B398" s="620">
        <v>168167.54</v>
      </c>
      <c r="C398" s="2170" t="s">
        <v>789</v>
      </c>
      <c r="D398" s="620">
        <v>165520.12</v>
      </c>
      <c r="G398" s="291">
        <f t="shared" si="17"/>
        <v>2647.4200000000128</v>
      </c>
      <c r="H398" s="403">
        <f t="shared" si="18"/>
        <v>1.5994550994767362E-2</v>
      </c>
      <c r="I398" s="279">
        <f t="shared" si="19"/>
        <v>-2647.4200000000128</v>
      </c>
    </row>
    <row r="399" spans="1:9">
      <c r="A399" s="2170" t="s">
        <v>2888</v>
      </c>
      <c r="B399" s="620">
        <v>78637.33</v>
      </c>
      <c r="C399" s="2170" t="s">
        <v>789</v>
      </c>
      <c r="D399" s="620">
        <v>77389.701799999995</v>
      </c>
      <c r="G399" s="291">
        <f t="shared" si="17"/>
        <v>1247.6282000000065</v>
      </c>
      <c r="H399" s="403">
        <f t="shared" si="18"/>
        <v>1.6121372365851479E-2</v>
      </c>
      <c r="I399" s="279">
        <f t="shared" si="19"/>
        <v>-1247.6282000000065</v>
      </c>
    </row>
    <row r="400" spans="1:9">
      <c r="A400" s="2170" t="s">
        <v>2889</v>
      </c>
      <c r="B400" s="620">
        <v>153126</v>
      </c>
      <c r="C400" s="2170" t="s">
        <v>789</v>
      </c>
      <c r="D400" s="620">
        <v>153126</v>
      </c>
      <c r="G400" s="291">
        <f t="shared" si="17"/>
        <v>0</v>
      </c>
      <c r="H400" s="403">
        <f t="shared" si="18"/>
        <v>0</v>
      </c>
      <c r="I400" s="279">
        <f t="shared" si="19"/>
        <v>0</v>
      </c>
    </row>
  </sheetData>
  <phoneticPr fontId="13" type="noConversion"/>
  <conditionalFormatting sqref="A32:A34 A237:A238">
    <cfRule type="expression" dxfId="0" priority="1" stopIfTrue="1">
      <formula>$N32=1</formula>
    </cfRule>
  </conditionalFormatting>
  <printOptions horizontalCentered="1"/>
  <pageMargins left="0" right="0" top="1" bottom="1" header="0.5" footer="0.5"/>
  <pageSetup paperSize="5" scale="68" orientation="portrait" r:id="rId1"/>
  <headerFooter alignWithMargins="0">
    <oddFooter>&amp;L&amp;D,&amp;" ,Regular" &amp;T
&amp;CPage &amp;P of &amp;N&amp;R2012/13 School Authority Estimates
&amp;A</oddFooter>
  </headerFooter>
  <cellWatches>
    <cellWatch r="I24"/>
  </cellWatch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zoomScaleNormal="100" workbookViewId="0">
      <selection activeCell="A5" sqref="A5"/>
    </sheetView>
  </sheetViews>
  <sheetFormatPr defaultColWidth="0" defaultRowHeight="12.75" zeroHeight="1"/>
  <cols>
    <col min="1" max="1" width="23" customWidth="1"/>
    <col min="2" max="6" width="25.7109375" customWidth="1"/>
    <col min="7" max="7" width="18" customWidth="1"/>
  </cols>
  <sheetData>
    <row r="1" spans="1:7" s="617" customFormat="1" ht="22.5" customHeight="1">
      <c r="A1" s="2259" t="s">
        <v>622</v>
      </c>
      <c r="B1" s="2260"/>
      <c r="C1" s="2260"/>
      <c r="D1" s="2260"/>
      <c r="E1" s="2260"/>
      <c r="F1" s="2261" t="str">
        <f>'[3]1 Summary'!G2</f>
        <v/>
      </c>
      <c r="G1" s="2260"/>
    </row>
    <row r="2" spans="1:7" s="617" customFormat="1" ht="25.5" customHeight="1">
      <c r="A2" s="2262" t="s">
        <v>3023</v>
      </c>
      <c r="B2" s="2260"/>
      <c r="C2" s="2260"/>
      <c r="D2" s="2260"/>
      <c r="E2" s="2260"/>
      <c r="F2" s="2263">
        <f>'[3]1 Summary'!G3</f>
        <v>0</v>
      </c>
      <c r="G2" s="2260"/>
    </row>
    <row r="3" spans="1:7" s="617" customFormat="1" ht="16.5" customHeight="1">
      <c r="A3" s="2260"/>
      <c r="B3" s="2260"/>
      <c r="C3" s="2260"/>
      <c r="D3" s="2260"/>
      <c r="E3" s="2260"/>
      <c r="F3" s="2260"/>
      <c r="G3" s="2260"/>
    </row>
    <row r="4" spans="1:7" s="617" customFormat="1" ht="16.5" customHeight="1">
      <c r="A4" s="2264"/>
      <c r="B4" s="2265" t="s">
        <v>3024</v>
      </c>
      <c r="C4" s="2266"/>
      <c r="D4" s="2266" t="s">
        <v>1606</v>
      </c>
      <c r="E4" s="2267" t="s">
        <v>642</v>
      </c>
      <c r="F4" s="2267" t="s">
        <v>3025</v>
      </c>
      <c r="G4" s="2267" t="s">
        <v>1001</v>
      </c>
    </row>
    <row r="5" spans="1:7" s="617" customFormat="1" ht="14.25">
      <c r="A5" s="2264"/>
      <c r="B5" s="2268"/>
      <c r="C5" s="2269"/>
      <c r="D5" s="2269"/>
      <c r="E5" s="2270"/>
      <c r="F5" s="2270"/>
      <c r="G5" s="2270"/>
    </row>
    <row r="6" spans="1:7" s="617" customFormat="1" ht="14.25">
      <c r="A6" s="2264"/>
      <c r="B6" s="2268" t="s">
        <v>3037</v>
      </c>
      <c r="C6" s="2269"/>
      <c r="D6" s="2269"/>
      <c r="E6" s="2270"/>
      <c r="F6" s="2270"/>
      <c r="G6" s="2270"/>
    </row>
    <row r="7" spans="1:7" s="617" customFormat="1" ht="14.25">
      <c r="A7" s="2271">
        <v>2.1</v>
      </c>
      <c r="B7" s="2268" t="s">
        <v>3026</v>
      </c>
      <c r="C7" s="2269"/>
      <c r="D7" s="2272"/>
      <c r="E7" s="2272"/>
      <c r="F7" s="2273"/>
      <c r="G7" s="2274">
        <f>SUM(D7:F7)</f>
        <v>0</v>
      </c>
    </row>
    <row r="8" spans="1:7" s="617" customFormat="1" ht="14.25">
      <c r="A8" s="2271">
        <v>2.2000000000000002</v>
      </c>
      <c r="B8" s="2268" t="s">
        <v>3027</v>
      </c>
      <c r="C8" s="2269"/>
      <c r="D8" s="2272"/>
      <c r="E8" s="2273"/>
      <c r="F8" s="2273"/>
      <c r="G8" s="2274">
        <f t="shared" ref="G8:G28" si="0">SUM(D8:F8)</f>
        <v>0</v>
      </c>
    </row>
    <row r="9" spans="1:7" s="617" customFormat="1" ht="15">
      <c r="A9" s="2271">
        <v>2.2999999999999998</v>
      </c>
      <c r="B9" s="2275" t="s">
        <v>25</v>
      </c>
      <c r="C9" s="2269"/>
      <c r="D9" s="2269"/>
      <c r="E9" s="2270"/>
      <c r="F9" s="2270"/>
      <c r="G9" s="2274" t="s">
        <v>789</v>
      </c>
    </row>
    <row r="10" spans="1:7" s="617" customFormat="1" ht="14.25">
      <c r="A10" s="2271">
        <v>2.4</v>
      </c>
      <c r="B10" s="2268" t="s">
        <v>3028</v>
      </c>
      <c r="C10" s="2269"/>
      <c r="D10" s="2272"/>
      <c r="E10" s="2273"/>
      <c r="F10" s="2273"/>
      <c r="G10" s="2274">
        <f t="shared" si="0"/>
        <v>0</v>
      </c>
    </row>
    <row r="11" spans="1:7" s="617" customFormat="1" ht="14.25">
      <c r="A11" s="2271">
        <v>2.5</v>
      </c>
      <c r="B11" s="2268" t="s">
        <v>3029</v>
      </c>
      <c r="C11" s="2269"/>
      <c r="D11" s="2272"/>
      <c r="E11" s="2273"/>
      <c r="F11" s="2273"/>
      <c r="G11" s="2274">
        <f t="shared" si="0"/>
        <v>0</v>
      </c>
    </row>
    <row r="12" spans="1:7" s="617" customFormat="1" ht="14.25">
      <c r="A12" s="2271">
        <v>2.6</v>
      </c>
      <c r="B12" s="2268" t="s">
        <v>3030</v>
      </c>
      <c r="C12" s="2269"/>
      <c r="D12" s="2272"/>
      <c r="E12" s="2273"/>
      <c r="F12" s="2273"/>
      <c r="G12" s="2274">
        <f t="shared" si="0"/>
        <v>0</v>
      </c>
    </row>
    <row r="13" spans="1:7" s="617" customFormat="1" ht="15">
      <c r="A13" s="2271">
        <v>2.7</v>
      </c>
      <c r="B13" s="2275" t="s">
        <v>3031</v>
      </c>
      <c r="C13" s="2269"/>
      <c r="D13" s="2274">
        <f>SUM(D10:D12)</f>
        <v>0</v>
      </c>
      <c r="E13" s="2274">
        <f>SUM(E10:E12)</f>
        <v>0</v>
      </c>
      <c r="F13" s="2274">
        <f>SUM(F10:F12)</f>
        <v>0</v>
      </c>
      <c r="G13" s="2274">
        <f t="shared" si="0"/>
        <v>0</v>
      </c>
    </row>
    <row r="14" spans="1:7" s="617" customFormat="1" ht="15">
      <c r="A14" s="2271">
        <v>2.8</v>
      </c>
      <c r="B14" s="2275" t="s">
        <v>3032</v>
      </c>
      <c r="C14" s="2269"/>
      <c r="D14" s="2269"/>
      <c r="E14" s="2270"/>
      <c r="F14" s="2270"/>
      <c r="G14" s="2274" t="s">
        <v>789</v>
      </c>
    </row>
    <row r="15" spans="1:7" s="617" customFormat="1" ht="14.25">
      <c r="A15" s="2271">
        <v>2.9</v>
      </c>
      <c r="B15" s="2268" t="s">
        <v>3028</v>
      </c>
      <c r="C15" s="2269"/>
      <c r="D15" s="2272"/>
      <c r="E15" s="2273"/>
      <c r="F15" s="2273"/>
      <c r="G15" s="2274">
        <f t="shared" si="0"/>
        <v>0</v>
      </c>
    </row>
    <row r="16" spans="1:7" s="617" customFormat="1" ht="14.25">
      <c r="A16" s="2276">
        <v>2.1</v>
      </c>
      <c r="B16" s="2268" t="s">
        <v>3029</v>
      </c>
      <c r="C16" s="2269"/>
      <c r="D16" s="2272"/>
      <c r="E16" s="2273"/>
      <c r="F16" s="2273"/>
      <c r="G16" s="2274">
        <f t="shared" si="0"/>
        <v>0</v>
      </c>
    </row>
    <row r="17" spans="1:7" s="617" customFormat="1" ht="14.25">
      <c r="A17" s="2276">
        <v>2.11</v>
      </c>
      <c r="B17" s="2268" t="s">
        <v>3030</v>
      </c>
      <c r="C17" s="2269"/>
      <c r="D17" s="2272"/>
      <c r="E17" s="2273"/>
      <c r="F17" s="2273"/>
      <c r="G17" s="2274">
        <f t="shared" si="0"/>
        <v>0</v>
      </c>
    </row>
    <row r="18" spans="1:7" s="617" customFormat="1" ht="15">
      <c r="A18" s="2276">
        <v>2.12</v>
      </c>
      <c r="B18" s="2275" t="s">
        <v>3033</v>
      </c>
      <c r="C18" s="2269"/>
      <c r="D18" s="2274">
        <f>SUM(D15:D17)</f>
        <v>0</v>
      </c>
      <c r="E18" s="2274">
        <f>SUM(E15:E17)</f>
        <v>0</v>
      </c>
      <c r="F18" s="2274">
        <f>SUM(F15:F17)</f>
        <v>0</v>
      </c>
      <c r="G18" s="2274">
        <f t="shared" si="0"/>
        <v>0</v>
      </c>
    </row>
    <row r="19" spans="1:7" s="617" customFormat="1" ht="15">
      <c r="A19" s="2276">
        <v>2.13</v>
      </c>
      <c r="B19" s="2275" t="s">
        <v>120</v>
      </c>
      <c r="C19" s="2269"/>
      <c r="D19" s="2269"/>
      <c r="E19" s="2270"/>
      <c r="F19" s="2270"/>
      <c r="G19" s="2274" t="s">
        <v>789</v>
      </c>
    </row>
    <row r="20" spans="1:7" s="617" customFormat="1" ht="14.25">
      <c r="A20" s="2276">
        <v>2.14</v>
      </c>
      <c r="B20" s="2268" t="s">
        <v>3028</v>
      </c>
      <c r="C20" s="2269"/>
      <c r="D20" s="2272"/>
      <c r="E20" s="2273"/>
      <c r="F20" s="2273"/>
      <c r="G20" s="2274">
        <f t="shared" si="0"/>
        <v>0</v>
      </c>
    </row>
    <row r="21" spans="1:7" s="617" customFormat="1" ht="14.25">
      <c r="A21" s="2276">
        <v>2.15</v>
      </c>
      <c r="B21" s="2268" t="s">
        <v>3029</v>
      </c>
      <c r="C21" s="2269"/>
      <c r="D21" s="2272"/>
      <c r="E21" s="2273"/>
      <c r="F21" s="2273"/>
      <c r="G21" s="2274">
        <f t="shared" si="0"/>
        <v>0</v>
      </c>
    </row>
    <row r="22" spans="1:7" s="617" customFormat="1" ht="15">
      <c r="A22" s="2276">
        <v>2.16</v>
      </c>
      <c r="B22" s="2275" t="s">
        <v>3034</v>
      </c>
      <c r="C22" s="2269"/>
      <c r="D22" s="2274">
        <f>SUM(D20:D21)</f>
        <v>0</v>
      </c>
      <c r="E22" s="2274">
        <f>SUM(E20:E21)</f>
        <v>0</v>
      </c>
      <c r="F22" s="2274">
        <f>SUM(F20:F21)</f>
        <v>0</v>
      </c>
      <c r="G22" s="2274">
        <f t="shared" si="0"/>
        <v>0</v>
      </c>
    </row>
    <row r="23" spans="1:7" s="617" customFormat="1" ht="14.25">
      <c r="A23" s="2276">
        <v>2.17</v>
      </c>
      <c r="B23" s="2268" t="s">
        <v>3035</v>
      </c>
      <c r="C23" s="2269"/>
      <c r="D23" s="2274">
        <f>D43</f>
        <v>0</v>
      </c>
      <c r="E23" s="2274">
        <f>E43</f>
        <v>0</v>
      </c>
      <c r="F23" s="2274">
        <f>F43</f>
        <v>0</v>
      </c>
      <c r="G23" s="2274">
        <f t="shared" si="0"/>
        <v>0</v>
      </c>
    </row>
    <row r="24" spans="1:7" s="617" customFormat="1" ht="15">
      <c r="A24" s="2276">
        <v>2.2000000000000002</v>
      </c>
      <c r="B24" s="2275" t="s">
        <v>3038</v>
      </c>
      <c r="C24" s="2269"/>
      <c r="D24" s="2274">
        <f>+D7+D8+D13+D18+D22+D23</f>
        <v>0</v>
      </c>
      <c r="E24" s="2274">
        <f>+E7+E8+E13+E18+E22+E23</f>
        <v>0</v>
      </c>
      <c r="F24" s="2274">
        <f>+F7+F8+F13+F18+F22+F23</f>
        <v>0</v>
      </c>
      <c r="G24" s="2274">
        <f t="shared" si="0"/>
        <v>0</v>
      </c>
    </row>
    <row r="25" spans="1:7" s="617" customFormat="1" ht="14.25">
      <c r="A25" s="2277"/>
      <c r="B25" s="2278"/>
      <c r="C25" s="2278"/>
      <c r="D25" s="2279"/>
      <c r="E25" s="2279"/>
      <c r="F25" s="2279"/>
      <c r="G25" s="2274" t="s">
        <v>789</v>
      </c>
    </row>
    <row r="26" spans="1:7" s="617" customFormat="1" ht="14.25">
      <c r="A26" s="2276">
        <v>2.21</v>
      </c>
      <c r="B26" s="2268" t="s">
        <v>3036</v>
      </c>
      <c r="C26" s="2269"/>
      <c r="D26" s="2280"/>
      <c r="E26" s="2280"/>
      <c r="F26" s="2280"/>
      <c r="G26" s="2274">
        <f t="shared" si="0"/>
        <v>0</v>
      </c>
    </row>
    <row r="27" spans="1:7" s="617" customFormat="1" ht="14.25">
      <c r="A27" s="2277"/>
      <c r="B27" s="2278"/>
      <c r="C27" s="2278"/>
      <c r="D27" s="2279"/>
      <c r="E27" s="2279"/>
      <c r="F27" s="2279"/>
      <c r="G27" s="2274" t="s">
        <v>789</v>
      </c>
    </row>
    <row r="28" spans="1:7" s="617" customFormat="1" ht="15">
      <c r="A28" s="2276">
        <v>2.2200000000000002</v>
      </c>
      <c r="B28" s="2275" t="s">
        <v>3039</v>
      </c>
      <c r="C28" s="2269"/>
      <c r="D28" s="2274">
        <f>+D24-D26</f>
        <v>0</v>
      </c>
      <c r="E28" s="2274">
        <f>+E24-E26</f>
        <v>0</v>
      </c>
      <c r="F28" s="2274">
        <f>+F24-F26</f>
        <v>0</v>
      </c>
      <c r="G28" s="2274">
        <f t="shared" si="0"/>
        <v>0</v>
      </c>
    </row>
    <row r="29" spans="1:7" s="617" customFormat="1">
      <c r="A29" s="2281"/>
      <c r="B29" s="2260"/>
      <c r="C29" s="2260"/>
      <c r="D29" s="2260"/>
      <c r="E29" s="2260"/>
      <c r="F29" s="2260"/>
      <c r="G29" s="2260"/>
    </row>
    <row r="30" spans="1:7" s="617" customFormat="1" ht="15.75">
      <c r="A30" s="2259" t="s">
        <v>622</v>
      </c>
      <c r="B30" s="2260"/>
      <c r="C30" s="2260"/>
      <c r="D30" s="2260"/>
      <c r="E30" s="2260"/>
      <c r="F30" s="2260"/>
      <c r="G30" s="2260"/>
    </row>
    <row r="31" spans="1:7" s="617" customFormat="1" ht="18">
      <c r="A31" s="2262" t="s">
        <v>337</v>
      </c>
      <c r="B31" s="2282"/>
      <c r="C31" s="2283"/>
      <c r="D31" s="2283"/>
      <c r="E31" s="2260"/>
      <c r="F31" s="2284"/>
      <c r="G31" s="2260"/>
    </row>
    <row r="32" spans="1:7" s="617" customFormat="1" ht="18">
      <c r="A32" s="2285"/>
      <c r="B32" s="2286"/>
      <c r="C32" s="2260"/>
      <c r="D32" s="2260"/>
      <c r="E32" s="2260"/>
      <c r="F32" s="2284"/>
      <c r="G32" s="2260"/>
    </row>
    <row r="33" spans="1:7" s="617" customFormat="1" ht="18">
      <c r="A33" s="2285"/>
      <c r="B33" s="2286"/>
      <c r="C33" s="2260"/>
      <c r="D33" s="2260"/>
      <c r="E33" s="2260"/>
      <c r="F33" s="2260"/>
      <c r="G33" s="2260"/>
    </row>
    <row r="34" spans="1:7" s="617" customFormat="1" ht="14.25">
      <c r="A34" s="2260"/>
      <c r="B34" s="2287"/>
      <c r="C34" s="2287"/>
      <c r="D34" s="2288"/>
      <c r="E34" s="2289"/>
      <c r="F34" s="2289"/>
      <c r="G34" s="2287"/>
    </row>
    <row r="35" spans="1:7" s="617" customFormat="1" ht="15">
      <c r="A35" s="2260"/>
      <c r="B35" s="2265" t="s">
        <v>3024</v>
      </c>
      <c r="C35" s="2287"/>
      <c r="D35" s="2266" t="s">
        <v>1606</v>
      </c>
      <c r="E35" s="2267" t="s">
        <v>642</v>
      </c>
      <c r="F35" s="2267" t="s">
        <v>3025</v>
      </c>
      <c r="G35" s="2267" t="s">
        <v>1001</v>
      </c>
    </row>
    <row r="36" spans="1:7" s="617" customFormat="1" ht="15">
      <c r="A36" s="2260"/>
      <c r="B36" s="2290" t="s">
        <v>2917</v>
      </c>
      <c r="C36" s="2287"/>
      <c r="D36" s="2287"/>
      <c r="E36" s="2287"/>
      <c r="F36" s="2287"/>
      <c r="G36" s="2270"/>
    </row>
    <row r="37" spans="1:7" s="617" customFormat="1" ht="15">
      <c r="A37" s="2260"/>
      <c r="B37" s="2291" t="s">
        <v>340</v>
      </c>
      <c r="C37" s="2287"/>
      <c r="D37" s="2287"/>
      <c r="E37" s="2287"/>
      <c r="F37" s="2287"/>
      <c r="G37" s="2270"/>
    </row>
    <row r="38" spans="1:7" s="617" customFormat="1" ht="14.25">
      <c r="A38" s="2260"/>
      <c r="B38" s="2292" t="s">
        <v>341</v>
      </c>
      <c r="C38" s="2293"/>
      <c r="D38" s="2294"/>
      <c r="E38" s="2295"/>
      <c r="F38" s="2295"/>
      <c r="G38" s="2296">
        <f t="shared" ref="G38:G43" si="1">SUM(D38:F38)</f>
        <v>0</v>
      </c>
    </row>
    <row r="39" spans="1:7" s="617" customFormat="1" ht="14.25">
      <c r="A39" s="2260"/>
      <c r="B39" s="2292" t="s">
        <v>342</v>
      </c>
      <c r="C39" s="2287"/>
      <c r="D39" s="2294"/>
      <c r="E39" s="2295"/>
      <c r="F39" s="2295"/>
      <c r="G39" s="2296">
        <f t="shared" si="1"/>
        <v>0</v>
      </c>
    </row>
    <row r="40" spans="1:7" s="617" customFormat="1" ht="14.25">
      <c r="A40" s="2260"/>
      <c r="B40" s="2292" t="s">
        <v>343</v>
      </c>
      <c r="C40" s="2287"/>
      <c r="D40" s="2297"/>
      <c r="E40" s="2295"/>
      <c r="F40" s="2297"/>
      <c r="G40" s="2296">
        <f t="shared" si="1"/>
        <v>0</v>
      </c>
    </row>
    <row r="41" spans="1:7" s="617" customFormat="1" ht="14.25">
      <c r="A41" s="2260"/>
      <c r="B41" s="2292" t="s">
        <v>1343</v>
      </c>
      <c r="C41" s="2287"/>
      <c r="D41" s="2297"/>
      <c r="E41" s="2295"/>
      <c r="F41" s="2297"/>
      <c r="G41" s="2296">
        <f t="shared" si="1"/>
        <v>0</v>
      </c>
    </row>
    <row r="42" spans="1:7" s="617" customFormat="1" ht="28.5">
      <c r="A42" s="2260"/>
      <c r="B42" s="2292" t="s">
        <v>1344</v>
      </c>
      <c r="C42" s="2293"/>
      <c r="D42" s="2294"/>
      <c r="E42" s="2295"/>
      <c r="F42" s="2295"/>
      <c r="G42" s="2296">
        <f t="shared" si="1"/>
        <v>0</v>
      </c>
    </row>
    <row r="43" spans="1:7" s="617" customFormat="1" ht="30">
      <c r="A43" s="2260"/>
      <c r="B43" s="2291" t="s">
        <v>2918</v>
      </c>
      <c r="C43" s="2293"/>
      <c r="D43" s="2296">
        <f>SUM(D38:D42)</f>
        <v>0</v>
      </c>
      <c r="E43" s="2296">
        <f>SUM(E38:E42)</f>
        <v>0</v>
      </c>
      <c r="F43" s="2296">
        <f>SUM(F38:F42)</f>
        <v>0</v>
      </c>
      <c r="G43" s="2296">
        <f t="shared" si="1"/>
        <v>0</v>
      </c>
    </row>
    <row r="44" spans="1:7" s="617" customFormat="1" ht="15.75">
      <c r="A44" s="2298" t="s">
        <v>1345</v>
      </c>
      <c r="B44" s="2299"/>
      <c r="C44" s="2260"/>
      <c r="D44" s="2260"/>
      <c r="E44" s="2260"/>
      <c r="F44" s="2260"/>
      <c r="G44" s="2260"/>
    </row>
    <row r="45" spans="1:7" hidden="1"/>
    <row r="46" spans="1:7" hidden="1"/>
    <row r="47" spans="1:7" hidden="1"/>
  </sheetData>
  <sheetProtection password="C7B7" sheet="1" objects="1" scenarios="1"/>
  <protectedRanges>
    <protectedRange sqref="B42" name="Range2_1_4"/>
    <protectedRange sqref="B38" name="Range1_1_4"/>
    <protectedRange sqref="D38:E42" name="Range3_1_4"/>
  </protectedRanges>
  <phoneticPr fontId="13" type="noConversion"/>
  <pageMargins left="0" right="0" top="1" bottom="1" header="0.5" footer="0.5"/>
  <pageSetup scale="68" orientation="landscape" r:id="rId1"/>
  <headerFooter alignWithMargins="0">
    <oddFooter>&amp;L&amp;D,&amp;" ,Regular" &amp;T
&amp;CPage &amp;P of &amp;N&amp;R2015/16 School Authority Estimates
&amp;A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3"/>
  <sheetViews>
    <sheetView topLeftCell="A49" zoomScaleNormal="100" workbookViewId="0">
      <selection activeCell="D51" sqref="D51"/>
    </sheetView>
  </sheetViews>
  <sheetFormatPr defaultColWidth="0" defaultRowHeight="12.75" zeroHeight="1"/>
  <cols>
    <col min="1" max="8" width="17.7109375" customWidth="1"/>
    <col min="9" max="9" width="17.7109375" hidden="1" customWidth="1"/>
    <col min="16384" max="16384" width="19.42578125" hidden="1" customWidth="1"/>
  </cols>
  <sheetData>
    <row r="1" spans="1:8" ht="20.25">
      <c r="A1" s="515"/>
      <c r="B1" s="1934"/>
      <c r="C1" s="1934"/>
      <c r="D1" s="1934"/>
      <c r="E1" s="1934"/>
      <c r="F1" s="1934"/>
      <c r="G1" s="1934"/>
      <c r="H1" s="2301" t="str">
        <f>'[3]1 Summary'!G2</f>
        <v/>
      </c>
    </row>
    <row r="2" spans="1:8" ht="15.75">
      <c r="A2" s="27" t="s">
        <v>622</v>
      </c>
      <c r="B2" s="1934"/>
      <c r="C2" s="1934"/>
      <c r="D2" s="1934"/>
      <c r="E2" s="1934"/>
      <c r="F2" s="1934"/>
      <c r="G2" s="1934"/>
      <c r="H2" s="2302">
        <f>'[3]1 Summary'!G3</f>
        <v>0</v>
      </c>
    </row>
    <row r="3" spans="1:8" ht="15.75" customHeight="1">
      <c r="A3" s="2441" t="s">
        <v>2912</v>
      </c>
      <c r="B3" s="2441"/>
      <c r="C3" s="2441"/>
      <c r="D3" s="2441"/>
      <c r="E3" s="2441"/>
      <c r="F3" s="2441"/>
      <c r="G3" s="2441"/>
      <c r="H3" s="2441"/>
    </row>
    <row r="4" spans="1:8" ht="15.75" customHeight="1">
      <c r="A4" s="2442" t="s">
        <v>2916</v>
      </c>
      <c r="B4" s="2442"/>
      <c r="C4" s="2442"/>
      <c r="D4" s="2442"/>
      <c r="E4" s="2442"/>
      <c r="F4" s="2442"/>
      <c r="G4" s="2442"/>
      <c r="H4" s="2442"/>
    </row>
    <row r="5" spans="1:8" ht="25.5">
      <c r="A5" s="2303" t="s">
        <v>1233</v>
      </c>
      <c r="B5" s="2302" t="s">
        <v>3054</v>
      </c>
      <c r="C5" s="2302" t="s">
        <v>1234</v>
      </c>
      <c r="D5" s="2302" t="s">
        <v>1235</v>
      </c>
      <c r="E5" s="2302" t="s">
        <v>2101</v>
      </c>
      <c r="F5" s="2302" t="s">
        <v>3040</v>
      </c>
      <c r="G5" s="2302" t="s">
        <v>3041</v>
      </c>
      <c r="H5" s="2302" t="s">
        <v>2919</v>
      </c>
    </row>
    <row r="6" spans="1:8">
      <c r="A6" s="2303" t="s">
        <v>1236</v>
      </c>
      <c r="B6" s="2304" t="s">
        <v>23</v>
      </c>
      <c r="C6" s="2304"/>
      <c r="D6" s="2304"/>
      <c r="E6" s="2304"/>
      <c r="F6" s="2304"/>
      <c r="G6" s="2304"/>
      <c r="H6" s="2302"/>
    </row>
    <row r="7" spans="1:8" ht="38.25">
      <c r="A7" s="2305" t="s">
        <v>24</v>
      </c>
      <c r="B7" s="2306"/>
      <c r="C7" s="2307"/>
      <c r="D7" s="2307"/>
      <c r="E7" s="2304"/>
      <c r="F7" s="2307"/>
      <c r="G7" s="2308"/>
      <c r="H7" s="2309">
        <f>+B7+C7+D7+E7+F7+G7</f>
        <v>0</v>
      </c>
    </row>
    <row r="8" spans="1:8">
      <c r="A8" s="2305" t="s">
        <v>140</v>
      </c>
      <c r="B8" s="2307"/>
      <c r="C8" s="2307"/>
      <c r="D8" s="2307"/>
      <c r="E8" s="2304"/>
      <c r="F8" s="2307"/>
      <c r="G8" s="2308"/>
      <c r="H8" s="2309">
        <f t="shared" ref="H8:H18" si="0">+B8+C8+D8+E8+F8+G8</f>
        <v>0</v>
      </c>
    </row>
    <row r="9" spans="1:8">
      <c r="A9" s="2305" t="s">
        <v>25</v>
      </c>
      <c r="B9" s="2306"/>
      <c r="C9" s="2307"/>
      <c r="D9" s="2307"/>
      <c r="E9" s="2304"/>
      <c r="F9" s="2307"/>
      <c r="G9" s="2308"/>
      <c r="H9" s="2309">
        <f t="shared" si="0"/>
        <v>0</v>
      </c>
    </row>
    <row r="10" spans="1:8">
      <c r="A10" s="2305" t="s">
        <v>119</v>
      </c>
      <c r="B10" s="2307"/>
      <c r="C10" s="2307"/>
      <c r="D10" s="2307"/>
      <c r="E10" s="2304"/>
      <c r="F10" s="2307"/>
      <c r="G10" s="2308"/>
      <c r="H10" s="2309">
        <f t="shared" si="0"/>
        <v>0</v>
      </c>
    </row>
    <row r="11" spans="1:8">
      <c r="A11" s="2305" t="s">
        <v>120</v>
      </c>
      <c r="B11" s="2306"/>
      <c r="C11" s="2307"/>
      <c r="D11" s="2307"/>
      <c r="E11" s="2304"/>
      <c r="F11" s="2307"/>
      <c r="G11" s="2305"/>
      <c r="H11" s="2309">
        <f t="shared" si="0"/>
        <v>0</v>
      </c>
    </row>
    <row r="12" spans="1:8" ht="25.5">
      <c r="A12" s="2305" t="s">
        <v>340</v>
      </c>
      <c r="B12" s="2306"/>
      <c r="C12" s="2307"/>
      <c r="D12" s="2307"/>
      <c r="E12" s="2304"/>
      <c r="F12" s="2307"/>
      <c r="G12" s="2305"/>
      <c r="H12" s="2309">
        <f t="shared" si="0"/>
        <v>0</v>
      </c>
    </row>
    <row r="13" spans="1:8" hidden="1">
      <c r="A13" s="2305"/>
      <c r="B13" s="2305"/>
      <c r="C13" s="2305"/>
      <c r="D13" s="2305"/>
      <c r="E13" s="2305"/>
      <c r="F13" s="2305"/>
      <c r="G13" s="2305"/>
      <c r="H13" s="2309"/>
    </row>
    <row r="14" spans="1:8" hidden="1">
      <c r="A14" s="2305" t="s">
        <v>3042</v>
      </c>
      <c r="B14" s="2307"/>
      <c r="C14" s="2308"/>
      <c r="D14" s="2308"/>
      <c r="E14" s="2304"/>
      <c r="F14" s="2310"/>
      <c r="G14" s="2310"/>
      <c r="H14" s="2309">
        <f t="shared" si="0"/>
        <v>0</v>
      </c>
    </row>
    <row r="15" spans="1:8" ht="25.5" hidden="1">
      <c r="A15" s="2305" t="s">
        <v>3043</v>
      </c>
      <c r="B15" s="2307"/>
      <c r="C15" s="2308"/>
      <c r="D15" s="2308"/>
      <c r="E15" s="2304"/>
      <c r="F15" s="2310"/>
      <c r="G15" s="2310"/>
      <c r="H15" s="2309">
        <f t="shared" si="0"/>
        <v>0</v>
      </c>
    </row>
    <row r="16" spans="1:8" ht="25.5" hidden="1">
      <c r="A16" s="2305" t="s">
        <v>3044</v>
      </c>
      <c r="B16" s="2307"/>
      <c r="C16" s="2308"/>
      <c r="D16" s="2308"/>
      <c r="E16" s="2304"/>
      <c r="F16" s="2310"/>
      <c r="G16" s="2310"/>
      <c r="H16" s="2309">
        <f t="shared" si="0"/>
        <v>0</v>
      </c>
    </row>
    <row r="17" spans="1:8" ht="25.5" hidden="1">
      <c r="A17" s="2305" t="s">
        <v>3045</v>
      </c>
      <c r="B17" s="2307"/>
      <c r="C17" s="2308"/>
      <c r="D17" s="2308"/>
      <c r="E17" s="2304"/>
      <c r="F17" s="2310"/>
      <c r="G17" s="2310"/>
      <c r="H17" s="2309">
        <f t="shared" si="0"/>
        <v>0</v>
      </c>
    </row>
    <row r="18" spans="1:8" hidden="1">
      <c r="A18" s="2305" t="s">
        <v>3046</v>
      </c>
      <c r="B18" s="2307"/>
      <c r="C18" s="2308"/>
      <c r="D18" s="2308"/>
      <c r="E18" s="2304"/>
      <c r="F18" s="2310"/>
      <c r="G18" s="2310"/>
      <c r="H18" s="2309">
        <f t="shared" si="0"/>
        <v>0</v>
      </c>
    </row>
    <row r="19" spans="1:8" ht="38.25" hidden="1">
      <c r="A19" s="2303" t="s">
        <v>3047</v>
      </c>
      <c r="B19" s="2309">
        <f>SUM(B14:B18)</f>
        <v>0</v>
      </c>
      <c r="C19" s="2309">
        <f>SUM(C14:C18)</f>
        <v>0</v>
      </c>
      <c r="D19" s="2309">
        <f>SUM(D14:D18)</f>
        <v>0</v>
      </c>
      <c r="E19" s="2304"/>
      <c r="F19" s="2309">
        <f>SUM(F14:F18)</f>
        <v>0</v>
      </c>
      <c r="G19" s="2309">
        <f>SUM(G14:G18)</f>
        <v>0</v>
      </c>
      <c r="H19" s="2309">
        <f>SUM(H14:H18)</f>
        <v>0</v>
      </c>
    </row>
    <row r="20" spans="1:8" hidden="1">
      <c r="A20" s="2305" t="s">
        <v>341</v>
      </c>
      <c r="B20" s="2308"/>
      <c r="C20" s="2308"/>
      <c r="D20" s="2308"/>
      <c r="E20" s="2304"/>
      <c r="F20" s="2310"/>
      <c r="G20" s="2310"/>
      <c r="H20" s="2309">
        <f>+B20+C20+D20+E20+F20+G20</f>
        <v>0</v>
      </c>
    </row>
    <row r="21" spans="1:8" hidden="1">
      <c r="A21" s="2305" t="s">
        <v>342</v>
      </c>
      <c r="B21" s="2308"/>
      <c r="C21" s="2308"/>
      <c r="D21" s="2308"/>
      <c r="E21" s="2304"/>
      <c r="F21" s="2310"/>
      <c r="G21" s="2310"/>
      <c r="H21" s="2309">
        <f>+B21+C21+D21+E21+F21+G21</f>
        <v>0</v>
      </c>
    </row>
    <row r="22" spans="1:8" ht="25.5" hidden="1">
      <c r="A22" s="2305" t="s">
        <v>3048</v>
      </c>
      <c r="B22" s="2308"/>
      <c r="C22" s="2308"/>
      <c r="D22" s="2308"/>
      <c r="E22" s="2304"/>
      <c r="F22" s="2310"/>
      <c r="G22" s="2310"/>
      <c r="H22" s="2309">
        <f>+B22+C22+D22+E22+F22+G22</f>
        <v>0</v>
      </c>
    </row>
    <row r="23" spans="1:8" hidden="1">
      <c r="A23" s="2305" t="s">
        <v>3049</v>
      </c>
      <c r="B23" s="2308"/>
      <c r="C23" s="2308"/>
      <c r="D23" s="2308"/>
      <c r="E23" s="2304"/>
      <c r="F23" s="2310"/>
      <c r="G23" s="2310"/>
      <c r="H23" s="2309">
        <f>+B23+C23+D23+E23+F23+G23</f>
        <v>0</v>
      </c>
    </row>
    <row r="24" spans="1:8">
      <c r="A24" s="2303" t="s">
        <v>121</v>
      </c>
      <c r="B24" s="2309">
        <f>SUM(B7:B12)</f>
        <v>0</v>
      </c>
      <c r="C24" s="2309">
        <f t="shared" ref="C24:G24" si="1">SUM(C7:C12)</f>
        <v>0</v>
      </c>
      <c r="D24" s="2309">
        <f t="shared" si="1"/>
        <v>0</v>
      </c>
      <c r="E24" s="2309">
        <f t="shared" si="1"/>
        <v>0</v>
      </c>
      <c r="F24" s="2309">
        <f t="shared" si="1"/>
        <v>0</v>
      </c>
      <c r="G24" s="2309">
        <f t="shared" si="1"/>
        <v>0</v>
      </c>
      <c r="H24" s="2309">
        <f>+B24+C24+D24+E24+F24+G24</f>
        <v>0</v>
      </c>
    </row>
    <row r="25" spans="1:8" ht="51">
      <c r="A25" s="2303" t="s">
        <v>122</v>
      </c>
      <c r="B25" s="2310"/>
      <c r="C25" s="2310"/>
      <c r="D25" s="2310"/>
      <c r="E25" s="2310"/>
      <c r="F25" s="2310"/>
      <c r="G25" s="2310"/>
      <c r="H25" s="2309"/>
    </row>
    <row r="26" spans="1:8">
      <c r="A26" s="2305" t="s">
        <v>25</v>
      </c>
      <c r="B26" s="2308"/>
      <c r="C26" s="2308"/>
      <c r="D26" s="2308"/>
      <c r="E26" s="2308"/>
      <c r="F26" s="2308"/>
      <c r="G26" s="2308"/>
      <c r="H26" s="2309">
        <f>+B26+C26+D26+E26+F26+G26</f>
        <v>0</v>
      </c>
    </row>
    <row r="27" spans="1:8">
      <c r="A27" s="2303" t="s">
        <v>121</v>
      </c>
      <c r="B27" s="2309">
        <f t="shared" ref="B27:G27" si="2">B26</f>
        <v>0</v>
      </c>
      <c r="C27" s="2309">
        <f t="shared" si="2"/>
        <v>0</v>
      </c>
      <c r="D27" s="2309">
        <f t="shared" si="2"/>
        <v>0</v>
      </c>
      <c r="E27" s="2309">
        <f t="shared" si="2"/>
        <v>0</v>
      </c>
      <c r="F27" s="2309">
        <f t="shared" si="2"/>
        <v>0</v>
      </c>
      <c r="G27" s="2309">
        <f t="shared" si="2"/>
        <v>0</v>
      </c>
      <c r="H27" s="2309">
        <f>+B27+C27+D27+E27+F27+G27</f>
        <v>0</v>
      </c>
    </row>
    <row r="28" spans="1:8" ht="25.5">
      <c r="A28" s="2303" t="s">
        <v>123</v>
      </c>
      <c r="B28" s="2310"/>
      <c r="C28" s="2310"/>
      <c r="D28" s="2310"/>
      <c r="E28" s="2310"/>
      <c r="F28" s="2310"/>
      <c r="G28" s="2310"/>
      <c r="H28" s="2309"/>
    </row>
    <row r="29" spans="1:8" ht="25.5">
      <c r="A29" s="2305" t="s">
        <v>124</v>
      </c>
      <c r="B29" s="2308"/>
      <c r="C29" s="2311"/>
      <c r="D29" s="2310"/>
      <c r="E29" s="2308"/>
      <c r="F29" s="2308"/>
      <c r="G29" s="2310"/>
      <c r="H29" s="2309">
        <f>+B29+C29+D29+E29+F29+G29</f>
        <v>0</v>
      </c>
    </row>
    <row r="30" spans="1:8" ht="25.5">
      <c r="A30" s="2305" t="s">
        <v>125</v>
      </c>
      <c r="B30" s="2308"/>
      <c r="C30" s="2311"/>
      <c r="D30" s="2310"/>
      <c r="E30" s="2308"/>
      <c r="F30" s="2308"/>
      <c r="G30" s="2310"/>
      <c r="H30" s="2309">
        <f>+B30+C30+D30+E30+F30+G30</f>
        <v>0</v>
      </c>
    </row>
    <row r="31" spans="1:8" ht="38.25">
      <c r="A31" s="2305" t="s">
        <v>126</v>
      </c>
      <c r="B31" s="2308"/>
      <c r="C31" s="2311"/>
      <c r="D31" s="2310"/>
      <c r="E31" s="2308"/>
      <c r="F31" s="2308"/>
      <c r="G31" s="2310"/>
      <c r="H31" s="2309">
        <f>+B31+C31+D31+E31+F31+G31</f>
        <v>0</v>
      </c>
    </row>
    <row r="32" spans="1:8" ht="38.25">
      <c r="A32" s="2305" t="s">
        <v>1320</v>
      </c>
      <c r="B32" s="2308"/>
      <c r="C32" s="2311"/>
      <c r="D32" s="2310"/>
      <c r="E32" s="2308"/>
      <c r="F32" s="2308"/>
      <c r="G32" s="2310"/>
      <c r="H32" s="2309">
        <f>+B32+C32+D32+E32+F32+G32</f>
        <v>0</v>
      </c>
    </row>
    <row r="33" spans="1:8">
      <c r="A33" s="2303" t="s">
        <v>121</v>
      </c>
      <c r="B33" s="2309">
        <f>SUM(B29:B32)</f>
        <v>0</v>
      </c>
      <c r="C33" s="2309">
        <f t="shared" ref="C33:H33" si="3">SUM(C29:C32)</f>
        <v>0</v>
      </c>
      <c r="D33" s="2310"/>
      <c r="E33" s="2309">
        <f t="shared" si="3"/>
        <v>0</v>
      </c>
      <c r="F33" s="2309">
        <f t="shared" si="3"/>
        <v>0</v>
      </c>
      <c r="G33" s="2309">
        <f t="shared" si="3"/>
        <v>0</v>
      </c>
      <c r="H33" s="2309">
        <f t="shared" si="3"/>
        <v>0</v>
      </c>
    </row>
    <row r="34" spans="1:8">
      <c r="A34" s="2303" t="s">
        <v>160</v>
      </c>
      <c r="B34" s="2309">
        <f>+B24+B27+B33</f>
        <v>0</v>
      </c>
      <c r="C34" s="2309">
        <f t="shared" ref="C34:H34" si="4">+C24+C27+C33</f>
        <v>0</v>
      </c>
      <c r="D34" s="2309">
        <f t="shared" si="4"/>
        <v>0</v>
      </c>
      <c r="E34" s="2309">
        <f t="shared" si="4"/>
        <v>0</v>
      </c>
      <c r="F34" s="2309">
        <f t="shared" si="4"/>
        <v>0</v>
      </c>
      <c r="G34" s="2309">
        <f t="shared" si="4"/>
        <v>0</v>
      </c>
      <c r="H34" s="2309">
        <f t="shared" si="4"/>
        <v>0</v>
      </c>
    </row>
    <row r="35" spans="1:8">
      <c r="A35" s="2302"/>
      <c r="B35" s="2310"/>
      <c r="C35" s="2310"/>
      <c r="D35" s="2310"/>
      <c r="E35" s="2310"/>
      <c r="F35" s="2310"/>
      <c r="G35" s="2310"/>
      <c r="H35" s="2309" t="s">
        <v>789</v>
      </c>
    </row>
    <row r="36" spans="1:8" ht="25.5">
      <c r="A36" s="2303" t="s">
        <v>127</v>
      </c>
      <c r="B36" s="2310"/>
      <c r="C36" s="2310"/>
      <c r="D36" s="2310"/>
      <c r="E36" s="2310"/>
      <c r="F36" s="2310"/>
      <c r="G36" s="2310"/>
      <c r="H36" s="2309"/>
    </row>
    <row r="37" spans="1:8">
      <c r="A37" s="2305" t="s">
        <v>139</v>
      </c>
      <c r="B37" s="2308"/>
      <c r="C37" s="2308"/>
      <c r="D37" s="2308"/>
      <c r="E37" s="2310"/>
      <c r="F37" s="2310"/>
      <c r="G37" s="2310"/>
      <c r="H37" s="2309">
        <f>+B37+C37+D37+E37+F37+G37</f>
        <v>0</v>
      </c>
    </row>
    <row r="38" spans="1:8">
      <c r="A38" s="2305" t="s">
        <v>128</v>
      </c>
      <c r="B38" s="2308"/>
      <c r="C38" s="2308"/>
      <c r="D38" s="2308"/>
      <c r="E38" s="2310"/>
      <c r="F38" s="2310"/>
      <c r="G38" s="2310"/>
      <c r="H38" s="2309">
        <f>+B38+C38+D38+E38+F38+G38</f>
        <v>0</v>
      </c>
    </row>
    <row r="39" spans="1:8">
      <c r="A39" s="2305" t="s">
        <v>642</v>
      </c>
      <c r="B39" s="2308"/>
      <c r="C39" s="2308"/>
      <c r="D39" s="2308"/>
      <c r="E39" s="2310"/>
      <c r="F39" s="2310"/>
      <c r="G39" s="2310"/>
      <c r="H39" s="2309">
        <f>+B39+C39+D39+E39+F39+G39</f>
        <v>0</v>
      </c>
    </row>
    <row r="40" spans="1:8">
      <c r="A40" s="2303" t="s">
        <v>160</v>
      </c>
      <c r="B40" s="2309">
        <f>SUM(B37:B39)</f>
        <v>0</v>
      </c>
      <c r="C40" s="2309">
        <f t="shared" ref="C40:H40" si="5">SUM(C37:C39)</f>
        <v>0</v>
      </c>
      <c r="D40" s="2309">
        <f t="shared" si="5"/>
        <v>0</v>
      </c>
      <c r="E40" s="2309">
        <f t="shared" si="5"/>
        <v>0</v>
      </c>
      <c r="F40" s="2309">
        <f t="shared" si="5"/>
        <v>0</v>
      </c>
      <c r="G40" s="2309">
        <f t="shared" si="5"/>
        <v>0</v>
      </c>
      <c r="H40" s="2309">
        <f t="shared" si="5"/>
        <v>0</v>
      </c>
    </row>
    <row r="41" spans="1:8">
      <c r="A41" s="2303"/>
      <c r="B41" s="2309"/>
      <c r="C41" s="2309"/>
      <c r="D41" s="2309"/>
      <c r="E41" s="2309"/>
      <c r="F41" s="2309"/>
      <c r="G41" s="2309"/>
      <c r="H41" s="2309"/>
    </row>
    <row r="42" spans="1:8">
      <c r="A42" s="2303" t="s">
        <v>129</v>
      </c>
      <c r="B42" s="2309">
        <f>B34+B40</f>
        <v>0</v>
      </c>
      <c r="C42" s="2309">
        <f t="shared" ref="C42:H42" si="6">C34+C40</f>
        <v>0</v>
      </c>
      <c r="D42" s="2309">
        <f t="shared" si="6"/>
        <v>0</v>
      </c>
      <c r="E42" s="2309">
        <f t="shared" si="6"/>
        <v>0</v>
      </c>
      <c r="F42" s="2309">
        <f t="shared" si="6"/>
        <v>0</v>
      </c>
      <c r="G42" s="2309">
        <f t="shared" si="6"/>
        <v>0</v>
      </c>
      <c r="H42" s="2309">
        <f t="shared" si="6"/>
        <v>0</v>
      </c>
    </row>
    <row r="43" spans="1:8">
      <c r="A43" s="2443"/>
      <c r="B43" s="2443"/>
      <c r="C43" s="2443"/>
      <c r="D43" s="2443"/>
      <c r="E43" s="2443"/>
      <c r="F43" s="2443"/>
      <c r="G43" s="2443"/>
      <c r="H43" s="2443"/>
    </row>
    <row r="44" spans="1:8" ht="15.75">
      <c r="A44" s="2444" t="s">
        <v>2912</v>
      </c>
      <c r="B44" s="2444"/>
      <c r="C44" s="2444"/>
      <c r="D44" s="2444"/>
      <c r="E44" s="2444"/>
      <c r="F44" s="2444"/>
      <c r="G44" s="2444"/>
      <c r="H44" s="2440"/>
    </row>
    <row r="45" spans="1:8" ht="25.5">
      <c r="A45" s="2303" t="s">
        <v>2099</v>
      </c>
      <c r="B45" s="2302" t="s">
        <v>3054</v>
      </c>
      <c r="C45" s="2302" t="s">
        <v>2100</v>
      </c>
      <c r="D45" s="2302" t="s">
        <v>2101</v>
      </c>
      <c r="E45" s="2302" t="s">
        <v>1235</v>
      </c>
      <c r="F45" s="2302" t="s">
        <v>3050</v>
      </c>
      <c r="G45" s="2302" t="s">
        <v>2919</v>
      </c>
      <c r="H45" s="2312"/>
    </row>
    <row r="46" spans="1:8">
      <c r="A46" s="2303" t="s">
        <v>1236</v>
      </c>
      <c r="B46" s="2302" t="s">
        <v>23</v>
      </c>
      <c r="C46" s="2302"/>
      <c r="D46" s="2302"/>
      <c r="E46" s="2302"/>
      <c r="F46" s="2302"/>
      <c r="G46" s="2302"/>
      <c r="H46" s="2312"/>
    </row>
    <row r="47" spans="1:8" ht="38.25">
      <c r="A47" s="2305" t="s">
        <v>24</v>
      </c>
      <c r="B47" s="2302"/>
      <c r="C47" s="2302"/>
      <c r="D47" s="2302"/>
      <c r="E47" s="2302"/>
      <c r="F47" s="2302"/>
      <c r="G47" s="2302"/>
      <c r="H47" s="2312"/>
    </row>
    <row r="48" spans="1:8">
      <c r="A48" s="2305" t="s">
        <v>140</v>
      </c>
      <c r="B48" s="2308"/>
      <c r="C48" s="2308"/>
      <c r="D48" s="2308"/>
      <c r="E48" s="2308"/>
      <c r="F48" s="2308"/>
      <c r="G48" s="2313">
        <f>+B48+C48+D48+E48+F48</f>
        <v>0</v>
      </c>
      <c r="H48" s="2312"/>
    </row>
    <row r="49" spans="1:8">
      <c r="A49" s="2305" t="s">
        <v>25</v>
      </c>
      <c r="B49" s="2308"/>
      <c r="C49" s="2308"/>
      <c r="D49" s="2308"/>
      <c r="E49" s="2308"/>
      <c r="F49" s="2308"/>
      <c r="G49" s="2313">
        <f t="shared" ref="G49:G58" si="7">+B49+C49+D49+E49+F49</f>
        <v>0</v>
      </c>
      <c r="H49" s="2312"/>
    </row>
    <row r="50" spans="1:8">
      <c r="A50" s="2305" t="s">
        <v>119</v>
      </c>
      <c r="B50" s="2308"/>
      <c r="C50" s="2308"/>
      <c r="D50" s="2308"/>
      <c r="E50" s="2308"/>
      <c r="F50" s="2308"/>
      <c r="G50" s="2313">
        <f t="shared" si="7"/>
        <v>0</v>
      </c>
      <c r="H50" s="2312"/>
    </row>
    <row r="51" spans="1:8">
      <c r="A51" s="2305" t="s">
        <v>120</v>
      </c>
      <c r="B51" s="2308"/>
      <c r="C51" s="2308"/>
      <c r="D51" s="2308"/>
      <c r="E51" s="2308"/>
      <c r="F51" s="2302"/>
      <c r="G51" s="2313">
        <f t="shared" si="7"/>
        <v>0</v>
      </c>
      <c r="H51" s="2312"/>
    </row>
    <row r="52" spans="1:8" ht="25.5">
      <c r="A52" s="2305" t="s">
        <v>340</v>
      </c>
      <c r="B52" s="2308"/>
      <c r="C52" s="2308"/>
      <c r="D52" s="2308"/>
      <c r="E52" s="2308"/>
      <c r="F52" s="2302"/>
      <c r="G52" s="2313">
        <f t="shared" si="7"/>
        <v>0</v>
      </c>
      <c r="H52" s="2312"/>
    </row>
    <row r="53" spans="1:8" hidden="1">
      <c r="A53" s="2305"/>
      <c r="B53" s="2305"/>
      <c r="C53" s="2305"/>
      <c r="D53" s="2305"/>
      <c r="E53" s="2305"/>
      <c r="F53" s="2302"/>
      <c r="G53" s="2313"/>
      <c r="H53" s="2312"/>
    </row>
    <row r="54" spans="1:8" hidden="1">
      <c r="A54" s="2305" t="s">
        <v>3042</v>
      </c>
      <c r="B54" s="2308"/>
      <c r="C54" s="2308"/>
      <c r="D54" s="2308"/>
      <c r="E54" s="2308"/>
      <c r="F54" s="2302"/>
      <c r="G54" s="2313">
        <f t="shared" si="7"/>
        <v>0</v>
      </c>
      <c r="H54" s="2312"/>
    </row>
    <row r="55" spans="1:8" ht="25.5" hidden="1">
      <c r="A55" s="2305" t="s">
        <v>3043</v>
      </c>
      <c r="B55" s="2308"/>
      <c r="C55" s="2308"/>
      <c r="D55" s="2308"/>
      <c r="E55" s="2308"/>
      <c r="F55" s="2302"/>
      <c r="G55" s="2313">
        <f t="shared" si="7"/>
        <v>0</v>
      </c>
      <c r="H55" s="2312"/>
    </row>
    <row r="56" spans="1:8" ht="25.5" hidden="1">
      <c r="A56" s="2305" t="s">
        <v>3044</v>
      </c>
      <c r="B56" s="2308"/>
      <c r="C56" s="2308"/>
      <c r="D56" s="2308"/>
      <c r="E56" s="2308"/>
      <c r="F56" s="2302"/>
      <c r="G56" s="2313">
        <f t="shared" si="7"/>
        <v>0</v>
      </c>
      <c r="H56" s="2312"/>
    </row>
    <row r="57" spans="1:8" ht="25.5" hidden="1">
      <c r="A57" s="2305" t="s">
        <v>3045</v>
      </c>
      <c r="B57" s="2308"/>
      <c r="C57" s="2308"/>
      <c r="D57" s="2308"/>
      <c r="E57" s="2308"/>
      <c r="F57" s="2302"/>
      <c r="G57" s="2313">
        <f t="shared" si="7"/>
        <v>0</v>
      </c>
      <c r="H57" s="2312"/>
    </row>
    <row r="58" spans="1:8" hidden="1">
      <c r="A58" s="2305" t="s">
        <v>3046</v>
      </c>
      <c r="B58" s="2308"/>
      <c r="C58" s="2308"/>
      <c r="D58" s="2308"/>
      <c r="E58" s="2308"/>
      <c r="F58" s="2302"/>
      <c r="G58" s="2313">
        <f t="shared" si="7"/>
        <v>0</v>
      </c>
      <c r="H58" s="2312"/>
    </row>
    <row r="59" spans="1:8" ht="38.25" hidden="1">
      <c r="A59" s="2303" t="s">
        <v>3047</v>
      </c>
      <c r="B59" s="2314">
        <f t="shared" ref="B59:G59" si="8">SUM(B54:B58)</f>
        <v>0</v>
      </c>
      <c r="C59" s="2314">
        <f t="shared" si="8"/>
        <v>0</v>
      </c>
      <c r="D59" s="2314">
        <f t="shared" si="8"/>
        <v>0</v>
      </c>
      <c r="E59" s="2314">
        <f t="shared" si="8"/>
        <v>0</v>
      </c>
      <c r="F59" s="2314">
        <f t="shared" si="8"/>
        <v>0</v>
      </c>
      <c r="G59" s="2314">
        <f t="shared" si="8"/>
        <v>0</v>
      </c>
      <c r="H59" s="2312"/>
    </row>
    <row r="60" spans="1:8" hidden="1">
      <c r="A60" s="2305" t="s">
        <v>341</v>
      </c>
      <c r="B60" s="2308"/>
      <c r="C60" s="2308"/>
      <c r="D60" s="2308"/>
      <c r="E60" s="2308"/>
      <c r="F60" s="2302"/>
      <c r="G60" s="2313">
        <f>+B60+C60+D60+E60+F60</f>
        <v>0</v>
      </c>
      <c r="H60" s="2312"/>
    </row>
    <row r="61" spans="1:8" hidden="1">
      <c r="A61" s="2305" t="s">
        <v>342</v>
      </c>
      <c r="B61" s="2308"/>
      <c r="C61" s="2308"/>
      <c r="D61" s="2308"/>
      <c r="E61" s="2308"/>
      <c r="F61" s="2302"/>
      <c r="G61" s="2313">
        <f>+B61+C61+D61+E61+F61</f>
        <v>0</v>
      </c>
      <c r="H61" s="2312"/>
    </row>
    <row r="62" spans="1:8" ht="25.5" hidden="1">
      <c r="A62" s="2305" t="s">
        <v>3048</v>
      </c>
      <c r="B62" s="2308"/>
      <c r="C62" s="2308"/>
      <c r="D62" s="2308"/>
      <c r="E62" s="2308"/>
      <c r="F62" s="2302"/>
      <c r="G62" s="2313">
        <f>+B62+C62+D62+E62+F62</f>
        <v>0</v>
      </c>
      <c r="H62" s="2312"/>
    </row>
    <row r="63" spans="1:8" hidden="1">
      <c r="A63" s="2305" t="s">
        <v>3049</v>
      </c>
      <c r="B63" s="2308"/>
      <c r="C63" s="2308"/>
      <c r="D63" s="2308"/>
      <c r="E63" s="2308"/>
      <c r="F63" s="2302"/>
      <c r="G63" s="2313">
        <f>+B63+C63+D63+E63+F63</f>
        <v>0</v>
      </c>
      <c r="H63" s="2312"/>
    </row>
    <row r="64" spans="1:8">
      <c r="A64" s="2303" t="s">
        <v>121</v>
      </c>
      <c r="B64" s="2313">
        <f>SUM(B48:B52)</f>
        <v>0</v>
      </c>
      <c r="C64" s="2313">
        <f t="shared" ref="C64:G64" si="9">SUM(C48:C52)</f>
        <v>0</v>
      </c>
      <c r="D64" s="2313">
        <f t="shared" si="9"/>
        <v>0</v>
      </c>
      <c r="E64" s="2313">
        <f t="shared" si="9"/>
        <v>0</v>
      </c>
      <c r="F64" s="2313">
        <f t="shared" si="9"/>
        <v>0</v>
      </c>
      <c r="G64" s="2313">
        <f t="shared" si="9"/>
        <v>0</v>
      </c>
      <c r="H64" s="2312"/>
    </row>
    <row r="65" spans="1:8" ht="51">
      <c r="A65" s="2303" t="s">
        <v>2102</v>
      </c>
      <c r="B65" s="2304"/>
      <c r="C65" s="2304"/>
      <c r="D65" s="2304"/>
      <c r="E65" s="2304"/>
      <c r="F65" s="2304"/>
      <c r="G65" s="2315"/>
      <c r="H65" s="2312"/>
    </row>
    <row r="66" spans="1:8">
      <c r="A66" s="2305" t="s">
        <v>25</v>
      </c>
      <c r="B66" s="2308"/>
      <c r="C66" s="2308"/>
      <c r="D66" s="2308"/>
      <c r="E66" s="2308"/>
      <c r="F66" s="2308"/>
      <c r="G66" s="2313">
        <f>+B66+C66+D66+E66+F66</f>
        <v>0</v>
      </c>
      <c r="H66" s="2312"/>
    </row>
    <row r="67" spans="1:8">
      <c r="A67" s="2303" t="s">
        <v>121</v>
      </c>
      <c r="B67" s="2314">
        <f t="shared" ref="B67:G67" si="10">B66</f>
        <v>0</v>
      </c>
      <c r="C67" s="2314">
        <f t="shared" si="10"/>
        <v>0</v>
      </c>
      <c r="D67" s="2314">
        <f t="shared" si="10"/>
        <v>0</v>
      </c>
      <c r="E67" s="2314">
        <f t="shared" si="10"/>
        <v>0</v>
      </c>
      <c r="F67" s="2314">
        <f t="shared" si="10"/>
        <v>0</v>
      </c>
      <c r="G67" s="2314">
        <f t="shared" si="10"/>
        <v>0</v>
      </c>
      <c r="H67" s="2312"/>
    </row>
    <row r="68" spans="1:8" ht="25.5">
      <c r="A68" s="2303" t="s">
        <v>123</v>
      </c>
      <c r="B68" s="2310"/>
      <c r="C68" s="2310"/>
      <c r="D68" s="2310"/>
      <c r="E68" s="2310"/>
      <c r="F68" s="2310"/>
      <c r="G68" s="2314"/>
      <c r="H68" s="2312"/>
    </row>
    <row r="69" spans="1:8" ht="25.5">
      <c r="A69" s="2305" t="s">
        <v>2103</v>
      </c>
      <c r="B69" s="2310"/>
      <c r="C69" s="2310"/>
      <c r="D69" s="2310"/>
      <c r="E69" s="2310"/>
      <c r="F69" s="2310"/>
      <c r="G69" s="2314"/>
      <c r="H69" s="2312"/>
    </row>
    <row r="70" spans="1:8" ht="25.5">
      <c r="A70" s="2305" t="s">
        <v>406</v>
      </c>
      <c r="B70" s="2310"/>
      <c r="C70" s="2310"/>
      <c r="D70" s="2310"/>
      <c r="E70" s="2310"/>
      <c r="F70" s="2310"/>
      <c r="G70" s="2314"/>
      <c r="H70" s="2312"/>
    </row>
    <row r="71" spans="1:8" ht="38.25">
      <c r="A71" s="2305" t="s">
        <v>407</v>
      </c>
      <c r="B71" s="2310"/>
      <c r="C71" s="2310"/>
      <c r="D71" s="2310"/>
      <c r="E71" s="2310"/>
      <c r="F71" s="2310"/>
      <c r="G71" s="2314"/>
      <c r="H71" s="2312"/>
    </row>
    <row r="72" spans="1:8" ht="38.25">
      <c r="A72" s="2305" t="s">
        <v>1320</v>
      </c>
      <c r="B72" s="2310"/>
      <c r="C72" s="2310"/>
      <c r="D72" s="2310"/>
      <c r="E72" s="2310"/>
      <c r="F72" s="2310"/>
      <c r="G72" s="2314"/>
      <c r="H72" s="2312"/>
    </row>
    <row r="73" spans="1:8">
      <c r="A73" s="2303" t="s">
        <v>121</v>
      </c>
      <c r="B73" s="2310"/>
      <c r="C73" s="2310"/>
      <c r="D73" s="2310"/>
      <c r="E73" s="2310"/>
      <c r="F73" s="2310"/>
      <c r="G73" s="2314"/>
      <c r="H73" s="2312"/>
    </row>
    <row r="74" spans="1:8">
      <c r="A74" s="2303" t="s">
        <v>160</v>
      </c>
      <c r="B74" s="2314">
        <f t="shared" ref="B74:G74" si="11">+B64+B67</f>
        <v>0</v>
      </c>
      <c r="C74" s="2314">
        <f t="shared" si="11"/>
        <v>0</v>
      </c>
      <c r="D74" s="2314">
        <f t="shared" si="11"/>
        <v>0</v>
      </c>
      <c r="E74" s="2314">
        <f t="shared" si="11"/>
        <v>0</v>
      </c>
      <c r="F74" s="2314">
        <f t="shared" si="11"/>
        <v>0</v>
      </c>
      <c r="G74" s="2314">
        <f t="shared" si="11"/>
        <v>0</v>
      </c>
      <c r="H74" s="2312"/>
    </row>
    <row r="75" spans="1:8">
      <c r="A75" s="2302"/>
      <c r="B75" s="2310"/>
      <c r="C75" s="2310"/>
      <c r="D75" s="2310"/>
      <c r="E75" s="2310"/>
      <c r="F75" s="2310"/>
      <c r="G75" s="2316"/>
      <c r="H75" s="2312"/>
    </row>
    <row r="76" spans="1:8" ht="25.5">
      <c r="A76" s="2303" t="s">
        <v>127</v>
      </c>
      <c r="B76" s="2310"/>
      <c r="C76" s="2310"/>
      <c r="D76" s="2310"/>
      <c r="E76" s="2310"/>
      <c r="F76" s="2310"/>
      <c r="G76" s="2316"/>
      <c r="H76" s="2312"/>
    </row>
    <row r="77" spans="1:8">
      <c r="A77" s="2305" t="s">
        <v>139</v>
      </c>
      <c r="B77" s="2310"/>
      <c r="C77" s="2310"/>
      <c r="D77" s="2310"/>
      <c r="E77" s="2310"/>
      <c r="F77" s="2310"/>
      <c r="G77" s="2316"/>
      <c r="H77" s="2312"/>
    </row>
    <row r="78" spans="1:8">
      <c r="A78" s="2305" t="s">
        <v>128</v>
      </c>
      <c r="B78" s="2317"/>
      <c r="C78" s="2317"/>
      <c r="D78" s="2317"/>
      <c r="E78" s="2317"/>
      <c r="F78" s="2310"/>
      <c r="G78" s="2313">
        <f>+B78+C78+D78+E78+F78</f>
        <v>0</v>
      </c>
      <c r="H78" s="2312"/>
    </row>
    <row r="79" spans="1:8">
      <c r="A79" s="2305" t="s">
        <v>642</v>
      </c>
      <c r="B79" s="2317"/>
      <c r="C79" s="2317"/>
      <c r="D79" s="2317"/>
      <c r="E79" s="2317"/>
      <c r="F79" s="2310"/>
      <c r="G79" s="2313">
        <f>+B79+C79+D79+E79+F79</f>
        <v>0</v>
      </c>
      <c r="H79" s="2312"/>
    </row>
    <row r="80" spans="1:8">
      <c r="A80" s="2303" t="s">
        <v>1001</v>
      </c>
      <c r="B80" s="2314">
        <f t="shared" ref="B80:G80" si="12">SUM(B77:B79)</f>
        <v>0</v>
      </c>
      <c r="C80" s="2314">
        <f t="shared" si="12"/>
        <v>0</v>
      </c>
      <c r="D80" s="2314">
        <f t="shared" si="12"/>
        <v>0</v>
      </c>
      <c r="E80" s="2314">
        <f t="shared" si="12"/>
        <v>0</v>
      </c>
      <c r="F80" s="2314">
        <f t="shared" si="12"/>
        <v>0</v>
      </c>
      <c r="G80" s="2314">
        <f t="shared" si="12"/>
        <v>0</v>
      </c>
      <c r="H80" s="2312"/>
    </row>
    <row r="81" spans="1:8">
      <c r="A81" s="2302"/>
      <c r="B81" s="2316"/>
      <c r="C81" s="2316"/>
      <c r="D81" s="2316"/>
      <c r="E81" s="2316"/>
      <c r="F81" s="2316"/>
      <c r="G81" s="2316"/>
      <c r="H81" s="2312"/>
    </row>
    <row r="82" spans="1:8">
      <c r="A82" s="2303" t="s">
        <v>129</v>
      </c>
      <c r="B82" s="2314">
        <f t="shared" ref="B82:G82" si="13">B80+B74</f>
        <v>0</v>
      </c>
      <c r="C82" s="2314">
        <f t="shared" si="13"/>
        <v>0</v>
      </c>
      <c r="D82" s="2314">
        <f t="shared" si="13"/>
        <v>0</v>
      </c>
      <c r="E82" s="2314">
        <f t="shared" si="13"/>
        <v>0</v>
      </c>
      <c r="F82" s="2314">
        <f t="shared" si="13"/>
        <v>0</v>
      </c>
      <c r="G82" s="2314">
        <f t="shared" si="13"/>
        <v>0</v>
      </c>
      <c r="H82" s="2312"/>
    </row>
    <row r="83" spans="1:8">
      <c r="A83" s="2445"/>
      <c r="B83" s="2445"/>
      <c r="C83" s="2445"/>
      <c r="D83" s="2445"/>
      <c r="E83" s="2445"/>
      <c r="F83" s="2445"/>
      <c r="G83" s="2445"/>
      <c r="H83" s="2445"/>
    </row>
    <row r="84" spans="1:8">
      <c r="A84" s="2245"/>
      <c r="B84" s="2245"/>
      <c r="C84" s="2245"/>
      <c r="D84" s="2245"/>
      <c r="E84" s="2245"/>
      <c r="F84" s="2245"/>
      <c r="G84" s="2245"/>
      <c r="H84" s="2245"/>
    </row>
    <row r="85" spans="1:8">
      <c r="A85" s="2443"/>
      <c r="B85" s="2443"/>
      <c r="C85" s="2443"/>
      <c r="D85" s="2443"/>
      <c r="E85" s="2443"/>
      <c r="F85" s="2443"/>
      <c r="G85" s="2443"/>
      <c r="H85" s="2443"/>
    </row>
    <row r="86" spans="1:8" ht="15.75">
      <c r="A86" s="2440" t="s">
        <v>2912</v>
      </c>
      <c r="B86" s="2440"/>
      <c r="C86" s="2440"/>
      <c r="D86" s="2440"/>
      <c r="E86" s="2440"/>
      <c r="F86" s="2440"/>
      <c r="G86" s="78"/>
      <c r="H86" s="78"/>
    </row>
    <row r="87" spans="1:8" ht="38.25">
      <c r="A87" s="2303" t="s">
        <v>1236</v>
      </c>
      <c r="B87" s="2318" t="s">
        <v>3051</v>
      </c>
      <c r="C87" s="2318" t="s">
        <v>3052</v>
      </c>
      <c r="D87" s="2318" t="s">
        <v>1321</v>
      </c>
      <c r="E87" s="2318" t="s">
        <v>29</v>
      </c>
      <c r="F87" s="2318" t="s">
        <v>30</v>
      </c>
      <c r="G87" s="1934"/>
      <c r="H87" s="1934"/>
    </row>
    <row r="88" spans="1:8" ht="38.25">
      <c r="A88" s="2305" t="s">
        <v>24</v>
      </c>
      <c r="B88" s="2310">
        <f>H7</f>
        <v>0</v>
      </c>
      <c r="C88" s="2310">
        <f>B7</f>
        <v>0</v>
      </c>
      <c r="D88" s="2308"/>
      <c r="E88" s="2308"/>
      <c r="F88" s="2317"/>
      <c r="G88" s="2319" t="str">
        <f>IF((E88+F88)&lt;&gt;D88-D7+E47,"ERROR","")</f>
        <v/>
      </c>
      <c r="H88" s="1934"/>
    </row>
    <row r="89" spans="1:8">
      <c r="A89" s="2305" t="s">
        <v>140</v>
      </c>
      <c r="B89" s="2310">
        <f>H8-G48</f>
        <v>0</v>
      </c>
      <c r="C89" s="2310">
        <f>B8-B48</f>
        <v>0</v>
      </c>
      <c r="D89" s="2308"/>
      <c r="E89" s="2308"/>
      <c r="F89" s="2317"/>
      <c r="G89" s="2319" t="str">
        <f>IF((E89+F89)&lt;&gt;D89-D8+E48,"ERROR","")</f>
        <v/>
      </c>
      <c r="H89" s="1934"/>
    </row>
    <row r="90" spans="1:8">
      <c r="A90" s="2305" t="s">
        <v>25</v>
      </c>
      <c r="B90" s="2310">
        <f>H9-G49</f>
        <v>0</v>
      </c>
      <c r="C90" s="2310">
        <f>B9-B49</f>
        <v>0</v>
      </c>
      <c r="D90" s="2308"/>
      <c r="E90" s="2308"/>
      <c r="F90" s="2317"/>
      <c r="G90" s="2319" t="str">
        <f>IF((E90+F90)&lt;&gt;D90-D9+E49,"ERROR","")</f>
        <v/>
      </c>
      <c r="H90" s="1934"/>
    </row>
    <row r="91" spans="1:8" ht="25.5">
      <c r="A91" s="2305" t="s">
        <v>1322</v>
      </c>
      <c r="B91" s="2310">
        <f>H10-G50</f>
        <v>0</v>
      </c>
      <c r="C91" s="2310">
        <f>B10-B50</f>
        <v>0</v>
      </c>
      <c r="D91" s="2308"/>
      <c r="E91" s="2308"/>
      <c r="F91" s="2317"/>
      <c r="G91" s="2319" t="str">
        <f>IF((E91+F91)&lt;&gt;D91-D10+E50,"ERROR","")</f>
        <v/>
      </c>
      <c r="H91" s="1934"/>
    </row>
    <row r="92" spans="1:8">
      <c r="A92" s="2305" t="s">
        <v>120</v>
      </c>
      <c r="B92" s="2310">
        <f>H11-G51</f>
        <v>0</v>
      </c>
      <c r="C92" s="2310">
        <f>B11-B51</f>
        <v>0</v>
      </c>
      <c r="D92" s="2308"/>
      <c r="E92" s="2308"/>
      <c r="F92" s="2317"/>
      <c r="G92" s="2319" t="str">
        <f>IF((E92+F92)&lt;&gt;D92-D11+E51,"ERROR","")</f>
        <v/>
      </c>
      <c r="H92" s="1934"/>
    </row>
    <row r="93" spans="1:8" ht="25.5">
      <c r="A93" s="2305" t="s">
        <v>340</v>
      </c>
      <c r="B93" s="2310">
        <f>H12-G52</f>
        <v>0</v>
      </c>
      <c r="C93" s="2310">
        <f>B12-B52</f>
        <v>0</v>
      </c>
      <c r="D93" s="2308"/>
      <c r="E93" s="2308"/>
      <c r="F93" s="2317"/>
      <c r="G93" s="2319"/>
      <c r="H93" s="1934"/>
    </row>
    <row r="94" spans="1:8" hidden="1">
      <c r="A94" s="2305"/>
      <c r="B94" s="2310"/>
      <c r="C94" s="2310"/>
      <c r="D94" s="2310"/>
      <c r="E94" s="2310"/>
      <c r="F94" s="2316"/>
      <c r="G94" s="2319"/>
      <c r="H94" s="1934"/>
    </row>
    <row r="95" spans="1:8" hidden="1">
      <c r="A95" s="2305" t="s">
        <v>3042</v>
      </c>
      <c r="B95" s="2316">
        <f>+H14-G54</f>
        <v>0</v>
      </c>
      <c r="C95" s="2316">
        <f>+B14-B54</f>
        <v>0</v>
      </c>
      <c r="D95" s="2308"/>
      <c r="E95" s="2317"/>
      <c r="F95" s="2317"/>
      <c r="G95" s="2319" t="str">
        <f>IF((E95+F95)&lt;&gt;D95-D14+E54,"ERROR","")</f>
        <v/>
      </c>
      <c r="H95" s="1934"/>
    </row>
    <row r="96" spans="1:8" ht="25.5" hidden="1">
      <c r="A96" s="2305" t="s">
        <v>3043</v>
      </c>
      <c r="B96" s="2316">
        <f>+H15-G55</f>
        <v>0</v>
      </c>
      <c r="C96" s="2316">
        <f>+B15-B55</f>
        <v>0</v>
      </c>
      <c r="D96" s="2308"/>
      <c r="E96" s="2317"/>
      <c r="F96" s="2317"/>
      <c r="G96" s="2319" t="str">
        <f>IF((E96+F96)&lt;&gt;D96-D15+E55,"ERROR","")</f>
        <v/>
      </c>
      <c r="H96" s="1934"/>
    </row>
    <row r="97" spans="1:8" ht="25.5" hidden="1">
      <c r="A97" s="2305" t="s">
        <v>3044</v>
      </c>
      <c r="B97" s="2316">
        <f>+H16-G56</f>
        <v>0</v>
      </c>
      <c r="C97" s="2316">
        <f>+B16-B56</f>
        <v>0</v>
      </c>
      <c r="D97" s="2308"/>
      <c r="E97" s="2317"/>
      <c r="F97" s="2317"/>
      <c r="G97" s="2319" t="str">
        <f>IF((E97+F97)&lt;&gt;D97-D16+E56,"ERROR","")</f>
        <v/>
      </c>
      <c r="H97" s="2320" t="s">
        <v>789</v>
      </c>
    </row>
    <row r="98" spans="1:8" ht="25.5" hidden="1">
      <c r="A98" s="2305" t="s">
        <v>3045</v>
      </c>
      <c r="B98" s="2316">
        <f>+H17-G57</f>
        <v>0</v>
      </c>
      <c r="C98" s="2316">
        <f>+B17-B57</f>
        <v>0</v>
      </c>
      <c r="D98" s="2308"/>
      <c r="E98" s="2317"/>
      <c r="F98" s="2317"/>
      <c r="G98" s="2319" t="str">
        <f>IF((E98+F98)&lt;&gt;D98-D17+E57,"ERROR","")</f>
        <v/>
      </c>
      <c r="H98" s="1934"/>
    </row>
    <row r="99" spans="1:8" hidden="1">
      <c r="A99" s="2305" t="s">
        <v>3046</v>
      </c>
      <c r="B99" s="2316">
        <f>+H18-G58</f>
        <v>0</v>
      </c>
      <c r="C99" s="2316">
        <f>+B18-B58</f>
        <v>0</v>
      </c>
      <c r="D99" s="2308"/>
      <c r="E99" s="2317"/>
      <c r="F99" s="2317"/>
      <c r="G99" s="2319" t="str">
        <f>IF((E99+F99)&lt;&gt;D99-D18+E58,"ERROR","")</f>
        <v/>
      </c>
      <c r="H99" s="1934"/>
    </row>
    <row r="100" spans="1:8" ht="38.25" hidden="1">
      <c r="A100" s="2303" t="s">
        <v>3047</v>
      </c>
      <c r="B100" s="2314">
        <f>SUM(B95:B99)</f>
        <v>0</v>
      </c>
      <c r="C100" s="2314">
        <f>SUM(C95:C99)</f>
        <v>0</v>
      </c>
      <c r="D100" s="2314">
        <f>SUM(D95:D99)</f>
        <v>0</v>
      </c>
      <c r="E100" s="2314">
        <f>SUM(E95:E99)</f>
        <v>0</v>
      </c>
      <c r="F100" s="2314">
        <f>SUM(F95:F99)</f>
        <v>0</v>
      </c>
      <c r="G100" s="2319"/>
      <c r="H100" s="1934"/>
    </row>
    <row r="101" spans="1:8" hidden="1">
      <c r="A101" s="2305" t="s">
        <v>341</v>
      </c>
      <c r="B101" s="2316">
        <f>+H20-G60</f>
        <v>0</v>
      </c>
      <c r="C101" s="2316">
        <f>+B20-B60</f>
        <v>0</v>
      </c>
      <c r="D101" s="2308"/>
      <c r="E101" s="2317"/>
      <c r="F101" s="2317"/>
      <c r="G101" s="2319" t="str">
        <f>IF((E101+F101)&lt;&gt;D101-D20+E60,"ERROR","")</f>
        <v/>
      </c>
      <c r="H101" s="1934"/>
    </row>
    <row r="102" spans="1:8" hidden="1">
      <c r="A102" s="2305" t="s">
        <v>342</v>
      </c>
      <c r="B102" s="2316">
        <f>+H21-G61</f>
        <v>0</v>
      </c>
      <c r="C102" s="2316">
        <f>+B21-B61</f>
        <v>0</v>
      </c>
      <c r="D102" s="2308"/>
      <c r="E102" s="2317"/>
      <c r="F102" s="2317"/>
      <c r="G102" s="2319" t="str">
        <f>IF((E102+F102)&lt;&gt;D102-D21+E61,"ERROR","")</f>
        <v/>
      </c>
      <c r="H102" s="1934"/>
    </row>
    <row r="103" spans="1:8" ht="25.5" hidden="1">
      <c r="A103" s="2305" t="s">
        <v>3048</v>
      </c>
      <c r="B103" s="2316">
        <f>+H22-G62</f>
        <v>0</v>
      </c>
      <c r="C103" s="2316">
        <f>+B22-B62</f>
        <v>0</v>
      </c>
      <c r="D103" s="2308"/>
      <c r="E103" s="2317"/>
      <c r="F103" s="2317"/>
      <c r="G103" s="2319" t="str">
        <f>IF((E103+F103)&lt;&gt;D103-D22+E62,"ERROR","")</f>
        <v/>
      </c>
      <c r="H103" s="1934"/>
    </row>
    <row r="104" spans="1:8" hidden="1">
      <c r="A104" s="2305" t="s">
        <v>3049</v>
      </c>
      <c r="B104" s="2316">
        <f>+H23-G63</f>
        <v>0</v>
      </c>
      <c r="C104" s="2316">
        <f>+B23-B63</f>
        <v>0</v>
      </c>
      <c r="D104" s="2308"/>
      <c r="E104" s="2317"/>
      <c r="F104" s="2317"/>
      <c r="G104" s="2319" t="str">
        <f>IF((E104+F104)&lt;&gt;D104-D23+E63,"ERROR","")</f>
        <v/>
      </c>
      <c r="H104" s="1934"/>
    </row>
    <row r="105" spans="1:8">
      <c r="A105" s="2303" t="s">
        <v>121</v>
      </c>
      <c r="B105" s="2310">
        <f>SUM(B88:B93)</f>
        <v>0</v>
      </c>
      <c r="C105" s="2310">
        <f t="shared" ref="C105:F105" si="14">SUM(C88:C93)</f>
        <v>0</v>
      </c>
      <c r="D105" s="2310">
        <f t="shared" si="14"/>
        <v>0</v>
      </c>
      <c r="E105" s="2310">
        <f t="shared" si="14"/>
        <v>0</v>
      </c>
      <c r="F105" s="2310">
        <f t="shared" si="14"/>
        <v>0</v>
      </c>
      <c r="G105" s="2321"/>
      <c r="H105" s="1934"/>
    </row>
    <row r="106" spans="1:8" ht="51">
      <c r="A106" s="2303" t="s">
        <v>122</v>
      </c>
      <c r="B106" s="2316"/>
      <c r="C106" s="2316"/>
      <c r="D106" s="2316"/>
      <c r="E106" s="2316"/>
      <c r="F106" s="2316"/>
      <c r="G106" s="2319"/>
      <c r="H106" s="1934"/>
    </row>
    <row r="107" spans="1:8">
      <c r="A107" s="2305" t="s">
        <v>25</v>
      </c>
      <c r="B107" s="2310">
        <f>H26-G66</f>
        <v>0</v>
      </c>
      <c r="C107" s="2310">
        <f>B26-B66</f>
        <v>0</v>
      </c>
      <c r="D107" s="2308"/>
      <c r="E107" s="2308"/>
      <c r="F107" s="2317"/>
      <c r="G107" s="2319" t="str">
        <f>IF((-E107+F107)&lt;&gt;D107-D26+E66,"ERROR","")</f>
        <v/>
      </c>
      <c r="H107" s="1934"/>
    </row>
    <row r="108" spans="1:8">
      <c r="A108" s="2303" t="s">
        <v>121</v>
      </c>
      <c r="B108" s="2314">
        <f>B107</f>
        <v>0</v>
      </c>
      <c r="C108" s="2314">
        <f>C107</f>
        <v>0</v>
      </c>
      <c r="D108" s="2314">
        <f>D107</f>
        <v>0</v>
      </c>
      <c r="E108" s="2314">
        <f>E107</f>
        <v>0</v>
      </c>
      <c r="F108" s="2314">
        <f>F107</f>
        <v>0</v>
      </c>
      <c r="G108" s="2319"/>
      <c r="H108" s="1934"/>
    </row>
    <row r="109" spans="1:8" ht="25.5">
      <c r="A109" s="2303" t="s">
        <v>123</v>
      </c>
      <c r="B109" s="2316"/>
      <c r="C109" s="2316"/>
      <c r="D109" s="2316"/>
      <c r="E109" s="2316"/>
      <c r="F109" s="2316"/>
      <c r="G109" s="2319"/>
      <c r="H109" s="1934"/>
    </row>
    <row r="110" spans="1:8" ht="25.5">
      <c r="A110" s="2305" t="s">
        <v>124</v>
      </c>
      <c r="B110" s="2316">
        <f>+H29-G69</f>
        <v>0</v>
      </c>
      <c r="C110" s="2316">
        <f>+B29-B69</f>
        <v>0</v>
      </c>
      <c r="D110" s="2316"/>
      <c r="E110" s="2316"/>
      <c r="F110" s="2316"/>
      <c r="G110" s="2319"/>
      <c r="H110" s="1934"/>
    </row>
    <row r="111" spans="1:8" ht="25.5">
      <c r="A111" s="2305" t="s">
        <v>125</v>
      </c>
      <c r="B111" s="2316">
        <f>+H30-G70</f>
        <v>0</v>
      </c>
      <c r="C111" s="2316">
        <f>+B30-B70</f>
        <v>0</v>
      </c>
      <c r="D111" s="2316"/>
      <c r="E111" s="2316"/>
      <c r="F111" s="2316"/>
      <c r="G111" s="2319"/>
      <c r="H111" s="1934"/>
    </row>
    <row r="112" spans="1:8" ht="38.25">
      <c r="A112" s="2305" t="s">
        <v>126</v>
      </c>
      <c r="B112" s="2316">
        <f>+H31-G71</f>
        <v>0</v>
      </c>
      <c r="C112" s="2316">
        <f>+B31-B71</f>
        <v>0</v>
      </c>
      <c r="D112" s="2316"/>
      <c r="E112" s="2316"/>
      <c r="F112" s="2316"/>
      <c r="G112" s="2319"/>
      <c r="H112" s="1934"/>
    </row>
    <row r="113" spans="1:8" ht="38.25">
      <c r="A113" s="2305" t="s">
        <v>3053</v>
      </c>
      <c r="B113" s="2316">
        <f>+H32-G72</f>
        <v>0</v>
      </c>
      <c r="C113" s="2316">
        <f>+B32-B72</f>
        <v>0</v>
      </c>
      <c r="D113" s="2316"/>
      <c r="E113" s="2316"/>
      <c r="F113" s="2316"/>
      <c r="G113" s="2319"/>
      <c r="H113" s="1934"/>
    </row>
    <row r="114" spans="1:8">
      <c r="A114" s="2303" t="s">
        <v>121</v>
      </c>
      <c r="B114" s="2314">
        <f>SUM(B110:B113)</f>
        <v>0</v>
      </c>
      <c r="C114" s="2314">
        <f>SUM(C110:C113)</f>
        <v>0</v>
      </c>
      <c r="D114" s="2316"/>
      <c r="E114" s="2316"/>
      <c r="F114" s="2316"/>
      <c r="G114" s="2319"/>
      <c r="H114" s="1934"/>
    </row>
    <row r="115" spans="1:8">
      <c r="A115" s="2303" t="s">
        <v>160</v>
      </c>
      <c r="B115" s="2314">
        <f>B114+B108+B105</f>
        <v>0</v>
      </c>
      <c r="C115" s="2314">
        <f>C114+C108+C105</f>
        <v>0</v>
      </c>
      <c r="D115" s="2314">
        <f>+D105+D108</f>
        <v>0</v>
      </c>
      <c r="E115" s="2314">
        <f>+E105+E108</f>
        <v>0</v>
      </c>
      <c r="F115" s="2314">
        <f>+F105+F108</f>
        <v>0</v>
      </c>
      <c r="G115" s="2322"/>
      <c r="H115" s="1934"/>
    </row>
    <row r="116" spans="1:8">
      <c r="A116" s="2303"/>
      <c r="B116" s="2314"/>
      <c r="C116" s="2314"/>
      <c r="D116" s="2314"/>
      <c r="E116" s="2314"/>
      <c r="F116" s="2316"/>
      <c r="G116" s="2319"/>
      <c r="H116" s="1934"/>
    </row>
    <row r="117" spans="1:8" ht="25.5">
      <c r="A117" s="2303" t="s">
        <v>127</v>
      </c>
      <c r="B117" s="2316"/>
      <c r="C117" s="2316"/>
      <c r="D117" s="2316"/>
      <c r="E117" s="2316"/>
      <c r="F117" s="2316"/>
      <c r="G117" s="2319"/>
      <c r="H117" s="1934"/>
    </row>
    <row r="118" spans="1:8">
      <c r="A118" s="2305" t="s">
        <v>139</v>
      </c>
      <c r="B118" s="2316">
        <f>+H37-G77</f>
        <v>0</v>
      </c>
      <c r="C118" s="2316">
        <f>+B37-B77</f>
        <v>0</v>
      </c>
      <c r="D118" s="2317"/>
      <c r="E118" s="2317"/>
      <c r="F118" s="2317"/>
      <c r="G118" s="2319" t="str">
        <f>IF((E118+F118)&lt;&gt;D118-D37,"ERROR","")</f>
        <v/>
      </c>
      <c r="H118" s="1934"/>
    </row>
    <row r="119" spans="1:8">
      <c r="A119" s="2305" t="s">
        <v>128</v>
      </c>
      <c r="B119" s="2316">
        <f>+H38-G78</f>
        <v>0</v>
      </c>
      <c r="C119" s="2316">
        <f>+B38-B78</f>
        <v>0</v>
      </c>
      <c r="D119" s="2317"/>
      <c r="E119" s="2317"/>
      <c r="F119" s="2317"/>
      <c r="G119" s="2319" t="str">
        <f>IF((E119+F119)&lt;&gt;D119-D38+E78,"ERROR","")</f>
        <v/>
      </c>
      <c r="H119" s="1934"/>
    </row>
    <row r="120" spans="1:8">
      <c r="A120" s="2305" t="s">
        <v>642</v>
      </c>
      <c r="B120" s="2316">
        <f>+H39-G79</f>
        <v>0</v>
      </c>
      <c r="C120" s="2316">
        <f>+B39-B79</f>
        <v>0</v>
      </c>
      <c r="D120" s="2317"/>
      <c r="E120" s="2317"/>
      <c r="F120" s="2317"/>
      <c r="G120" s="2319" t="str">
        <f>IF((E120+F120)&lt;&gt;D120-D39+E79,"ERROR","")</f>
        <v/>
      </c>
      <c r="H120" s="1934"/>
    </row>
    <row r="121" spans="1:8">
      <c r="A121" s="2303" t="s">
        <v>160</v>
      </c>
      <c r="B121" s="2314">
        <f>SUM(B118:B120)</f>
        <v>0</v>
      </c>
      <c r="C121" s="2314">
        <f>SUM(C118:C120)</f>
        <v>0</v>
      </c>
      <c r="D121" s="2314">
        <f>SUM(D118:D120)</f>
        <v>0</v>
      </c>
      <c r="E121" s="2314">
        <f>SUM(E118:E120)</f>
        <v>0</v>
      </c>
      <c r="F121" s="2314">
        <f>SUM(F118:F120)</f>
        <v>0</v>
      </c>
      <c r="G121" s="2319"/>
      <c r="H121" s="1934"/>
    </row>
    <row r="122" spans="1:8">
      <c r="A122" s="2303"/>
      <c r="B122" s="2310"/>
      <c r="C122" s="2310"/>
      <c r="D122" s="2310"/>
      <c r="E122" s="2310"/>
      <c r="F122" s="2316"/>
      <c r="G122" s="2319"/>
      <c r="H122" s="1934"/>
    </row>
    <row r="123" spans="1:8">
      <c r="A123" s="2303" t="s">
        <v>129</v>
      </c>
      <c r="B123" s="2314">
        <f>B121+B115</f>
        <v>0</v>
      </c>
      <c r="C123" s="2314">
        <f>C121+C115</f>
        <v>0</v>
      </c>
      <c r="D123" s="2314">
        <f>D121+D115</f>
        <v>0</v>
      </c>
      <c r="E123" s="2314">
        <f>E121+E115</f>
        <v>0</v>
      </c>
      <c r="F123" s="2314">
        <f>F121+F115</f>
        <v>0</v>
      </c>
      <c r="G123" s="2319"/>
      <c r="H123" s="1934"/>
    </row>
    <row r="124" spans="1:8">
      <c r="A124" s="2323"/>
      <c r="B124" s="2321"/>
      <c r="C124" s="2321"/>
      <c r="D124" s="2321"/>
      <c r="E124" s="2324"/>
      <c r="F124" s="2324"/>
      <c r="G124" s="1934"/>
      <c r="H124" s="1934"/>
    </row>
    <row r="125" spans="1:8" ht="25.5" hidden="1" customHeight="1"/>
    <row r="126" spans="1:8" ht="25.5" hidden="1" customHeight="1"/>
    <row r="127" spans="1:8" ht="51" hidden="1" customHeight="1"/>
    <row r="128" spans="1:8" ht="51" hidden="1" customHeight="1"/>
    <row r="129" ht="51" hidden="1" customHeight="1"/>
    <row r="130" ht="51" hidden="1" customHeight="1"/>
    <row r="131" ht="63.75" hidden="1" customHeight="1"/>
    <row r="132" ht="25.5" hidden="1" customHeight="1"/>
    <row r="133" ht="12.75" hidden="1" customHeight="1"/>
    <row r="134" ht="12.75" hidden="1" customHeight="1"/>
    <row r="135" ht="38.25" hidden="1" customHeight="1"/>
    <row r="136" ht="12.75" hidden="1" customHeight="1"/>
    <row r="137" ht="12.75" hidden="1" customHeight="1"/>
    <row r="138" ht="12.75" hidden="1" customHeight="1"/>
    <row r="139" ht="12.75" hidden="1" customHeight="1"/>
    <row r="140" ht="12.75" hidden="1" customHeight="1"/>
    <row r="141" ht="25.5" hidden="1" customHeight="1"/>
    <row r="142" ht="12.75" hidden="1" customHeight="1"/>
    <row r="143" hidden="1"/>
  </sheetData>
  <sheetProtection password="C7B7" sheet="1" objects="1" scenarios="1"/>
  <mergeCells count="7">
    <mergeCell ref="A86:F86"/>
    <mergeCell ref="A3:H3"/>
    <mergeCell ref="A4:H4"/>
    <mergeCell ref="A43:H43"/>
    <mergeCell ref="A44:H44"/>
    <mergeCell ref="A83:H83"/>
    <mergeCell ref="A85:H85"/>
  </mergeCells>
  <phoneticPr fontId="13" type="noConversion"/>
  <pageMargins left="0" right="0" top="1" bottom="1" header="0.5" footer="0.5"/>
  <pageSetup scale="68" fitToHeight="3" orientation="portrait" r:id="rId1"/>
  <headerFooter alignWithMargins="0">
    <oddFooter>&amp;L&amp;D,&amp;" ,Regular" &amp;T
&amp;CPage &amp;P of &amp;N&amp;R2015/16 School Authority Estimates
&amp;A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topLeftCell="A13" zoomScale="90" zoomScaleNormal="90" workbookViewId="0">
      <selection activeCell="D8" sqref="D8"/>
    </sheetView>
  </sheetViews>
  <sheetFormatPr defaultColWidth="0" defaultRowHeight="14.25" zeroHeight="1"/>
  <cols>
    <col min="1" max="1" width="6.42578125" style="792" customWidth="1"/>
    <col min="2" max="2" width="46" style="792" customWidth="1"/>
    <col min="3" max="3" width="13.5703125" style="792" bestFit="1" customWidth="1"/>
    <col min="4" max="4" width="14.42578125" style="792" customWidth="1"/>
    <col min="5" max="5" width="13.42578125" style="792" customWidth="1"/>
  </cols>
  <sheetData>
    <row r="1" spans="1:5" ht="30.75" customHeight="1">
      <c r="A1" s="2142" t="s">
        <v>2780</v>
      </c>
      <c r="B1" s="2137" t="s">
        <v>1556</v>
      </c>
      <c r="C1" s="2137"/>
      <c r="D1" s="2017" t="str">
        <f>'1 Summary'!G2</f>
        <v/>
      </c>
      <c r="E1" s="2143" t="s">
        <v>1561</v>
      </c>
    </row>
    <row r="2" spans="1:5" ht="16.5" customHeight="1">
      <c r="A2" s="27" t="s">
        <v>622</v>
      </c>
      <c r="B2" s="30"/>
      <c r="C2" s="2137" t="s">
        <v>1562</v>
      </c>
      <c r="D2" s="802">
        <f>'1 Summary'!G3</f>
        <v>0</v>
      </c>
      <c r="E2" s="2137" t="s">
        <v>1566</v>
      </c>
    </row>
    <row r="3" spans="1:5" ht="19.5" customHeight="1">
      <c r="A3" s="2047" t="s">
        <v>1323</v>
      </c>
      <c r="B3" s="2047"/>
      <c r="C3" s="2047"/>
      <c r="D3" s="2047"/>
      <c r="E3" s="2047"/>
    </row>
    <row r="4" spans="1:5" ht="18.75" customHeight="1">
      <c r="A4" s="2045" t="s">
        <v>2923</v>
      </c>
      <c r="B4" s="2046"/>
      <c r="C4" s="2046"/>
      <c r="D4" s="2046"/>
      <c r="E4" s="2046"/>
    </row>
    <row r="5" spans="1:5" ht="57.75" customHeight="1">
      <c r="A5" s="803"/>
      <c r="B5" s="804"/>
      <c r="C5" s="1935" t="s">
        <v>2933</v>
      </c>
      <c r="D5" s="1935" t="s">
        <v>285</v>
      </c>
      <c r="E5" s="1936" t="s">
        <v>2922</v>
      </c>
    </row>
    <row r="6" spans="1:5">
      <c r="A6" s="1937"/>
      <c r="B6" s="1938"/>
      <c r="C6" s="1935" t="s">
        <v>1368</v>
      </c>
      <c r="D6" s="1935" t="s">
        <v>1575</v>
      </c>
      <c r="E6" s="1935" t="s">
        <v>1576</v>
      </c>
    </row>
    <row r="7" spans="1:5" ht="15">
      <c r="A7" s="1939">
        <v>1</v>
      </c>
      <c r="B7" s="1940" t="s">
        <v>1556</v>
      </c>
      <c r="C7" s="1941"/>
      <c r="D7" s="1941"/>
      <c r="E7" s="1942"/>
    </row>
    <row r="8" spans="1:5">
      <c r="A8" s="1943">
        <v>1.1000000000000001</v>
      </c>
      <c r="B8" s="1941" t="s">
        <v>3122</v>
      </c>
      <c r="C8" s="1944"/>
      <c r="D8" s="1947">
        <f>+'Schedule 1.1 Cons Stmt of Ops.'!D27-'Schedule 5'!D17-'Schedule 5'!D30</f>
        <v>47042</v>
      </c>
      <c r="E8" s="1945">
        <f>C8+D8</f>
        <v>47042</v>
      </c>
    </row>
    <row r="9" spans="1:5" ht="15">
      <c r="A9" s="1946">
        <v>1.3</v>
      </c>
      <c r="B9" s="1940" t="s">
        <v>1557</v>
      </c>
      <c r="C9" s="1947">
        <f>+C8</f>
        <v>0</v>
      </c>
      <c r="D9" s="1947">
        <f>+D8</f>
        <v>47042</v>
      </c>
      <c r="E9" s="1947">
        <f>+E8</f>
        <v>47042</v>
      </c>
    </row>
    <row r="10" spans="1:5">
      <c r="A10" s="1937"/>
      <c r="B10" s="1941"/>
      <c r="C10" s="1947"/>
      <c r="D10" s="1947"/>
      <c r="E10" s="1945"/>
    </row>
    <row r="11" spans="1:5" ht="30">
      <c r="A11" s="1939">
        <v>2</v>
      </c>
      <c r="B11" s="1940" t="s">
        <v>1558</v>
      </c>
      <c r="C11" s="1947"/>
      <c r="D11" s="1947"/>
      <c r="E11" s="1945"/>
    </row>
    <row r="12" spans="1:5">
      <c r="A12" s="1943">
        <v>2.1</v>
      </c>
      <c r="B12" s="1941" t="s">
        <v>1312</v>
      </c>
      <c r="C12" s="1944"/>
      <c r="D12" s="1944"/>
      <c r="E12" s="1945">
        <f>C12+D12</f>
        <v>0</v>
      </c>
    </row>
    <row r="13" spans="1:5">
      <c r="A13" s="1943">
        <v>2.2000000000000002</v>
      </c>
      <c r="B13" s="1941" t="s">
        <v>1598</v>
      </c>
      <c r="C13" s="1944"/>
      <c r="D13" s="1944"/>
      <c r="E13" s="1945">
        <f>C13+D13</f>
        <v>0</v>
      </c>
    </row>
    <row r="14" spans="1:5">
      <c r="A14" s="1937"/>
      <c r="B14" s="1941" t="s">
        <v>1559</v>
      </c>
      <c r="C14" s="1947"/>
      <c r="D14" s="1947"/>
      <c r="E14" s="1945"/>
    </row>
    <row r="15" spans="1:5">
      <c r="A15" s="1943">
        <v>2.2999999999999998</v>
      </c>
      <c r="B15" s="1948"/>
      <c r="C15" s="1944"/>
      <c r="D15" s="1944"/>
      <c r="E15" s="1945">
        <f>C15+D15</f>
        <v>0</v>
      </c>
    </row>
    <row r="16" spans="1:5">
      <c r="A16" s="1943">
        <v>2.4</v>
      </c>
      <c r="B16" s="1948"/>
      <c r="C16" s="1944"/>
      <c r="D16" s="1944"/>
      <c r="E16" s="1945">
        <f>C16+D16</f>
        <v>0</v>
      </c>
    </row>
    <row r="17" spans="1:5" ht="15">
      <c r="A17" s="1949">
        <v>2.5</v>
      </c>
      <c r="B17" s="1940" t="s">
        <v>1560</v>
      </c>
      <c r="C17" s="1947">
        <f>SUM(C12:C16)</f>
        <v>0</v>
      </c>
      <c r="D17" s="1947">
        <f>SUM(D12:D16)</f>
        <v>0</v>
      </c>
      <c r="E17" s="1945">
        <f>C17+D17</f>
        <v>0</v>
      </c>
    </row>
    <row r="18" spans="1:5">
      <c r="A18" s="1937"/>
      <c r="B18" s="1941"/>
      <c r="C18" s="1947"/>
      <c r="D18" s="1947"/>
      <c r="E18" s="1945"/>
    </row>
    <row r="19" spans="1:5" ht="45">
      <c r="A19" s="1939">
        <v>3</v>
      </c>
      <c r="B19" s="1940" t="s">
        <v>1561</v>
      </c>
      <c r="C19" s="1947">
        <f>C17+C9</f>
        <v>0</v>
      </c>
      <c r="D19" s="1947">
        <f>D17+D9</f>
        <v>47042</v>
      </c>
      <c r="E19" s="1945">
        <f>C19+D19</f>
        <v>47042</v>
      </c>
    </row>
    <row r="20" spans="1:5">
      <c r="A20" s="1937"/>
      <c r="B20" s="1941"/>
      <c r="C20" s="1947"/>
      <c r="D20" s="1947"/>
      <c r="E20" s="1945"/>
    </row>
    <row r="21" spans="1:5" ht="15">
      <c r="A21" s="1939">
        <v>4</v>
      </c>
      <c r="B21" s="1940" t="s">
        <v>1562</v>
      </c>
      <c r="C21" s="1947"/>
      <c r="D21" s="1947"/>
      <c r="E21" s="1945"/>
    </row>
    <row r="22" spans="1:5" ht="71.25">
      <c r="A22" s="1943">
        <v>4.0999999999999996</v>
      </c>
      <c r="B22" s="1941" t="s">
        <v>3058</v>
      </c>
      <c r="C22" s="1947">
        <f>'Sch. 10G Amort of Liab'!C58*-1</f>
        <v>0</v>
      </c>
      <c r="D22" s="1950">
        <f>-'Sch. 10G Amort of Liab'!C61</f>
        <v>0</v>
      </c>
      <c r="E22" s="1945">
        <f t="shared" ref="E22:E30" si="0">C22+D22</f>
        <v>0</v>
      </c>
    </row>
    <row r="23" spans="1:5" ht="28.5">
      <c r="A23" s="1943" t="s">
        <v>196</v>
      </c>
      <c r="B23" s="1941" t="s">
        <v>2252</v>
      </c>
      <c r="C23" s="1947">
        <f>'Sch. 10G Amort of Liab'!D58*-1</f>
        <v>0</v>
      </c>
      <c r="D23" s="1950">
        <f>-'Sch. 10G Amort of Liab'!D61</f>
        <v>0</v>
      </c>
      <c r="E23" s="1945">
        <f t="shared" si="0"/>
        <v>0</v>
      </c>
    </row>
    <row r="24" spans="1:5" ht="28.5">
      <c r="A24" s="1943" t="s">
        <v>1544</v>
      </c>
      <c r="B24" s="1941" t="s">
        <v>2253</v>
      </c>
      <c r="C24" s="1947">
        <f>'Sch. 10G Amort of Liab'!C67*-1</f>
        <v>0</v>
      </c>
      <c r="D24" s="1950">
        <f>-'Sch. 10G Amort of Liab'!C70</f>
        <v>0</v>
      </c>
      <c r="E24" s="1945">
        <f t="shared" si="0"/>
        <v>0</v>
      </c>
    </row>
    <row r="25" spans="1:5" ht="28.5">
      <c r="A25" s="1943" t="s">
        <v>1545</v>
      </c>
      <c r="B25" s="1941" t="s">
        <v>2251</v>
      </c>
      <c r="C25" s="1944"/>
      <c r="D25" s="1950">
        <f>-'Sch 10ADJ  Oper. Fund- Adj.'!H56</f>
        <v>0</v>
      </c>
      <c r="E25" s="1945">
        <f>C25</f>
        <v>0</v>
      </c>
    </row>
    <row r="26" spans="1:5">
      <c r="A26" s="1943">
        <v>4.2</v>
      </c>
      <c r="B26" s="1941" t="s">
        <v>1563</v>
      </c>
      <c r="C26" s="1944"/>
      <c r="D26" s="1950">
        <f>-'Sch 10ADJ  Oper. Fund- Adj.'!F56</f>
        <v>0</v>
      </c>
      <c r="E26" s="1945">
        <f t="shared" si="0"/>
        <v>0</v>
      </c>
    </row>
    <row r="27" spans="1:5">
      <c r="A27" s="1943">
        <v>4.4000000000000004</v>
      </c>
      <c r="B27" s="1941" t="s">
        <v>1715</v>
      </c>
      <c r="C27" s="1944"/>
      <c r="D27" s="1944"/>
      <c r="E27" s="1945">
        <f t="shared" si="0"/>
        <v>0</v>
      </c>
    </row>
    <row r="28" spans="1:5">
      <c r="A28" s="1943">
        <v>4.5</v>
      </c>
      <c r="B28" s="1941" t="s">
        <v>1564</v>
      </c>
      <c r="C28" s="1944"/>
      <c r="D28" s="1944"/>
      <c r="E28" s="1945">
        <f t="shared" si="0"/>
        <v>0</v>
      </c>
    </row>
    <row r="29" spans="1:5">
      <c r="A29" s="1943">
        <v>4.5999999999999996</v>
      </c>
      <c r="B29" s="1941" t="s">
        <v>2924</v>
      </c>
      <c r="C29" s="1944"/>
      <c r="D29" s="1944"/>
      <c r="E29" s="1945">
        <f t="shared" si="0"/>
        <v>0</v>
      </c>
    </row>
    <row r="30" spans="1:5" ht="15">
      <c r="A30" s="1946">
        <v>4.8</v>
      </c>
      <c r="B30" s="1940" t="s">
        <v>1565</v>
      </c>
      <c r="C30" s="1947">
        <f>SUM(C22:C29)</f>
        <v>0</v>
      </c>
      <c r="D30" s="1947">
        <f>SUM(D22:D29)</f>
        <v>0</v>
      </c>
      <c r="E30" s="1945">
        <f t="shared" si="0"/>
        <v>0</v>
      </c>
    </row>
    <row r="31" spans="1:5">
      <c r="A31" s="1937"/>
      <c r="B31" s="1941"/>
      <c r="C31" s="1947"/>
      <c r="D31" s="1947"/>
      <c r="E31" s="1945"/>
    </row>
    <row r="32" spans="1:5" ht="21" customHeight="1">
      <c r="A32" s="1939">
        <v>5</v>
      </c>
      <c r="B32" s="1940" t="s">
        <v>1566</v>
      </c>
      <c r="C32" s="1947">
        <f>C30+C19</f>
        <v>0</v>
      </c>
      <c r="D32" s="1947">
        <f>D30+D19</f>
        <v>47042</v>
      </c>
      <c r="E32" s="1947">
        <f>E30+E19</f>
        <v>47042</v>
      </c>
    </row>
    <row r="33" hidden="1"/>
    <row r="34" hidden="1"/>
  </sheetData>
  <sheetProtection password="C7B7" sheet="1" objects="1" scenarios="1"/>
  <phoneticPr fontId="13" type="noConversion"/>
  <hyperlinks>
    <hyperlink ref="B1" location="Available_for_Compliance___Unappropriated" display="Available for Compliance - Unappropriated"/>
    <hyperlink ref="E1" location="Total_Accumulated_Surplus____Deficit__Available_for_Compliance__Sum_of_lines_1.3_and_2.5" display="Total Accumulated Surplus / (Deficit) Available for Compliance (Sum of lines 1.3 and 2.5)"/>
    <hyperlink ref="C2" location="Unavailable_for_Compliance" display="Unavailable for Compliance"/>
    <hyperlink ref="E2" location="Total_Accumulated_Surplus__Deficit" display="Total Accumulated Surplus/(Deficit)"/>
  </hyperlinks>
  <pageMargins left="0" right="0" top="1" bottom="1" header="0.5" footer="0.5"/>
  <pageSetup scale="68" orientation="portrait" r:id="rId1"/>
  <headerFooter alignWithMargins="0">
    <oddFooter>&amp;L&amp;D,&amp;" ,Regular" &amp;T
&amp;CPage &amp;P of &amp;N&amp;R2015/16 School Authority Estimates
&amp;A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190</vt:i4>
      </vt:variant>
    </vt:vector>
  </HeadingPairs>
  <TitlesOfParts>
    <vt:vector size="254" baseType="lpstr">
      <vt:lpstr>Cover Sheet</vt:lpstr>
      <vt:lpstr>Contents</vt:lpstr>
      <vt:lpstr>Schedule 1 Stmt of Fin Pos.</vt:lpstr>
      <vt:lpstr>Schedule 1.1 Cons Stmt of Ops.</vt:lpstr>
      <vt:lpstr>Sch 1.2 Cons Stmt of Cash Flow</vt:lpstr>
      <vt:lpstr>Sch 1.3 Cons Stmt Net Debt</vt:lpstr>
      <vt:lpstr>Sch 3 Capital Exp.</vt:lpstr>
      <vt:lpstr>Sch 3C Tang Cap Asset Con</vt:lpstr>
      <vt:lpstr>Schedule 5</vt:lpstr>
      <vt:lpstr>Schedule 5.1</vt:lpstr>
      <vt:lpstr>Sch 7 Stmt of Fin. Pos.</vt:lpstr>
      <vt:lpstr>Schedule 9</vt:lpstr>
      <vt:lpstr>Sch. 10 Operating Fund - Exp</vt:lpstr>
      <vt:lpstr>Sch 10ADJ  Oper. Fund- Adj.</vt:lpstr>
      <vt:lpstr>Sch. 10.3 Texts,Classroom Supp.</vt:lpstr>
      <vt:lpstr>Sch. 10.4 Supplementary Info.</vt:lpstr>
      <vt:lpstr>Sch. 10A Spec Ed Expense - Elem</vt:lpstr>
      <vt:lpstr>Sch. 10B Spec Ed Expense - Sec</vt:lpstr>
      <vt:lpstr>Sch. 10C Oper. &amp; Maintenance</vt:lpstr>
      <vt:lpstr>Sch. 10F Employee Benefits</vt:lpstr>
      <vt:lpstr>Sch. 10G Supp Ben Info.</vt:lpstr>
      <vt:lpstr>Sch. 10G Amort of Liab</vt:lpstr>
      <vt:lpstr>Sch 11A Tax Revenue</vt:lpstr>
      <vt:lpstr>Sch 11A Tax Revenue Adj </vt:lpstr>
      <vt:lpstr>Sch 11B Tax Revenue</vt:lpstr>
      <vt:lpstr>Sch 12 ConEd Summer</vt:lpstr>
      <vt:lpstr>Sch 13 Enrolment</vt:lpstr>
      <vt:lpstr>Sch 14 School Generated Funds</vt:lpstr>
      <vt:lpstr>1 Summary</vt:lpstr>
      <vt:lpstr>1.1 Pupil Foundation</vt:lpstr>
      <vt:lpstr>1.3 School Foundation</vt:lpstr>
      <vt:lpstr>2 Special Ed</vt:lpstr>
      <vt:lpstr>3 Language</vt:lpstr>
      <vt:lpstr>4 Outlying Schools</vt:lpstr>
      <vt:lpstr>5 Remote and Rural</vt:lpstr>
      <vt:lpstr>6 Continuing Education</vt:lpstr>
      <vt:lpstr>7 Teacher Compensation</vt:lpstr>
      <vt:lpstr>7A ECE</vt:lpstr>
      <vt:lpstr>7B NTIP</vt:lpstr>
      <vt:lpstr>9 Transportation</vt:lpstr>
      <vt:lpstr>10 Admin and Governance</vt:lpstr>
      <vt:lpstr>11 Accommodations</vt:lpstr>
      <vt:lpstr>11A Community Use</vt:lpstr>
      <vt:lpstr>12 Teacherage</vt:lpstr>
      <vt:lpstr>13 Learning Opportunities</vt:lpstr>
      <vt:lpstr>15 Special Approvals</vt:lpstr>
      <vt:lpstr>16 Declining Enrolment</vt:lpstr>
      <vt:lpstr>18 Indigenous Education</vt:lpstr>
      <vt:lpstr>19 Safe Schools</vt:lpstr>
      <vt:lpstr>App B Calculation of Fees</vt:lpstr>
      <vt:lpstr>App B1 Tuition Fees</vt:lpstr>
      <vt:lpstr>App F1 Transportation</vt:lpstr>
      <vt:lpstr>App F1.1 Board-Owned</vt:lpstr>
      <vt:lpstr>App F2 Board Lodging</vt:lpstr>
      <vt:lpstr>App G - Salary Grid</vt:lpstr>
      <vt:lpstr>App H - Staffing Oct 31</vt:lpstr>
      <vt:lpstr>App L - ECE Grid</vt:lpstr>
      <vt:lpstr>App H - Staffing Mar 31</vt:lpstr>
      <vt:lpstr>Error Messages</vt:lpstr>
      <vt:lpstr>Warning Messages</vt:lpstr>
      <vt:lpstr>Data Analysis</vt:lpstr>
      <vt:lpstr>ECE Grid</vt:lpstr>
      <vt:lpstr>Tables</vt:lpstr>
      <vt:lpstr>GSN Benchmarks</vt:lpstr>
      <vt:lpstr>_2016_17_Day_School_ADE</vt:lpstr>
      <vt:lpstr>_7.31___ECE_FTE___With_movement</vt:lpstr>
      <vt:lpstr>_7.33.1_ECE_FTE___With_Movement</vt:lpstr>
      <vt:lpstr>_7.35_ECE_Q_E_per_Pupil_Allocation___________________________________________________________________________________________________________________________________________________________________________________________________0.00</vt:lpstr>
      <vt:lpstr>_7.36_ECE_Q_E_Allocation</vt:lpstr>
      <vt:lpstr>'Sch 11A Tax Revenue Adj '!_GoBack</vt:lpstr>
      <vt:lpstr>Aboriginal_Amount</vt:lpstr>
      <vt:lpstr>ADMINISTRATION</vt:lpstr>
      <vt:lpstr>Administration_and_Governance</vt:lpstr>
      <vt:lpstr>Administration_Subtotal</vt:lpstr>
      <vt:lpstr>Administration2</vt:lpstr>
      <vt:lpstr>AdministrationAndGovernanceAppendixH</vt:lpstr>
      <vt:lpstr>AdministrationSubtotal2</vt:lpstr>
      <vt:lpstr>ALLOCATION_FOR_SCHOOL_RENEWAL</vt:lpstr>
      <vt:lpstr>Allocation_for_Supervisory_Officers</vt:lpstr>
      <vt:lpstr>AllocationForSupervisoryOfficers2</vt:lpstr>
      <vt:lpstr>Available_for_Compliance___Internally_Appropriated</vt:lpstr>
      <vt:lpstr>Available_for_Compliance___Unappropriated</vt:lpstr>
      <vt:lpstr>Average_experience_factor___total__4_dec.__for_both_grids</vt:lpstr>
      <vt:lpstr>Benchmarks</vt:lpstr>
      <vt:lpstr>Board__Lodging_and_WEEKLY_TRANSPORTATION</vt:lpstr>
      <vt:lpstr>CLASSROOM</vt:lpstr>
      <vt:lpstr>Classroom2</vt:lpstr>
      <vt:lpstr>Classroom3</vt:lpstr>
      <vt:lpstr>Classroom4</vt:lpstr>
      <vt:lpstr>ClassroomAppendixH</vt:lpstr>
      <vt:lpstr>ClassroomSub_total</vt:lpstr>
      <vt:lpstr>ClassroomSub_total2</vt:lpstr>
      <vt:lpstr>ClassroomSubTotal3</vt:lpstr>
      <vt:lpstr>ClassroomsubTotal4</vt:lpstr>
      <vt:lpstr>Continuing_Education</vt:lpstr>
      <vt:lpstr>Continuing_Education___Literacy___Numeracy___Summer_School</vt:lpstr>
      <vt:lpstr>Contract_Leases</vt:lpstr>
      <vt:lpstr>Custodial_Operations</vt:lpstr>
      <vt:lpstr>Day_School_ADE</vt:lpstr>
      <vt:lpstr>Declining_enrolment_adjustment</vt:lpstr>
      <vt:lpstr>Detailed_description_by_project</vt:lpstr>
      <vt:lpstr>Early_Childhood_Educator_Q_ualifications___Experience_Allocation</vt:lpstr>
      <vt:lpstr>Elementary</vt:lpstr>
      <vt:lpstr>Elementary_calculated_factor__Item_7.7_X_7.9___four_decimals____English_Language_Instructional_Unit</vt:lpstr>
      <vt:lpstr>ElementaryAboriginal</vt:lpstr>
      <vt:lpstr>ElementaryAppendixG</vt:lpstr>
      <vt:lpstr>ElementaryEnglishLanguageInstructionalUnit2</vt:lpstr>
      <vt:lpstr>ETFO</vt:lpstr>
      <vt:lpstr>EXPENSES</vt:lpstr>
      <vt:lpstr>First_Nation__Métis_and_Inuit_Education_Supplemental_Allocation</vt:lpstr>
      <vt:lpstr>Governance_allocation</vt:lpstr>
      <vt:lpstr>Home_to_School__includes_School_to_School</vt:lpstr>
      <vt:lpstr>INSTRUCTION</vt:lpstr>
      <vt:lpstr>Instruction_Subtotal</vt:lpstr>
      <vt:lpstr>Instructions2</vt:lpstr>
      <vt:lpstr>InstructionSubtotal2</vt:lpstr>
      <vt:lpstr>Language_allocation</vt:lpstr>
      <vt:lpstr>Learning_Opportunities</vt:lpstr>
      <vt:lpstr>Leases</vt:lpstr>
      <vt:lpstr>Legislative_Grants</vt:lpstr>
      <vt:lpstr>LegislativeGrants2</vt:lpstr>
      <vt:lpstr>Library_and_Guidance</vt:lpstr>
      <vt:lpstr>Literacy_and_numeracy_component_of_school_operations</vt:lpstr>
      <vt:lpstr>Maintenance_Operations</vt:lpstr>
      <vt:lpstr>Method_of_Qualification_Categories_System</vt:lpstr>
      <vt:lpstr>Native_Language_Allocation</vt:lpstr>
      <vt:lpstr>Native_Studies_Amount</vt:lpstr>
      <vt:lpstr>New_Teacher_Induction_Program</vt:lpstr>
      <vt:lpstr>NON_CLASSROOM</vt:lpstr>
      <vt:lpstr>Non_teaching_staff___Cost_Adjustment_Amount</vt:lpstr>
      <vt:lpstr>Non_Teaching_Staff___Cost_Adjustment_amount__Table__5__2016_17_Instructions</vt:lpstr>
      <vt:lpstr>NonClassroom2</vt:lpstr>
      <vt:lpstr>NonClassroom3</vt:lpstr>
      <vt:lpstr>NonClassroom4</vt:lpstr>
      <vt:lpstr>NonClassroomAppendixH</vt:lpstr>
      <vt:lpstr>NonETFO</vt:lpstr>
      <vt:lpstr>Note</vt:lpstr>
      <vt:lpstr>Note___Conversion_Factor___1_Sq_Ft___0.092903_Sq_M</vt:lpstr>
      <vt:lpstr>Note__Please_report_the__1_000_Trustees_Association_Fee_as_an_expense.</vt:lpstr>
      <vt:lpstr>Note_1___In_cases_where_school_authorities_negotiate_specific_special_education_services_or_programs_over_and_above_the_regular_programs_provided_by_the_school__these_expenses_are_recovered_by_separate_billing_from_the_Agency_requesting_the_services._The</vt:lpstr>
      <vt:lpstr>NoteAppendixH</vt:lpstr>
      <vt:lpstr>NoteReport</vt:lpstr>
      <vt:lpstr>NoteSecondary</vt:lpstr>
      <vt:lpstr>OPERATING_DEFERRED_REVENUE</vt:lpstr>
      <vt:lpstr>OTHER</vt:lpstr>
      <vt:lpstr>Other_Ministry_of_Education_Grants</vt:lpstr>
      <vt:lpstr>Other_Non_Operating</vt:lpstr>
      <vt:lpstr>Other_Provincial_Grants</vt:lpstr>
      <vt:lpstr>Other2</vt:lpstr>
      <vt:lpstr>OtherMinEdGrants2</vt:lpstr>
      <vt:lpstr>OtherProvGrnats2</vt:lpstr>
      <vt:lpstr>Parent_engagement_amount</vt:lpstr>
      <vt:lpstr>'1 Summary'!Print_Area</vt:lpstr>
      <vt:lpstr>'1.1 Pupil Foundation'!Print_Area</vt:lpstr>
      <vt:lpstr>'1.3 School Foundation'!Print_Area</vt:lpstr>
      <vt:lpstr>'13 Learning Opportunities'!Print_Area</vt:lpstr>
      <vt:lpstr>'16 Declining Enrolment'!Print_Area</vt:lpstr>
      <vt:lpstr>'3 Language'!Print_Area</vt:lpstr>
      <vt:lpstr>'4 Outlying Schools'!Print_Area</vt:lpstr>
      <vt:lpstr>'7B NTIP'!Print_Area</vt:lpstr>
      <vt:lpstr>'App B Calculation of Fees'!Print_Area</vt:lpstr>
      <vt:lpstr>Contents!Print_Area</vt:lpstr>
      <vt:lpstr>'Cover Sheet'!Print_Area</vt:lpstr>
      <vt:lpstr>'Data Analysis'!Print_Area</vt:lpstr>
      <vt:lpstr>'Error Messages'!Print_Area</vt:lpstr>
      <vt:lpstr>'GSN Benchmarks'!Print_Area</vt:lpstr>
      <vt:lpstr>'Sch 10ADJ  Oper. Fund- Adj.'!Print_Area</vt:lpstr>
      <vt:lpstr>'Sch 12 ConEd Summer'!Print_Area</vt:lpstr>
      <vt:lpstr>'Sch 3C Tang Cap Asset Con'!Print_Area</vt:lpstr>
      <vt:lpstr>'Sch. 10 Operating Fund - Exp'!Print_Area</vt:lpstr>
      <vt:lpstr>'Sch. 10C Oper. &amp; Maintenance'!Print_Area</vt:lpstr>
      <vt:lpstr>'Sch. 10F Employee Benefits'!Print_Area</vt:lpstr>
      <vt:lpstr>'Sch. 10G Amort of Liab'!Print_Area</vt:lpstr>
      <vt:lpstr>'Schedule 1.1 Cons Stmt of Ops.'!Print_Area</vt:lpstr>
      <vt:lpstr>'Schedule 5'!Print_Area</vt:lpstr>
      <vt:lpstr>'Schedule 5.1'!Print_Area</vt:lpstr>
      <vt:lpstr>'Schedule 9'!Print_Area</vt:lpstr>
      <vt:lpstr>Tables!Print_Area</vt:lpstr>
      <vt:lpstr>'11 Accommodations'!Print_Titles</vt:lpstr>
      <vt:lpstr>'3 Language'!Print_Titles</vt:lpstr>
      <vt:lpstr>'7 Teacher Compensation'!Print_Titles</vt:lpstr>
      <vt:lpstr>'App G - Salary Grid'!Print_Titles</vt:lpstr>
      <vt:lpstr>Contents!Print_Titles</vt:lpstr>
      <vt:lpstr>'Data Analysis'!Print_Titles</vt:lpstr>
      <vt:lpstr>'Error Messages'!Print_Titles</vt:lpstr>
      <vt:lpstr>'GSN Benchmarks'!Print_Titles</vt:lpstr>
      <vt:lpstr>'Sch 13 Enrolment'!Print_Titles</vt:lpstr>
      <vt:lpstr>'Schedule 5.1'!Print_Titles</vt:lpstr>
      <vt:lpstr>Tables!Print_Titles</vt:lpstr>
      <vt:lpstr>'Warning Messages'!Print_Titles</vt:lpstr>
      <vt:lpstr>PUPIL_ACCOMMODATION</vt:lpstr>
      <vt:lpstr>Pupil_Accomodation_and_Teacherage_Subtotal</vt:lpstr>
      <vt:lpstr>Pupil_Foundation_allocation</vt:lpstr>
      <vt:lpstr>Pupil_Transportation</vt:lpstr>
      <vt:lpstr>PupilAccommodation2</vt:lpstr>
      <vt:lpstr>PupilAccommodationAndTeacherages2</vt:lpstr>
      <vt:lpstr>Qualification_and_experience_allocation__Line_7.14</vt:lpstr>
      <vt:lpstr>QualificationFactors_Table13Ontario2016_17Grant2</vt:lpstr>
      <vt:lpstr>Remote_and_Rural</vt:lpstr>
      <vt:lpstr>REVENUES</vt:lpstr>
      <vt:lpstr>Safe_Schools_Allocation</vt:lpstr>
      <vt:lpstr>School_Administration</vt:lpstr>
      <vt:lpstr>School_Foundation_allocation</vt:lpstr>
      <vt:lpstr>School_operations</vt:lpstr>
      <vt:lpstr>School_Operations___Maintenance</vt:lpstr>
      <vt:lpstr>School_Operations_and_Maintenance_Administration</vt:lpstr>
      <vt:lpstr>Secondary</vt:lpstr>
      <vt:lpstr>Secondary__excludes_pupils_21_and_over</vt:lpstr>
      <vt:lpstr>Secondary_calculated_factor__Item_7.8_X_Item_7.9___four_decimals____English_Language_Intructional_Unit</vt:lpstr>
      <vt:lpstr>SecondaryAppendixG</vt:lpstr>
      <vt:lpstr>SecondaryEnglishLanguageInstructionalUnits2</vt:lpstr>
      <vt:lpstr>Special_approvals___Operating</vt:lpstr>
      <vt:lpstr>Special_education_allocation</vt:lpstr>
      <vt:lpstr>Student_Support___Professionals__Paraprofessionals_and_Technicians</vt:lpstr>
      <vt:lpstr>SUBTOTAL___OPERATING_DEFERRED_REVENUE</vt:lpstr>
      <vt:lpstr>Subtotal___Other</vt:lpstr>
      <vt:lpstr>SubtotalOther2</vt:lpstr>
      <vt:lpstr>Supported_Schools_allocation</vt:lpstr>
      <vt:lpstr>Teacher_Assistants</vt:lpstr>
      <vt:lpstr>Teacher_Qualifications_and_Experience</vt:lpstr>
      <vt:lpstr>Teacher_Support_Services</vt:lpstr>
      <vt:lpstr>Third_Party</vt:lpstr>
      <vt:lpstr>ThirdParty2</vt:lpstr>
      <vt:lpstr>Total__Sum_of_lines_1.1_to_1.18</vt:lpstr>
      <vt:lpstr>Total_Accumulated_Surplus____Deficit__Available_for_Compliance__Sum_of_lines_1.3_and_2.5</vt:lpstr>
      <vt:lpstr>Total_Accumulated_Surplus__Deficit</vt:lpstr>
      <vt:lpstr>Total_allocation_for_administration_and_governance</vt:lpstr>
      <vt:lpstr>Total_Cost_Adjustment_and_Teacher_Qualification_and_Experience_Allocation</vt:lpstr>
      <vt:lpstr>TOTAL_ELEMENTARY</vt:lpstr>
      <vt:lpstr>TOTAL_EXPENDITURE</vt:lpstr>
      <vt:lpstr>TOTAL_Expenditure__Col_3_must_equal_CP_7012</vt:lpstr>
      <vt:lpstr>Total_ExpensesByProject</vt:lpstr>
      <vt:lpstr>Total_First_Nation__Métis_and_Inuit_Supplemental_Allocation</vt:lpstr>
      <vt:lpstr>TOTAL_SECONDARY</vt:lpstr>
      <vt:lpstr>Total_Transportation_Allocation</vt:lpstr>
      <vt:lpstr>TotalApendixH</vt:lpstr>
      <vt:lpstr>TotalElementary2</vt:lpstr>
      <vt:lpstr>TotalExpenditure2</vt:lpstr>
      <vt:lpstr>TotalSecondary2</vt:lpstr>
      <vt:lpstr>TRANSPORTATION</vt:lpstr>
      <vt:lpstr>Transportation_Safety_Program</vt:lpstr>
      <vt:lpstr>Transportation_Subtotal</vt:lpstr>
      <vt:lpstr>Transportation2</vt:lpstr>
      <vt:lpstr>TransportationSubtotal2</vt:lpstr>
      <vt:lpstr>Trustees__Association_Fee</vt:lpstr>
      <vt:lpstr>Tuition_fees_per_pupil__Line_1.19___Line_1.0</vt:lpstr>
      <vt:lpstr>Tuition_Revenue_for_Continuing_Education__Literacy___Numeracy__Summer_School</vt:lpstr>
      <vt:lpstr>Tuition_Revenue_for_Negotiated_Services__Note_1</vt:lpstr>
      <vt:lpstr>Tuition_Revenue_for_Regular_Day_School__21_and_over</vt:lpstr>
      <vt:lpstr>Tuition_Revenue_for_Regular_Day_School__under_21</vt:lpstr>
      <vt:lpstr>Unavailable_for_Compliance</vt:lpstr>
      <vt:lpstr>Use_the_Full_Time_Equivalent_Number_of_Teachers_as_of_October_31__2016__one_decimal__as_described_in_section_40_4__of_Ont._2016_17_Grants_for_Student_Needs_Reg.</vt:lpstr>
      <vt:lpstr>Utilities</vt:lpstr>
      <vt:lpstr>Years_of_experience</vt:lpstr>
    </vt:vector>
  </TitlesOfParts>
  <Company>Min. of Education &amp; Training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MET STAFF</dc:creator>
  <cp:lastModifiedBy>Fry, Martin (EDU)</cp:lastModifiedBy>
  <cp:lastPrinted>2017-08-02T14:11:48Z</cp:lastPrinted>
  <dcterms:created xsi:type="dcterms:W3CDTF">1999-04-15T14:18:34Z</dcterms:created>
  <dcterms:modified xsi:type="dcterms:W3CDTF">2017-08-30T14:23:23Z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